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 activeTab="4"/>
    <workbookView xWindow="0" yWindow="0" windowWidth="28800" windowHeight="124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Enforcements!$A$6:$N$109</definedName>
    <definedName name="_xlnm._FilterDatabase" localSheetId="2" hidden="1">'Missing Trips'!$A$2:$G$2</definedName>
    <definedName name="_xlnm._FilterDatabase" localSheetId="0" hidden="1">'Train Runs'!$A$12:$AD$209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Runs'!$A$12:$J$98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3" l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7" i="3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13" i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7" i="3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13" i="1"/>
  <c r="S7" i="3" l="1"/>
  <c r="T7" i="3"/>
  <c r="M19" i="5"/>
  <c r="M18" i="5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49" i="3"/>
  <c r="L50" i="3"/>
  <c r="L51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49" i="3"/>
  <c r="T50" i="3"/>
  <c r="T51" i="3"/>
  <c r="P114" i="1"/>
  <c r="P88" i="1"/>
  <c r="N154" i="1"/>
  <c r="T154" i="1"/>
  <c r="U154" i="1" s="1"/>
  <c r="S154" i="1" s="1"/>
  <c r="V154" i="1"/>
  <c r="X154" i="1"/>
  <c r="Y154" i="1"/>
  <c r="Z154" i="1"/>
  <c r="AA154" i="1" s="1"/>
  <c r="W154" i="1" s="1"/>
  <c r="AB154" i="1"/>
  <c r="AC154" i="1"/>
  <c r="AD154" i="1"/>
  <c r="N155" i="1"/>
  <c r="T155" i="1"/>
  <c r="V155" i="1"/>
  <c r="X155" i="1"/>
  <c r="Y155" i="1"/>
  <c r="U155" i="1" s="1"/>
  <c r="S155" i="1" s="1"/>
  <c r="Z155" i="1"/>
  <c r="AA155" i="1"/>
  <c r="W155" i="1" s="1"/>
  <c r="AB155" i="1"/>
  <c r="AC155" i="1"/>
  <c r="AD155" i="1"/>
  <c r="N156" i="1"/>
  <c r="T156" i="1"/>
  <c r="V156" i="1"/>
  <c r="X156" i="1"/>
  <c r="Y156" i="1"/>
  <c r="Z156" i="1"/>
  <c r="AA156" i="1" s="1"/>
  <c r="W156" i="1" s="1"/>
  <c r="AB156" i="1"/>
  <c r="AC156" i="1"/>
  <c r="AD156" i="1"/>
  <c r="N157" i="1"/>
  <c r="T157" i="1"/>
  <c r="V157" i="1"/>
  <c r="X157" i="1"/>
  <c r="Y157" i="1"/>
  <c r="Z157" i="1"/>
  <c r="AA157" i="1" s="1"/>
  <c r="W157" i="1" s="1"/>
  <c r="AB157" i="1"/>
  <c r="AC157" i="1"/>
  <c r="AD157" i="1"/>
  <c r="P134" i="1"/>
  <c r="P127" i="1"/>
  <c r="P106" i="1"/>
  <c r="P78" i="1"/>
  <c r="P65" i="1"/>
  <c r="P54" i="1"/>
  <c r="P28" i="1"/>
  <c r="P27" i="1"/>
  <c r="P19" i="1"/>
  <c r="U157" i="1" l="1"/>
  <c r="S157" i="1" s="1"/>
  <c r="U156" i="1"/>
  <c r="S156" i="1" s="1"/>
  <c r="K192" i="1"/>
  <c r="L192" i="1"/>
  <c r="M192" i="1"/>
  <c r="V192" i="1"/>
  <c r="AD192" i="1"/>
  <c r="K193" i="1"/>
  <c r="L193" i="1"/>
  <c r="M193" i="1"/>
  <c r="V193" i="1"/>
  <c r="AD193" i="1"/>
  <c r="K194" i="1"/>
  <c r="L194" i="1"/>
  <c r="M194" i="1"/>
  <c r="V194" i="1"/>
  <c r="AD194" i="1"/>
  <c r="K195" i="1"/>
  <c r="L195" i="1"/>
  <c r="M195" i="1"/>
  <c r="V195" i="1"/>
  <c r="AD195" i="1"/>
  <c r="K196" i="1"/>
  <c r="L196" i="1"/>
  <c r="M196" i="1"/>
  <c r="V196" i="1"/>
  <c r="AD196" i="1"/>
  <c r="K197" i="1"/>
  <c r="L197" i="1"/>
  <c r="M197" i="1"/>
  <c r="V197" i="1"/>
  <c r="AD197" i="1"/>
  <c r="K198" i="1"/>
  <c r="L198" i="1"/>
  <c r="M198" i="1"/>
  <c r="V198" i="1"/>
  <c r="AD198" i="1"/>
  <c r="K199" i="1"/>
  <c r="L199" i="1"/>
  <c r="M199" i="1"/>
  <c r="V199" i="1"/>
  <c r="AD199" i="1"/>
  <c r="K200" i="1"/>
  <c r="L200" i="1"/>
  <c r="M200" i="1"/>
  <c r="V200" i="1"/>
  <c r="AD200" i="1"/>
  <c r="K201" i="1"/>
  <c r="L201" i="1"/>
  <c r="M201" i="1"/>
  <c r="V201" i="1"/>
  <c r="AD201" i="1"/>
  <c r="K202" i="1"/>
  <c r="L202" i="1"/>
  <c r="M202" i="1"/>
  <c r="V202" i="1"/>
  <c r="AD202" i="1"/>
  <c r="K203" i="1"/>
  <c r="L203" i="1"/>
  <c r="M203" i="1"/>
  <c r="V203" i="1"/>
  <c r="AD203" i="1"/>
  <c r="K204" i="1"/>
  <c r="L204" i="1"/>
  <c r="M204" i="1"/>
  <c r="V204" i="1"/>
  <c r="AD204" i="1"/>
  <c r="K205" i="1"/>
  <c r="L205" i="1"/>
  <c r="M205" i="1"/>
  <c r="V205" i="1"/>
  <c r="AD205" i="1"/>
  <c r="K206" i="1"/>
  <c r="L206" i="1"/>
  <c r="M206" i="1"/>
  <c r="V206" i="1"/>
  <c r="AD206" i="1"/>
  <c r="K207" i="1"/>
  <c r="L207" i="1"/>
  <c r="M207" i="1"/>
  <c r="V207" i="1"/>
  <c r="AD207" i="1"/>
  <c r="K208" i="1"/>
  <c r="L208" i="1"/>
  <c r="M208" i="1"/>
  <c r="V208" i="1"/>
  <c r="AD208" i="1"/>
  <c r="K209" i="1"/>
  <c r="L209" i="1"/>
  <c r="M209" i="1"/>
  <c r="V209" i="1"/>
  <c r="AD209" i="1"/>
  <c r="S63" i="3"/>
  <c r="S69" i="3"/>
  <c r="L8" i="3"/>
  <c r="S8" i="3"/>
  <c r="L19" i="3"/>
  <c r="S19" i="3"/>
  <c r="S92" i="3"/>
  <c r="S93" i="3"/>
  <c r="S70" i="3"/>
  <c r="S64" i="3"/>
  <c r="S106" i="3"/>
  <c r="S71" i="3"/>
  <c r="S107" i="3"/>
  <c r="L14" i="3"/>
  <c r="S14" i="3"/>
  <c r="L29" i="3"/>
  <c r="S29" i="3"/>
  <c r="S108" i="3"/>
  <c r="S109" i="3"/>
  <c r="S74" i="3"/>
  <c r="S65" i="3"/>
  <c r="S66" i="3"/>
  <c r="K15" i="1" l="1"/>
  <c r="L15" i="1"/>
  <c r="M15" i="1"/>
  <c r="N15" i="1" s="1"/>
  <c r="T15" i="1"/>
  <c r="V15" i="1"/>
  <c r="X15" i="1"/>
  <c r="Y15" i="1"/>
  <c r="Z15" i="1"/>
  <c r="AB15" i="1"/>
  <c r="AC15" i="1"/>
  <c r="AD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T19" i="1"/>
  <c r="V19" i="1"/>
  <c r="X19" i="1"/>
  <c r="Y19" i="1"/>
  <c r="Z19" i="1"/>
  <c r="AB19" i="1"/>
  <c r="AC19" i="1"/>
  <c r="AD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K27" i="1"/>
  <c r="L27" i="1"/>
  <c r="M27" i="1"/>
  <c r="T27" i="1"/>
  <c r="V27" i="1"/>
  <c r="X27" i="1"/>
  <c r="Y27" i="1"/>
  <c r="Z27" i="1"/>
  <c r="AB27" i="1"/>
  <c r="AC27" i="1"/>
  <c r="AD27" i="1"/>
  <c r="K28" i="1"/>
  <c r="L28" i="1"/>
  <c r="M28" i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K42" i="1"/>
  <c r="L42" i="1"/>
  <c r="M42" i="1"/>
  <c r="N42" i="1"/>
  <c r="T42" i="1"/>
  <c r="V42" i="1"/>
  <c r="X42" i="1"/>
  <c r="Y42" i="1"/>
  <c r="Z42" i="1"/>
  <c r="AB42" i="1"/>
  <c r="AC42" i="1"/>
  <c r="AD42" i="1"/>
  <c r="K43" i="1"/>
  <c r="L43" i="1"/>
  <c r="M43" i="1"/>
  <c r="N43" i="1"/>
  <c r="T43" i="1"/>
  <c r="V43" i="1"/>
  <c r="X43" i="1"/>
  <c r="Y43" i="1"/>
  <c r="Z43" i="1"/>
  <c r="AB43" i="1"/>
  <c r="AC43" i="1"/>
  <c r="AD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K46" i="1"/>
  <c r="L46" i="1"/>
  <c r="M46" i="1"/>
  <c r="N46" i="1" s="1"/>
  <c r="T46" i="1"/>
  <c r="V46" i="1"/>
  <c r="X46" i="1"/>
  <c r="Y46" i="1"/>
  <c r="Z46" i="1"/>
  <c r="AA46" i="1" s="1"/>
  <c r="W46" i="1" s="1"/>
  <c r="AB46" i="1"/>
  <c r="AC46" i="1"/>
  <c r="AD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K53" i="1"/>
  <c r="L53" i="1"/>
  <c r="M53" i="1"/>
  <c r="N53" i="1"/>
  <c r="T53" i="1"/>
  <c r="V53" i="1"/>
  <c r="X53" i="1"/>
  <c r="Y53" i="1"/>
  <c r="Z53" i="1"/>
  <c r="AB53" i="1"/>
  <c r="AC53" i="1"/>
  <c r="AD53" i="1"/>
  <c r="K54" i="1"/>
  <c r="L54" i="1"/>
  <c r="M54" i="1"/>
  <c r="T54" i="1"/>
  <c r="V54" i="1"/>
  <c r="X54" i="1"/>
  <c r="Y54" i="1"/>
  <c r="AA54" i="1" s="1"/>
  <c r="W54" i="1" s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A55" i="1" s="1"/>
  <c r="W55" i="1" s="1"/>
  <c r="AB55" i="1"/>
  <c r="AC55" i="1"/>
  <c r="AD55" i="1"/>
  <c r="K56" i="1"/>
  <c r="L56" i="1"/>
  <c r="M56" i="1"/>
  <c r="N56" i="1" s="1"/>
  <c r="T56" i="1"/>
  <c r="V56" i="1"/>
  <c r="X56" i="1"/>
  <c r="Y56" i="1"/>
  <c r="Z56" i="1"/>
  <c r="AA56" i="1" s="1"/>
  <c r="W56" i="1" s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N62" i="1" s="1"/>
  <c r="T62" i="1"/>
  <c r="V62" i="1"/>
  <c r="X62" i="1"/>
  <c r="Y62" i="1"/>
  <c r="AA62" i="1" s="1"/>
  <c r="W62" i="1" s="1"/>
  <c r="Z62" i="1"/>
  <c r="AB62" i="1"/>
  <c r="AC62" i="1"/>
  <c r="AD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K65" i="1"/>
  <c r="L65" i="1"/>
  <c r="M65" i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K69" i="1"/>
  <c r="L69" i="1"/>
  <c r="M69" i="1"/>
  <c r="N69" i="1"/>
  <c r="T69" i="1"/>
  <c r="V69" i="1"/>
  <c r="X69" i="1"/>
  <c r="Y69" i="1"/>
  <c r="Z69" i="1"/>
  <c r="AB69" i="1"/>
  <c r="AC69" i="1"/>
  <c r="AD69" i="1"/>
  <c r="K70" i="1"/>
  <c r="L70" i="1"/>
  <c r="M70" i="1"/>
  <c r="N70" i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X71" i="1"/>
  <c r="Y71" i="1"/>
  <c r="Z71" i="1"/>
  <c r="AA71" i="1" s="1"/>
  <c r="W71" i="1" s="1"/>
  <c r="AB71" i="1"/>
  <c r="AC71" i="1"/>
  <c r="AD71" i="1"/>
  <c r="K72" i="1"/>
  <c r="L72" i="1"/>
  <c r="M72" i="1"/>
  <c r="N72" i="1" s="1"/>
  <c r="T72" i="1"/>
  <c r="V72" i="1"/>
  <c r="X72" i="1"/>
  <c r="Y72" i="1"/>
  <c r="Z72" i="1"/>
  <c r="AA72" i="1"/>
  <c r="W72" i="1" s="1"/>
  <c r="AB72" i="1"/>
  <c r="AC72" i="1"/>
  <c r="AD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AA75" i="1" s="1"/>
  <c r="W75" i="1" s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K78" i="1"/>
  <c r="L78" i="1"/>
  <c r="M78" i="1"/>
  <c r="T78" i="1"/>
  <c r="V78" i="1"/>
  <c r="X78" i="1"/>
  <c r="Y78" i="1"/>
  <c r="Z78" i="1"/>
  <c r="AA78" i="1" s="1"/>
  <c r="W78" i="1" s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AA80" i="1" s="1"/>
  <c r="W80" i="1" s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A83" i="1" s="1"/>
  <c r="W83" i="1" s="1"/>
  <c r="AB83" i="1"/>
  <c r="AC83" i="1"/>
  <c r="AD83" i="1"/>
  <c r="K84" i="1"/>
  <c r="L84" i="1"/>
  <c r="M84" i="1"/>
  <c r="N84" i="1" s="1"/>
  <c r="T84" i="1"/>
  <c r="V84" i="1"/>
  <c r="X84" i="1"/>
  <c r="Y84" i="1"/>
  <c r="Z84" i="1"/>
  <c r="AA84" i="1" s="1"/>
  <c r="W84" i="1" s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T88" i="1"/>
  <c r="V88" i="1"/>
  <c r="X88" i="1"/>
  <c r="Y88" i="1"/>
  <c r="Z88" i="1"/>
  <c r="AB88" i="1"/>
  <c r="AC88" i="1"/>
  <c r="AD88" i="1"/>
  <c r="K89" i="1"/>
  <c r="L89" i="1"/>
  <c r="M89" i="1"/>
  <c r="T89" i="1"/>
  <c r="V89" i="1"/>
  <c r="X89" i="1"/>
  <c r="Y89" i="1"/>
  <c r="Z89" i="1"/>
  <c r="AB89" i="1"/>
  <c r="AC89" i="1"/>
  <c r="AD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K91" i="1"/>
  <c r="L91" i="1"/>
  <c r="M91" i="1"/>
  <c r="N91" i="1" s="1"/>
  <c r="T91" i="1"/>
  <c r="V91" i="1"/>
  <c r="X91" i="1"/>
  <c r="Y91" i="1"/>
  <c r="AA91" i="1" s="1"/>
  <c r="W91" i="1" s="1"/>
  <c r="Z91" i="1"/>
  <c r="AB91" i="1"/>
  <c r="AC91" i="1"/>
  <c r="AD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K93" i="1"/>
  <c r="L93" i="1"/>
  <c r="M93" i="1"/>
  <c r="N93" i="1"/>
  <c r="T93" i="1"/>
  <c r="V93" i="1"/>
  <c r="X93" i="1"/>
  <c r="Y93" i="1"/>
  <c r="Z93" i="1"/>
  <c r="AB93" i="1"/>
  <c r="AC93" i="1"/>
  <c r="AD93" i="1"/>
  <c r="K94" i="1"/>
  <c r="L94" i="1"/>
  <c r="M94" i="1"/>
  <c r="N94" i="1"/>
  <c r="T94" i="1"/>
  <c r="V94" i="1"/>
  <c r="X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A95" i="1" s="1"/>
  <c r="W95" i="1" s="1"/>
  <c r="AB95" i="1"/>
  <c r="AC95" i="1"/>
  <c r="AD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N99" i="1" s="1"/>
  <c r="T99" i="1"/>
  <c r="V99" i="1"/>
  <c r="X99" i="1"/>
  <c r="Y99" i="1"/>
  <c r="AA99" i="1" s="1"/>
  <c r="W99" i="1" s="1"/>
  <c r="Z99" i="1"/>
  <c r="AB99" i="1"/>
  <c r="AC99" i="1"/>
  <c r="AD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AA102" i="1" s="1"/>
  <c r="W102" i="1" s="1"/>
  <c r="Z102" i="1"/>
  <c r="AB102" i="1"/>
  <c r="AC102" i="1"/>
  <c r="AD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K104" i="1"/>
  <c r="L104" i="1"/>
  <c r="M104" i="1"/>
  <c r="N104" i="1"/>
  <c r="T104" i="1"/>
  <c r="V104" i="1"/>
  <c r="X104" i="1"/>
  <c r="Y104" i="1"/>
  <c r="Z104" i="1"/>
  <c r="AB104" i="1"/>
  <c r="AC104" i="1"/>
  <c r="AD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A109" i="1" s="1"/>
  <c r="W109" i="1" s="1"/>
  <c r="AB109" i="1"/>
  <c r="AC109" i="1"/>
  <c r="AD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A111" i="1" s="1"/>
  <c r="W111" i="1" s="1"/>
  <c r="AB111" i="1"/>
  <c r="AC111" i="1"/>
  <c r="AD111" i="1"/>
  <c r="K112" i="1"/>
  <c r="L112" i="1"/>
  <c r="M112" i="1"/>
  <c r="N112" i="1" s="1"/>
  <c r="T112" i="1"/>
  <c r="V112" i="1"/>
  <c r="X112" i="1"/>
  <c r="Y112" i="1"/>
  <c r="Z112" i="1"/>
  <c r="AA112" i="1"/>
  <c r="W112" i="1" s="1"/>
  <c r="AB112" i="1"/>
  <c r="AC112" i="1"/>
  <c r="AD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K114" i="1"/>
  <c r="L114" i="1"/>
  <c r="M114" i="1"/>
  <c r="T114" i="1"/>
  <c r="V114" i="1"/>
  <c r="X114" i="1"/>
  <c r="Y114" i="1"/>
  <c r="Z114" i="1"/>
  <c r="AB114" i="1"/>
  <c r="AC114" i="1"/>
  <c r="AD114" i="1"/>
  <c r="K115" i="1"/>
  <c r="L115" i="1"/>
  <c r="M115" i="1"/>
  <c r="T115" i="1"/>
  <c r="V115" i="1"/>
  <c r="X115" i="1"/>
  <c r="Y115" i="1"/>
  <c r="Z115" i="1"/>
  <c r="AB115" i="1"/>
  <c r="AC115" i="1"/>
  <c r="AD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K127" i="1"/>
  <c r="L127" i="1"/>
  <c r="M127" i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U128" i="1" s="1"/>
  <c r="S128" i="1" s="1"/>
  <c r="Z128" i="1"/>
  <c r="AB128" i="1"/>
  <c r="AC128" i="1"/>
  <c r="AD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K134" i="1"/>
  <c r="L134" i="1"/>
  <c r="M134" i="1"/>
  <c r="T134" i="1"/>
  <c r="V134" i="1"/>
  <c r="X134" i="1"/>
  <c r="Y134" i="1"/>
  <c r="Z134" i="1"/>
  <c r="AB134" i="1"/>
  <c r="AC134" i="1"/>
  <c r="AD134" i="1"/>
  <c r="K135" i="1"/>
  <c r="L135" i="1"/>
  <c r="M135" i="1"/>
  <c r="N135" i="1"/>
  <c r="T135" i="1"/>
  <c r="V135" i="1"/>
  <c r="X135" i="1"/>
  <c r="Y135" i="1"/>
  <c r="Z135" i="1"/>
  <c r="AB135" i="1"/>
  <c r="AC135" i="1"/>
  <c r="AD135" i="1"/>
  <c r="K136" i="1"/>
  <c r="L136" i="1"/>
  <c r="M136" i="1"/>
  <c r="N136" i="1"/>
  <c r="T136" i="1"/>
  <c r="V136" i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X137" i="1"/>
  <c r="Y137" i="1"/>
  <c r="Z137" i="1"/>
  <c r="AA137" i="1" s="1"/>
  <c r="W137" i="1" s="1"/>
  <c r="AB137" i="1"/>
  <c r="AC137" i="1"/>
  <c r="AD137" i="1"/>
  <c r="K138" i="1"/>
  <c r="L138" i="1"/>
  <c r="M138" i="1"/>
  <c r="N138" i="1" s="1"/>
  <c r="T138" i="1"/>
  <c r="V138" i="1"/>
  <c r="X138" i="1"/>
  <c r="Y138" i="1"/>
  <c r="Z138" i="1"/>
  <c r="AA138" i="1" s="1"/>
  <c r="W138" i="1" s="1"/>
  <c r="AB138" i="1"/>
  <c r="AC138" i="1"/>
  <c r="AD138" i="1"/>
  <c r="K139" i="1"/>
  <c r="L139" i="1"/>
  <c r="M139" i="1"/>
  <c r="N139" i="1" s="1"/>
  <c r="T139" i="1"/>
  <c r="V139" i="1"/>
  <c r="X139" i="1"/>
  <c r="Y139" i="1"/>
  <c r="Z139" i="1"/>
  <c r="AA139" i="1" s="1"/>
  <c r="W139" i="1" s="1"/>
  <c r="AB139" i="1"/>
  <c r="AC139" i="1"/>
  <c r="AD139" i="1"/>
  <c r="K140" i="1"/>
  <c r="L140" i="1"/>
  <c r="M140" i="1"/>
  <c r="N140" i="1" s="1"/>
  <c r="T140" i="1"/>
  <c r="V140" i="1"/>
  <c r="X140" i="1"/>
  <c r="Y140" i="1"/>
  <c r="Z140" i="1"/>
  <c r="AA140" i="1" s="1"/>
  <c r="W140" i="1" s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K144" i="1"/>
  <c r="L144" i="1"/>
  <c r="M144" i="1"/>
  <c r="N144" i="1" s="1"/>
  <c r="T144" i="1"/>
  <c r="V144" i="1"/>
  <c r="X144" i="1"/>
  <c r="Y144" i="1"/>
  <c r="U144" i="1" s="1"/>
  <c r="S144" i="1" s="1"/>
  <c r="Z144" i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A146" i="1" s="1"/>
  <c r="W146" i="1" s="1"/>
  <c r="AB146" i="1"/>
  <c r="AC146" i="1"/>
  <c r="AD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K148" i="1"/>
  <c r="L148" i="1"/>
  <c r="M148" i="1"/>
  <c r="N148" i="1" s="1"/>
  <c r="T148" i="1"/>
  <c r="V148" i="1"/>
  <c r="X148" i="1"/>
  <c r="Y148" i="1"/>
  <c r="Z148" i="1"/>
  <c r="AA148" i="1" s="1"/>
  <c r="W148" i="1" s="1"/>
  <c r="AB148" i="1"/>
  <c r="AC148" i="1"/>
  <c r="AD148" i="1"/>
  <c r="K149" i="1"/>
  <c r="L149" i="1"/>
  <c r="M149" i="1"/>
  <c r="N149" i="1" s="1"/>
  <c r="T149" i="1"/>
  <c r="V149" i="1"/>
  <c r="X149" i="1"/>
  <c r="Y149" i="1"/>
  <c r="U149" i="1" s="1"/>
  <c r="S149" i="1" s="1"/>
  <c r="Z149" i="1"/>
  <c r="AB149" i="1"/>
  <c r="AC149" i="1"/>
  <c r="AD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U151" i="1" s="1"/>
  <c r="S151" i="1" s="1"/>
  <c r="Z151" i="1"/>
  <c r="AB151" i="1"/>
  <c r="AC151" i="1"/>
  <c r="AD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8" i="1"/>
  <c r="V159" i="1"/>
  <c r="V160" i="1"/>
  <c r="V161" i="1"/>
  <c r="V162" i="1"/>
  <c r="L33" i="3"/>
  <c r="L30" i="3"/>
  <c r="L45" i="3"/>
  <c r="L42" i="3"/>
  <c r="L12" i="3"/>
  <c r="L18" i="3"/>
  <c r="L22" i="3"/>
  <c r="L43" i="3"/>
  <c r="L16" i="3"/>
  <c r="L44" i="3"/>
  <c r="L41" i="3"/>
  <c r="L13" i="3"/>
  <c r="L10" i="3"/>
  <c r="L27" i="3"/>
  <c r="L11" i="3"/>
  <c r="L37" i="3"/>
  <c r="L36" i="3"/>
  <c r="L31" i="3"/>
  <c r="L9" i="3"/>
  <c r="L7" i="3"/>
  <c r="L28" i="3"/>
  <c r="L35" i="3"/>
  <c r="L20" i="3"/>
  <c r="L21" i="3"/>
  <c r="L39" i="3"/>
  <c r="L47" i="3"/>
  <c r="L23" i="3"/>
  <c r="L25" i="3"/>
  <c r="L24" i="3"/>
  <c r="L34" i="3"/>
  <c r="L48" i="3"/>
  <c r="L40" i="3"/>
  <c r="L17" i="3"/>
  <c r="L46" i="3"/>
  <c r="L15" i="3"/>
  <c r="L38" i="3"/>
  <c r="L26" i="3"/>
  <c r="L32" i="3"/>
  <c r="AA147" i="1" l="1"/>
  <c r="W147" i="1" s="1"/>
  <c r="AA136" i="1"/>
  <c r="W136" i="1" s="1"/>
  <c r="AA135" i="1"/>
  <c r="W135" i="1" s="1"/>
  <c r="AA134" i="1"/>
  <c r="W134" i="1" s="1"/>
  <c r="AA133" i="1"/>
  <c r="W133" i="1" s="1"/>
  <c r="AA115" i="1"/>
  <c r="W115" i="1" s="1"/>
  <c r="AA110" i="1"/>
  <c r="W110" i="1" s="1"/>
  <c r="AA104" i="1"/>
  <c r="W104" i="1" s="1"/>
  <c r="AA94" i="1"/>
  <c r="W94" i="1" s="1"/>
  <c r="AA92" i="1"/>
  <c r="W92" i="1" s="1"/>
  <c r="AA82" i="1"/>
  <c r="W82" i="1" s="1"/>
  <c r="AA68" i="1"/>
  <c r="W68" i="1" s="1"/>
  <c r="AA47" i="1"/>
  <c r="W47" i="1" s="1"/>
  <c r="AA36" i="1"/>
  <c r="W36" i="1" s="1"/>
  <c r="AA153" i="1"/>
  <c r="W153" i="1" s="1"/>
  <c r="AA152" i="1"/>
  <c r="W152" i="1" s="1"/>
  <c r="AA141" i="1"/>
  <c r="W141" i="1" s="1"/>
  <c r="AA128" i="1"/>
  <c r="W128" i="1" s="1"/>
  <c r="U120" i="1"/>
  <c r="S120" i="1" s="1"/>
  <c r="AA113" i="1"/>
  <c r="W113" i="1" s="1"/>
  <c r="AA106" i="1"/>
  <c r="W106" i="1" s="1"/>
  <c r="AA97" i="1"/>
  <c r="W97" i="1" s="1"/>
  <c r="AA88" i="1"/>
  <c r="W88" i="1" s="1"/>
  <c r="AA73" i="1"/>
  <c r="W73" i="1" s="1"/>
  <c r="AA64" i="1"/>
  <c r="W64" i="1" s="1"/>
  <c r="AA57" i="1"/>
  <c r="W57" i="1" s="1"/>
  <c r="AA28" i="1"/>
  <c r="W28" i="1" s="1"/>
  <c r="AA114" i="1"/>
  <c r="W114" i="1" s="1"/>
  <c r="AA108" i="1"/>
  <c r="W108" i="1" s="1"/>
  <c r="AA81" i="1"/>
  <c r="W81" i="1" s="1"/>
  <c r="AA67" i="1"/>
  <c r="W67" i="1" s="1"/>
  <c r="AA66" i="1"/>
  <c r="W66" i="1" s="1"/>
  <c r="AA58" i="1"/>
  <c r="W58" i="1" s="1"/>
  <c r="AA51" i="1"/>
  <c r="W51" i="1" s="1"/>
  <c r="AA144" i="1"/>
  <c r="W144" i="1" s="1"/>
  <c r="AA143" i="1"/>
  <c r="W143" i="1" s="1"/>
  <c r="AA142" i="1"/>
  <c r="W142" i="1" s="1"/>
  <c r="AA131" i="1"/>
  <c r="W131" i="1" s="1"/>
  <c r="AA130" i="1"/>
  <c r="W130" i="1" s="1"/>
  <c r="AA129" i="1"/>
  <c r="W129" i="1" s="1"/>
  <c r="AA127" i="1"/>
  <c r="W127" i="1" s="1"/>
  <c r="AA126" i="1"/>
  <c r="W126" i="1" s="1"/>
  <c r="AA125" i="1"/>
  <c r="W125" i="1" s="1"/>
  <c r="AA105" i="1"/>
  <c r="W105" i="1" s="1"/>
  <c r="AA103" i="1"/>
  <c r="W103" i="1" s="1"/>
  <c r="AA90" i="1"/>
  <c r="W90" i="1" s="1"/>
  <c r="AA79" i="1"/>
  <c r="W79" i="1" s="1"/>
  <c r="AA76" i="1"/>
  <c r="W76" i="1" s="1"/>
  <c r="AA65" i="1"/>
  <c r="W65" i="1" s="1"/>
  <c r="AA52" i="1"/>
  <c r="W52" i="1" s="1"/>
  <c r="AA50" i="1"/>
  <c r="W50" i="1" s="1"/>
  <c r="AA40" i="1"/>
  <c r="W40" i="1" s="1"/>
  <c r="AA32" i="1"/>
  <c r="W32" i="1" s="1"/>
  <c r="AA24" i="1"/>
  <c r="W24" i="1" s="1"/>
  <c r="AA16" i="1"/>
  <c r="W16" i="1" s="1"/>
  <c r="U136" i="1"/>
  <c r="S136" i="1" s="1"/>
  <c r="AA120" i="1"/>
  <c r="W120" i="1" s="1"/>
  <c r="AA70" i="1"/>
  <c r="W70" i="1" s="1"/>
  <c r="AA43" i="1"/>
  <c r="W43" i="1" s="1"/>
  <c r="AA20" i="1"/>
  <c r="W20" i="1" s="1"/>
  <c r="U17" i="1"/>
  <c r="S17" i="1" s="1"/>
  <c r="AA151" i="1"/>
  <c r="W151" i="1" s="1"/>
  <c r="AA149" i="1"/>
  <c r="W149" i="1" s="1"/>
  <c r="U145" i="1"/>
  <c r="S145" i="1" s="1"/>
  <c r="U140" i="1"/>
  <c r="S140" i="1" s="1"/>
  <c r="AA96" i="1"/>
  <c r="W96" i="1" s="1"/>
  <c r="AA150" i="1"/>
  <c r="W150" i="1" s="1"/>
  <c r="U148" i="1"/>
  <c r="S148" i="1" s="1"/>
  <c r="U146" i="1"/>
  <c r="S146" i="1" s="1"/>
  <c r="AA123" i="1"/>
  <c r="W123" i="1" s="1"/>
  <c r="AA122" i="1"/>
  <c r="W122" i="1" s="1"/>
  <c r="AA121" i="1"/>
  <c r="W121" i="1" s="1"/>
  <c r="AA119" i="1"/>
  <c r="W119" i="1" s="1"/>
  <c r="AA118" i="1"/>
  <c r="W118" i="1" s="1"/>
  <c r="AA117" i="1"/>
  <c r="W117" i="1" s="1"/>
  <c r="U112" i="1"/>
  <c r="S112" i="1" s="1"/>
  <c r="U109" i="1"/>
  <c r="S109" i="1" s="1"/>
  <c r="AA100" i="1"/>
  <c r="W100" i="1" s="1"/>
  <c r="AA98" i="1"/>
  <c r="W98" i="1" s="1"/>
  <c r="AA89" i="1"/>
  <c r="W89" i="1" s="1"/>
  <c r="AA87" i="1"/>
  <c r="W87" i="1" s="1"/>
  <c r="AA86" i="1"/>
  <c r="W86" i="1" s="1"/>
  <c r="AA74" i="1"/>
  <c r="W74" i="1" s="1"/>
  <c r="AA63" i="1"/>
  <c r="W63" i="1" s="1"/>
  <c r="AA60" i="1"/>
  <c r="W60" i="1" s="1"/>
  <c r="AA59" i="1"/>
  <c r="W59" i="1" s="1"/>
  <c r="AA49" i="1"/>
  <c r="W49" i="1" s="1"/>
  <c r="AA48" i="1"/>
  <c r="W48" i="1" s="1"/>
  <c r="U116" i="1"/>
  <c r="S116" i="1" s="1"/>
  <c r="AA116" i="1"/>
  <c r="W116" i="1" s="1"/>
  <c r="U100" i="1"/>
  <c r="S100" i="1" s="1"/>
  <c r="U153" i="1"/>
  <c r="S153" i="1" s="1"/>
  <c r="U150" i="1"/>
  <c r="S150" i="1" s="1"/>
  <c r="U147" i="1"/>
  <c r="S147" i="1" s="1"/>
  <c r="U142" i="1"/>
  <c r="S142" i="1" s="1"/>
  <c r="U124" i="1"/>
  <c r="S124" i="1" s="1"/>
  <c r="AA124" i="1"/>
  <c r="W124" i="1" s="1"/>
  <c r="U52" i="1"/>
  <c r="S52" i="1" s="1"/>
  <c r="U152" i="1"/>
  <c r="S152" i="1" s="1"/>
  <c r="AA145" i="1"/>
  <c r="W145" i="1" s="1"/>
  <c r="U132" i="1"/>
  <c r="S132" i="1" s="1"/>
  <c r="AA132" i="1"/>
  <c r="W132" i="1" s="1"/>
  <c r="U68" i="1"/>
  <c r="S68" i="1" s="1"/>
  <c r="U107" i="1"/>
  <c r="S107" i="1" s="1"/>
  <c r="AA107" i="1"/>
  <c r="W107" i="1" s="1"/>
  <c r="U84" i="1"/>
  <c r="S84" i="1" s="1"/>
  <c r="U92" i="1"/>
  <c r="S92" i="1" s="1"/>
  <c r="U76" i="1"/>
  <c r="S76" i="1" s="1"/>
  <c r="U60" i="1"/>
  <c r="S60" i="1" s="1"/>
  <c r="U44" i="1"/>
  <c r="S44" i="1" s="1"/>
  <c r="U15" i="1"/>
  <c r="S15" i="1" s="1"/>
  <c r="U143" i="1"/>
  <c r="S143" i="1" s="1"/>
  <c r="U141" i="1"/>
  <c r="S141" i="1" s="1"/>
  <c r="U138" i="1"/>
  <c r="S138" i="1" s="1"/>
  <c r="U135" i="1"/>
  <c r="S135" i="1" s="1"/>
  <c r="U133" i="1"/>
  <c r="S133" i="1" s="1"/>
  <c r="U130" i="1"/>
  <c r="S130" i="1" s="1"/>
  <c r="U127" i="1"/>
  <c r="S127" i="1" s="1"/>
  <c r="U125" i="1"/>
  <c r="S125" i="1" s="1"/>
  <c r="U122" i="1"/>
  <c r="S122" i="1" s="1"/>
  <c r="U119" i="1"/>
  <c r="S119" i="1" s="1"/>
  <c r="U117" i="1"/>
  <c r="S117" i="1" s="1"/>
  <c r="U114" i="1"/>
  <c r="S114" i="1" s="1"/>
  <c r="U111" i="1"/>
  <c r="S111" i="1" s="1"/>
  <c r="U108" i="1"/>
  <c r="S108" i="1" s="1"/>
  <c r="AA101" i="1"/>
  <c r="W101" i="1" s="1"/>
  <c r="U96" i="1"/>
  <c r="S96" i="1" s="1"/>
  <c r="AA85" i="1"/>
  <c r="W85" i="1" s="1"/>
  <c r="U80" i="1"/>
  <c r="S80" i="1" s="1"/>
  <c r="AA69" i="1"/>
  <c r="W69" i="1" s="1"/>
  <c r="U64" i="1"/>
  <c r="S64" i="1" s="1"/>
  <c r="AA53" i="1"/>
  <c r="W53" i="1" s="1"/>
  <c r="U48" i="1"/>
  <c r="S48" i="1" s="1"/>
  <c r="U41" i="1"/>
  <c r="S41" i="1" s="1"/>
  <c r="U35" i="1"/>
  <c r="S35" i="1" s="1"/>
  <c r="U33" i="1"/>
  <c r="S33" i="1" s="1"/>
  <c r="U27" i="1"/>
  <c r="S27" i="1" s="1"/>
  <c r="U25" i="1"/>
  <c r="S25" i="1" s="1"/>
  <c r="U19" i="1"/>
  <c r="S19" i="1" s="1"/>
  <c r="U139" i="1"/>
  <c r="S139" i="1" s="1"/>
  <c r="U137" i="1"/>
  <c r="S137" i="1" s="1"/>
  <c r="U134" i="1"/>
  <c r="S134" i="1" s="1"/>
  <c r="U131" i="1"/>
  <c r="S131" i="1" s="1"/>
  <c r="U129" i="1"/>
  <c r="S129" i="1" s="1"/>
  <c r="U126" i="1"/>
  <c r="S126" i="1" s="1"/>
  <c r="U123" i="1"/>
  <c r="S123" i="1" s="1"/>
  <c r="U121" i="1"/>
  <c r="S121" i="1" s="1"/>
  <c r="U118" i="1"/>
  <c r="S118" i="1" s="1"/>
  <c r="U115" i="1"/>
  <c r="U113" i="1"/>
  <c r="S113" i="1" s="1"/>
  <c r="U110" i="1"/>
  <c r="S110" i="1" s="1"/>
  <c r="U104" i="1"/>
  <c r="S104" i="1" s="1"/>
  <c r="AA93" i="1"/>
  <c r="W93" i="1" s="1"/>
  <c r="U88" i="1"/>
  <c r="AA77" i="1"/>
  <c r="W77" i="1" s="1"/>
  <c r="U72" i="1"/>
  <c r="S72" i="1" s="1"/>
  <c r="AA61" i="1"/>
  <c r="W61" i="1" s="1"/>
  <c r="U56" i="1"/>
  <c r="S56" i="1" s="1"/>
  <c r="AA45" i="1"/>
  <c r="W45" i="1" s="1"/>
  <c r="U39" i="1"/>
  <c r="S39" i="1" s="1"/>
  <c r="U37" i="1"/>
  <c r="S37" i="1" s="1"/>
  <c r="U31" i="1"/>
  <c r="S31" i="1" s="1"/>
  <c r="U29" i="1"/>
  <c r="S29" i="1" s="1"/>
  <c r="U23" i="1"/>
  <c r="S23" i="1" s="1"/>
  <c r="U21" i="1"/>
  <c r="S21" i="1" s="1"/>
  <c r="U77" i="1"/>
  <c r="S77" i="1" s="1"/>
  <c r="U73" i="1"/>
  <c r="S73" i="1" s="1"/>
  <c r="U69" i="1"/>
  <c r="S69" i="1" s="1"/>
  <c r="U65" i="1"/>
  <c r="S65" i="1" s="1"/>
  <c r="U53" i="1"/>
  <c r="S53" i="1" s="1"/>
  <c r="U45" i="1"/>
  <c r="S45" i="1" s="1"/>
  <c r="U102" i="1"/>
  <c r="S102" i="1" s="1"/>
  <c r="U98" i="1"/>
  <c r="S98" i="1" s="1"/>
  <c r="U94" i="1"/>
  <c r="S94" i="1" s="1"/>
  <c r="U90" i="1"/>
  <c r="S90" i="1" s="1"/>
  <c r="U86" i="1"/>
  <c r="S86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6" i="1"/>
  <c r="S46" i="1" s="1"/>
  <c r="U105" i="1"/>
  <c r="S105" i="1" s="1"/>
  <c r="U101" i="1"/>
  <c r="S101" i="1" s="1"/>
  <c r="U97" i="1"/>
  <c r="S97" i="1" s="1"/>
  <c r="U93" i="1"/>
  <c r="S93" i="1" s="1"/>
  <c r="U89" i="1"/>
  <c r="U85" i="1"/>
  <c r="S85" i="1" s="1"/>
  <c r="U81" i="1"/>
  <c r="S81" i="1" s="1"/>
  <c r="U61" i="1"/>
  <c r="S61" i="1" s="1"/>
  <c r="U57" i="1"/>
  <c r="S57" i="1" s="1"/>
  <c r="U49" i="1"/>
  <c r="S49" i="1" s="1"/>
  <c r="U106" i="1"/>
  <c r="S106" i="1" s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U47" i="1"/>
  <c r="S47" i="1" s="1"/>
  <c r="U43" i="1"/>
  <c r="S43" i="1" s="1"/>
  <c r="U42" i="1"/>
  <c r="S42" i="1" s="1"/>
  <c r="AA41" i="1"/>
  <c r="W41" i="1" s="1"/>
  <c r="U40" i="1"/>
  <c r="S40" i="1" s="1"/>
  <c r="U38" i="1"/>
  <c r="S38" i="1" s="1"/>
  <c r="AA37" i="1"/>
  <c r="W37" i="1" s="1"/>
  <c r="U36" i="1"/>
  <c r="S36" i="1" s="1"/>
  <c r="U34" i="1"/>
  <c r="S34" i="1" s="1"/>
  <c r="AA33" i="1"/>
  <c r="W33" i="1" s="1"/>
  <c r="U32" i="1"/>
  <c r="S32" i="1" s="1"/>
  <c r="U30" i="1"/>
  <c r="S30" i="1" s="1"/>
  <c r="AA29" i="1"/>
  <c r="W29" i="1" s="1"/>
  <c r="U28" i="1"/>
  <c r="S28" i="1" s="1"/>
  <c r="U26" i="1"/>
  <c r="S26" i="1" s="1"/>
  <c r="AA25" i="1"/>
  <c r="W25" i="1" s="1"/>
  <c r="U24" i="1"/>
  <c r="S24" i="1" s="1"/>
  <c r="U22" i="1"/>
  <c r="S22" i="1" s="1"/>
  <c r="AA21" i="1"/>
  <c r="W21" i="1" s="1"/>
  <c r="U20" i="1"/>
  <c r="S20" i="1" s="1"/>
  <c r="U18" i="1"/>
  <c r="S18" i="1" s="1"/>
  <c r="AA17" i="1"/>
  <c r="W17" i="1" s="1"/>
  <c r="U16" i="1"/>
  <c r="S16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AA15" i="1"/>
  <c r="W15" i="1" s="1"/>
  <c r="AA42" i="1"/>
  <c r="W42" i="1" s="1"/>
  <c r="AA38" i="1"/>
  <c r="W38" i="1" s="1"/>
  <c r="AA34" i="1"/>
  <c r="W34" i="1" s="1"/>
  <c r="AA30" i="1"/>
  <c r="W30" i="1" s="1"/>
  <c r="AA26" i="1"/>
  <c r="W26" i="1" s="1"/>
  <c r="AA22" i="1"/>
  <c r="W22" i="1" s="1"/>
  <c r="AA18" i="1"/>
  <c r="W18" i="1" s="1"/>
  <c r="S34" i="3"/>
  <c r="S80" i="3"/>
  <c r="S30" i="3"/>
  <c r="S45" i="3"/>
  <c r="S88" i="3"/>
  <c r="S42" i="3"/>
  <c r="S67" i="3"/>
  <c r="S68" i="3"/>
  <c r="S38" i="3"/>
  <c r="S97" i="3"/>
  <c r="S90" i="3"/>
  <c r="S91" i="3"/>
  <c r="S35" i="3"/>
  <c r="S23" i="3"/>
  <c r="S103" i="3"/>
  <c r="S17" i="3"/>
  <c r="S77" i="3"/>
  <c r="S105" i="3"/>
  <c r="S95" i="3"/>
  <c r="S85" i="3"/>
  <c r="S44" i="3"/>
  <c r="S46" i="3"/>
  <c r="S22" i="3"/>
  <c r="S27" i="3"/>
  <c r="S32" i="3"/>
  <c r="S15" i="3"/>
  <c r="S58" i="3"/>
  <c r="S11" i="3"/>
  <c r="S36" i="3"/>
  <c r="S37" i="3"/>
  <c r="S60" i="3"/>
  <c r="S75" i="3"/>
  <c r="S49" i="3"/>
  <c r="S31" i="3"/>
  <c r="S9" i="3"/>
  <c r="S81" i="3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AD158" i="1"/>
  <c r="S88" i="1" l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S54" i="3" l="1"/>
  <c r="S55" i="3"/>
  <c r="S53" i="3"/>
  <c r="S94" i="3"/>
  <c r="S100" i="3"/>
  <c r="S82" i="3"/>
  <c r="S28" i="3"/>
  <c r="S47" i="3"/>
  <c r="S83" i="3"/>
  <c r="K159" i="1" l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S51" i="3" l="1"/>
  <c r="S87" i="3"/>
  <c r="S41" i="3"/>
  <c r="S84" i="3"/>
  <c r="S73" i="3"/>
  <c r="S62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24" i="3" l="1"/>
  <c r="S59" i="3"/>
  <c r="S52" i="3"/>
  <c r="S79" i="3"/>
  <c r="S102" i="3"/>
  <c r="S99" i="3"/>
  <c r="S89" i="3"/>
  <c r="S104" i="3"/>
  <c r="S18" i="3"/>
  <c r="S39" i="3"/>
  <c r="S78" i="3"/>
  <c r="S10" i="3"/>
  <c r="S61" i="3"/>
  <c r="S56" i="3"/>
  <c r="S57" i="3"/>
  <c r="S26" i="3"/>
  <c r="S48" i="3"/>
  <c r="S33" i="3"/>
  <c r="S13" i="3"/>
  <c r="S16" i="3"/>
  <c r="S101" i="3"/>
  <c r="S72" i="3"/>
  <c r="S12" i="3"/>
  <c r="S98" i="3"/>
  <c r="S20" i="3"/>
  <c r="S40" i="3"/>
  <c r="S21" i="3"/>
  <c r="S43" i="3"/>
  <c r="S96" i="3"/>
  <c r="S76" i="3"/>
  <c r="S25" i="3"/>
  <c r="S50" i="3"/>
  <c r="S86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<sst xmlns="http://schemas.openxmlformats.org/spreadsheetml/2006/main" count="2613" uniqueCount="758">
  <si>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</si>
  <si>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</si>
  <si>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</si>
  <si>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</si>
  <si>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</si>
  <si>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</si>
  <si>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</si>
  <si>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</si>
  <si>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</si>
  <si>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</si>
  <si>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</si>
  <si>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</si>
  <si>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</si>
  <si>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</si>
  <si>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</si>
  <si>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</si>
  <si>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</si>
  <si>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</si>
  <si>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</si>
  <si>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</si>
  <si>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</si>
  <si>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</si>
  <si>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</si>
  <si>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</si>
  <si>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</si>
  <si>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</si>
  <si>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</si>
  <si>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</si>
  <si>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</si>
  <si>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</si>
  <si>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</si>
  <si>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</si>
  <si>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</si>
  <si>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</si>
  <si>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</si>
  <si>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</si>
  <si>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</si>
  <si>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</si>
  <si>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</si>
  <si>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</si>
  <si>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</si>
  <si>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</si>
  <si>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</si>
  <si>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</si>
  <si>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</si>
  <si>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</si>
  <si>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</si>
  <si>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</si>
  <si>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</si>
  <si>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</si>
  <si>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</si>
  <si>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</si>
  <si>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</si>
  <si>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</si>
  <si>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</si>
  <si>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</si>
  <si>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</si>
  <si>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</si>
  <si>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</si>
  <si>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</si>
  <si>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</si>
  <si>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</si>
  <si>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</si>
  <si>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</si>
  <si>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</si>
  <si>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</si>
  <si>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</si>
  <si>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</si>
  <si>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</si>
  <si>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</si>
  <si>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</si>
  <si>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</si>
  <si>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</si>
  <si>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</si>
  <si>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</si>
  <si>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</si>
  <si>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</si>
  <si>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</si>
  <si>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</si>
  <si>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</si>
  <si>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</si>
  <si>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</si>
  <si>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</si>
  <si>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</si>
  <si>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</si>
  <si>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</si>
  <si>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</si>
  <si>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</si>
  <si>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</si>
  <si>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</si>
  <si>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</si>
  <si>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</si>
  <si>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</si>
  <si>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</si>
  <si>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</si>
  <si>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</si>
  <si>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</si>
  <si>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</si>
  <si>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</si>
  <si>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</si>
  <si>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</si>
  <si>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</si>
  <si>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</si>
  <si>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</si>
  <si>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</si>
  <si>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</si>
  <si>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</si>
  <si>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</si>
  <si>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</si>
  <si>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</si>
  <si>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</si>
  <si>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</si>
  <si>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</si>
  <si>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</si>
  <si>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</si>
  <si>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</si>
  <si>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</si>
  <si>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</si>
  <si>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</si>
  <si>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</si>
  <si>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</si>
  <si>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</si>
  <si>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</si>
  <si>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</si>
  <si>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</si>
  <si>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</si>
  <si>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</si>
  <si>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</si>
  <si>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</si>
  <si>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</si>
  <si>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</si>
  <si>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</si>
  <si>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</si>
  <si>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</si>
  <si>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</si>
  <si>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</si>
  <si>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</si>
  <si>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</si>
  <si>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</si>
  <si>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</si>
  <si>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</si>
  <si>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</si>
  <si>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</si>
  <si>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</si>
  <si>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</si>
  <si>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Wi-MAX outage</t>
  </si>
  <si>
    <t>204:232978</t>
  </si>
  <si>
    <t>204:233004</t>
  </si>
  <si>
    <t>YORK</t>
  </si>
  <si>
    <t>STEWART</t>
  </si>
  <si>
    <t>MAYBERRY</t>
  </si>
  <si>
    <t>BEAM</t>
  </si>
  <si>
    <t>204:233301</t>
  </si>
  <si>
    <t>BRUDER</t>
  </si>
  <si>
    <t>204:455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</si>
  <si>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</si>
  <si>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</si>
  <si>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</si>
  <si>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</si>
  <si>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</si>
  <si>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</si>
  <si>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</si>
  <si>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</si>
  <si>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</si>
  <si>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</si>
  <si>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</si>
  <si>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</si>
  <si>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STRICKLAND</t>
  </si>
  <si>
    <t>BONDS</t>
  </si>
  <si>
    <t>DE LA ROSA</t>
  </si>
  <si>
    <t>rtdc.l.rtdc.4040:itc</t>
  </si>
  <si>
    <t>204:233286</t>
  </si>
  <si>
    <t>204:232973</t>
  </si>
  <si>
    <t>204:232987</t>
  </si>
  <si>
    <t>204:233000</t>
  </si>
  <si>
    <t>300:58922</t>
  </si>
  <si>
    <t>204:141</t>
  </si>
  <si>
    <t>204:469</t>
  </si>
  <si>
    <t>Trip Number Sortable</t>
  </si>
  <si>
    <t>204:233302</t>
  </si>
  <si>
    <t>204:233306</t>
  </si>
  <si>
    <t>204:449</t>
  </si>
  <si>
    <t>204:475</t>
  </si>
  <si>
    <t>204:161</t>
  </si>
  <si>
    <t>204:435</t>
  </si>
  <si>
    <t>204:233300</t>
  </si>
  <si>
    <t>1826-03</t>
  </si>
  <si>
    <t>1830-03</t>
  </si>
  <si>
    <t>1832-03</t>
  </si>
  <si>
    <t>190-03</t>
  </si>
  <si>
    <t>204:233307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</si>
  <si>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</si>
  <si>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</si>
  <si>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</si>
  <si>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</si>
  <si>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</si>
  <si>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</si>
  <si>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</si>
  <si>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</si>
  <si>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</si>
  <si>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</si>
  <si>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</si>
  <si>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</si>
  <si>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YANAI</t>
  </si>
  <si>
    <t>NEWELL</t>
  </si>
  <si>
    <t>LOZA</t>
  </si>
  <si>
    <t>COOLAHAN</t>
  </si>
  <si>
    <t>152-04</t>
  </si>
  <si>
    <t>128-04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</si>
  <si>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</si>
  <si>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</si>
  <si>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</si>
  <si>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</si>
  <si>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</si>
  <si>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</si>
  <si>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</si>
  <si>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</si>
  <si>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</si>
  <si>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</si>
  <si>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</si>
  <si>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204:165</t>
  </si>
  <si>
    <t>204:458</t>
  </si>
  <si>
    <t>204:232984</t>
  </si>
  <si>
    <t>204:233006</t>
  </si>
  <si>
    <t>204:232963</t>
  </si>
  <si>
    <t>204:462</t>
  </si>
  <si>
    <t>204:233015</t>
  </si>
  <si>
    <t>204:233323</t>
  </si>
  <si>
    <t>204:232982</t>
  </si>
  <si>
    <t>204:233299</t>
  </si>
  <si>
    <t>300:58596</t>
  </si>
  <si>
    <t>204:930</t>
  </si>
  <si>
    <t>204:918</t>
  </si>
  <si>
    <t>300:58924</t>
  </si>
  <si>
    <t>300:58598</t>
  </si>
  <si>
    <t>204:617</t>
  </si>
  <si>
    <t>841-05</t>
  </si>
  <si>
    <t>222-05</t>
  </si>
  <si>
    <t>843-05</t>
  </si>
  <si>
    <t>224-05</t>
  </si>
  <si>
    <t>225-05</t>
  </si>
  <si>
    <t>226-05</t>
  </si>
  <si>
    <t>847-05</t>
  </si>
  <si>
    <t>242-05</t>
  </si>
  <si>
    <t>240-05</t>
  </si>
  <si>
    <t>227-05</t>
  </si>
  <si>
    <t>SHOOK</t>
  </si>
  <si>
    <t>LEVERE</t>
  </si>
  <si>
    <t>228-05</t>
  </si>
  <si>
    <t>844-05</t>
  </si>
  <si>
    <t>SUR</t>
  </si>
  <si>
    <t>235-05</t>
  </si>
  <si>
    <t>241-05</t>
  </si>
  <si>
    <t>NATION</t>
  </si>
  <si>
    <t>STORY</t>
  </si>
  <si>
    <t>KILLION</t>
  </si>
  <si>
    <t>906-05</t>
  </si>
  <si>
    <t>842-05</t>
  </si>
  <si>
    <t>STAMBAUGH</t>
  </si>
  <si>
    <t>234-05</t>
  </si>
  <si>
    <t>rtdc.l.rtdc.4005:itc</t>
  </si>
  <si>
    <t>PTC Test Train</t>
  </si>
  <si>
    <t>Coats</t>
  </si>
  <si>
    <t>STARKS</t>
  </si>
  <si>
    <t>220-05</t>
  </si>
  <si>
    <t>103-06</t>
  </si>
  <si>
    <t>229-05</t>
  </si>
  <si>
    <t>243-05</t>
  </si>
  <si>
    <t>238-05</t>
  </si>
  <si>
    <t>101-06</t>
  </si>
  <si>
    <t>231-05</t>
  </si>
  <si>
    <t>236-05</t>
  </si>
  <si>
    <t>840-05</t>
  </si>
  <si>
    <t>230-05</t>
  </si>
  <si>
    <t>223-05</t>
  </si>
  <si>
    <t>845-05</t>
  </si>
  <si>
    <t>244-05</t>
  </si>
  <si>
    <t>232-05</t>
  </si>
  <si>
    <t>239-05</t>
  </si>
  <si>
    <t>233-05</t>
  </si>
  <si>
    <t>908-05</t>
  </si>
  <si>
    <t>237-05</t>
  </si>
  <si>
    <t>204:440</t>
  </si>
  <si>
    <t>204:232988</t>
  </si>
  <si>
    <t>204:232993</t>
  </si>
  <si>
    <t>204:233283</t>
  </si>
  <si>
    <t>204:232989</t>
  </si>
  <si>
    <t>204:139</t>
  </si>
  <si>
    <t>204:233317</t>
  </si>
  <si>
    <t>204:437</t>
  </si>
  <si>
    <t>204:233312</t>
  </si>
  <si>
    <t>204:233315</t>
  </si>
  <si>
    <t>204:232976</t>
  </si>
  <si>
    <t>204:482</t>
  </si>
  <si>
    <t>204:438</t>
  </si>
  <si>
    <t>204:233276</t>
  </si>
  <si>
    <t>204:176</t>
  </si>
  <si>
    <t>204:233305</t>
  </si>
  <si>
    <t>204:233285</t>
  </si>
  <si>
    <t>204:233272</t>
  </si>
  <si>
    <t>204:232971</t>
  </si>
  <si>
    <t>204:233297</t>
  </si>
  <si>
    <t>204:233280</t>
  </si>
  <si>
    <t>204:369</t>
  </si>
  <si>
    <t>204:200</t>
  </si>
  <si>
    <t>204:233318</t>
  </si>
  <si>
    <t>204:174</t>
  </si>
  <si>
    <t>204:181</t>
  </si>
  <si>
    <t>300:58944</t>
  </si>
  <si>
    <t>300:58912</t>
  </si>
  <si>
    <t>300:58591</t>
  </si>
  <si>
    <t>300:58600</t>
  </si>
  <si>
    <t>204:643</t>
  </si>
  <si>
    <t>204:706</t>
  </si>
  <si>
    <t>300:58640</t>
  </si>
  <si>
    <t>300:58632</t>
  </si>
  <si>
    <t>204:703</t>
  </si>
  <si>
    <t>300:58679</t>
  </si>
  <si>
    <t>204:668</t>
  </si>
  <si>
    <t>300:58975</t>
  </si>
  <si>
    <t>901-06</t>
  </si>
  <si>
    <t>104-06</t>
  </si>
  <si>
    <t>111-06</t>
  </si>
  <si>
    <t>110-06</t>
  </si>
  <si>
    <t>801-06</t>
  </si>
  <si>
    <t>803-06</t>
  </si>
  <si>
    <t>UNHEALTHY CROSSING</t>
  </si>
  <si>
    <t>Other (9)</t>
  </si>
  <si>
    <t>114-06</t>
  </si>
  <si>
    <t>123-06</t>
  </si>
  <si>
    <t>118-06</t>
  </si>
  <si>
    <t>125-06</t>
  </si>
  <si>
    <t>807-06</t>
  </si>
  <si>
    <t>122-06</t>
  </si>
  <si>
    <t>129-06</t>
  </si>
  <si>
    <t>809-06</t>
  </si>
  <si>
    <t>126-06</t>
  </si>
  <si>
    <t>811-06</t>
  </si>
  <si>
    <t>812-06</t>
  </si>
  <si>
    <t>137-06</t>
  </si>
  <si>
    <t>139-06</t>
  </si>
  <si>
    <t>134-06</t>
  </si>
  <si>
    <t>813-06</t>
  </si>
  <si>
    <t>151-06</t>
  </si>
  <si>
    <t>815-06</t>
  </si>
  <si>
    <t>155-06</t>
  </si>
  <si>
    <t>152-06</t>
  </si>
  <si>
    <t>148-06</t>
  </si>
  <si>
    <t>817-06</t>
  </si>
  <si>
    <t>154-06</t>
  </si>
  <si>
    <t>818-06</t>
  </si>
  <si>
    <t>819-06</t>
  </si>
  <si>
    <t>166-06</t>
  </si>
  <si>
    <t>162-06</t>
  </si>
  <si>
    <t>173-06</t>
  </si>
  <si>
    <t>177-06</t>
  </si>
  <si>
    <t>821-06</t>
  </si>
  <si>
    <t>175-06</t>
  </si>
  <si>
    <t>823-06</t>
  </si>
  <si>
    <t>185-06</t>
  </si>
  <si>
    <t>824-06</t>
  </si>
  <si>
    <t>186-06</t>
  </si>
  <si>
    <t>189-06</t>
  </si>
  <si>
    <t>188-06</t>
  </si>
  <si>
    <t>825-06</t>
  </si>
  <si>
    <t>184-06</t>
  </si>
  <si>
    <t>826-06</t>
  </si>
  <si>
    <t>195-06</t>
  </si>
  <si>
    <t>827-06</t>
  </si>
  <si>
    <t>828-06</t>
  </si>
  <si>
    <t>829-06</t>
  </si>
  <si>
    <t>194-06</t>
  </si>
  <si>
    <t>830-06</t>
  </si>
  <si>
    <t>200-06</t>
  </si>
  <si>
    <t>202-06</t>
  </si>
  <si>
    <t>835-06</t>
  </si>
  <si>
    <t>211-06</t>
  </si>
  <si>
    <t>210-06</t>
  </si>
  <si>
    <t>217-06</t>
  </si>
  <si>
    <t>837-06</t>
  </si>
  <si>
    <t>839-06</t>
  </si>
  <si>
    <t>212-06</t>
  </si>
  <si>
    <t>906-06</t>
  </si>
  <si>
    <t>216-06</t>
  </si>
  <si>
    <t>840-06</t>
  </si>
  <si>
    <t>225-06</t>
  </si>
  <si>
    <t>843-06</t>
  </si>
  <si>
    <t>842-06</t>
  </si>
  <si>
    <t>224-06</t>
  </si>
  <si>
    <t>227-06</t>
  </si>
  <si>
    <t>844-06</t>
  </si>
  <si>
    <t>231-06</t>
  </si>
  <si>
    <t>847-06</t>
  </si>
  <si>
    <t>232-06</t>
  </si>
  <si>
    <t>233-06</t>
  </si>
  <si>
    <t>242-06</t>
  </si>
  <si>
    <t>Mismatched CRC</t>
  </si>
  <si>
    <t>117-06</t>
  </si>
  <si>
    <t>805-07</t>
  </si>
  <si>
    <t>187-06</t>
  </si>
  <si>
    <t>221-06</t>
  </si>
  <si>
    <t>115-07</t>
  </si>
  <si>
    <t>193-06</t>
  </si>
  <si>
    <t>113-06</t>
  </si>
  <si>
    <t>203-06</t>
  </si>
  <si>
    <t>838-06</t>
  </si>
  <si>
    <t>145-06</t>
  </si>
  <si>
    <t>244-06</t>
  </si>
  <si>
    <t>201-06</t>
  </si>
  <si>
    <t>169-06</t>
  </si>
  <si>
    <t>220-06</t>
  </si>
  <si>
    <t>MOSES</t>
  </si>
  <si>
    <t>112-07</t>
  </si>
  <si>
    <t>183-06</t>
  </si>
  <si>
    <t>223-06</t>
  </si>
  <si>
    <t>157-06</t>
  </si>
  <si>
    <t>SANTIZO</t>
  </si>
  <si>
    <t>226-06</t>
  </si>
  <si>
    <t>153-06</t>
  </si>
  <si>
    <t>243-06</t>
  </si>
  <si>
    <t>806-06</t>
  </si>
  <si>
    <t>108-07</t>
  </si>
  <si>
    <t>108-06</t>
  </si>
  <si>
    <t>MAELZER</t>
  </si>
  <si>
    <t>800-07</t>
  </si>
  <si>
    <t>801-07</t>
  </si>
  <si>
    <t>123-07</t>
  </si>
  <si>
    <t>116-07</t>
  </si>
  <si>
    <t>120-06</t>
  </si>
  <si>
    <t>192-06</t>
  </si>
  <si>
    <t>121-06</t>
  </si>
  <si>
    <t>816-06</t>
  </si>
  <si>
    <t>814-06</t>
  </si>
  <si>
    <t>147-06</t>
  </si>
  <si>
    <t>102-06</t>
  </si>
  <si>
    <t>119-06</t>
  </si>
  <si>
    <t>179-06</t>
  </si>
  <si>
    <t>802-06</t>
  </si>
  <si>
    <t>204-06</t>
  </si>
  <si>
    <t>806-07</t>
  </si>
  <si>
    <t>105-06</t>
  </si>
  <si>
    <t>229-06</t>
  </si>
  <si>
    <t>239-06</t>
  </si>
  <si>
    <t>DAVIS</t>
  </si>
  <si>
    <t>234-06</t>
  </si>
  <si>
    <t>127-06</t>
  </si>
  <si>
    <t>218-06</t>
  </si>
  <si>
    <t>176-06</t>
  </si>
  <si>
    <t>BRANNON</t>
  </si>
  <si>
    <t>238-06</t>
  </si>
  <si>
    <t>197-06</t>
  </si>
  <si>
    <t>206-06</t>
  </si>
  <si>
    <t>190-06</t>
  </si>
  <si>
    <t>822-06</t>
  </si>
  <si>
    <t>165-06</t>
  </si>
  <si>
    <t>101-07</t>
  </si>
  <si>
    <t>198-06</t>
  </si>
  <si>
    <t>831-06</t>
  </si>
  <si>
    <t>213-06</t>
  </si>
  <si>
    <t>836-06</t>
  </si>
  <si>
    <t>196-06</t>
  </si>
  <si>
    <t>235-06</t>
  </si>
  <si>
    <t>144-06</t>
  </si>
  <si>
    <t>171-06</t>
  </si>
  <si>
    <t>181-06</t>
  </si>
  <si>
    <t>207-06</t>
  </si>
  <si>
    <t>214-06</t>
  </si>
  <si>
    <t>112-06</t>
  </si>
  <si>
    <t>122-07</t>
  </si>
  <si>
    <t>120-07</t>
  </si>
  <si>
    <t>199-06</t>
  </si>
  <si>
    <t>111-07</t>
  </si>
  <si>
    <t>901-07</t>
  </si>
  <si>
    <t>103-07</t>
  </si>
  <si>
    <t>130-06</t>
  </si>
  <si>
    <t>240-06</t>
  </si>
  <si>
    <t>143-06</t>
  </si>
  <si>
    <t>237-06</t>
  </si>
  <si>
    <t>161-06</t>
  </si>
  <si>
    <t>156-06</t>
  </si>
  <si>
    <t>832-06</t>
  </si>
  <si>
    <t>160-06</t>
  </si>
  <si>
    <t>135-06</t>
  </si>
  <si>
    <t>172-06</t>
  </si>
  <si>
    <t>131-06</t>
  </si>
  <si>
    <t>132-06</t>
  </si>
  <si>
    <t>903-06</t>
  </si>
  <si>
    <t>141-06</t>
  </si>
  <si>
    <t>128-06</t>
  </si>
  <si>
    <t>219-06</t>
  </si>
  <si>
    <t>121-07</t>
  </si>
  <si>
    <t>107-06</t>
  </si>
  <si>
    <t>125-07</t>
  </si>
  <si>
    <t>241-06</t>
  </si>
  <si>
    <t>102-07</t>
  </si>
  <si>
    <t>810-06</t>
  </si>
  <si>
    <t>105-07</t>
  </si>
  <si>
    <t>117-07</t>
  </si>
  <si>
    <t>804-07</t>
  </si>
  <si>
    <t>222-06</t>
  </si>
  <si>
    <t>rtdc.l.rtdc.4006:itc</t>
  </si>
  <si>
    <t>208-06</t>
  </si>
  <si>
    <t>142-06</t>
  </si>
  <si>
    <t>119-07</t>
  </si>
  <si>
    <t>149-06</t>
  </si>
  <si>
    <t>113-07</t>
  </si>
  <si>
    <t>106-07</t>
  </si>
  <si>
    <t>104-07</t>
  </si>
  <si>
    <t>109-06</t>
  </si>
  <si>
    <t>106-06</t>
  </si>
  <si>
    <t>174-06</t>
  </si>
  <si>
    <t>800-06</t>
  </si>
  <si>
    <t>164-06</t>
  </si>
  <si>
    <t>116-06</t>
  </si>
  <si>
    <t>808-06</t>
  </si>
  <si>
    <t>167-06</t>
  </si>
  <si>
    <t>CUSHING</t>
  </si>
  <si>
    <t>110-07</t>
  </si>
  <si>
    <t>805-06</t>
  </si>
  <si>
    <t>124-06</t>
  </si>
  <si>
    <t>140-06</t>
  </si>
  <si>
    <t>168-06</t>
  </si>
  <si>
    <t>180-06</t>
  </si>
  <si>
    <t>804-06</t>
  </si>
  <si>
    <t>BONDS-06</t>
  </si>
  <si>
    <t>133-06</t>
  </si>
  <si>
    <t>107-07</t>
  </si>
  <si>
    <t>178-06</t>
  </si>
  <si>
    <t>236-06</t>
  </si>
  <si>
    <t>209-06</t>
  </si>
  <si>
    <t>205-06</t>
  </si>
  <si>
    <t>182-06</t>
  </si>
  <si>
    <t>118-07</t>
  </si>
  <si>
    <t>228-06</t>
  </si>
  <si>
    <t>138-06</t>
  </si>
  <si>
    <t>820-06</t>
  </si>
  <si>
    <t>802-07</t>
  </si>
  <si>
    <t>159-06</t>
  </si>
  <si>
    <t>109-07</t>
  </si>
  <si>
    <t>158-06</t>
  </si>
  <si>
    <t>163-06</t>
  </si>
  <si>
    <t>170-06</t>
  </si>
  <si>
    <t>150-06</t>
  </si>
  <si>
    <t>803-07</t>
  </si>
  <si>
    <t>908-06</t>
  </si>
  <si>
    <t>191-06</t>
  </si>
  <si>
    <t>127-07</t>
  </si>
  <si>
    <t>833-06</t>
  </si>
  <si>
    <t>834-06</t>
  </si>
  <si>
    <t>136-06</t>
  </si>
  <si>
    <t>841-06</t>
  </si>
  <si>
    <t>115-06</t>
  </si>
  <si>
    <t>114-07</t>
  </si>
  <si>
    <t>845-06</t>
  </si>
  <si>
    <t>230-06</t>
  </si>
  <si>
    <t>215-06</t>
  </si>
  <si>
    <t>204:232614</t>
  </si>
  <si>
    <t>204:735</t>
  </si>
  <si>
    <t>204:232652</t>
  </si>
  <si>
    <t>204:232641</t>
  </si>
  <si>
    <t>204:118</t>
  </si>
  <si>
    <t>204:227470</t>
  </si>
  <si>
    <t>204:232981</t>
  </si>
  <si>
    <t>204:484</t>
  </si>
  <si>
    <t>204:129</t>
  </si>
  <si>
    <t>204:719</t>
  </si>
  <si>
    <t>204:232991</t>
  </si>
  <si>
    <t>204:865</t>
  </si>
  <si>
    <t>204:228087</t>
  </si>
  <si>
    <t>204:232979</t>
  </si>
  <si>
    <t>204:18773</t>
  </si>
  <si>
    <t>204:564</t>
  </si>
  <si>
    <t>204:232965</t>
  </si>
  <si>
    <t>204:340</t>
  </si>
  <si>
    <t>204:728</t>
  </si>
  <si>
    <t>204:360</t>
  </si>
  <si>
    <t>204:233331</t>
  </si>
  <si>
    <t>204:233013</t>
  </si>
  <si>
    <t>204:333</t>
  </si>
  <si>
    <t>204:493</t>
  </si>
  <si>
    <t>204:232953</t>
  </si>
  <si>
    <t>204:1498</t>
  </si>
  <si>
    <t>204:329</t>
  </si>
  <si>
    <t>204:646</t>
  </si>
  <si>
    <t>204:232960</t>
  </si>
  <si>
    <t>204:232959</t>
  </si>
  <si>
    <t>204:351</t>
  </si>
  <si>
    <t>204:233319</t>
  </si>
  <si>
    <t>204:424</t>
  </si>
  <si>
    <t>204:650</t>
  </si>
  <si>
    <t>204:233191</t>
  </si>
  <si>
    <t>204:232864</t>
  </si>
  <si>
    <t>204:8329</t>
  </si>
  <si>
    <t>204:639</t>
  </si>
  <si>
    <t>204:233304</t>
  </si>
  <si>
    <t>204:644</t>
  </si>
  <si>
    <t>204:232983</t>
  </si>
  <si>
    <t>204:187</t>
  </si>
  <si>
    <t>204:233310</t>
  </si>
  <si>
    <t>204:232996</t>
  </si>
  <si>
    <t>204:106654</t>
  </si>
  <si>
    <t>204:652</t>
  </si>
  <si>
    <t>204:232986</t>
  </si>
  <si>
    <t>204:648</t>
  </si>
  <si>
    <t>204:163</t>
  </si>
  <si>
    <t>204:504</t>
  </si>
  <si>
    <t>204:180</t>
  </si>
  <si>
    <t>204:130</t>
  </si>
  <si>
    <t>204:1507</t>
  </si>
  <si>
    <t>204:128257</t>
  </si>
  <si>
    <t>204:467</t>
  </si>
  <si>
    <t>204:480</t>
  </si>
  <si>
    <t>204:233257</t>
  </si>
  <si>
    <t>204:232945</t>
  </si>
  <si>
    <t>204:84208</t>
  </si>
  <si>
    <t>204:86374</t>
  </si>
  <si>
    <t>204:232950</t>
  </si>
  <si>
    <t>204:471</t>
  </si>
  <si>
    <t>204:498</t>
  </si>
  <si>
    <t>204:201</t>
  </si>
  <si>
    <t>204:134</t>
  </si>
  <si>
    <t>204:233361</t>
  </si>
  <si>
    <t>204:233068</t>
  </si>
  <si>
    <t>204:169</t>
  </si>
  <si>
    <t>204:478</t>
  </si>
  <si>
    <t>204:233320</t>
  </si>
  <si>
    <t>204:233007</t>
  </si>
  <si>
    <t>204:64069</t>
  </si>
  <si>
    <t>204:232883</t>
  </si>
  <si>
    <t>204:553</t>
  </si>
  <si>
    <t>204:127857</t>
  </si>
  <si>
    <t>204:198</t>
  </si>
  <si>
    <t>204:231239</t>
  </si>
  <si>
    <t>204:233298</t>
  </si>
  <si>
    <t>204:233322</t>
  </si>
  <si>
    <t>204:233021</t>
  </si>
  <si>
    <t>204:233153</t>
  </si>
  <si>
    <t>204:232858</t>
  </si>
  <si>
    <t>204:442</t>
  </si>
  <si>
    <t>204:233274</t>
  </si>
  <si>
    <t>204:86353</t>
  </si>
  <si>
    <t>204:86149</t>
  </si>
  <si>
    <t>204:497</t>
  </si>
  <si>
    <t>204:19117</t>
  </si>
  <si>
    <t>204:160</t>
  </si>
  <si>
    <t>204:232975</t>
  </si>
  <si>
    <t>204:170</t>
  </si>
  <si>
    <t>204:233222</t>
  </si>
  <si>
    <t>204:232907</t>
  </si>
  <si>
    <t>204:1256</t>
  </si>
  <si>
    <t>204:489</t>
  </si>
  <si>
    <t>204:233240</t>
  </si>
  <si>
    <t>204:232948</t>
  </si>
  <si>
    <t>204:232961</t>
  </si>
  <si>
    <t>204:233263</t>
  </si>
  <si>
    <t>204:232936</t>
  </si>
  <si>
    <t>204:233293</t>
  </si>
  <si>
    <t>300:58594</t>
  </si>
  <si>
    <t>204:752</t>
  </si>
  <si>
    <t>204:1034</t>
  </si>
  <si>
    <t>300:58899</t>
  </si>
  <si>
    <t>204:717</t>
  </si>
  <si>
    <t>204:386</t>
  </si>
  <si>
    <t>300:58952</t>
  </si>
  <si>
    <t>204:1002</t>
  </si>
  <si>
    <t>300:58903</t>
  </si>
  <si>
    <t>300:58585</t>
  </si>
  <si>
    <t>204:710</t>
  </si>
  <si>
    <t>204:1219</t>
  </si>
  <si>
    <t>300:58832</t>
  </si>
  <si>
    <t>300:58513</t>
  </si>
  <si>
    <t>204:936</t>
  </si>
  <si>
    <t>204:1006</t>
  </si>
  <si>
    <t>300:58928</t>
  </si>
  <si>
    <t>300:58604</t>
  </si>
  <si>
    <t>204:713</t>
  </si>
  <si>
    <t>300:58775</t>
  </si>
  <si>
    <t>300:58638</t>
  </si>
  <si>
    <t>204:923</t>
  </si>
  <si>
    <t>204:1221</t>
  </si>
  <si>
    <t>300:58628</t>
  </si>
  <si>
    <t>204:953</t>
  </si>
  <si>
    <t>204:1249</t>
  </si>
  <si>
    <t>300:58860</t>
  </si>
  <si>
    <t>300:58662</t>
  </si>
  <si>
    <t>204:927</t>
  </si>
  <si>
    <t>204:1230</t>
  </si>
  <si>
    <t>300:58958</t>
  </si>
  <si>
    <t>204:941</t>
  </si>
  <si>
    <t>204:1237</t>
  </si>
  <si>
    <t>300:59016</t>
  </si>
  <si>
    <t>300:56435</t>
  </si>
  <si>
    <t>300:58704</t>
  </si>
  <si>
    <t>204:773</t>
  </si>
  <si>
    <t>204:1067</t>
  </si>
  <si>
    <t>300:58728</t>
  </si>
  <si>
    <t>300:58677</t>
  </si>
  <si>
    <t>204:780</t>
  </si>
  <si>
    <t>204:1074</t>
  </si>
  <si>
    <t>300:58920</t>
  </si>
  <si>
    <t>300:58929</t>
  </si>
  <si>
    <t>300:58613</t>
  </si>
  <si>
    <t>204:871</t>
  </si>
  <si>
    <t>204:978</t>
  </si>
  <si>
    <t>204:1175</t>
  </si>
  <si>
    <t>300:58905</t>
  </si>
  <si>
    <t>204:1281</t>
  </si>
  <si>
    <t>300:58073</t>
  </si>
  <si>
    <t>300:58651</t>
  </si>
  <si>
    <t>204:675</t>
  </si>
  <si>
    <t>204:916</t>
  </si>
  <si>
    <t>300:58608</t>
  </si>
  <si>
    <t>204:755</t>
  </si>
  <si>
    <t>204:911</t>
  </si>
  <si>
    <t>300:58673</t>
  </si>
  <si>
    <t>204:1049</t>
  </si>
  <si>
    <t>204:937</t>
  </si>
  <si>
    <t>204:983</t>
  </si>
  <si>
    <t>300:58995</t>
  </si>
  <si>
    <t>300:58941</t>
  </si>
  <si>
    <t>204:608</t>
  </si>
  <si>
    <t>204:976</t>
  </si>
  <si>
    <t>300:58617</t>
  </si>
  <si>
    <t>204:705</t>
  </si>
  <si>
    <t>204:897</t>
  </si>
  <si>
    <t>300:58926</t>
  </si>
  <si>
    <t>300:28475</t>
  </si>
  <si>
    <t>300:28961</t>
  </si>
  <si>
    <t>204:1000</t>
  </si>
  <si>
    <t>300:26457</t>
  </si>
  <si>
    <t>300:28797</t>
  </si>
  <si>
    <t>300:21716</t>
  </si>
  <si>
    <t>Inefficient dispatching @ DIA 2N</t>
  </si>
  <si>
    <t>No PTC reason found for cut out… any insights from ops?</t>
  </si>
  <si>
    <t>Inefficient dispatching @ Sable 6S</t>
  </si>
  <si>
    <t>Comm failure induced by onboard comparator issue</t>
  </si>
  <si>
    <t>Onboard in-route failure</t>
  </si>
  <si>
    <t>Dispatcher error, inited at 38th</t>
  </si>
  <si>
    <t>LocoID</t>
  </si>
  <si>
    <t>UTC Time</t>
  </si>
  <si>
    <t>Inefficient dispatching @ CRMFN 2N</t>
  </si>
  <si>
    <t>Comm outage induced by onboard comparator issue</t>
  </si>
  <si>
    <t>Inefficient dispatching @ Sable 6N</t>
  </si>
  <si>
    <t>Inefficient dispatching @ 40th 4S</t>
  </si>
  <si>
    <t>Overspeed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</si>
  <si>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</si>
  <si>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</si>
  <si>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</si>
  <si>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</si>
  <si>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</si>
  <si>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Premature downgrade at EC1752RH 175-1T 1S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</si>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</sst>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8" fillId="4" borderId="10" xfId="1" applyFont="1" applyFill="1" applyBorder="1" applyAlignment="1">
      <alignment horizontal="center"/>
    </xf>
    <xf numFmtId="0" fontId="8" fillId="0" borderId="11" xfId="1" applyFont="1" applyFill="1" applyBorder="1" applyAlignment="1">
      <alignment wrapText="1"/>
    </xf>
    <xf numFmtId="0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/>
    <xf numFmtId="0" fontId="10" fillId="0" borderId="5" xfId="0" applyFont="1" applyFill="1" applyBorder="1" applyAlignment="1"/>
    <xf numFmtId="0" fontId="10" fillId="0" borderId="5" xfId="0" applyFont="1" applyFill="1" applyBorder="1"/>
    <xf numFmtId="0" fontId="10" fillId="0" borderId="5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0" fontId="0" fillId="0" borderId="5" xfId="0" applyBorder="1" applyAlignment="1">
      <alignment horizontal="center" vertical="center" wrapText="1"/>
    </xf>
  </cellXfs>
  <cellStyles count="2">
    <cellStyle name="Normal" xfId="0" builtinId="0"/>
    <cellStyle name="Normal_XINGS" xfId="1"/>
  </cellStyles>
  <dxfs count="13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9"/>
  <sheetViews>
    <sheetView showGridLines="0" topLeftCell="A36" zoomScale="85" zoomScaleNormal="85" workbookViewId="0">
      <selection activeCell="F36" sqref="F36"/>
    </sheetView>
    <sheetView tabSelected="1" topLeftCell="A12" zoomScale="85" zoomScaleNormal="85" workbookViewId="1">
      <selection activeCell="AE26" sqref="AE26"/>
    </sheetView>
  </sheetViews>
  <sheetFormatPr defaultRowHeight="15" x14ac:dyDescent="0.25"/>
  <cols>
    <col min="1" max="1" width="10.5703125" style="72" customWidth="1"/>
    <col min="2" max="2" width="10.7109375" style="46" customWidth="1"/>
    <col min="3" max="3" width="13.5703125" style="46" hidden="1" customWidth="1"/>
    <col min="4" max="4" width="16.140625" style="46" hidden="1" customWidth="1"/>
    <col min="5" max="5" width="19.5703125" style="65" hidden="1" customWidth="1"/>
    <col min="6" max="6" width="20.140625" style="65" customWidth="1"/>
    <col min="7" max="7" width="18.42578125" style="66" hidden="1" customWidth="1"/>
    <col min="8" max="8" width="22.140625" style="65" hidden="1" customWidth="1"/>
    <col min="9" max="9" width="19.7109375" style="65" customWidth="1"/>
    <col min="10" max="10" width="7.7109375" style="46" bestFit="1" customWidth="1"/>
    <col min="11" max="12" width="13.28515625" style="46" customWidth="1"/>
    <col min="13" max="13" width="9.5703125" style="73" customWidth="1"/>
    <col min="14" max="14" width="8.85546875" style="74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3.85546875" style="31" customWidth="1"/>
    <col min="24" max="24" width="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2"/>
      <c r="B1" s="46"/>
      <c r="C1" s="46"/>
      <c r="D1" s="46"/>
      <c r="E1" s="65"/>
      <c r="F1" s="65"/>
      <c r="G1" s="66"/>
      <c r="H1" s="65"/>
      <c r="I1" s="65"/>
      <c r="J1" s="46"/>
      <c r="K1" s="46"/>
      <c r="L1" s="46"/>
      <c r="M1" s="73"/>
      <c r="N1" s="74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2"/>
      <c r="B2" s="46"/>
      <c r="C2" s="46"/>
      <c r="D2" s="46"/>
      <c r="E2" s="65"/>
      <c r="F2" s="65"/>
      <c r="G2" s="66"/>
      <c r="H2" s="65"/>
      <c r="I2" s="96">
        <f>Variables!A2</f>
        <v>42557</v>
      </c>
      <c r="J2" s="97"/>
      <c r="K2" s="75"/>
      <c r="L2" s="75"/>
      <c r="M2" s="98" t="s">
        <v>8</v>
      </c>
      <c r="N2" s="99"/>
      <c r="O2" s="100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2"/>
      <c r="B3" s="46"/>
      <c r="C3" s="46"/>
      <c r="D3" s="46"/>
      <c r="E3" s="65"/>
      <c r="F3" s="65"/>
      <c r="G3" s="66"/>
      <c r="H3" s="65"/>
      <c r="I3" s="101" t="s">
        <v>10</v>
      </c>
      <c r="J3" s="102"/>
      <c r="K3" s="76"/>
      <c r="L3" s="76"/>
      <c r="M3" s="77" t="s">
        <v>11</v>
      </c>
      <c r="N3" s="78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2"/>
      <c r="B4" s="46"/>
      <c r="C4" s="46"/>
      <c r="D4" s="46"/>
      <c r="E4" s="65"/>
      <c r="F4" s="65"/>
      <c r="G4" s="66"/>
      <c r="H4" s="65"/>
      <c r="I4" s="67" t="s">
        <v>14</v>
      </c>
      <c r="J4" s="79">
        <f>COUNT($N$13:$P$1813)</f>
        <v>144</v>
      </c>
      <c r="K4" s="79"/>
      <c r="L4" s="79"/>
      <c r="M4" s="80" t="s">
        <v>15</v>
      </c>
      <c r="N4" s="78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2"/>
      <c r="B5" s="46"/>
      <c r="C5" s="46"/>
      <c r="D5" s="46"/>
      <c r="E5" s="65"/>
      <c r="F5" s="65"/>
      <c r="G5" s="66"/>
      <c r="H5" s="65"/>
      <c r="I5" s="67" t="s">
        <v>17</v>
      </c>
      <c r="J5" s="79">
        <f>COUNT($N$13:$N$1813)</f>
        <v>133</v>
      </c>
      <c r="K5" s="79"/>
      <c r="L5" s="79"/>
      <c r="M5" s="80">
        <f>AVERAGE($N$13:$N$813)</f>
        <v>42.898746867466343</v>
      </c>
      <c r="N5" s="78">
        <f>MIN($N$13:$N$813)</f>
        <v>25.116666670655832</v>
      </c>
      <c r="O5" s="3">
        <f>MAX($N$13:$N$813)</f>
        <v>54.983333341078833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2"/>
      <c r="B6" s="46"/>
      <c r="C6" s="46"/>
      <c r="D6" s="46"/>
      <c r="E6" s="65"/>
      <c r="F6" s="65"/>
      <c r="G6" s="66"/>
      <c r="H6" s="65"/>
      <c r="I6" s="68" t="s">
        <v>43</v>
      </c>
      <c r="J6" s="79">
        <f>COUNT($O$13:$O$813)</f>
        <v>0</v>
      </c>
      <c r="K6" s="79"/>
      <c r="L6" s="79"/>
      <c r="M6" s="80">
        <f>IFERROR(AVERAGE($O$13:$O$813),0)</f>
        <v>0</v>
      </c>
      <c r="N6" s="78">
        <f>MIN($O$13:$O$813)</f>
        <v>0</v>
      </c>
      <c r="O6" s="3">
        <f>MAX($O$13:$O$813)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2"/>
      <c r="B7" s="46"/>
      <c r="C7" s="46"/>
      <c r="D7" s="46"/>
      <c r="E7" s="65"/>
      <c r="F7" s="65"/>
      <c r="G7" s="66"/>
      <c r="H7" s="65"/>
      <c r="I7" s="69" t="s">
        <v>9</v>
      </c>
      <c r="J7" s="79">
        <f>COUNT($P$13:$P$813)</f>
        <v>11</v>
      </c>
      <c r="K7" s="79"/>
      <c r="L7" s="79"/>
      <c r="M7" s="80" t="s">
        <v>15</v>
      </c>
      <c r="N7" s="78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2"/>
      <c r="B8" s="46"/>
      <c r="C8" s="46"/>
      <c r="D8" s="46"/>
      <c r="E8" s="65"/>
      <c r="F8" s="65"/>
      <c r="G8" s="66"/>
      <c r="H8" s="65"/>
      <c r="I8" s="67" t="s">
        <v>16</v>
      </c>
      <c r="J8" s="79">
        <f>COUNT($N$13:$O$813)</f>
        <v>133</v>
      </c>
      <c r="K8" s="79"/>
      <c r="L8" s="79"/>
      <c r="M8" s="80">
        <f>AVERAGE($N$13:$P$813)</f>
        <v>42.622337963184691</v>
      </c>
      <c r="N8" s="78">
        <f>MIN($N$13:$O$813)</f>
        <v>25.116666670655832</v>
      </c>
      <c r="O8" s="3">
        <f>MAX($N$13:$O$813)</f>
        <v>54.983333341078833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2"/>
      <c r="B9" s="46"/>
      <c r="C9" s="46"/>
      <c r="D9" s="46"/>
      <c r="E9" s="65"/>
      <c r="F9" s="65"/>
      <c r="G9" s="66"/>
      <c r="H9" s="65"/>
      <c r="I9" s="67" t="s">
        <v>19</v>
      </c>
      <c r="J9" s="81">
        <f>J8/J4</f>
        <v>0.92361111111111116</v>
      </c>
      <c r="K9" s="81"/>
      <c r="L9" s="81"/>
      <c r="M9" s="73"/>
      <c r="N9" s="74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2"/>
      <c r="B10" s="46"/>
      <c r="C10" s="46"/>
      <c r="D10" s="46"/>
      <c r="E10" s="65"/>
      <c r="F10" s="65"/>
      <c r="G10" s="66"/>
      <c r="H10" s="65"/>
      <c r="I10" s="65"/>
      <c r="J10" s="46"/>
      <c r="K10" s="46"/>
      <c r="L10" s="46"/>
      <c r="M10" s="73"/>
      <c r="N10" s="74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95" t="str">
        <f>"Eagle P3 System Performance - "&amp;TEXT(Variables!A2,"yyyy-mm-dd")</f>
        <v>Eagle P3 System Performance - 2016-07-06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92</v>
      </c>
      <c r="T12" s="119" t="s">
        <v>93</v>
      </c>
      <c r="U12" s="119" t="s">
        <v>94</v>
      </c>
      <c r="V12" s="114" t="s">
        <v>45</v>
      </c>
      <c r="W12" s="114" t="s">
        <v>23</v>
      </c>
      <c r="X12" s="114" t="s">
        <v>49</v>
      </c>
      <c r="Y12" s="114" t="s">
        <v>20</v>
      </c>
      <c r="Z12" s="114" t="s">
        <v>21</v>
      </c>
      <c r="AA12" s="114" t="s">
        <v>22</v>
      </c>
      <c r="AB12" s="115" t="s">
        <v>39</v>
      </c>
      <c r="AC12" s="115" t="s">
        <v>40</v>
      </c>
      <c r="AD12" s="114" t="s">
        <v>178</v>
      </c>
      <c r="AE12" s="114" t="s">
        <v>751</v>
      </c>
      <c r="AF12" s="114" t="s">
        <v>756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2" t="s">
        <v>269</v>
      </c>
      <c r="B13" s="34">
        <v>4042</v>
      </c>
      <c r="C13" s="34" t="s">
        <v>60</v>
      </c>
      <c r="D13" s="34" t="s">
        <v>316</v>
      </c>
      <c r="E13" s="20">
        <v>42557.13108796296</v>
      </c>
      <c r="F13" s="20">
        <v>42557.131932870368</v>
      </c>
      <c r="G13" s="23">
        <v>1</v>
      </c>
      <c r="H13" s="20" t="s">
        <v>156</v>
      </c>
      <c r="I13" s="20">
        <v>42557.15996527778</v>
      </c>
      <c r="J13" s="34">
        <v>0</v>
      </c>
      <c r="K13" s="34" t="str">
        <f>IF(ISEVEN(B13),(B13-1)&amp;"/"&amp;B13,B13&amp;"/"&amp;(B13+1))</f>
        <v>4041/4042</v>
      </c>
      <c r="L13" s="34" t="str">
        <f>VLOOKUP(A13,'Trips&amp;Operators'!$C$1:$E$10000,3,FALSE)</f>
        <v>YORK</v>
      </c>
      <c r="M13" s="6">
        <f>I13-F13</f>
        <v>2.8032407411956228E-2</v>
      </c>
      <c r="N13" s="7">
        <f>24*60*SUM($M13:$M13)</f>
        <v>40.366666673216969</v>
      </c>
      <c r="O13" s="7"/>
      <c r="P13" s="7"/>
      <c r="Q13" s="35"/>
      <c r="R13" s="35"/>
      <c r="S13" s="54">
        <f>SUM(U13:U13)/12</f>
        <v>1</v>
      </c>
      <c r="T13" s="108" t="str">
        <f>IF(ISEVEN(LEFT(A13,3)),"Southbound","NorthBound")</f>
        <v>NorthBound</v>
      </c>
      <c r="U13" s="108">
        <f>COUNTIFS(Variables!$M$2:$M$19,IF(T13="NorthBound","&gt;=","&lt;=")&amp;Y13,Variables!$M$2:$M$19,IF(T13="NorthBound","&lt;=","&gt;=")&amp;Z13)</f>
        <v>12</v>
      </c>
      <c r="V13" s="116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https://search-rtdc-monitor-bjffxe2xuh6vdkpspy63sjmuny.us-east-1.es.amazonaws.com/_plugin/kibana/#/discover/Steve-Slow-Train-Analysis-(2080s-and-2083s)?_g=(refreshInterval:(display:Off,section:0,value:0),time:(from:'2016-07-06 03:07:46-0600',mode:absolute,to:'2016-07-06 03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" s="116" t="str">
        <f>IF(AA13&lt;23,"Y","N")</f>
        <v>N</v>
      </c>
      <c r="X13" s="116" t="e">
        <f>VALUE(LEFT(A13,3))-VALUE(LEFT(A12,3))</f>
        <v>#VALUE!</v>
      </c>
      <c r="Y13" s="116">
        <f>RIGHT(D13,LEN(D13)-4)/10000</f>
        <v>7.0300000000000001E-2</v>
      </c>
      <c r="Z13" s="116">
        <f>RIGHT(H13,LEN(H13)-4)/10000</f>
        <v>23.328800000000001</v>
      </c>
      <c r="AA13" s="116">
        <f>ABS(Z13-Y13)</f>
        <v>23.258500000000002</v>
      </c>
      <c r="AB13" s="117" t="e">
        <f>VLOOKUP(A13,Enforcements!$C$7:$J$30,8,0)</f>
        <v>#N/A</v>
      </c>
      <c r="AC13" s="117" t="e">
        <f>VLOOKUP(A13,Enforcements!$C$7:$E$30,3,0)</f>
        <v>#N/A</v>
      </c>
      <c r="AD13" s="118" t="str">
        <f>IF(LEN(A13)=6,"0"&amp;A13,A13)</f>
        <v>0101-06</v>
      </c>
      <c r="AE13" s="118" t="str">
        <f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13" s="118" t="str">
        <f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/stypes="*4042*20160706*" /stext=" 09:.+((prompt.+disp)|(slice.+state.+chan)|(ment ac)|(system.+state.+chan)|(\|lc)|(penalty)|(\[timeout))" /e /r /s</v>
      </c>
    </row>
    <row r="14" spans="1:91" s="1" customFormat="1" x14ac:dyDescent="0.25">
      <c r="A14" s="62" t="s">
        <v>434</v>
      </c>
      <c r="B14" s="34">
        <v>4043</v>
      </c>
      <c r="C14" s="34" t="s">
        <v>60</v>
      </c>
      <c r="D14" s="34" t="s">
        <v>556</v>
      </c>
      <c r="E14" s="20">
        <v>42557.161168981482</v>
      </c>
      <c r="F14" s="20">
        <v>42557.162060185183</v>
      </c>
      <c r="G14" s="23">
        <v>1</v>
      </c>
      <c r="H14" s="20" t="s">
        <v>117</v>
      </c>
      <c r="I14" s="20">
        <v>42557.199780092589</v>
      </c>
      <c r="J14" s="34">
        <v>0</v>
      </c>
      <c r="K14" s="34" t="str">
        <f>IF(ISEVEN(B14),(B14-1)&amp;"/"&amp;B14,B14&amp;"/"&amp;(B14+1))</f>
        <v>4043/4044</v>
      </c>
      <c r="L14" s="34" t="str">
        <f>VLOOKUP(A14,'Trips&amp;Operators'!$C$1:$E$10000,3,FALSE)</f>
        <v>YORK</v>
      </c>
      <c r="M14" s="6">
        <f>I14-F14</f>
        <v>3.7719907406426501E-2</v>
      </c>
      <c r="N14" s="7">
        <f>24*60*SUM($M14:$M14)</f>
        <v>54.316666665254161</v>
      </c>
      <c r="O14" s="7"/>
      <c r="P14" s="7"/>
      <c r="Q14" s="35"/>
      <c r="R14" s="35"/>
      <c r="S14" s="54">
        <f>SUM(U14:U14)/12</f>
        <v>1</v>
      </c>
      <c r="T14" s="108" t="str">
        <f>IF(ISEVEN(LEFT(A14,3)),"Southbound","NorthBound")</f>
        <v>Southbound</v>
      </c>
      <c r="U14" s="108">
        <f>COUNTIFS(Variables!$M$2:$M$19,IF(T14="NorthBound","&gt;=","&lt;=")&amp;Y14,Variables!$M$2:$M$19,IF(T14="NorthBound","&lt;=","&gt;=")&amp;Z14)</f>
        <v>12</v>
      </c>
      <c r="V14" s="116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https://search-rtdc-monitor-bjffxe2xuh6vdkpspy63sjmuny.us-east-1.es.amazonaws.com/_plugin/kibana/#/discover/Steve-Slow-Train-Analysis-(2080s-and-2083s)?_g=(refreshInterval:(display:Off,section:0,value:0),time:(from:'2016-07-06 03:51:05-0600',mode:absolute,to:'2016-07-06 04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" s="116" t="str">
        <f>IF(AA14&lt;23,"Y","N")</f>
        <v>N</v>
      </c>
      <c r="X14" s="116">
        <f>VALUE(LEFT(A14,3))-VALUE(LEFT(A13,3))</f>
        <v>1</v>
      </c>
      <c r="Y14" s="116">
        <f>RIGHT(D14,LEN(D14)-4)/10000</f>
        <v>23.261399999999998</v>
      </c>
      <c r="Z14" s="116">
        <f>RIGHT(H14,LEN(H14)-4)/10000</f>
        <v>1.43E-2</v>
      </c>
      <c r="AA14" s="116">
        <f>ABS(Z14-Y14)</f>
        <v>23.2471</v>
      </c>
      <c r="AB14" s="117" t="e">
        <f>VLOOKUP(A14,Enforcements!$C$7:$J$30,8,0)</f>
        <v>#N/A</v>
      </c>
      <c r="AC14" s="117" t="e">
        <f>VLOOKUP(A14,Enforcements!$C$7:$E$30,3,0)</f>
        <v>#N/A</v>
      </c>
      <c r="AD14" s="118" t="str">
        <f>IF(LEN(A14)=6,"0"&amp;A14,A14)</f>
        <v>0102-06</v>
      </c>
      <c r="AE14" s="118" t="str">
        <f>"aws s3 cp "&amp;s3_bucket&amp;"/RTDC"&amp;B14&amp;"/"&amp;TEXT(F14,"YYYY-MM-DD")&amp;"/ "&amp;search_path&amp;"\RTDC"&amp;B14&amp;"\"&amp;TEXT(F14,"YYYY-MM-DD")&amp;" --recursive &amp; """&amp;walkandungz&amp;""" "&amp;search_path&amp;"\RTDC"&amp;B14&amp;"\"&amp;TEXT(F14,"YYYY-MM-DD")
&amp;" &amp; "&amp;"aws s3 cp "&amp;s3_bucket&amp;"/RTDC"&amp;B14&amp;"/"&amp;TEXT(F14+1,"YYYY-MM-DD")&amp;"/ "&amp;search_path&amp;"\RTDC"&amp;B14&amp;"\"&amp;TEXT(F14+1,"YYYY-MM-DD")&amp;" --recursive &amp; """&amp;walkandungz&amp;""" "&amp;search_path&amp;"\RTDC"&amp;B14&amp;"\"&amp;TEXT(F14+1,"YYYY-MM-DD")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4" s="118" t="str">
        <f>astrogrep_path&amp;" /spath="&amp;search_path&amp;" /stypes=""*"&amp;B14&amp;"*"&amp;TEXT(F14-utc_offset/24,"YYYYMMDD")&amp;"*"" /stext="" "&amp;TEXT(F14-utc_offset/24,"HH")&amp;search_regexp&amp;""" /e /r /s"</f>
        <v>"C:\Program Files (x86)\AstroGrep\AstroGrep.exe" /spath="C:\Users\stu\Documents\Analysis\2016-02-23 RTDC Observations" /stypes="*4043*20160706*" /stext=" 09:.+((prompt.+disp)|(slice.+state.+chan)|(ment ac)|(system.+state.+chan)|(\|lc)|(penalty)|(\[timeout))" /e /r /s</v>
      </c>
    </row>
    <row r="15" spans="1:91" s="1" customFormat="1" x14ac:dyDescent="0.25">
      <c r="A15" s="62" t="s">
        <v>265</v>
      </c>
      <c r="B15" s="34">
        <v>4011</v>
      </c>
      <c r="C15" s="34" t="s">
        <v>60</v>
      </c>
      <c r="D15" s="34" t="s">
        <v>557</v>
      </c>
      <c r="E15" s="20">
        <v>42557.154467592591</v>
      </c>
      <c r="F15" s="20">
        <v>42557.155636574076</v>
      </c>
      <c r="G15" s="23">
        <v>1</v>
      </c>
      <c r="H15" s="20" t="s">
        <v>156</v>
      </c>
      <c r="I15" s="20">
        <v>42557.180995370371</v>
      </c>
      <c r="J15" s="34">
        <v>0</v>
      </c>
      <c r="K15" s="34" t="str">
        <f t="shared" ref="K15:K78" si="0">IF(ISEVEN(B15),(B15-1)&amp;"/"&amp;B15,B15&amp;"/"&amp;(B15+1))</f>
        <v>4011/4012</v>
      </c>
      <c r="L15" s="34" t="str">
        <f>VLOOKUP(A15,'Trips&amp;Operators'!$C$1:$E$10000,3,FALSE)</f>
        <v>STARKS</v>
      </c>
      <c r="M15" s="6">
        <f t="shared" ref="M15:M78" si="1">I15-F15</f>
        <v>2.5358796294312924E-2</v>
      </c>
      <c r="N15" s="7">
        <f t="shared" ref="N15:P78" si="2">24*60*SUM($M15:$M15)</f>
        <v>36.516666663810611</v>
      </c>
      <c r="O15" s="7"/>
      <c r="P15" s="7"/>
      <c r="Q15" s="35"/>
      <c r="R15" s="35"/>
      <c r="S15" s="54">
        <f t="shared" ref="S15:S78" si="3">SUM(U15:U15)/12</f>
        <v>1</v>
      </c>
      <c r="T15" s="108" t="str">
        <f t="shared" ref="T15:T78" si="4">IF(ISEVEN(LEFT(A15,3)),"Southbound","NorthBound")</f>
        <v>NorthBound</v>
      </c>
      <c r="U15" s="108">
        <f>COUNTIFS(Variables!$M$2:$M$19,IF(T15="NorthBound","&gt;=","&lt;=")&amp;Y15,Variables!$M$2:$M$19,IF(T15="NorthBound","&lt;=","&gt;=")&amp;Z15)</f>
        <v>12</v>
      </c>
      <c r="V15" s="116" t="str">
        <f t="shared" ref="V15:V78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https://search-rtdc-monitor-bjffxe2xuh6vdkpspy63sjmuny.us-east-1.es.amazonaws.com/_plugin/kibana/#/discover/Steve-Slow-Train-Analysis-(2080s-and-2083s)?_g=(refreshInterval:(display:Off,section:0,value:0),time:(from:'2016-07-06 03:41:26-0600',mode:absolute,to:'2016-07-06 04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" s="116" t="str">
        <f t="shared" ref="W15:W78" si="6">IF(AA15&lt;23,"Y","N")</f>
        <v>N</v>
      </c>
      <c r="X15" s="116">
        <f t="shared" ref="X15:X78" si="7">VALUE(LEFT(A15,3))-VALUE(LEFT(A14,3))</f>
        <v>1</v>
      </c>
      <c r="Y15" s="116">
        <f t="shared" ref="Y15:Y78" si="8">RIGHT(D15,LEN(D15)-4)/10000</f>
        <v>7.3499999999999996E-2</v>
      </c>
      <c r="Z15" s="116">
        <f t="shared" ref="Z15:Z78" si="9">RIGHT(H15,LEN(H15)-4)/10000</f>
        <v>23.328800000000001</v>
      </c>
      <c r="AA15" s="116">
        <f t="shared" ref="AA15:AA78" si="10">ABS(Z15-Y15)</f>
        <v>23.255300000000002</v>
      </c>
      <c r="AB15" s="117" t="e">
        <f>VLOOKUP(A15,Enforcements!$C$7:$J$30,8,0)</f>
        <v>#N/A</v>
      </c>
      <c r="AC15" s="117" t="e">
        <f>VLOOKUP(A15,Enforcements!$C$7:$E$30,3,0)</f>
        <v>#N/A</v>
      </c>
      <c r="AD15" s="118" t="str">
        <f t="shared" ref="AD15:AD78" si="11">IF(LEN(A15)=6,"0"&amp;A15,A15)</f>
        <v>0103-06</v>
      </c>
      <c r="AE15" s="118" t="str">
        <f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5" s="118" t="str">
        <f>astrogrep_path&amp;" /spath="&amp;search_path&amp;" /stypes=""*"&amp;B15&amp;"*"&amp;TEXT(F15-utc_offset/24,"YYYYMMDD")&amp;"*"" /stext="" "&amp;TEXT(F15-utc_offset/24,"HH")&amp;search_regexp&amp;""" /e /r /s"</f>
        <v>"C:\Program Files (x86)\AstroGrep\AstroGrep.exe" /spath="C:\Users\stu\Documents\Analysis\2016-02-23 RTDC Observations" /stypes="*4011*20160706*" /stext=" 09:.+((prompt.+disp)|(slice.+state.+chan)|(ment ac)|(system.+state.+chan)|(\|lc)|(penalty)|(\[timeout))" /e /r /s</v>
      </c>
    </row>
    <row r="16" spans="1:91" s="1" customFormat="1" x14ac:dyDescent="0.25">
      <c r="A16" s="62" t="s">
        <v>321</v>
      </c>
      <c r="B16" s="34">
        <v>4013</v>
      </c>
      <c r="C16" s="34" t="s">
        <v>60</v>
      </c>
      <c r="D16" s="34" t="s">
        <v>558</v>
      </c>
      <c r="E16" s="20">
        <v>42557.192291666666</v>
      </c>
      <c r="F16" s="20">
        <v>42557.193414351852</v>
      </c>
      <c r="G16" s="23">
        <v>1</v>
      </c>
      <c r="H16" s="20" t="s">
        <v>304</v>
      </c>
      <c r="I16" s="20">
        <v>42557.227106481485</v>
      </c>
      <c r="J16" s="34">
        <v>1</v>
      </c>
      <c r="K16" s="34" t="str">
        <f t="shared" si="0"/>
        <v>4013/4014</v>
      </c>
      <c r="L16" s="34" t="str">
        <f>VLOOKUP(A16,'Trips&amp;Operators'!$C$1:$E$10000,3,FALSE)</f>
        <v>STARKS</v>
      </c>
      <c r="M16" s="6">
        <f t="shared" si="1"/>
        <v>3.369212963298196E-2</v>
      </c>
      <c r="N16" s="7">
        <f t="shared" si="2"/>
        <v>48.516666671494022</v>
      </c>
      <c r="O16" s="7"/>
      <c r="P16" s="7"/>
      <c r="Q16" s="35"/>
      <c r="R16" s="35"/>
      <c r="S16" s="54">
        <f t="shared" si="3"/>
        <v>1</v>
      </c>
      <c r="T16" s="108" t="str">
        <f t="shared" si="4"/>
        <v>Southbound</v>
      </c>
      <c r="U16" s="108">
        <f>COUNTIFS(Variables!$M$2:$M$19,IF(T16="NorthBound","&gt;=","&lt;=")&amp;Y16,Variables!$M$2:$M$19,IF(T16="NorthBound","&lt;=","&gt;=")&amp;Z16)</f>
        <v>12</v>
      </c>
      <c r="V16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04:35:54-0600',mode:absolute,to:'2016-07-06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116" t="str">
        <f t="shared" si="6"/>
        <v>N</v>
      </c>
      <c r="X16" s="116">
        <f t="shared" si="7"/>
        <v>1</v>
      </c>
      <c r="Y16" s="116">
        <f t="shared" si="8"/>
        <v>23.2652</v>
      </c>
      <c r="Z16" s="116">
        <f t="shared" si="9"/>
        <v>0.02</v>
      </c>
      <c r="AA16" s="116">
        <f t="shared" si="10"/>
        <v>23.245200000000001</v>
      </c>
      <c r="AB16" s="117" t="e">
        <f>VLOOKUP(A16,Enforcements!$C$7:$J$30,8,0)</f>
        <v>#N/A</v>
      </c>
      <c r="AC16" s="117" t="e">
        <f>VLOOKUP(A16,Enforcements!$C$7:$E$30,3,0)</f>
        <v>#N/A</v>
      </c>
      <c r="AD16" s="118" t="str">
        <f t="shared" si="11"/>
        <v>0104-06</v>
      </c>
      <c r="AE16" s="118" t="str">
        <f>"aws s3 cp "&amp;s3_bucket&amp;"/RTDC"&amp;B16&amp;"/"&amp;TEXT(F16,"YYYY-MM-DD")&amp;"/ "&amp;search_path&amp;"\RTDC"&amp;B16&amp;"\"&amp;TEXT(F16,"YYYY-MM-DD")&amp;" --recursive &amp; """&amp;walkandungz&amp;""" "&amp;search_path&amp;"\RTDC"&amp;B16&amp;"\"&amp;TEXT(F16,"YYYY-MM-DD")
&amp;" &amp; "&amp;"aws s3 cp "&amp;s3_bucket&amp;"/RTDC"&amp;B16&amp;"/"&amp;TEXT(F16+1,"YYYY-MM-DD")&amp;"/ "&amp;search_path&amp;"\RTDC"&amp;B16&amp;"\"&amp;TEXT(F16+1,"YYYY-MM-DD")&amp;" --recursive &amp; """&amp;walkandungz&amp;""" "&amp;search_path&amp;"\RTDC"&amp;B16&amp;"\"&amp;TEXT(F16+1,"YYYY-MM-DD")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6" s="118" t="str">
        <f>astrogrep_path&amp;" /spath="&amp;search_path&amp;" /stypes=""*"&amp;B16&amp;"*"&amp;TEXT(F16-utc_offset/24,"YYYYMMDD")&amp;"*"" /stext="" "&amp;TEXT(F16-utc_offset/24,"HH")&amp;search_regexp&amp;""" /e /r /s"</f>
        <v>"C:\Program Files (x86)\AstroGrep\AstroGrep.exe" /spath="C:\Users\stu\Documents\Analysis\2016-02-23 RTDC Observations" /stypes="*4013*20160706*" /stext=" 10:.+((prompt.+disp)|(slice.+state.+chan)|(ment ac)|(system.+state.+chan)|(\|lc)|(penalty)|(\[timeout))" /e /r /s</v>
      </c>
    </row>
    <row r="17" spans="1:32" s="1" customFormat="1" x14ac:dyDescent="0.25">
      <c r="A17" s="62" t="s">
        <v>440</v>
      </c>
      <c r="B17" s="34">
        <v>4025</v>
      </c>
      <c r="C17" s="34" t="s">
        <v>60</v>
      </c>
      <c r="D17" s="34" t="s">
        <v>313</v>
      </c>
      <c r="E17" s="20">
        <v>42557.170034722221</v>
      </c>
      <c r="F17" s="20">
        <v>42557.172881944447</v>
      </c>
      <c r="G17" s="23">
        <v>4</v>
      </c>
      <c r="H17" s="20" t="s">
        <v>302</v>
      </c>
      <c r="I17" s="20">
        <v>42557.202673611115</v>
      </c>
      <c r="J17" s="34">
        <v>0</v>
      </c>
      <c r="K17" s="34" t="str">
        <f t="shared" si="0"/>
        <v>4025/4026</v>
      </c>
      <c r="L17" s="34" t="str">
        <f>VLOOKUP(A17,'Trips&amp;Operators'!$C$1:$E$10000,3,FALSE)</f>
        <v>MOSES</v>
      </c>
      <c r="M17" s="6">
        <f t="shared" si="1"/>
        <v>2.9791666667733807E-2</v>
      </c>
      <c r="N17" s="7">
        <f t="shared" si="2"/>
        <v>42.900000001536682</v>
      </c>
      <c r="O17" s="7"/>
      <c r="P17" s="7"/>
      <c r="Q17" s="35"/>
      <c r="R17" s="35"/>
      <c r="S17" s="54">
        <f t="shared" si="3"/>
        <v>1</v>
      </c>
      <c r="T17" s="108" t="str">
        <f t="shared" si="4"/>
        <v>NorthBound</v>
      </c>
      <c r="U17" s="108">
        <f>COUNTIFS(Variables!$M$2:$M$19,IF(T17="NorthBound","&gt;=","&lt;=")&amp;Y17,Variables!$M$2:$M$19,IF(T17="NorthBound","&lt;=","&gt;=")&amp;Z17)</f>
        <v>12</v>
      </c>
      <c r="V17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04:03:51-0600',mode:absolute,to:'2016-07-06 04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116" t="str">
        <f t="shared" si="6"/>
        <v>N</v>
      </c>
      <c r="X17" s="116">
        <f t="shared" si="7"/>
        <v>1</v>
      </c>
      <c r="Y17" s="116">
        <f t="shared" si="8"/>
        <v>7.0599999999999996E-2</v>
      </c>
      <c r="Z17" s="116">
        <f t="shared" si="9"/>
        <v>23.327999999999999</v>
      </c>
      <c r="AA17" s="116">
        <f t="shared" si="10"/>
        <v>23.257400000000001</v>
      </c>
      <c r="AB17" s="117" t="e">
        <f>VLOOKUP(A17,Enforcements!$C$7:$J$30,8,0)</f>
        <v>#N/A</v>
      </c>
      <c r="AC17" s="117" t="e">
        <f>VLOOKUP(A17,Enforcements!$C$7:$E$30,3,0)</f>
        <v>#N/A</v>
      </c>
      <c r="AD17" s="118" t="str">
        <f t="shared" si="11"/>
        <v>0105-06</v>
      </c>
      <c r="AE17" s="118" t="str">
        <f>"aws s3 cp "&amp;s3_bucket&amp;"/RTDC"&amp;B17&amp;"/"&amp;TEXT(F17,"YYYY-MM-DD")&amp;"/ "&amp;search_path&amp;"\RTDC"&amp;B17&amp;"\"&amp;TEXT(F17,"YYYY-MM-DD")&amp;" --recursive &amp; """&amp;walkandungz&amp;""" "&amp;search_path&amp;"\RTDC"&amp;B17&amp;"\"&amp;TEXT(F17,"YYYY-MM-DD")
&amp;" &amp; "&amp;"aws s3 cp "&amp;s3_bucket&amp;"/RTDC"&amp;B17&amp;"/"&amp;TEXT(F17+1,"YYYY-MM-DD")&amp;"/ "&amp;search_path&amp;"\RTDC"&amp;B17&amp;"\"&amp;TEXT(F17+1,"YYYY-MM-DD")&amp;" --recursive &amp; """&amp;walkandungz&amp;""" "&amp;search_path&amp;"\RTDC"&amp;B17&amp;"\"&amp;TEXT(F17+1,"YYYY-MM-DD")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7" s="118" t="str">
        <f>astrogrep_path&amp;" /spath="&amp;search_path&amp;" /stypes=""*"&amp;B17&amp;"*"&amp;TEXT(F17-utc_offset/24,"YYYYMMDD")&amp;"*"" /stext="" "&amp;TEXT(F17-utc_offset/24,"HH")&amp;search_regexp&amp;""" /e /r /s"</f>
        <v>"C:\Program Files (x86)\AstroGrep\AstroGrep.exe" /spath="C:\Users\stu\Documents\Analysis\2016-02-23 RTDC Observations" /stypes="*4025*20160706*" /stext=" 10:.+((prompt.+disp)|(slice.+state.+chan)|(ment ac)|(system.+state.+chan)|(\|lc)|(penalty)|(\[timeout))" /e /r /s</v>
      </c>
    </row>
    <row r="18" spans="1:32" s="1" customFormat="1" x14ac:dyDescent="0.25">
      <c r="A18" s="62" t="s">
        <v>509</v>
      </c>
      <c r="B18" s="34">
        <v>4017</v>
      </c>
      <c r="C18" s="34" t="s">
        <v>60</v>
      </c>
      <c r="D18" s="34" t="s">
        <v>559</v>
      </c>
      <c r="E18" s="20">
        <v>42557.213171296295</v>
      </c>
      <c r="F18" s="20">
        <v>42557.215289351851</v>
      </c>
      <c r="G18" s="23">
        <v>3</v>
      </c>
      <c r="H18" s="20" t="s">
        <v>560</v>
      </c>
      <c r="I18" s="20">
        <v>42557.244016203702</v>
      </c>
      <c r="J18" s="34">
        <v>0</v>
      </c>
      <c r="K18" s="34" t="str">
        <f t="shared" si="0"/>
        <v>4017/4018</v>
      </c>
      <c r="L18" s="34" t="str">
        <f>VLOOKUP(A18,'Trips&amp;Operators'!$C$1:$E$10000,3,FALSE)</f>
        <v>MOSES</v>
      </c>
      <c r="M18" s="6">
        <f t="shared" si="1"/>
        <v>2.8726851851388346E-2</v>
      </c>
      <c r="N18" s="7">
        <f t="shared" si="2"/>
        <v>41.366666665999219</v>
      </c>
      <c r="O18" s="7"/>
      <c r="P18" s="7"/>
      <c r="Q18" s="35"/>
      <c r="R18" s="35"/>
      <c r="S18" s="54">
        <f t="shared" si="3"/>
        <v>1</v>
      </c>
      <c r="T18" s="108" t="str">
        <f t="shared" si="4"/>
        <v>Southbound</v>
      </c>
      <c r="U18" s="108">
        <f>COUNTIFS(Variables!$M$2:$M$19,IF(T18="NorthBound","&gt;=","&lt;=")&amp;Y18,Variables!$M$2:$M$19,IF(T18="NorthBound","&lt;=","&gt;=")&amp;Z18)</f>
        <v>12</v>
      </c>
      <c r="V18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05:05:58-0600',mode:absolute,to:'2016-07-06 05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116" t="str">
        <f t="shared" si="6"/>
        <v>N</v>
      </c>
      <c r="X18" s="116">
        <f t="shared" si="7"/>
        <v>1</v>
      </c>
      <c r="Y18" s="116">
        <f t="shared" si="8"/>
        <v>23.264099999999999</v>
      </c>
      <c r="Z18" s="116">
        <f t="shared" si="9"/>
        <v>1.18E-2</v>
      </c>
      <c r="AA18" s="116">
        <f t="shared" si="10"/>
        <v>23.252299999999998</v>
      </c>
      <c r="AB18" s="117" t="e">
        <f>VLOOKUP(A18,Enforcements!$C$7:$J$30,8,0)</f>
        <v>#N/A</v>
      </c>
      <c r="AC18" s="117" t="e">
        <f>VLOOKUP(A18,Enforcements!$C$7:$E$30,3,0)</f>
        <v>#N/A</v>
      </c>
      <c r="AD18" s="118" t="str">
        <f t="shared" si="11"/>
        <v>0106-06</v>
      </c>
      <c r="AE18" s="118" t="str">
        <f>"aws s3 cp "&amp;s3_bucket&amp;"/RTDC"&amp;B18&amp;"/"&amp;TEXT(F18,"YYYY-MM-DD")&amp;"/ "&amp;search_path&amp;"\RTDC"&amp;B18&amp;"\"&amp;TEXT(F18,"YYYY-MM-DD")&amp;" --recursive &amp; """&amp;walkandungz&amp;""" "&amp;search_path&amp;"\RTDC"&amp;B18&amp;"\"&amp;TEXT(F18,"YYYY-MM-DD")
&amp;" &amp; "&amp;"aws s3 cp "&amp;s3_bucket&amp;"/RTDC"&amp;B18&amp;"/"&amp;TEXT(F18+1,"YYYY-MM-DD")&amp;"/ "&amp;search_path&amp;"\RTDC"&amp;B18&amp;"\"&amp;TEXT(F18+1,"YYYY-MM-DD")&amp;" --recursive &amp; """&amp;walkandungz&amp;""" "&amp;search_path&amp;"\RTDC"&amp;B18&amp;"\"&amp;TEXT(F18+1,"YYYY-MM-DD")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8" s="118" t="str">
        <f>astrogrep_path&amp;" /spath="&amp;search_path&amp;" /stypes=""*"&amp;B18&amp;"*"&amp;TEXT(F18-utc_offset/24,"YYYYMMDD")&amp;"*"" /stext="" "&amp;TEXT(F18-utc_offset/24,"HH")&amp;search_regexp&amp;""" /e /r /s"</f>
        <v>"C:\Program Files (x86)\AstroGrep\AstroGrep.exe" /spath="C:\Users\stu\Documents\Analysis\2016-02-23 RTDC Observations" /stypes="*4017*20160706*" /stext=" 11:.+((prompt.+disp)|(slice.+state.+chan)|(ment ac)|(system.+state.+chan)|(\|lc)|(penalty)|(\[timeout))" /e /r /s</v>
      </c>
    </row>
    <row r="19" spans="1:32" s="1" customFormat="1" x14ac:dyDescent="0.25">
      <c r="A19" s="62" t="s">
        <v>491</v>
      </c>
      <c r="B19" s="34">
        <v>4040</v>
      </c>
      <c r="C19" s="34" t="s">
        <v>60</v>
      </c>
      <c r="D19" s="34" t="s">
        <v>225</v>
      </c>
      <c r="E19" s="20">
        <v>42557.180937500001</v>
      </c>
      <c r="F19" s="20">
        <v>42557.182349537034</v>
      </c>
      <c r="G19" s="23">
        <v>2</v>
      </c>
      <c r="H19" s="20" t="s">
        <v>561</v>
      </c>
      <c r="I19" s="20">
        <v>42557.215497685182</v>
      </c>
      <c r="J19" s="34">
        <v>0</v>
      </c>
      <c r="K19" s="34" t="str">
        <f t="shared" si="0"/>
        <v>4039/4040</v>
      </c>
      <c r="L19" s="34" t="str">
        <f>VLOOKUP(A19,'Trips&amp;Operators'!$C$1:$E$10000,3,FALSE)</f>
        <v>MAELZER</v>
      </c>
      <c r="M19" s="6">
        <f t="shared" si="1"/>
        <v>3.3148148148029577E-2</v>
      </c>
      <c r="N19" s="7"/>
      <c r="O19" s="7"/>
      <c r="P19" s="7">
        <f t="shared" si="2"/>
        <v>47.733333333162591</v>
      </c>
      <c r="Q19" s="35"/>
      <c r="R19" s="35" t="s">
        <v>732</v>
      </c>
      <c r="S19" s="54">
        <f t="shared" si="3"/>
        <v>1</v>
      </c>
      <c r="T19" s="108" t="str">
        <f t="shared" si="4"/>
        <v>NorthBound</v>
      </c>
      <c r="U19" s="108">
        <f>COUNTIFS(Variables!$M$2:$M$19,IF(T19="NorthBound","&gt;=","&lt;=")&amp;Y19,Variables!$M$2:$M$19,IF(T19="NorthBound","&lt;=","&gt;=")&amp;Z19)</f>
        <v>12</v>
      </c>
      <c r="V19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04:19:33-0600',mode:absolute,to:'2016-07-06 05:11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116" t="str">
        <f t="shared" si="6"/>
        <v>Y</v>
      </c>
      <c r="X19" s="116">
        <f t="shared" si="7"/>
        <v>1</v>
      </c>
      <c r="Y19" s="116">
        <f t="shared" si="8"/>
        <v>4.6199999999999998E-2</v>
      </c>
      <c r="Z19" s="116">
        <f t="shared" si="9"/>
        <v>22.747</v>
      </c>
      <c r="AA19" s="116">
        <f t="shared" si="10"/>
        <v>22.700800000000001</v>
      </c>
      <c r="AB19" s="117" t="e">
        <f>VLOOKUP(A19,Enforcements!$C$7:$J$30,8,0)</f>
        <v>#N/A</v>
      </c>
      <c r="AC19" s="117" t="e">
        <f>VLOOKUP(A19,Enforcements!$C$7:$E$30,3,0)</f>
        <v>#N/A</v>
      </c>
      <c r="AD19" s="118" t="str">
        <f t="shared" si="11"/>
        <v>0107-06</v>
      </c>
      <c r="AE19" s="118" t="str">
        <f>"aws s3 cp "&amp;s3_bucket&amp;"/RTDC"&amp;B19&amp;"/"&amp;TEXT(F19,"YYYY-MM-DD")&amp;"/ "&amp;search_path&amp;"\RTDC"&amp;B19&amp;"\"&amp;TEXT(F19,"YYYY-MM-DD")&amp;" --recursive &amp; """&amp;walkandungz&amp;""" "&amp;search_path&amp;"\RTDC"&amp;B19&amp;"\"&amp;TEXT(F19,"YYYY-MM-DD")
&amp;" &amp; "&amp;"aws s3 cp "&amp;s3_bucket&amp;"/RTDC"&amp;B19&amp;"/"&amp;TEXT(F19+1,"YYYY-MM-DD")&amp;"/ "&amp;search_path&amp;"\RTDC"&amp;B19&amp;"\"&amp;TEXT(F19+1,"YYYY-MM-DD")&amp;" --recursive &amp; """&amp;walkandungz&amp;""" "&amp;search_path&amp;"\RTDC"&amp;B19&amp;"\"&amp;TEXT(F19+1,"YYYY-MM-DD")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9" s="118" t="str">
        <f>astrogrep_path&amp;" /spath="&amp;search_path&amp;" /stypes=""*"&amp;B19&amp;"*"&amp;TEXT(F19-utc_offset/24,"YYYYMMDD")&amp;"*"" /stext="" "&amp;TEXT(F19-utc_offset/24,"HH")&amp;search_regexp&amp;""" /e /r /s"</f>
        <v>"C:\Program Files (x86)\AstroGrep\AstroGrep.exe" /spath="C:\Users\stu\Documents\Analysis\2016-02-23 RTDC Observations" /stypes="*4040*20160706*" /stext=" 10:.+((prompt.+disp)|(slice.+state.+chan)|(ment ac)|(system.+state.+chan)|(\|lc)|(penalty)|(\[timeout))" /e /r /s</v>
      </c>
    </row>
    <row r="20" spans="1:32" s="1" customFormat="1" x14ac:dyDescent="0.25">
      <c r="A20" s="62" t="s">
        <v>422</v>
      </c>
      <c r="B20" s="34">
        <v>4039</v>
      </c>
      <c r="C20" s="34" t="s">
        <v>60</v>
      </c>
      <c r="D20" s="34" t="s">
        <v>562</v>
      </c>
      <c r="E20" s="20">
        <v>42557.223368055558</v>
      </c>
      <c r="F20" s="20">
        <v>42557.224560185183</v>
      </c>
      <c r="G20" s="23">
        <v>1</v>
      </c>
      <c r="H20" s="20" t="s">
        <v>141</v>
      </c>
      <c r="I20" s="20">
        <v>42557.252002314817</v>
      </c>
      <c r="J20" s="34">
        <v>0</v>
      </c>
      <c r="K20" s="34" t="str">
        <f t="shared" si="0"/>
        <v>4039/4040</v>
      </c>
      <c r="L20" s="34" t="str">
        <f>VLOOKUP(A20,'Trips&amp;Operators'!$C$1:$E$10000,3,FALSE)</f>
        <v>MAELZER</v>
      </c>
      <c r="M20" s="6">
        <f t="shared" si="1"/>
        <v>2.7442129634437151E-2</v>
      </c>
      <c r="N20" s="7">
        <f t="shared" si="2"/>
        <v>39.516666673589498</v>
      </c>
      <c r="O20" s="7"/>
      <c r="P20" s="7"/>
      <c r="Q20" s="35"/>
      <c r="R20" s="35"/>
      <c r="S20" s="54">
        <f t="shared" si="3"/>
        <v>1</v>
      </c>
      <c r="T20" s="108" t="str">
        <f t="shared" si="4"/>
        <v>Southbound</v>
      </c>
      <c r="U20" s="108">
        <f>COUNTIFS(Variables!$M$2:$M$19,IF(T20="NorthBound","&gt;=","&lt;=")&amp;Y20,Variables!$M$2:$M$19,IF(T20="NorthBound","&lt;=","&gt;=")&amp;Z20)</f>
        <v>12</v>
      </c>
      <c r="V20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05:20:39-0600',mode:absolute,to:'2016-07-06 06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116" t="str">
        <f t="shared" si="6"/>
        <v>N</v>
      </c>
      <c r="X20" s="116">
        <f t="shared" si="7"/>
        <v>1</v>
      </c>
      <c r="Y20" s="116">
        <f t="shared" si="8"/>
        <v>23.298100000000002</v>
      </c>
      <c r="Z20" s="116">
        <f t="shared" si="9"/>
        <v>1.5599999999999999E-2</v>
      </c>
      <c r="AA20" s="116">
        <f t="shared" si="10"/>
        <v>23.282500000000002</v>
      </c>
      <c r="AB20" s="117" t="e">
        <f>VLOOKUP(A20,Enforcements!$C$7:$J$30,8,0)</f>
        <v>#N/A</v>
      </c>
      <c r="AC20" s="117" t="e">
        <f>VLOOKUP(A20,Enforcements!$C$7:$E$30,3,0)</f>
        <v>#N/A</v>
      </c>
      <c r="AD20" s="118" t="str">
        <f t="shared" si="11"/>
        <v>0108-06</v>
      </c>
      <c r="AE20" s="118" t="str">
        <f>"aws s3 cp "&amp;s3_bucket&amp;"/RTDC"&amp;B20&amp;"/"&amp;TEXT(F20,"YYYY-MM-DD")&amp;"/ "&amp;search_path&amp;"\RTDC"&amp;B20&amp;"\"&amp;TEXT(F20,"YYYY-MM-DD")&amp;" --recursive &amp; """&amp;walkandungz&amp;""" "&amp;search_path&amp;"\RTDC"&amp;B20&amp;"\"&amp;TEXT(F20,"YYYY-MM-DD")
&amp;" &amp; "&amp;"aws s3 cp "&amp;s3_bucket&amp;"/RTDC"&amp;B20&amp;"/"&amp;TEXT(F20+1,"YYYY-MM-DD")&amp;"/ "&amp;search_path&amp;"\RTDC"&amp;B20&amp;"\"&amp;TEXT(F20+1,"YYYY-MM-DD")&amp;" --recursive &amp; """&amp;walkandungz&amp;""" "&amp;search_path&amp;"\RTDC"&amp;B20&amp;"\"&amp;TEXT(F20+1,"YYYY-MM-DD")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20" s="118" t="str">
        <f>astrogrep_path&amp;" /spath="&amp;search_path&amp;" /stypes=""*"&amp;B20&amp;"*"&amp;TEXT(F20-utc_offset/24,"YYYYMMDD")&amp;"*"" /stext="" "&amp;TEXT(F20-utc_offset/24,"HH")&amp;search_regexp&amp;""" /e /r /s"</f>
        <v>"C:\Program Files (x86)\AstroGrep\AstroGrep.exe" /spath="C:\Users\stu\Documents\Analysis\2016-02-23 RTDC Observations" /stypes="*4039*20160706*" /stext=" 11:.+((prompt.+disp)|(slice.+state.+chan)|(ment ac)|(system.+state.+chan)|(\|lc)|(penalty)|(\[timeout))" /e /r /s</v>
      </c>
    </row>
    <row r="21" spans="1:32" s="1" customFormat="1" x14ac:dyDescent="0.25">
      <c r="A21" s="62" t="s">
        <v>508</v>
      </c>
      <c r="B21" s="34">
        <v>4031</v>
      </c>
      <c r="C21" s="34" t="s">
        <v>60</v>
      </c>
      <c r="D21" s="34" t="s">
        <v>563</v>
      </c>
      <c r="E21" s="20">
        <v>42557.185081018521</v>
      </c>
      <c r="F21" s="20">
        <v>42557.187395833331</v>
      </c>
      <c r="G21" s="23">
        <v>3</v>
      </c>
      <c r="H21" s="20" t="s">
        <v>85</v>
      </c>
      <c r="I21" s="20">
        <v>42557.222557870373</v>
      </c>
      <c r="J21" s="34">
        <v>0</v>
      </c>
      <c r="K21" s="34" t="str">
        <f t="shared" si="0"/>
        <v>4031/4032</v>
      </c>
      <c r="L21" s="34" t="str">
        <f>VLOOKUP(A21,'Trips&amp;Operators'!$C$1:$E$10000,3,FALSE)</f>
        <v>NEWELL</v>
      </c>
      <c r="M21" s="6">
        <f t="shared" si="1"/>
        <v>3.5162037042027805E-2</v>
      </c>
      <c r="N21" s="7">
        <f t="shared" si="2"/>
        <v>50.633333340520039</v>
      </c>
      <c r="O21" s="7"/>
      <c r="P21" s="7"/>
      <c r="Q21" s="35"/>
      <c r="R21" s="35"/>
      <c r="S21" s="54">
        <f t="shared" si="3"/>
        <v>1</v>
      </c>
      <c r="T21" s="108" t="str">
        <f t="shared" si="4"/>
        <v>NorthBound</v>
      </c>
      <c r="U21" s="108">
        <f>COUNTIFS(Variables!$M$2:$M$19,IF(T21="NorthBound","&gt;=","&lt;=")&amp;Y21,Variables!$M$2:$M$19,IF(T21="NorthBound","&lt;=","&gt;=")&amp;Z21)</f>
        <v>12</v>
      </c>
      <c r="V21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04:25:31-0600',mode:absolute,to:'2016-07-06 05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1" s="116" t="str">
        <f t="shared" si="6"/>
        <v>N</v>
      </c>
      <c r="X21" s="116">
        <f t="shared" si="7"/>
        <v>1</v>
      </c>
      <c r="Y21" s="116">
        <f t="shared" si="8"/>
        <v>4.8399999999999999E-2</v>
      </c>
      <c r="Z21" s="116">
        <f t="shared" si="9"/>
        <v>23.329499999999999</v>
      </c>
      <c r="AA21" s="116">
        <f t="shared" si="10"/>
        <v>23.281099999999999</v>
      </c>
      <c r="AB21" s="117" t="e">
        <f>VLOOKUP(A21,Enforcements!$C$7:$J$30,8,0)</f>
        <v>#N/A</v>
      </c>
      <c r="AC21" s="117" t="e">
        <f>VLOOKUP(A21,Enforcements!$C$7:$E$30,3,0)</f>
        <v>#N/A</v>
      </c>
      <c r="AD21" s="118" t="str">
        <f t="shared" si="11"/>
        <v>0109-06</v>
      </c>
      <c r="AE21" s="118" t="str">
        <f>"aws s3 cp "&amp;s3_bucket&amp;"/RTDC"&amp;B21&amp;"/"&amp;TEXT(F21,"YYYY-MM-DD")&amp;"/ "&amp;search_path&amp;"\RTDC"&amp;B21&amp;"\"&amp;TEXT(F21,"YYYY-MM-DD")&amp;" --recursive &amp; """&amp;walkandungz&amp;""" "&amp;search_path&amp;"\RTDC"&amp;B21&amp;"\"&amp;TEXT(F21,"YYYY-MM-DD")
&amp;" &amp; "&amp;"aws s3 cp "&amp;s3_bucket&amp;"/RTDC"&amp;B21&amp;"/"&amp;TEXT(F21+1,"YYYY-MM-DD")&amp;"/ "&amp;search_path&amp;"\RTDC"&amp;B21&amp;"\"&amp;TEXT(F21+1,"YYYY-MM-DD")&amp;" --recursive &amp; """&amp;walkandungz&amp;""" "&amp;search_path&amp;"\RTDC"&amp;B21&amp;"\"&amp;TEXT(F21+1,"YYYY-MM-DD")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21" s="118" t="str">
        <f>astrogrep_path&amp;" /spath="&amp;search_path&amp;" /stypes=""*"&amp;B21&amp;"*"&amp;TEXT(F21-utc_offset/24,"YYYYMMDD")&amp;"*"" /stext="" "&amp;TEXT(F21-utc_offset/24,"HH")&amp;search_regexp&amp;""" /e /r /s"</f>
        <v>"C:\Program Files (x86)\AstroGrep\AstroGrep.exe" /spath="C:\Users\stu\Documents\Analysis\2016-02-23 RTDC Observations" /stypes="*4031*20160706*" /stext=" 10:.+((prompt.+disp)|(slice.+state.+chan)|(ment ac)|(system.+state.+chan)|(\|lc)|(penalty)|(\[timeout))" /e /r /s</v>
      </c>
    </row>
    <row r="22" spans="1:32" s="1" customFormat="1" x14ac:dyDescent="0.25">
      <c r="A22" s="62" t="s">
        <v>323</v>
      </c>
      <c r="B22" s="34">
        <v>4032</v>
      </c>
      <c r="C22" s="34" t="s">
        <v>60</v>
      </c>
      <c r="D22" s="34" t="s">
        <v>222</v>
      </c>
      <c r="E22" s="20">
        <v>42557.226770833331</v>
      </c>
      <c r="F22" s="20">
        <v>42557.227754629632</v>
      </c>
      <c r="G22" s="23">
        <v>1</v>
      </c>
      <c r="H22" s="20" t="s">
        <v>564</v>
      </c>
      <c r="I22" s="20">
        <v>42557.26358796296</v>
      </c>
      <c r="J22" s="34">
        <v>2</v>
      </c>
      <c r="K22" s="34" t="str">
        <f t="shared" si="0"/>
        <v>4031/4032</v>
      </c>
      <c r="L22" s="34" t="str">
        <f>VLOOKUP(A22,'Trips&amp;Operators'!$C$1:$E$10000,3,FALSE)</f>
        <v>NEWELL</v>
      </c>
      <c r="M22" s="6">
        <f t="shared" si="1"/>
        <v>3.5833333327900618E-2</v>
      </c>
      <c r="N22" s="7">
        <f t="shared" si="2"/>
        <v>51.59999999217689</v>
      </c>
      <c r="O22" s="7"/>
      <c r="P22" s="7"/>
      <c r="Q22" s="35"/>
      <c r="R22" s="35"/>
      <c r="S22" s="54">
        <f t="shared" si="3"/>
        <v>1</v>
      </c>
      <c r="T22" s="108" t="str">
        <f t="shared" si="4"/>
        <v>Southbound</v>
      </c>
      <c r="U22" s="108">
        <f>COUNTIFS(Variables!$M$2:$M$19,IF(T22="NorthBound","&gt;=","&lt;=")&amp;Y22,Variables!$M$2:$M$19,IF(T22="NorthBound","&lt;=","&gt;=")&amp;Z22)</f>
        <v>12</v>
      </c>
      <c r="V22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2" s="116" t="str">
        <f t="shared" si="6"/>
        <v>N</v>
      </c>
      <c r="X22" s="116">
        <f t="shared" si="7"/>
        <v>1</v>
      </c>
      <c r="Y22" s="116">
        <f t="shared" si="8"/>
        <v>23.298400000000001</v>
      </c>
      <c r="Z22" s="116">
        <f t="shared" si="9"/>
        <v>1.29E-2</v>
      </c>
      <c r="AA22" s="116">
        <f t="shared" si="10"/>
        <v>23.285500000000003</v>
      </c>
      <c r="AB22" s="117" t="e">
        <f>VLOOKUP(A22,Enforcements!$C$7:$J$30,8,0)</f>
        <v>#N/A</v>
      </c>
      <c r="AC22" s="117" t="e">
        <f>VLOOKUP(A22,Enforcements!$C$7:$E$30,3,0)</f>
        <v>#N/A</v>
      </c>
      <c r="AD22" s="118" t="str">
        <f t="shared" si="11"/>
        <v>0110-06</v>
      </c>
      <c r="AE22" s="118" t="str">
        <f>"aws s3 cp "&amp;s3_bucket&amp;"/RTDC"&amp;B22&amp;"/"&amp;TEXT(F22,"YYYY-MM-DD")&amp;"/ "&amp;search_path&amp;"\RTDC"&amp;B22&amp;"\"&amp;TEXT(F22,"YYYY-MM-DD")&amp;" --recursive &amp; """&amp;walkandungz&amp;""" "&amp;search_path&amp;"\RTDC"&amp;B22&amp;"\"&amp;TEXT(F22,"YYYY-MM-DD")
&amp;" &amp; "&amp;"aws s3 cp "&amp;s3_bucket&amp;"/RTDC"&amp;B22&amp;"/"&amp;TEXT(F22+1,"YYYY-MM-DD")&amp;"/ "&amp;search_path&amp;"\RTDC"&amp;B22&amp;"\"&amp;TEXT(F22+1,"YYYY-MM-DD")&amp;" --recursive &amp; """&amp;walkandungz&amp;""" "&amp;search_path&amp;"\RTDC"&amp;B22&amp;"\"&amp;TEXT(F22+1,"YYYY-MM-DD")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22" s="118" t="str">
        <f>astrogrep_path&amp;" /spath="&amp;search_path&amp;" /stypes=""*"&amp;B22&amp;"*"&amp;TEXT(F22-utc_offset/24,"YYYYMMDD")&amp;"*"" /stext="" "&amp;TEXT(F22-utc_offset/24,"HH")&amp;search_regexp&amp;""" /e /r /s"</f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</row>
    <row r="23" spans="1:32" s="1" customFormat="1" x14ac:dyDescent="0.25">
      <c r="A23" s="62" t="s">
        <v>322</v>
      </c>
      <c r="B23" s="34">
        <v>4042</v>
      </c>
      <c r="C23" s="34" t="s">
        <v>60</v>
      </c>
      <c r="D23" s="34" t="s">
        <v>565</v>
      </c>
      <c r="E23" s="20">
        <v>42557.205127314817</v>
      </c>
      <c r="F23" s="20">
        <v>42557.206099537034</v>
      </c>
      <c r="G23" s="23">
        <v>1</v>
      </c>
      <c r="H23" s="20" t="s">
        <v>180</v>
      </c>
      <c r="I23" s="20">
        <v>42557.233541666668</v>
      </c>
      <c r="J23" s="34">
        <v>1</v>
      </c>
      <c r="K23" s="34" t="str">
        <f t="shared" si="0"/>
        <v>4041/4042</v>
      </c>
      <c r="L23" s="34" t="str">
        <f>VLOOKUP(A23,'Trips&amp;Operators'!$C$1:$E$10000,3,FALSE)</f>
        <v>BEAM</v>
      </c>
      <c r="M23" s="6">
        <f t="shared" si="1"/>
        <v>2.7442129634437151E-2</v>
      </c>
      <c r="N23" s="7">
        <f t="shared" si="2"/>
        <v>39.516666673589498</v>
      </c>
      <c r="O23" s="7"/>
      <c r="P23" s="7"/>
      <c r="Q23" s="35"/>
      <c r="R23" s="35"/>
      <c r="S23" s="54">
        <f t="shared" si="3"/>
        <v>1</v>
      </c>
      <c r="T23" s="108" t="str">
        <f t="shared" si="4"/>
        <v>NorthBound</v>
      </c>
      <c r="U23" s="108">
        <f>COUNTIFS(Variables!$M$2:$M$19,IF(T23="NorthBound","&gt;=","&lt;=")&amp;Y23,Variables!$M$2:$M$19,IF(T23="NorthBound","&lt;=","&gt;=")&amp;Z23)</f>
        <v>12</v>
      </c>
      <c r="V23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04:54:23-0600',mode:absolute,to:'2016-07-06 05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3" s="116" t="str">
        <f t="shared" si="6"/>
        <v>N</v>
      </c>
      <c r="X23" s="116">
        <f t="shared" si="7"/>
        <v>1</v>
      </c>
      <c r="Y23" s="116">
        <f t="shared" si="8"/>
        <v>7.1900000000000006E-2</v>
      </c>
      <c r="Z23" s="116">
        <f t="shared" si="9"/>
        <v>23.3306</v>
      </c>
      <c r="AA23" s="116">
        <f t="shared" si="10"/>
        <v>23.258700000000001</v>
      </c>
      <c r="AB23" s="117">
        <f>VLOOKUP(A23,Enforcements!$C$7:$J$30,8,0)</f>
        <v>232107</v>
      </c>
      <c r="AC23" s="117" t="str">
        <f>VLOOKUP(A23,Enforcements!$C$7:$E$30,3,0)</f>
        <v>PERMANENT SPEED RESTRICTION</v>
      </c>
      <c r="AD23" s="118" t="str">
        <f t="shared" si="11"/>
        <v>0111-06</v>
      </c>
      <c r="AE23" s="118" t="str">
        <f>"aws s3 cp "&amp;s3_bucket&amp;"/RTDC"&amp;B23&amp;"/"&amp;TEXT(F23,"YYYY-MM-DD")&amp;"/ "&amp;search_path&amp;"\RTDC"&amp;B23&amp;"\"&amp;TEXT(F23,"YYYY-MM-DD")&amp;" --recursive &amp; """&amp;walkandungz&amp;""" "&amp;search_path&amp;"\RTDC"&amp;B23&amp;"\"&amp;TEXT(F23,"YYYY-MM-DD")
&amp;" &amp; "&amp;"aws s3 cp "&amp;s3_bucket&amp;"/RTDC"&amp;B23&amp;"/"&amp;TEXT(F23+1,"YYYY-MM-DD")&amp;"/ "&amp;search_path&amp;"\RTDC"&amp;B23&amp;"\"&amp;TEXT(F23+1,"YYYY-MM-DD")&amp;" --recursive &amp; """&amp;walkandungz&amp;""" "&amp;search_path&amp;"\RTDC"&amp;B23&amp;"\"&amp;TEXT(F23+1,"YYYY-MM-DD")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23" s="118" t="str">
        <f>astrogrep_path&amp;" /spath="&amp;search_path&amp;" /stypes=""*"&amp;B23&amp;"*"&amp;TEXT(F23-utc_offset/24,"YYYYMMDD")&amp;"*"" /stext="" "&amp;TEXT(F23-utc_offset/24,"HH")&amp;search_regexp&amp;""" /e /r /s"</f>
        <v>"C:\Program Files (x86)\AstroGrep\AstroGrep.exe" /spath="C:\Users\stu\Documents\Analysis\2016-02-23 RTDC Observations" /stypes="*4042*20160706*" /stext=" 10:.+((prompt.+disp)|(slice.+state.+chan)|(ment ac)|(system.+state.+chan)|(\|lc)|(penalty)|(\[timeout))" /e /r /s</v>
      </c>
    </row>
    <row r="24" spans="1:32" s="1" customFormat="1" x14ac:dyDescent="0.25">
      <c r="A24" s="62" t="s">
        <v>467</v>
      </c>
      <c r="B24" s="34">
        <v>4041</v>
      </c>
      <c r="C24" s="34" t="s">
        <v>60</v>
      </c>
      <c r="D24" s="34" t="s">
        <v>566</v>
      </c>
      <c r="E24" s="20">
        <v>42557.242523148147</v>
      </c>
      <c r="F24" s="20">
        <v>42557.243541666663</v>
      </c>
      <c r="G24" s="23">
        <v>1</v>
      </c>
      <c r="H24" s="20" t="s">
        <v>91</v>
      </c>
      <c r="I24" s="20">
        <v>42557.274780092594</v>
      </c>
      <c r="J24" s="34">
        <v>0</v>
      </c>
      <c r="K24" s="34" t="str">
        <f t="shared" si="0"/>
        <v>4041/4042</v>
      </c>
      <c r="L24" s="34" t="str">
        <f>VLOOKUP(A24,'Trips&amp;Operators'!$C$1:$E$10000,3,FALSE)</f>
        <v>BEAM</v>
      </c>
      <c r="M24" s="6">
        <f t="shared" si="1"/>
        <v>3.1238425930496305E-2</v>
      </c>
      <c r="N24" s="7">
        <f t="shared" si="2"/>
        <v>44.98333333991468</v>
      </c>
      <c r="O24" s="7"/>
      <c r="P24" s="7"/>
      <c r="Q24" s="35"/>
      <c r="R24" s="35"/>
      <c r="S24" s="54">
        <f t="shared" si="3"/>
        <v>1</v>
      </c>
      <c r="T24" s="108" t="str">
        <f t="shared" si="4"/>
        <v>Southbound</v>
      </c>
      <c r="U24" s="108">
        <f>COUNTIFS(Variables!$M$2:$M$19,IF(T24="NorthBound","&gt;=","&lt;=")&amp;Y24,Variables!$M$2:$M$19,IF(T24="NorthBound","&lt;=","&gt;=")&amp;Z24)</f>
        <v>12</v>
      </c>
      <c r="V24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05:48:14-0600',mode:absolute,to:'2016-07-06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4" s="116" t="str">
        <f t="shared" si="6"/>
        <v>N</v>
      </c>
      <c r="X24" s="116">
        <f t="shared" si="7"/>
        <v>1</v>
      </c>
      <c r="Y24" s="116">
        <f t="shared" si="8"/>
        <v>23.299099999999999</v>
      </c>
      <c r="Z24" s="116">
        <f t="shared" si="9"/>
        <v>1.4999999999999999E-2</v>
      </c>
      <c r="AA24" s="116">
        <f t="shared" si="10"/>
        <v>23.284099999999999</v>
      </c>
      <c r="AB24" s="117" t="e">
        <f>VLOOKUP(A24,Enforcements!$C$7:$J$30,8,0)</f>
        <v>#N/A</v>
      </c>
      <c r="AC24" s="117" t="e">
        <f>VLOOKUP(A24,Enforcements!$C$7:$E$30,3,0)</f>
        <v>#N/A</v>
      </c>
      <c r="AD24" s="118" t="str">
        <f t="shared" si="11"/>
        <v>0112-06</v>
      </c>
      <c r="AE24" s="118" t="str">
        <f>"aws s3 cp "&amp;s3_bucket&amp;"/RTDC"&amp;B24&amp;"/"&amp;TEXT(F24,"YYYY-MM-DD")&amp;"/ "&amp;search_path&amp;"\RTDC"&amp;B24&amp;"\"&amp;TEXT(F24,"YYYY-MM-DD")&amp;" --recursive &amp; """&amp;walkandungz&amp;""" "&amp;search_path&amp;"\RTDC"&amp;B24&amp;"\"&amp;TEXT(F24,"YYYY-MM-DD")
&amp;" &amp; "&amp;"aws s3 cp "&amp;s3_bucket&amp;"/RTDC"&amp;B24&amp;"/"&amp;TEXT(F24+1,"YYYY-MM-DD")&amp;"/ "&amp;search_path&amp;"\RTDC"&amp;B24&amp;"\"&amp;TEXT(F24+1,"YYYY-MM-DD")&amp;" --recursive &amp; """&amp;walkandungz&amp;""" "&amp;search_path&amp;"\RTDC"&amp;B24&amp;"\"&amp;TEXT(F24+1,"YYYY-MM-DD")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24" s="118" t="str">
        <f>astrogrep_path&amp;" /spath="&amp;search_path&amp;" /stypes=""*"&amp;B24&amp;"*"&amp;TEXT(F24-utc_offset/24,"YYYYMMDD")&amp;"*"" /stext="" "&amp;TEXT(F24-utc_offset/24,"HH")&amp;search_regexp&amp;""" /e /r /s"</f>
        <v>"C:\Program Files (x86)\AstroGrep\AstroGrep.exe" /spath="C:\Users\stu\Documents\Analysis\2016-02-23 RTDC Observations" /stypes="*4041*20160706*" /stext=" 11:.+((prompt.+disp)|(slice.+state.+chan)|(ment ac)|(system.+state.+chan)|(\|lc)|(penalty)|(\[timeout))" /e /r /s</v>
      </c>
    </row>
    <row r="25" spans="1:32" s="1" customFormat="1" x14ac:dyDescent="0.25">
      <c r="A25" s="62" t="s">
        <v>403</v>
      </c>
      <c r="B25" s="34">
        <v>4044</v>
      </c>
      <c r="C25" s="34" t="s">
        <v>60</v>
      </c>
      <c r="D25" s="34" t="s">
        <v>289</v>
      </c>
      <c r="E25" s="20">
        <v>42557.209131944444</v>
      </c>
      <c r="F25" s="20">
        <v>42557.209872685184</v>
      </c>
      <c r="G25" s="23">
        <v>1</v>
      </c>
      <c r="H25" s="20" t="s">
        <v>171</v>
      </c>
      <c r="I25" s="20">
        <v>42557.243275462963</v>
      </c>
      <c r="J25" s="34">
        <v>0</v>
      </c>
      <c r="K25" s="34" t="str">
        <f t="shared" si="0"/>
        <v>4043/4044</v>
      </c>
      <c r="L25" s="34" t="str">
        <f>VLOOKUP(A25,'Trips&amp;Operators'!$C$1:$E$10000,3,FALSE)</f>
        <v>YORK</v>
      </c>
      <c r="M25" s="6">
        <f t="shared" si="1"/>
        <v>3.3402777778974269E-2</v>
      </c>
      <c r="N25" s="7">
        <f t="shared" si="2"/>
        <v>48.100000001722947</v>
      </c>
      <c r="O25" s="7"/>
      <c r="P25" s="7"/>
      <c r="Q25" s="35"/>
      <c r="R25" s="35"/>
      <c r="S25" s="54">
        <f t="shared" si="3"/>
        <v>1</v>
      </c>
      <c r="T25" s="108" t="str">
        <f t="shared" si="4"/>
        <v>NorthBound</v>
      </c>
      <c r="U25" s="108">
        <f>COUNTIFS(Variables!$M$2:$M$19,IF(T25="NorthBound","&gt;=","&lt;=")&amp;Y25,Variables!$M$2:$M$19,IF(T25="NorthBound","&lt;=","&gt;=")&amp;Z25)</f>
        <v>12</v>
      </c>
      <c r="V25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05:00:09-0600',mode:absolute,to:'2016-07-06 05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116" t="str">
        <f t="shared" si="6"/>
        <v>N</v>
      </c>
      <c r="X25" s="116">
        <f t="shared" si="7"/>
        <v>1</v>
      </c>
      <c r="Y25" s="116">
        <f t="shared" si="8"/>
        <v>4.3700000000000003E-2</v>
      </c>
      <c r="Z25" s="116">
        <f t="shared" si="9"/>
        <v>23.328600000000002</v>
      </c>
      <c r="AA25" s="116">
        <f t="shared" si="10"/>
        <v>23.2849</v>
      </c>
      <c r="AB25" s="117" t="e">
        <f>VLOOKUP(A25,Enforcements!$C$7:$J$30,8,0)</f>
        <v>#N/A</v>
      </c>
      <c r="AC25" s="117" t="e">
        <f>VLOOKUP(A25,Enforcements!$C$7:$E$30,3,0)</f>
        <v>#N/A</v>
      </c>
      <c r="AD25" s="118" t="str">
        <f t="shared" si="11"/>
        <v>0113-06</v>
      </c>
      <c r="AE25" s="118" t="str">
        <f>"aws s3 cp "&amp;s3_bucket&amp;"/RTDC"&amp;B25&amp;"/"&amp;TEXT(F25,"YYYY-MM-DD")&amp;"/ "&amp;search_path&amp;"\RTDC"&amp;B25&amp;"\"&amp;TEXT(F25,"YYYY-MM-DD")&amp;" --recursive &amp; """&amp;walkandungz&amp;""" "&amp;search_path&amp;"\RTDC"&amp;B25&amp;"\"&amp;TEXT(F25,"YYYY-MM-DD")
&amp;" &amp; "&amp;"aws s3 cp "&amp;s3_bucket&amp;"/RTDC"&amp;B25&amp;"/"&amp;TEXT(F25+1,"YYYY-MM-DD")&amp;"/ "&amp;search_path&amp;"\RTDC"&amp;B25&amp;"\"&amp;TEXT(F25+1,"YYYY-MM-DD")&amp;" --recursive &amp; """&amp;walkandungz&amp;""" "&amp;search_path&amp;"\RTDC"&amp;B25&amp;"\"&amp;TEXT(F25+1,"YYYY-MM-DD")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25" s="118" t="str">
        <f>astrogrep_path&amp;" /spath="&amp;search_path&amp;" /stypes=""*"&amp;B25&amp;"*"&amp;TEXT(F25-utc_offset/24,"YYYYMMDD")&amp;"*"" /stext="" "&amp;TEXT(F25-utc_offset/24,"HH")&amp;search_regexp&amp;""" /e /r /s"</f>
        <v>"C:\Program Files (x86)\AstroGrep\AstroGrep.exe" /spath="C:\Users\stu\Documents\Analysis\2016-02-23 RTDC Observations" /stypes="*4044*20160706*" /stext=" 11:.+((prompt.+disp)|(slice.+state.+chan)|(ment ac)|(system.+state.+chan)|(\|lc)|(penalty)|(\[timeout))" /e /r /s</v>
      </c>
    </row>
    <row r="26" spans="1:32" s="1" customFormat="1" x14ac:dyDescent="0.25">
      <c r="A26" s="62" t="s">
        <v>328</v>
      </c>
      <c r="B26" s="34">
        <v>4043</v>
      </c>
      <c r="C26" s="34" t="s">
        <v>60</v>
      </c>
      <c r="D26" s="34" t="s">
        <v>224</v>
      </c>
      <c r="E26" s="20">
        <v>42557.244571759256</v>
      </c>
      <c r="F26" s="20">
        <v>42557.245289351849</v>
      </c>
      <c r="G26" s="23">
        <v>1</v>
      </c>
      <c r="H26" s="20" t="s">
        <v>91</v>
      </c>
      <c r="I26" s="20">
        <v>42557.283472222225</v>
      </c>
      <c r="J26" s="34">
        <v>1</v>
      </c>
      <c r="K26" s="34" t="str">
        <f t="shared" si="0"/>
        <v>4043/4044</v>
      </c>
      <c r="L26" s="34" t="str">
        <f>VLOOKUP(A26,'Trips&amp;Operators'!$C$1:$E$10000,3,FALSE)</f>
        <v>YORK</v>
      </c>
      <c r="M26" s="6">
        <f t="shared" si="1"/>
        <v>3.8182870375749189E-2</v>
      </c>
      <c r="N26" s="7">
        <f t="shared" si="2"/>
        <v>54.983333341078833</v>
      </c>
      <c r="O26" s="7"/>
      <c r="P26" s="7"/>
      <c r="Q26" s="35"/>
      <c r="R26" s="35"/>
      <c r="S26" s="54">
        <f t="shared" si="3"/>
        <v>1</v>
      </c>
      <c r="T26" s="108" t="str">
        <f t="shared" si="4"/>
        <v>Southbound</v>
      </c>
      <c r="U26" s="108">
        <f>COUNTIFS(Variables!$M$2:$M$19,IF(T26="NorthBound","&gt;=","&lt;=")&amp;Y26,Variables!$M$2:$M$19,IF(T26="NorthBound","&lt;=","&gt;=")&amp;Z26)</f>
        <v>12</v>
      </c>
      <c r="V26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05:51:11-0600',mode:absolute,to:'2016-07-06 06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116" t="str">
        <f t="shared" si="6"/>
        <v>N</v>
      </c>
      <c r="X26" s="116">
        <f t="shared" si="7"/>
        <v>1</v>
      </c>
      <c r="Y26" s="116">
        <f t="shared" si="8"/>
        <v>23.296299999999999</v>
      </c>
      <c r="Z26" s="116">
        <f t="shared" si="9"/>
        <v>1.4999999999999999E-2</v>
      </c>
      <c r="AA26" s="116">
        <f t="shared" si="10"/>
        <v>23.281299999999998</v>
      </c>
      <c r="AB26" s="117" t="e">
        <f>VLOOKUP(A26,Enforcements!$C$7:$J$30,8,0)</f>
        <v>#N/A</v>
      </c>
      <c r="AC26" s="117" t="e">
        <f>VLOOKUP(A26,Enforcements!$C$7:$E$30,3,0)</f>
        <v>#N/A</v>
      </c>
      <c r="AD26" s="118" t="str">
        <f t="shared" si="11"/>
        <v>0114-06</v>
      </c>
      <c r="AE26" s="118" t="str">
        <f>"aws s3 cp "&amp;s3_bucket&amp;"/RTDC"&amp;B26&amp;"/"&amp;TEXT(F26,"YYYY-MM-DD")&amp;"/ "&amp;search_path&amp;"\RTDC"&amp;B26&amp;"\"&amp;TEXT(F26,"YYYY-MM-DD")&amp;" --recursive &amp; """&amp;walkandungz&amp;""" "&amp;search_path&amp;"\RTDC"&amp;B26&amp;"\"&amp;TEXT(F26,"YYYY-MM-DD")
&amp;" &amp; "&amp;"aws s3 cp "&amp;s3_bucket&amp;"/RTDC"&amp;B26&amp;"/"&amp;TEXT(F26+1,"YYYY-MM-DD")&amp;"/ "&amp;search_path&amp;"\RTDC"&amp;B26&amp;"\"&amp;TEXT(F26+1,"YYYY-MM-DD")&amp;" --recursive &amp; """&amp;walkandungz&amp;""" "&amp;search_path&amp;"\RTDC"&amp;B26&amp;"\"&amp;TEXT(F26+1,"YYYY-MM-DD")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26" s="118" t="str">
        <f>astrogrep_path&amp;" /spath="&amp;search_path&amp;" /stypes=""*"&amp;B26&amp;"*"&amp;TEXT(F26-utc_offset/24,"YYYYMMDD")&amp;"*"" /stext="" "&amp;TEXT(F26-utc_offset/24,"HH")&amp;search_regexp&amp;""" /e /r /s"</f>
        <v>"C:\Program Files (x86)\AstroGrep\AstroGrep.exe" /spath="C:\Users\stu\Documents\Analysis\2016-02-23 RTDC Observations" /stypes="*4043*20160706*" /stext=" 11:.+((prompt.+disp)|(slice.+state.+chan)|(ment ac)|(system.+state.+chan)|(\|lc)|(penalty)|(\[timeout))" /e /r /s</v>
      </c>
    </row>
    <row r="27" spans="1:32" s="1" customFormat="1" x14ac:dyDescent="0.25">
      <c r="A27" s="62" t="s">
        <v>551</v>
      </c>
      <c r="B27" s="34">
        <v>4011</v>
      </c>
      <c r="C27" s="34" t="s">
        <v>60</v>
      </c>
      <c r="D27" s="34" t="s">
        <v>567</v>
      </c>
      <c r="E27" s="20">
        <v>42557.228483796294</v>
      </c>
      <c r="F27" s="20">
        <v>42557.229444444441</v>
      </c>
      <c r="G27" s="23">
        <v>1</v>
      </c>
      <c r="H27" s="20" t="s">
        <v>568</v>
      </c>
      <c r="I27" s="20">
        <v>42557.256574074076</v>
      </c>
      <c r="J27" s="34">
        <v>0</v>
      </c>
      <c r="K27" s="34" t="str">
        <f t="shared" si="0"/>
        <v>4011/4012</v>
      </c>
      <c r="L27" s="34" t="str">
        <f>VLOOKUP(A27,'Trips&amp;Operators'!$C$1:$E$10000,3,FALSE)</f>
        <v>ROCHA</v>
      </c>
      <c r="M27" s="6">
        <f t="shared" si="1"/>
        <v>2.7129629634146113E-2</v>
      </c>
      <c r="N27" s="7"/>
      <c r="O27" s="7"/>
      <c r="P27" s="7">
        <f t="shared" si="2"/>
        <v>39.066666673170403</v>
      </c>
      <c r="Q27" s="35"/>
      <c r="R27" s="35" t="s">
        <v>732</v>
      </c>
      <c r="S27" s="54">
        <f t="shared" si="3"/>
        <v>1</v>
      </c>
      <c r="T27" s="108" t="str">
        <f t="shared" si="4"/>
        <v>NorthBound</v>
      </c>
      <c r="U27" s="108">
        <f>COUNTIFS(Variables!$M$2:$M$19,IF(T27="NorthBound","&gt;=","&lt;=")&amp;Y27,Variables!$M$2:$M$19,IF(T27="NorthBound","&lt;=","&gt;=")&amp;Z27)</f>
        <v>12</v>
      </c>
      <c r="V27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05:28:01-0600',mode:absolute,to:'2016-07-06 06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7" s="116" t="str">
        <f t="shared" si="6"/>
        <v>Y</v>
      </c>
      <c r="X27" s="116">
        <f t="shared" si="7"/>
        <v>1</v>
      </c>
      <c r="Y27" s="116">
        <f t="shared" si="8"/>
        <v>8.6499999999999994E-2</v>
      </c>
      <c r="Z27" s="116">
        <f t="shared" si="9"/>
        <v>22.808700000000002</v>
      </c>
      <c r="AA27" s="116">
        <f t="shared" si="10"/>
        <v>22.722200000000001</v>
      </c>
      <c r="AB27" s="117" t="e">
        <f>VLOOKUP(A27,Enforcements!$C$7:$J$30,8,0)</f>
        <v>#N/A</v>
      </c>
      <c r="AC27" s="117" t="e">
        <f>VLOOKUP(A27,Enforcements!$C$7:$E$30,3,0)</f>
        <v>#N/A</v>
      </c>
      <c r="AD27" s="118" t="str">
        <f t="shared" si="11"/>
        <v>0115-06</v>
      </c>
      <c r="AE27" s="118" t="str">
        <f>"aws s3 cp "&amp;s3_bucket&amp;"/RTDC"&amp;B27&amp;"/"&amp;TEXT(F27,"YYYY-MM-DD")&amp;"/ "&amp;search_path&amp;"\RTDC"&amp;B27&amp;"\"&amp;TEXT(F27,"YYYY-MM-DD")&amp;" --recursive &amp; """&amp;walkandungz&amp;""" "&amp;search_path&amp;"\RTDC"&amp;B27&amp;"\"&amp;TEXT(F27,"YYYY-MM-DD")
&amp;" &amp; "&amp;"aws s3 cp "&amp;s3_bucket&amp;"/RTDC"&amp;B27&amp;"/"&amp;TEXT(F27+1,"YYYY-MM-DD")&amp;"/ "&amp;search_path&amp;"\RTDC"&amp;B27&amp;"\"&amp;TEXT(F27+1,"YYYY-MM-DD")&amp;" --recursive &amp; """&amp;walkandungz&amp;""" "&amp;search_path&amp;"\RTDC"&amp;B27&amp;"\"&amp;TEXT(F27+1,"YYYY-MM-DD")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27" s="118" t="str">
        <f>astrogrep_path&amp;" /spath="&amp;search_path&amp;" /stypes=""*"&amp;B27&amp;"*"&amp;TEXT(F27-utc_offset/24,"YYYYMMDD")&amp;"*"" /stext="" "&amp;TEXT(F27-utc_offset/24,"HH")&amp;search_regexp&amp;""" /e /r /s"</f>
        <v>"C:\Program Files (x86)\AstroGrep\AstroGrep.exe" /spath="C:\Users\stu\Documents\Analysis\2016-02-23 RTDC Observations" /stypes="*4011*20160706*" /stext=" 11:.+((prompt.+disp)|(slice.+state.+chan)|(ment ac)|(system.+state.+chan)|(\|lc)|(penalty)|(\[timeout))" /e /r /s</v>
      </c>
    </row>
    <row r="28" spans="1:32" s="1" customFormat="1" x14ac:dyDescent="0.25">
      <c r="A28" s="62" t="s">
        <v>513</v>
      </c>
      <c r="B28" s="34">
        <v>4012</v>
      </c>
      <c r="C28" s="34" t="s">
        <v>60</v>
      </c>
      <c r="D28" s="34" t="s">
        <v>569</v>
      </c>
      <c r="E28" s="20">
        <v>42557.264687499999</v>
      </c>
      <c r="F28" s="20">
        <v>42557.267233796294</v>
      </c>
      <c r="G28" s="23">
        <v>3</v>
      </c>
      <c r="H28" s="20" t="s">
        <v>570</v>
      </c>
      <c r="I28" s="20">
        <v>42557.28974537037</v>
      </c>
      <c r="J28" s="34">
        <v>0</v>
      </c>
      <c r="K28" s="34" t="str">
        <f t="shared" si="0"/>
        <v>4011/4012</v>
      </c>
      <c r="L28" s="34" t="str">
        <f>VLOOKUP(A28,'Trips&amp;Operators'!$C$1:$E$10000,3,FALSE)</f>
        <v>ROCHA</v>
      </c>
      <c r="M28" s="6">
        <f t="shared" si="1"/>
        <v>2.2511574075906537E-2</v>
      </c>
      <c r="N28" s="7"/>
      <c r="O28" s="7"/>
      <c r="P28" s="7">
        <f t="shared" si="2"/>
        <v>32.416666669305414</v>
      </c>
      <c r="Q28" s="35"/>
      <c r="R28" s="35" t="s">
        <v>733</v>
      </c>
      <c r="S28" s="54">
        <f t="shared" si="3"/>
        <v>1</v>
      </c>
      <c r="T28" s="108" t="str">
        <f t="shared" si="4"/>
        <v>Southbound</v>
      </c>
      <c r="U28" s="108">
        <f>COUNTIFS(Variables!$M$2:$M$19,IF(T28="NorthBound","&gt;=","&lt;=")&amp;Y28,Variables!$M$2:$M$19,IF(T28="NorthBound","&lt;=","&gt;=")&amp;Z28)</f>
        <v>12</v>
      </c>
      <c r="V28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06:20:09-0600',mode:absolute,to:'2016-07-06 06:58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8" s="116" t="str">
        <f t="shared" si="6"/>
        <v>Y</v>
      </c>
      <c r="X28" s="116">
        <f t="shared" si="7"/>
        <v>1</v>
      </c>
      <c r="Y28" s="116">
        <f t="shared" si="8"/>
        <v>23.297899999999998</v>
      </c>
      <c r="Z28" s="116">
        <f t="shared" si="9"/>
        <v>1.8773</v>
      </c>
      <c r="AA28" s="116">
        <f t="shared" si="10"/>
        <v>21.4206</v>
      </c>
      <c r="AB28" s="117" t="e">
        <f>VLOOKUP(A28,Enforcements!$C$7:$J$30,8,0)</f>
        <v>#N/A</v>
      </c>
      <c r="AC28" s="117" t="e">
        <f>VLOOKUP(A28,Enforcements!$C$7:$E$30,3,0)</f>
        <v>#N/A</v>
      </c>
      <c r="AD28" s="118" t="str">
        <f t="shared" si="11"/>
        <v>0116-06</v>
      </c>
      <c r="AE28" s="118" t="str">
        <f>"aws s3 cp "&amp;s3_bucket&amp;"/RTDC"&amp;B28&amp;"/"&amp;TEXT(F28,"YYYY-MM-DD")&amp;"/ "&amp;search_path&amp;"\RTDC"&amp;B28&amp;"\"&amp;TEXT(F28,"YYYY-MM-DD")&amp;" --recursive &amp; """&amp;walkandungz&amp;""" "&amp;search_path&amp;"\RTDC"&amp;B28&amp;"\"&amp;TEXT(F28,"YYYY-MM-DD")
&amp;" &amp; "&amp;"aws s3 cp "&amp;s3_bucket&amp;"/RTDC"&amp;B28&amp;"/"&amp;TEXT(F28+1,"YYYY-MM-DD")&amp;"/ "&amp;search_path&amp;"\RTDC"&amp;B28&amp;"\"&amp;TEXT(F28+1,"YYYY-MM-DD")&amp;" --recursive &amp; """&amp;walkandungz&amp;""" "&amp;search_path&amp;"\RTDC"&amp;B28&amp;"\"&amp;TEXT(F28+1,"YYYY-MM-DD")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28" s="118" t="str">
        <f>astrogrep_path&amp;" /spath="&amp;search_path&amp;" /stypes=""*"&amp;B28&amp;"*"&amp;TEXT(F28-utc_offset/24,"YYYYMMDD")&amp;"*"" /stext="" "&amp;TEXT(F28-utc_offset/24,"HH")&amp;search_regexp&amp;""" /e /r /s"</f>
        <v>"C:\Program Files (x86)\AstroGrep\AstroGrep.exe" /spath="C:\Users\stu\Documents\Analysis\2016-02-23 RTDC Observations" /stypes="*4012*20160706*" /stext=" 12:.+((prompt.+disp)|(slice.+state.+chan)|(ment ac)|(system.+state.+chan)|(\|lc)|(penalty)|(\[timeout))" /e /r /s</v>
      </c>
    </row>
    <row r="29" spans="1:32" s="1" customFormat="1" x14ac:dyDescent="0.25">
      <c r="A29" s="62" t="s">
        <v>397</v>
      </c>
      <c r="B29" s="34">
        <v>4014</v>
      </c>
      <c r="C29" s="34" t="s">
        <v>60</v>
      </c>
      <c r="D29" s="34" t="s">
        <v>571</v>
      </c>
      <c r="E29" s="20">
        <v>42557.234305555554</v>
      </c>
      <c r="F29" s="20">
        <v>42557.235543981478</v>
      </c>
      <c r="G29" s="23">
        <v>1</v>
      </c>
      <c r="H29" s="20" t="s">
        <v>201</v>
      </c>
      <c r="I29" s="20">
        <v>42557.264317129629</v>
      </c>
      <c r="J29" s="34">
        <v>0</v>
      </c>
      <c r="K29" s="34" t="str">
        <f t="shared" si="0"/>
        <v>4013/4014</v>
      </c>
      <c r="L29" s="34" t="str">
        <f>VLOOKUP(A29,'Trips&amp;Operators'!$C$1:$E$10000,3,FALSE)</f>
        <v>STARKS</v>
      </c>
      <c r="M29" s="6">
        <f t="shared" si="1"/>
        <v>2.8773148151230998E-2</v>
      </c>
      <c r="N29" s="7">
        <f t="shared" si="2"/>
        <v>41.433333337772638</v>
      </c>
      <c r="O29" s="7"/>
      <c r="P29" s="7"/>
      <c r="Q29" s="35"/>
      <c r="R29" s="35"/>
      <c r="S29" s="54">
        <f t="shared" si="3"/>
        <v>1</v>
      </c>
      <c r="T29" s="108" t="str">
        <f t="shared" si="4"/>
        <v>NorthBound</v>
      </c>
      <c r="U29" s="108">
        <f>COUNTIFS(Variables!$M$2:$M$19,IF(T29="NorthBound","&gt;=","&lt;=")&amp;Y29,Variables!$M$2:$M$19,IF(T29="NorthBound","&lt;=","&gt;=")&amp;Z29)</f>
        <v>12</v>
      </c>
      <c r="V29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05:36:24-0600',mode:absolute,to:'2016-07-06 06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9" s="116" t="str">
        <f t="shared" si="6"/>
        <v>N</v>
      </c>
      <c r="X29" s="116">
        <f t="shared" si="7"/>
        <v>1</v>
      </c>
      <c r="Y29" s="116">
        <f t="shared" si="8"/>
        <v>5.6399999999999999E-2</v>
      </c>
      <c r="Z29" s="116">
        <f t="shared" si="9"/>
        <v>23.328900000000001</v>
      </c>
      <c r="AA29" s="116">
        <f t="shared" si="10"/>
        <v>23.272500000000001</v>
      </c>
      <c r="AB29" s="117" t="e">
        <f>VLOOKUP(A29,Enforcements!$C$7:$J$30,8,0)</f>
        <v>#N/A</v>
      </c>
      <c r="AC29" s="117" t="e">
        <f>VLOOKUP(A29,Enforcements!$C$7:$E$30,3,0)</f>
        <v>#N/A</v>
      </c>
      <c r="AD29" s="118" t="str">
        <f t="shared" si="11"/>
        <v>0117-06</v>
      </c>
      <c r="AE29" s="118" t="str">
        <f>"aws s3 cp "&amp;s3_bucket&amp;"/RTDC"&amp;B29&amp;"/"&amp;TEXT(F29,"YYYY-MM-DD")&amp;"/ "&amp;search_path&amp;"\RTDC"&amp;B29&amp;"\"&amp;TEXT(F29,"YYYY-MM-DD")&amp;" --recursive &amp; """&amp;walkandungz&amp;""" "&amp;search_path&amp;"\RTDC"&amp;B29&amp;"\"&amp;TEXT(F29,"YYYY-MM-DD")
&amp;" &amp; "&amp;"aws s3 cp "&amp;s3_bucket&amp;"/RTDC"&amp;B29&amp;"/"&amp;TEXT(F29+1,"YYYY-MM-DD")&amp;"/ "&amp;search_path&amp;"\RTDC"&amp;B29&amp;"\"&amp;TEXT(F29+1,"YYYY-MM-DD")&amp;" --recursive &amp; """&amp;walkandungz&amp;""" "&amp;search_path&amp;"\RTDC"&amp;B29&amp;"\"&amp;TEXT(F29+1,"YYYY-MM-DD")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29" s="118" t="str">
        <f>astrogrep_path&amp;" /spath="&amp;search_path&amp;" /stypes=""*"&amp;B29&amp;"*"&amp;TEXT(F29-utc_offset/24,"YYYYMMDD")&amp;"*"" /stext="" "&amp;TEXT(F29-utc_offset/24,"HH")&amp;search_regexp&amp;""" /e /r /s"</f>
        <v>"C:\Program Files (x86)\AstroGrep\AstroGrep.exe" /spath="C:\Users\stu\Documents\Analysis\2016-02-23 RTDC Observations" /stypes="*4014*20160706*" /stext=" 11:.+((prompt.+disp)|(slice.+state.+chan)|(ment ac)|(system.+state.+chan)|(\|lc)|(penalty)|(\[timeout))" /e /r /s</v>
      </c>
    </row>
    <row r="30" spans="1:32" s="1" customFormat="1" x14ac:dyDescent="0.25">
      <c r="A30" s="62" t="s">
        <v>330</v>
      </c>
      <c r="B30" s="34">
        <v>4013</v>
      </c>
      <c r="C30" s="34" t="s">
        <v>60</v>
      </c>
      <c r="D30" s="34" t="s">
        <v>572</v>
      </c>
      <c r="E30" s="20">
        <v>42557.276736111111</v>
      </c>
      <c r="F30" s="20">
        <v>42557.278425925928</v>
      </c>
      <c r="G30" s="23">
        <v>2</v>
      </c>
      <c r="H30" s="20" t="s">
        <v>573</v>
      </c>
      <c r="I30" s="20">
        <v>42557.30537037037</v>
      </c>
      <c r="J30" s="34">
        <v>1</v>
      </c>
      <c r="K30" s="34" t="str">
        <f t="shared" si="0"/>
        <v>4013/4014</v>
      </c>
      <c r="L30" s="34" t="str">
        <f>VLOOKUP(A30,'Trips&amp;Operators'!$C$1:$E$10000,3,FALSE)</f>
        <v>STARKS</v>
      </c>
      <c r="M30" s="6">
        <f t="shared" si="1"/>
        <v>2.6944444442051463E-2</v>
      </c>
      <c r="N30" s="7">
        <f t="shared" si="2"/>
        <v>38.799999996554106</v>
      </c>
      <c r="O30" s="7"/>
      <c r="P30" s="7"/>
      <c r="Q30" s="35"/>
      <c r="R30" s="35"/>
      <c r="S30" s="54">
        <f t="shared" si="3"/>
        <v>1</v>
      </c>
      <c r="T30" s="108" t="str">
        <f t="shared" si="4"/>
        <v>Southbound</v>
      </c>
      <c r="U30" s="108">
        <f>COUNTIFS(Variables!$M$2:$M$19,IF(T30="NorthBound","&gt;=","&lt;=")&amp;Y30,Variables!$M$2:$M$19,IF(T30="NorthBound","&lt;=","&gt;=")&amp;Z30)</f>
        <v>12</v>
      </c>
      <c r="V30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06:37:30-0600',mode:absolute,to:'2016-07-06 07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0" s="116" t="str">
        <f t="shared" si="6"/>
        <v>N</v>
      </c>
      <c r="X30" s="116">
        <f t="shared" si="7"/>
        <v>1</v>
      </c>
      <c r="Y30" s="116">
        <f t="shared" si="8"/>
        <v>23.296500000000002</v>
      </c>
      <c r="Z30" s="116">
        <f t="shared" si="9"/>
        <v>3.4000000000000002E-2</v>
      </c>
      <c r="AA30" s="116">
        <f t="shared" si="10"/>
        <v>23.262500000000003</v>
      </c>
      <c r="AB30" s="117" t="e">
        <f>VLOOKUP(A30,Enforcements!$C$7:$J$30,8,0)</f>
        <v>#N/A</v>
      </c>
      <c r="AC30" s="117" t="e">
        <f>VLOOKUP(A30,Enforcements!$C$7:$E$30,3,0)</f>
        <v>#N/A</v>
      </c>
      <c r="AD30" s="118" t="str">
        <f t="shared" si="11"/>
        <v>0118-06</v>
      </c>
      <c r="AE30" s="118" t="str">
        <f>"aws s3 cp "&amp;s3_bucket&amp;"/RTDC"&amp;B30&amp;"/"&amp;TEXT(F30,"YYYY-MM-DD")&amp;"/ "&amp;search_path&amp;"\RTDC"&amp;B30&amp;"\"&amp;TEXT(F30,"YYYY-MM-DD")&amp;" --recursive &amp; """&amp;walkandungz&amp;""" "&amp;search_path&amp;"\RTDC"&amp;B30&amp;"\"&amp;TEXT(F30,"YYYY-MM-DD")
&amp;" &amp; "&amp;"aws s3 cp "&amp;s3_bucket&amp;"/RTDC"&amp;B30&amp;"/"&amp;TEXT(F30+1,"YYYY-MM-DD")&amp;"/ "&amp;search_path&amp;"\RTDC"&amp;B30&amp;"\"&amp;TEXT(F30+1,"YYYY-MM-DD")&amp;" --recursive &amp; """&amp;walkandungz&amp;""" "&amp;search_path&amp;"\RTDC"&amp;B30&amp;"\"&amp;TEXT(F30+1,"YYYY-MM-DD")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30" s="118" t="str">
        <f>astrogrep_path&amp;" /spath="&amp;search_path&amp;" /stypes=""*"&amp;B30&amp;"*"&amp;TEXT(F30-utc_offset/24,"YYYYMMDD")&amp;"*"" /stext="" "&amp;TEXT(F30-utc_offset/24,"HH")&amp;search_regexp&amp;""" /e /r /s"</f>
        <v>"C:\Program Files (x86)\AstroGrep\AstroGrep.exe" /spath="C:\Users\stu\Documents\Analysis\2016-02-23 RTDC Observations" /stypes="*4013*20160706*" /stext=" 12:.+((prompt.+disp)|(slice.+state.+chan)|(ment ac)|(system.+state.+chan)|(\|lc)|(penalty)|(\[timeout))" /e /r /s</v>
      </c>
    </row>
    <row r="31" spans="1:32" s="1" customFormat="1" x14ac:dyDescent="0.25">
      <c r="A31" s="62" t="s">
        <v>435</v>
      </c>
      <c r="B31" s="34">
        <v>4025</v>
      </c>
      <c r="C31" s="34" t="s">
        <v>60</v>
      </c>
      <c r="D31" s="34" t="s">
        <v>574</v>
      </c>
      <c r="E31" s="20">
        <v>42557.247997685183</v>
      </c>
      <c r="F31" s="20">
        <v>42557.249027777776</v>
      </c>
      <c r="G31" s="23">
        <v>1</v>
      </c>
      <c r="H31" s="20" t="s">
        <v>85</v>
      </c>
      <c r="I31" s="20">
        <v>42557.275555555556</v>
      </c>
      <c r="J31" s="34">
        <v>0</v>
      </c>
      <c r="K31" s="34" t="str">
        <f t="shared" si="0"/>
        <v>4025/4026</v>
      </c>
      <c r="L31" s="34" t="str">
        <f>VLOOKUP(A31,'Trips&amp;Operators'!$C$1:$E$10000,3,FALSE)</f>
        <v>MOSES</v>
      </c>
      <c r="M31" s="6">
        <f t="shared" si="1"/>
        <v>2.6527777779847383E-2</v>
      </c>
      <c r="N31" s="7">
        <f t="shared" si="2"/>
        <v>38.200000002980232</v>
      </c>
      <c r="O31" s="7"/>
      <c r="P31" s="7"/>
      <c r="Q31" s="35"/>
      <c r="R31" s="35"/>
      <c r="S31" s="54">
        <f t="shared" si="3"/>
        <v>1</v>
      </c>
      <c r="T31" s="108" t="str">
        <f t="shared" si="4"/>
        <v>NorthBound</v>
      </c>
      <c r="U31" s="108">
        <f>COUNTIFS(Variables!$M$2:$M$19,IF(T31="NorthBound","&gt;=","&lt;=")&amp;Y31,Variables!$M$2:$M$19,IF(T31="NorthBound","&lt;=","&gt;=")&amp;Z31)</f>
        <v>12</v>
      </c>
      <c r="V31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05:56:07-0600',mode:absolute,to:'2016-07-06 06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1" s="116" t="str">
        <f t="shared" si="6"/>
        <v>N</v>
      </c>
      <c r="X31" s="116">
        <f t="shared" si="7"/>
        <v>1</v>
      </c>
      <c r="Y31" s="116">
        <f t="shared" si="8"/>
        <v>7.2800000000000004E-2</v>
      </c>
      <c r="Z31" s="116">
        <f t="shared" si="9"/>
        <v>23.329499999999999</v>
      </c>
      <c r="AA31" s="116">
        <f t="shared" si="10"/>
        <v>23.256699999999999</v>
      </c>
      <c r="AB31" s="117" t="e">
        <f>VLOOKUP(A31,Enforcements!$C$7:$J$30,8,0)</f>
        <v>#N/A</v>
      </c>
      <c r="AC31" s="117" t="e">
        <f>VLOOKUP(A31,Enforcements!$C$7:$E$30,3,0)</f>
        <v>#N/A</v>
      </c>
      <c r="AD31" s="118" t="str">
        <f t="shared" si="11"/>
        <v>0119-06</v>
      </c>
      <c r="AE31" s="118" t="str">
        <f>"aws s3 cp "&amp;s3_bucket&amp;"/RTDC"&amp;B31&amp;"/"&amp;TEXT(F31,"YYYY-MM-DD")&amp;"/ "&amp;search_path&amp;"\RTDC"&amp;B31&amp;"\"&amp;TEXT(F31,"YYYY-MM-DD")&amp;" --recursive &amp; """&amp;walkandungz&amp;""" "&amp;search_path&amp;"\RTDC"&amp;B31&amp;"\"&amp;TEXT(F31,"YYYY-MM-DD")
&amp;" &amp; "&amp;"aws s3 cp "&amp;s3_bucket&amp;"/RTDC"&amp;B31&amp;"/"&amp;TEXT(F31+1,"YYYY-MM-DD")&amp;"/ "&amp;search_path&amp;"\RTDC"&amp;B31&amp;"\"&amp;TEXT(F31+1,"YYYY-MM-DD")&amp;" --recursive &amp; """&amp;walkandungz&amp;""" "&amp;search_path&amp;"\RTDC"&amp;B31&amp;"\"&amp;TEXT(F31+1,"YYYY-MM-DD")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31" s="118" t="str">
        <f>astrogrep_path&amp;" /spath="&amp;search_path&amp;" /stypes=""*"&amp;B31&amp;"*"&amp;TEXT(F31-utc_offset/24,"YYYYMMDD")&amp;"*"" /stext="" "&amp;TEXT(F31-utc_offset/24,"HH")&amp;search_regexp&amp;""" /e /r /s"</f>
        <v>"C:\Program Files (x86)\AstroGrep\AstroGrep.exe" /spath="C:\Users\stu\Documents\Analysis\2016-02-23 RTDC Observations" /stypes="*4025*20160706*" /stext=" 11:.+((prompt.+disp)|(slice.+state.+chan)|(ment ac)|(system.+state.+chan)|(\|lc)|(penalty)|(\[timeout))" /e /r /s</v>
      </c>
    </row>
    <row r="32" spans="1:32" s="1" customFormat="1" x14ac:dyDescent="0.25">
      <c r="A32" s="62" t="s">
        <v>428</v>
      </c>
      <c r="B32" s="34">
        <v>4026</v>
      </c>
      <c r="C32" s="34" t="s">
        <v>60</v>
      </c>
      <c r="D32" s="34" t="s">
        <v>562</v>
      </c>
      <c r="E32" s="20">
        <v>42557.284675925926</v>
      </c>
      <c r="F32" s="20">
        <v>42557.286817129629</v>
      </c>
      <c r="G32" s="23">
        <v>3</v>
      </c>
      <c r="H32" s="20" t="s">
        <v>62</v>
      </c>
      <c r="I32" s="20">
        <v>42557.314965277779</v>
      </c>
      <c r="J32" s="34">
        <v>0</v>
      </c>
      <c r="K32" s="34" t="str">
        <f t="shared" si="0"/>
        <v>4025/4026</v>
      </c>
      <c r="L32" s="34" t="str">
        <f>VLOOKUP(A32,'Trips&amp;Operators'!$C$1:$E$10000,3,FALSE)</f>
        <v>MOSES</v>
      </c>
      <c r="M32" s="6">
        <f t="shared" si="1"/>
        <v>2.8148148150648922E-2</v>
      </c>
      <c r="N32" s="7">
        <f t="shared" si="2"/>
        <v>40.533333336934447</v>
      </c>
      <c r="O32" s="7"/>
      <c r="P32" s="7"/>
      <c r="Q32" s="35"/>
      <c r="R32" s="35"/>
      <c r="S32" s="54">
        <f t="shared" si="3"/>
        <v>1</v>
      </c>
      <c r="T32" s="108" t="str">
        <f t="shared" si="4"/>
        <v>Southbound</v>
      </c>
      <c r="U32" s="108">
        <f>COUNTIFS(Variables!$M$2:$M$19,IF(T32="NorthBound","&gt;=","&lt;=")&amp;Y32,Variables!$M$2:$M$19,IF(T32="NorthBound","&lt;=","&gt;=")&amp;Z32)</f>
        <v>12</v>
      </c>
      <c r="V32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06:48:56-0600',mode:absolute,to:'2016-07-06 07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2" s="116" t="str">
        <f t="shared" si="6"/>
        <v>N</v>
      </c>
      <c r="X32" s="116">
        <f t="shared" si="7"/>
        <v>1</v>
      </c>
      <c r="Y32" s="116">
        <f t="shared" si="8"/>
        <v>23.298100000000002</v>
      </c>
      <c r="Z32" s="116">
        <f t="shared" si="9"/>
        <v>1.52E-2</v>
      </c>
      <c r="AA32" s="116">
        <f t="shared" si="10"/>
        <v>23.282900000000001</v>
      </c>
      <c r="AB32" s="117" t="e">
        <f>VLOOKUP(A32,Enforcements!$C$7:$J$30,8,0)</f>
        <v>#N/A</v>
      </c>
      <c r="AC32" s="117" t="e">
        <f>VLOOKUP(A32,Enforcements!$C$7:$E$30,3,0)</f>
        <v>#N/A</v>
      </c>
      <c r="AD32" s="118" t="str">
        <f t="shared" si="11"/>
        <v>0120-06</v>
      </c>
      <c r="AE32" s="118" t="str">
        <f>"aws s3 cp "&amp;s3_bucket&amp;"/RTDC"&amp;B32&amp;"/"&amp;TEXT(F32,"YYYY-MM-DD")&amp;"/ "&amp;search_path&amp;"\RTDC"&amp;B32&amp;"\"&amp;TEXT(F32,"YYYY-MM-DD")&amp;" --recursive &amp; """&amp;walkandungz&amp;""" "&amp;search_path&amp;"\RTDC"&amp;B32&amp;"\"&amp;TEXT(F32,"YYYY-MM-DD")
&amp;" &amp; "&amp;"aws s3 cp "&amp;s3_bucket&amp;"/RTDC"&amp;B32&amp;"/"&amp;TEXT(F32+1,"YYYY-MM-DD")&amp;"/ "&amp;search_path&amp;"\RTDC"&amp;B32&amp;"\"&amp;TEXT(F32+1,"YYYY-MM-DD")&amp;" --recursive &amp; """&amp;walkandungz&amp;""" "&amp;search_path&amp;"\RTDC"&amp;B32&amp;"\"&amp;TEXT(F32+1,"YYYY-MM-DD")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32" s="118" t="str">
        <f>astrogrep_path&amp;" /spath="&amp;search_path&amp;" /stypes=""*"&amp;B32&amp;"*"&amp;TEXT(F32-utc_offset/24,"YYYYMMDD")&amp;"*"" /stext="" "&amp;TEXT(F32-utc_offset/24,"HH")&amp;search_regexp&amp;""" /e /r /s"</f>
        <v>"C:\Program Files (x86)\AstroGrep\AstroGrep.exe" /spath="C:\Users\stu\Documents\Analysis\2016-02-23 RTDC Observations" /stypes="*4026*20160706*" /stext=" 12:.+((prompt.+disp)|(slice.+state.+chan)|(ment ac)|(system.+state.+chan)|(\|lc)|(penalty)|(\[timeout))" /e /r /s</v>
      </c>
    </row>
    <row r="33" spans="1:32" s="1" customFormat="1" x14ac:dyDescent="0.25">
      <c r="A33" s="62" t="s">
        <v>430</v>
      </c>
      <c r="B33" s="34">
        <v>4040</v>
      </c>
      <c r="C33" s="34" t="s">
        <v>60</v>
      </c>
      <c r="D33" s="34" t="s">
        <v>78</v>
      </c>
      <c r="E33" s="20">
        <v>42557.256423611114</v>
      </c>
      <c r="F33" s="20">
        <v>42557.257534722223</v>
      </c>
      <c r="G33" s="23">
        <v>1</v>
      </c>
      <c r="H33" s="20" t="s">
        <v>301</v>
      </c>
      <c r="I33" s="20">
        <v>42557.285381944443</v>
      </c>
      <c r="J33" s="34">
        <v>0</v>
      </c>
      <c r="K33" s="34" t="str">
        <f t="shared" si="0"/>
        <v>4039/4040</v>
      </c>
      <c r="L33" s="34" t="str">
        <f>VLOOKUP(A33,'Trips&amp;Operators'!$C$1:$E$10000,3,FALSE)</f>
        <v>YANAI</v>
      </c>
      <c r="M33" s="6">
        <f t="shared" si="1"/>
        <v>2.7847222219861578E-2</v>
      </c>
      <c r="N33" s="7">
        <f t="shared" si="2"/>
        <v>40.099999996600673</v>
      </c>
      <c r="O33" s="7"/>
      <c r="P33" s="7"/>
      <c r="Q33" s="35"/>
      <c r="R33" s="35"/>
      <c r="S33" s="54">
        <f t="shared" si="3"/>
        <v>1</v>
      </c>
      <c r="T33" s="108" t="str">
        <f t="shared" si="4"/>
        <v>NorthBound</v>
      </c>
      <c r="U33" s="108">
        <f>COUNTIFS(Variables!$M$2:$M$19,IF(T33="NorthBound","&gt;=","&lt;=")&amp;Y33,Variables!$M$2:$M$19,IF(T33="NorthBound","&lt;=","&gt;=")&amp;Z33)</f>
        <v>12</v>
      </c>
      <c r="V33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06:08:15-0600',mode:absolute,to:'2016-07-06 06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116" t="str">
        <f t="shared" si="6"/>
        <v>N</v>
      </c>
      <c r="X33" s="116">
        <f t="shared" si="7"/>
        <v>1</v>
      </c>
      <c r="Y33" s="116">
        <f t="shared" si="8"/>
        <v>4.6399999999999997E-2</v>
      </c>
      <c r="Z33" s="116">
        <f t="shared" si="9"/>
        <v>23.329699999999999</v>
      </c>
      <c r="AA33" s="116">
        <f t="shared" si="10"/>
        <v>23.283300000000001</v>
      </c>
      <c r="AB33" s="117" t="e">
        <f>VLOOKUP(A33,Enforcements!$C$7:$J$30,8,0)</f>
        <v>#N/A</v>
      </c>
      <c r="AC33" s="117" t="e">
        <f>VLOOKUP(A33,Enforcements!$C$7:$E$30,3,0)</f>
        <v>#N/A</v>
      </c>
      <c r="AD33" s="118" t="str">
        <f t="shared" si="11"/>
        <v>0121-06</v>
      </c>
      <c r="AE33" s="118" t="str">
        <f>"aws s3 cp "&amp;s3_bucket&amp;"/RTDC"&amp;B33&amp;"/"&amp;TEXT(F33,"YYYY-MM-DD")&amp;"/ "&amp;search_path&amp;"\RTDC"&amp;B33&amp;"\"&amp;TEXT(F33,"YYYY-MM-DD")&amp;" --recursive &amp; """&amp;walkandungz&amp;""" "&amp;search_path&amp;"\RTDC"&amp;B33&amp;"\"&amp;TEXT(F33,"YYYY-MM-DD")
&amp;" &amp; "&amp;"aws s3 cp "&amp;s3_bucket&amp;"/RTDC"&amp;B33&amp;"/"&amp;TEXT(F33+1,"YYYY-MM-DD")&amp;"/ "&amp;search_path&amp;"\RTDC"&amp;B33&amp;"\"&amp;TEXT(F33+1,"YYYY-MM-DD")&amp;" --recursive &amp; """&amp;walkandungz&amp;""" "&amp;search_path&amp;"\RTDC"&amp;B33&amp;"\"&amp;TEXT(F33+1,"YYYY-MM-DD")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33" s="118" t="str">
        <f>astrogrep_path&amp;" /spath="&amp;search_path&amp;" /stypes=""*"&amp;B33&amp;"*"&amp;TEXT(F33-utc_offset/24,"YYYYMMDD")&amp;"*"" /stext="" "&amp;TEXT(F33-utc_offset/24,"HH")&amp;search_regexp&amp;""" /e /r /s"</f>
        <v>"C:\Program Files (x86)\AstroGrep\AstroGrep.exe" /spath="C:\Users\stu\Documents\Analysis\2016-02-23 RTDC Observations" /stypes="*4040*20160706*" /stext=" 12:.+((prompt.+disp)|(slice.+state.+chan)|(ment ac)|(system.+state.+chan)|(\|lc)|(penalty)|(\[timeout))" /e /r /s</v>
      </c>
    </row>
    <row r="34" spans="1:32" s="1" customFormat="1" x14ac:dyDescent="0.25">
      <c r="A34" s="62" t="s">
        <v>333</v>
      </c>
      <c r="B34" s="34">
        <v>4039</v>
      </c>
      <c r="C34" s="34" t="s">
        <v>60</v>
      </c>
      <c r="D34" s="34" t="s">
        <v>158</v>
      </c>
      <c r="E34" s="20">
        <v>42557.293761574074</v>
      </c>
      <c r="F34" s="20">
        <v>42557.294606481482</v>
      </c>
      <c r="G34" s="23">
        <v>1</v>
      </c>
      <c r="H34" s="20" t="s">
        <v>575</v>
      </c>
      <c r="I34" s="20">
        <v>42557.325833333336</v>
      </c>
      <c r="J34" s="34">
        <v>1</v>
      </c>
      <c r="K34" s="34" t="str">
        <f t="shared" si="0"/>
        <v>4039/4040</v>
      </c>
      <c r="L34" s="34" t="str">
        <f>VLOOKUP(A34,'Trips&amp;Operators'!$C$1:$E$10000,3,FALSE)</f>
        <v>MAELZER</v>
      </c>
      <c r="M34" s="6">
        <f t="shared" si="1"/>
        <v>3.1226851853716653E-2</v>
      </c>
      <c r="N34" s="7">
        <f t="shared" si="2"/>
        <v>44.96666666935198</v>
      </c>
      <c r="O34" s="7"/>
      <c r="P34" s="7"/>
      <c r="Q34" s="35"/>
      <c r="R34" s="35"/>
      <c r="S34" s="54">
        <f t="shared" si="3"/>
        <v>1</v>
      </c>
      <c r="T34" s="108" t="str">
        <f t="shared" si="4"/>
        <v>Southbound</v>
      </c>
      <c r="U34" s="108">
        <f>COUNTIFS(Variables!$M$2:$M$19,IF(T34="NorthBound","&gt;=","&lt;=")&amp;Y34,Variables!$M$2:$M$19,IF(T34="NorthBound","&lt;=","&gt;=")&amp;Z34)</f>
        <v>12</v>
      </c>
      <c r="V34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07:02:01-0600',mode:absolute,to:'2016-07-06 07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116" t="str">
        <f t="shared" si="6"/>
        <v>N</v>
      </c>
      <c r="X34" s="116">
        <f t="shared" si="7"/>
        <v>1</v>
      </c>
      <c r="Y34" s="116">
        <f t="shared" si="8"/>
        <v>23.296900000000001</v>
      </c>
      <c r="Z34" s="116">
        <f t="shared" si="9"/>
        <v>3.5999999999999997E-2</v>
      </c>
      <c r="AA34" s="116">
        <f t="shared" si="10"/>
        <v>23.260899999999999</v>
      </c>
      <c r="AB34" s="117" t="e">
        <f>VLOOKUP(A34,Enforcements!$C$7:$J$30,8,0)</f>
        <v>#N/A</v>
      </c>
      <c r="AC34" s="117" t="e">
        <f>VLOOKUP(A34,Enforcements!$C$7:$E$30,3,0)</f>
        <v>#N/A</v>
      </c>
      <c r="AD34" s="118" t="str">
        <f t="shared" si="11"/>
        <v>0122-06</v>
      </c>
      <c r="AE34" s="118" t="str">
        <f>"aws s3 cp "&amp;s3_bucket&amp;"/RTDC"&amp;B34&amp;"/"&amp;TEXT(F34,"YYYY-MM-DD")&amp;"/ "&amp;search_path&amp;"\RTDC"&amp;B34&amp;"\"&amp;TEXT(F34,"YYYY-MM-DD")&amp;" --recursive &amp; """&amp;walkandungz&amp;""" "&amp;search_path&amp;"\RTDC"&amp;B34&amp;"\"&amp;TEXT(F34,"YYYY-MM-DD")
&amp;" &amp; "&amp;"aws s3 cp "&amp;s3_bucket&amp;"/RTDC"&amp;B34&amp;"/"&amp;TEXT(F34+1,"YYYY-MM-DD")&amp;"/ "&amp;search_path&amp;"\RTDC"&amp;B34&amp;"\"&amp;TEXT(F34+1,"YYYY-MM-DD")&amp;" --recursive &amp; """&amp;walkandungz&amp;""" "&amp;search_path&amp;"\RTDC"&amp;B34&amp;"\"&amp;TEXT(F34+1,"YYYY-MM-DD")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34" s="118" t="str">
        <f>astrogrep_path&amp;" /spath="&amp;search_path&amp;" /stypes=""*"&amp;B34&amp;"*"&amp;TEXT(F34-utc_offset/24,"YYYYMMDD")&amp;"*"" /stext="" "&amp;TEXT(F34-utc_offset/24,"HH")&amp;search_regexp&amp;""" /e /r /s"</f>
        <v>"C:\Program Files (x86)\AstroGrep\AstroGrep.exe" /spath="C:\Users\stu\Documents\Analysis\2016-02-23 RTDC Observations" /stypes="*4039*20160706*" /stext=" 13:.+((prompt.+disp)|(slice.+state.+chan)|(ment ac)|(system.+state.+chan)|(\|lc)|(penalty)|(\[timeout))" /e /r /s</v>
      </c>
    </row>
    <row r="35" spans="1:32" s="1" customFormat="1" x14ac:dyDescent="0.25">
      <c r="A35" s="62" t="s">
        <v>329</v>
      </c>
      <c r="B35" s="34">
        <v>4031</v>
      </c>
      <c r="C35" s="34" t="s">
        <v>60</v>
      </c>
      <c r="D35" s="34" t="s">
        <v>184</v>
      </c>
      <c r="E35" s="20">
        <v>42557.266562500001</v>
      </c>
      <c r="F35" s="20">
        <v>42557.267743055556</v>
      </c>
      <c r="G35" s="23">
        <v>1</v>
      </c>
      <c r="H35" s="20" t="s">
        <v>576</v>
      </c>
      <c r="I35" s="20">
        <v>42557.295671296299</v>
      </c>
      <c r="J35" s="34">
        <v>1</v>
      </c>
      <c r="K35" s="34" t="str">
        <f t="shared" si="0"/>
        <v>4031/4032</v>
      </c>
      <c r="L35" s="34" t="str">
        <f>VLOOKUP(A35,'Trips&amp;Operators'!$C$1:$E$10000,3,FALSE)</f>
        <v>NEWELL</v>
      </c>
      <c r="M35" s="6">
        <f t="shared" si="1"/>
        <v>2.792824074276723E-2</v>
      </c>
      <c r="N35" s="7">
        <f t="shared" si="2"/>
        <v>40.216666669584811</v>
      </c>
      <c r="O35" s="7"/>
      <c r="P35" s="7"/>
      <c r="Q35" s="35"/>
      <c r="R35" s="35"/>
      <c r="S35" s="54">
        <f t="shared" si="3"/>
        <v>1</v>
      </c>
      <c r="T35" s="108" t="str">
        <f t="shared" si="4"/>
        <v>NorthBound</v>
      </c>
      <c r="U35" s="108">
        <f>COUNTIFS(Variables!$M$2:$M$19,IF(T35="NorthBound","&gt;=","&lt;=")&amp;Y35,Variables!$M$2:$M$19,IF(T35="NorthBound","&lt;=","&gt;=")&amp;Z35)</f>
        <v>12</v>
      </c>
      <c r="V35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06:22:51-0600',mode:absolute,to:'2016-07-06 07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5" s="116" t="str">
        <f t="shared" si="6"/>
        <v>N</v>
      </c>
      <c r="X35" s="116">
        <f t="shared" si="7"/>
        <v>1</v>
      </c>
      <c r="Y35" s="116">
        <f t="shared" si="8"/>
        <v>4.3499999999999997E-2</v>
      </c>
      <c r="Z35" s="116">
        <f t="shared" si="9"/>
        <v>23.333100000000002</v>
      </c>
      <c r="AA35" s="116">
        <f t="shared" si="10"/>
        <v>23.2896</v>
      </c>
      <c r="AB35" s="117" t="e">
        <f>VLOOKUP(A35,Enforcements!$C$7:$J$30,8,0)</f>
        <v>#N/A</v>
      </c>
      <c r="AC35" s="117" t="e">
        <f>VLOOKUP(A35,Enforcements!$C$7:$E$30,3,0)</f>
        <v>#N/A</v>
      </c>
      <c r="AD35" s="118" t="str">
        <f t="shared" si="11"/>
        <v>0123-06</v>
      </c>
      <c r="AE35" s="118" t="str">
        <f>"aws s3 cp "&amp;s3_bucket&amp;"/RTDC"&amp;B35&amp;"/"&amp;TEXT(F35,"YYYY-MM-DD")&amp;"/ "&amp;search_path&amp;"\RTDC"&amp;B35&amp;"\"&amp;TEXT(F35,"YYYY-MM-DD")&amp;" --recursive &amp; """&amp;walkandungz&amp;""" "&amp;search_path&amp;"\RTDC"&amp;B35&amp;"\"&amp;TEXT(F35,"YYYY-MM-DD")
&amp;" &amp; "&amp;"aws s3 cp "&amp;s3_bucket&amp;"/RTDC"&amp;B35&amp;"/"&amp;TEXT(F35+1,"YYYY-MM-DD")&amp;"/ "&amp;search_path&amp;"\RTDC"&amp;B35&amp;"\"&amp;TEXT(F35+1,"YYYY-MM-DD")&amp;" --recursive &amp; """&amp;walkandungz&amp;""" "&amp;search_path&amp;"\RTDC"&amp;B35&amp;"\"&amp;TEXT(F35+1,"YYYY-MM-DD")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35" s="118" t="str">
        <f>astrogrep_path&amp;" /spath="&amp;search_path&amp;" /stypes=""*"&amp;B35&amp;"*"&amp;TEXT(F35-utc_offset/24,"YYYYMMDD")&amp;"*"" /stext="" "&amp;TEXT(F35-utc_offset/24,"HH")&amp;search_regexp&amp;""" /e /r /s"</f>
        <v>"C:\Program Files (x86)\AstroGrep\AstroGrep.exe" /spath="C:\Users\stu\Documents\Analysis\2016-02-23 RTDC Observations" /stypes="*4031*20160706*" /stext=" 12:.+((prompt.+disp)|(slice.+state.+chan)|(ment ac)|(system.+state.+chan)|(\|lc)|(penalty)|(\[timeout))" /e /r /s</v>
      </c>
    </row>
    <row r="36" spans="1:32" s="1" customFormat="1" x14ac:dyDescent="0.25">
      <c r="A36" s="62" t="s">
        <v>519</v>
      </c>
      <c r="B36" s="34">
        <v>4032</v>
      </c>
      <c r="C36" s="34" t="s">
        <v>60</v>
      </c>
      <c r="D36" s="34" t="s">
        <v>577</v>
      </c>
      <c r="E36" s="20">
        <v>42557.304340277777</v>
      </c>
      <c r="F36" s="20">
        <v>42557.305347222224</v>
      </c>
      <c r="G36" s="23">
        <v>1</v>
      </c>
      <c r="H36" s="20" t="s">
        <v>287</v>
      </c>
      <c r="I36" s="20">
        <v>42557.335694444446</v>
      </c>
      <c r="J36" s="34">
        <v>0</v>
      </c>
      <c r="K36" s="34" t="str">
        <f t="shared" si="0"/>
        <v>4031/4032</v>
      </c>
      <c r="L36" s="34" t="str">
        <f>VLOOKUP(A36,'Trips&amp;Operators'!$C$1:$E$10000,3,FALSE)</f>
        <v>NEWELL</v>
      </c>
      <c r="M36" s="6">
        <f t="shared" si="1"/>
        <v>3.0347222222189885E-2</v>
      </c>
      <c r="N36" s="7">
        <f t="shared" si="2"/>
        <v>43.699999999953434</v>
      </c>
      <c r="O36" s="7"/>
      <c r="P36" s="7"/>
      <c r="Q36" s="35"/>
      <c r="R36" s="35"/>
      <c r="S36" s="54">
        <f t="shared" si="3"/>
        <v>1</v>
      </c>
      <c r="T36" s="108" t="str">
        <f t="shared" si="4"/>
        <v>Southbound</v>
      </c>
      <c r="U36" s="108">
        <f>COUNTIFS(Variables!$M$2:$M$19,IF(T36="NorthBound","&gt;=","&lt;=")&amp;Y36,Variables!$M$2:$M$19,IF(T36="NorthBound","&lt;=","&gt;=")&amp;Z36)</f>
        <v>12</v>
      </c>
      <c r="V36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07:17:15-0600',mode:absolute,to:'2016-07-06 08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6" s="116" t="str">
        <f t="shared" si="6"/>
        <v>N</v>
      </c>
      <c r="X36" s="116">
        <f t="shared" si="7"/>
        <v>1</v>
      </c>
      <c r="Y36" s="116">
        <f t="shared" si="8"/>
        <v>23.301300000000001</v>
      </c>
      <c r="Z36" s="116">
        <f t="shared" si="9"/>
        <v>1.3899999999999999E-2</v>
      </c>
      <c r="AA36" s="116">
        <f t="shared" si="10"/>
        <v>23.287400000000002</v>
      </c>
      <c r="AB36" s="117" t="e">
        <f>VLOOKUP(A36,Enforcements!$C$7:$J$30,8,0)</f>
        <v>#N/A</v>
      </c>
      <c r="AC36" s="117" t="e">
        <f>VLOOKUP(A36,Enforcements!$C$7:$E$30,3,0)</f>
        <v>#N/A</v>
      </c>
      <c r="AD36" s="118" t="str">
        <f t="shared" si="11"/>
        <v>0124-06</v>
      </c>
      <c r="AE36" s="118" t="str">
        <f>"aws s3 cp "&amp;s3_bucket&amp;"/RTDC"&amp;B36&amp;"/"&amp;TEXT(F36,"YYYY-MM-DD")&amp;"/ "&amp;search_path&amp;"\RTDC"&amp;B36&amp;"\"&amp;TEXT(F36,"YYYY-MM-DD")&amp;" --recursive &amp; """&amp;walkandungz&amp;""" "&amp;search_path&amp;"\RTDC"&amp;B36&amp;"\"&amp;TEXT(F36,"YYYY-MM-DD")
&amp;" &amp; "&amp;"aws s3 cp "&amp;s3_bucket&amp;"/RTDC"&amp;B36&amp;"/"&amp;TEXT(F36+1,"YYYY-MM-DD")&amp;"/ "&amp;search_path&amp;"\RTDC"&amp;B36&amp;"\"&amp;TEXT(F36+1,"YYYY-MM-DD")&amp;" --recursive &amp; """&amp;walkandungz&amp;""" "&amp;search_path&amp;"\RTDC"&amp;B36&amp;"\"&amp;TEXT(F36+1,"YYYY-MM-DD")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36" s="118" t="str">
        <f>astrogrep_path&amp;" /spath="&amp;search_path&amp;" /stypes=""*"&amp;B36&amp;"*"&amp;TEXT(F36-utc_offset/24,"YYYYMMDD")&amp;"*"" /stext="" "&amp;TEXT(F36-utc_offset/24,"HH")&amp;search_regexp&amp;""" /e /r /s"</f>
        <v>"C:\Program Files (x86)\AstroGrep\AstroGrep.exe" /spath="C:\Users\stu\Documents\Analysis\2016-02-23 RTDC Observations" /stypes="*4032*20160706*" /stext=" 13:.+((prompt.+disp)|(slice.+state.+chan)|(ment ac)|(system.+state.+chan)|(\|lc)|(penalty)|(\[timeout))" /e /r /s</v>
      </c>
    </row>
    <row r="37" spans="1:32" s="1" customFormat="1" x14ac:dyDescent="0.25">
      <c r="A37" s="62" t="s">
        <v>331</v>
      </c>
      <c r="B37" s="34">
        <v>4042</v>
      </c>
      <c r="C37" s="34" t="s">
        <v>60</v>
      </c>
      <c r="D37" s="34" t="s">
        <v>122</v>
      </c>
      <c r="E37" s="20">
        <v>42557.278009259258</v>
      </c>
      <c r="F37" s="20">
        <v>42557.278981481482</v>
      </c>
      <c r="G37" s="23">
        <v>1</v>
      </c>
      <c r="H37" s="20" t="s">
        <v>152</v>
      </c>
      <c r="I37" s="20">
        <v>42557.305798611109</v>
      </c>
      <c r="J37" s="34">
        <v>1</v>
      </c>
      <c r="K37" s="34" t="str">
        <f t="shared" si="0"/>
        <v>4041/4042</v>
      </c>
      <c r="L37" s="34" t="str">
        <f>VLOOKUP(A37,'Trips&amp;Operators'!$C$1:$E$10000,3,FALSE)</f>
        <v>BEAM</v>
      </c>
      <c r="M37" s="6">
        <f t="shared" si="1"/>
        <v>2.6817129626579117E-2</v>
      </c>
      <c r="N37" s="7">
        <f t="shared" si="2"/>
        <v>38.616666662273929</v>
      </c>
      <c r="O37" s="7"/>
      <c r="P37" s="7"/>
      <c r="Q37" s="35"/>
      <c r="R37" s="35"/>
      <c r="S37" s="54">
        <f t="shared" si="3"/>
        <v>1</v>
      </c>
      <c r="T37" s="108" t="str">
        <f t="shared" si="4"/>
        <v>NorthBound</v>
      </c>
      <c r="U37" s="108">
        <f>COUNTIFS(Variables!$M$2:$M$19,IF(T37="NorthBound","&gt;=","&lt;=")&amp;Y37,Variables!$M$2:$M$19,IF(T37="NorthBound","&lt;=","&gt;=")&amp;Z37)</f>
        <v>12</v>
      </c>
      <c r="V37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06:39:20-0600',mode:absolute,to:'2016-07-06 07:21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7" s="116" t="str">
        <f t="shared" si="6"/>
        <v>N</v>
      </c>
      <c r="X37" s="116">
        <f t="shared" si="7"/>
        <v>1</v>
      </c>
      <c r="Y37" s="116">
        <f t="shared" si="8"/>
        <v>4.5100000000000001E-2</v>
      </c>
      <c r="Z37" s="116">
        <f t="shared" si="9"/>
        <v>23.330100000000002</v>
      </c>
      <c r="AA37" s="116">
        <f t="shared" si="10"/>
        <v>23.285</v>
      </c>
      <c r="AB37" s="117" t="e">
        <f>VLOOKUP(A37,Enforcements!$C$7:$J$30,8,0)</f>
        <v>#N/A</v>
      </c>
      <c r="AC37" s="117" t="e">
        <f>VLOOKUP(A37,Enforcements!$C$7:$E$30,3,0)</f>
        <v>#N/A</v>
      </c>
      <c r="AD37" s="118" t="str">
        <f t="shared" si="11"/>
        <v>0125-06</v>
      </c>
      <c r="AE37" s="118" t="str">
        <f>"aws s3 cp "&amp;s3_bucket&amp;"/RTDC"&amp;B37&amp;"/"&amp;TEXT(F37,"YYYY-MM-DD")&amp;"/ "&amp;search_path&amp;"\RTDC"&amp;B37&amp;"\"&amp;TEXT(F37,"YYYY-MM-DD")&amp;" --recursive &amp; """&amp;walkandungz&amp;""" "&amp;search_path&amp;"\RTDC"&amp;B37&amp;"\"&amp;TEXT(F37,"YYYY-MM-DD")
&amp;" &amp; "&amp;"aws s3 cp "&amp;s3_bucket&amp;"/RTDC"&amp;B37&amp;"/"&amp;TEXT(F37+1,"YYYY-MM-DD")&amp;"/ "&amp;search_path&amp;"\RTDC"&amp;B37&amp;"\"&amp;TEXT(F37+1,"YYYY-MM-DD")&amp;" --recursive &amp; """&amp;walkandungz&amp;""" "&amp;search_path&amp;"\RTDC"&amp;B37&amp;"\"&amp;TEXT(F37+1,"YYYY-MM-DD")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37" s="118" t="str">
        <f>astrogrep_path&amp;" /spath="&amp;search_path&amp;" /stypes=""*"&amp;B37&amp;"*"&amp;TEXT(F37-utc_offset/24,"YYYYMMDD")&amp;"*"" /stext="" "&amp;TEXT(F37-utc_offset/24,"HH")&amp;search_regexp&amp;""" /e /r /s"</f>
        <v>"C:\Program Files (x86)\AstroGrep\AstroGrep.exe" /spath="C:\Users\stu\Documents\Analysis\2016-02-23 RTDC Observations" /stypes="*4042*20160706*" /stext=" 12:.+((prompt.+disp)|(slice.+state.+chan)|(ment ac)|(system.+state.+chan)|(\|lc)|(penalty)|(\[timeout))" /e /r /s</v>
      </c>
    </row>
    <row r="38" spans="1:32" s="1" customFormat="1" x14ac:dyDescent="0.25">
      <c r="A38" s="82" t="s">
        <v>336</v>
      </c>
      <c r="B38" s="34">
        <v>4041</v>
      </c>
      <c r="C38" s="34" t="s">
        <v>60</v>
      </c>
      <c r="D38" s="34" t="s">
        <v>158</v>
      </c>
      <c r="E38" s="20">
        <v>42557.316712962966</v>
      </c>
      <c r="F38" s="20">
        <v>42557.317604166667</v>
      </c>
      <c r="G38" s="23">
        <v>1</v>
      </c>
      <c r="H38" s="20" t="s">
        <v>578</v>
      </c>
      <c r="I38" s="20">
        <v>42557.347002314818</v>
      </c>
      <c r="J38" s="34">
        <v>1</v>
      </c>
      <c r="K38" s="34" t="str">
        <f t="shared" si="0"/>
        <v>4041/4042</v>
      </c>
      <c r="L38" s="34" t="str">
        <f>VLOOKUP(A38,'Trips&amp;Operators'!$C$1:$E$10000,3,FALSE)</f>
        <v>BEAM</v>
      </c>
      <c r="M38" s="6">
        <f t="shared" si="1"/>
        <v>2.9398148151813075E-2</v>
      </c>
      <c r="N38" s="7">
        <f t="shared" si="2"/>
        <v>42.333333338610828</v>
      </c>
      <c r="O38" s="7"/>
      <c r="P38" s="7"/>
      <c r="Q38" s="35"/>
      <c r="R38" s="35"/>
      <c r="S38" s="54">
        <f t="shared" si="3"/>
        <v>1</v>
      </c>
      <c r="T38" s="108" t="str">
        <f t="shared" si="4"/>
        <v>Southbound</v>
      </c>
      <c r="U38" s="108">
        <f>COUNTIFS(Variables!$M$2:$M$19,IF(T38="NorthBound","&gt;=","&lt;=")&amp;Y38,Variables!$M$2:$M$19,IF(T38="NorthBound","&lt;=","&gt;=")&amp;Z38)</f>
        <v>12</v>
      </c>
      <c r="V38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07:35:04-0600',mode:absolute,to:'2016-07-06 08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8" s="116" t="str">
        <f t="shared" si="6"/>
        <v>N</v>
      </c>
      <c r="X38" s="116">
        <f t="shared" si="7"/>
        <v>1</v>
      </c>
      <c r="Y38" s="116">
        <f t="shared" si="8"/>
        <v>23.296900000000001</v>
      </c>
      <c r="Z38" s="116">
        <f t="shared" si="9"/>
        <v>3.3300000000000003E-2</v>
      </c>
      <c r="AA38" s="116">
        <f t="shared" si="10"/>
        <v>23.2636</v>
      </c>
      <c r="AB38" s="117">
        <f>VLOOKUP(A38,Enforcements!$C$7:$J$30,8,0)</f>
        <v>30562</v>
      </c>
      <c r="AC38" s="117" t="str">
        <f>VLOOKUP(A38,Enforcements!$C$7:$E$30,3,0)</f>
        <v>PERMANENT SPEED RESTRICTION</v>
      </c>
      <c r="AD38" s="118" t="str">
        <f t="shared" si="11"/>
        <v>0126-06</v>
      </c>
      <c r="AE38" s="118" t="str">
        <f>"aws s3 cp "&amp;s3_bucket&amp;"/RTDC"&amp;B38&amp;"/"&amp;TEXT(F38,"YYYY-MM-DD")&amp;"/ "&amp;search_path&amp;"\RTDC"&amp;B38&amp;"\"&amp;TEXT(F38,"YYYY-MM-DD")&amp;" --recursive &amp; """&amp;walkandungz&amp;""" "&amp;search_path&amp;"\RTDC"&amp;B38&amp;"\"&amp;TEXT(F38,"YYYY-MM-DD")
&amp;" &amp; "&amp;"aws s3 cp "&amp;s3_bucket&amp;"/RTDC"&amp;B38&amp;"/"&amp;TEXT(F38+1,"YYYY-MM-DD")&amp;"/ "&amp;search_path&amp;"\RTDC"&amp;B38&amp;"\"&amp;TEXT(F38+1,"YYYY-MM-DD")&amp;" --recursive &amp; """&amp;walkandungz&amp;""" "&amp;search_path&amp;"\RTDC"&amp;B38&amp;"\"&amp;TEXT(F38+1,"YYYY-MM-DD")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38" s="118" t="str">
        <f>astrogrep_path&amp;" /spath="&amp;search_path&amp;" /stypes=""*"&amp;B38&amp;"*"&amp;TEXT(F38-utc_offset/24,"YYYYMMDD")&amp;"*"" /stext="" "&amp;TEXT(F38-utc_offset/24,"HH")&amp;search_regexp&amp;""" /e /r /s"</f>
        <v>"C:\Program Files (x86)\AstroGrep\AstroGrep.exe" /spath="C:\Users\stu\Documents\Analysis\2016-02-23 RTDC Observations" /stypes="*4041*20160706*" /stext=" 13:.+((prompt.+disp)|(slice.+state.+chan)|(ment ac)|(system.+state.+chan)|(\|lc)|(penalty)|(\[timeout))" /e /r /s</v>
      </c>
    </row>
    <row r="39" spans="1:32" s="1" customFormat="1" x14ac:dyDescent="0.25">
      <c r="A39" s="62" t="s">
        <v>445</v>
      </c>
      <c r="B39" s="34">
        <v>4044</v>
      </c>
      <c r="C39" s="34" t="s">
        <v>60</v>
      </c>
      <c r="D39" s="34" t="s">
        <v>579</v>
      </c>
      <c r="E39" s="20">
        <v>42557.284571759257</v>
      </c>
      <c r="F39" s="20">
        <v>42557.285497685189</v>
      </c>
      <c r="G39" s="23">
        <v>1</v>
      </c>
      <c r="H39" s="20" t="s">
        <v>299</v>
      </c>
      <c r="I39" s="20">
        <v>42557.316296296296</v>
      </c>
      <c r="J39" s="34">
        <v>0</v>
      </c>
      <c r="K39" s="34" t="str">
        <f t="shared" si="0"/>
        <v>4043/4044</v>
      </c>
      <c r="L39" s="34" t="str">
        <f>VLOOKUP(A39,'Trips&amp;Operators'!$C$1:$E$10000,3,FALSE)</f>
        <v>YORK</v>
      </c>
      <c r="M39" s="6">
        <f t="shared" si="1"/>
        <v>3.0798611107456964E-2</v>
      </c>
      <c r="N39" s="7">
        <f t="shared" si="2"/>
        <v>44.349999994738027</v>
      </c>
      <c r="O39" s="7"/>
      <c r="P39" s="7"/>
      <c r="Q39" s="35"/>
      <c r="R39" s="35"/>
      <c r="S39" s="54">
        <f t="shared" si="3"/>
        <v>1</v>
      </c>
      <c r="T39" s="108" t="str">
        <f t="shared" si="4"/>
        <v>NorthBound</v>
      </c>
      <c r="U39" s="108">
        <f>COUNTIFS(Variables!$M$2:$M$19,IF(T39="NorthBound","&gt;=","&lt;=")&amp;Y39,Variables!$M$2:$M$19,IF(T39="NorthBound","&lt;=","&gt;=")&amp;Z39)</f>
        <v>12</v>
      </c>
      <c r="V39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06:48:47-0600',mode:absolute,to:'2016-07-06 07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116" t="str">
        <f t="shared" si="6"/>
        <v>N</v>
      </c>
      <c r="X39" s="116">
        <f t="shared" si="7"/>
        <v>1</v>
      </c>
      <c r="Y39" s="116">
        <f t="shared" si="8"/>
        <v>4.9299999999999997E-2</v>
      </c>
      <c r="Z39" s="116">
        <f t="shared" si="9"/>
        <v>23.327200000000001</v>
      </c>
      <c r="AA39" s="116">
        <f t="shared" si="10"/>
        <v>23.277900000000002</v>
      </c>
      <c r="AB39" s="117" t="e">
        <f>VLOOKUP(A39,Enforcements!$C$7:$J$30,8,0)</f>
        <v>#N/A</v>
      </c>
      <c r="AC39" s="117" t="e">
        <f>VLOOKUP(A39,Enforcements!$C$7:$E$30,3,0)</f>
        <v>#N/A</v>
      </c>
      <c r="AD39" s="118" t="str">
        <f t="shared" si="11"/>
        <v>0127-06</v>
      </c>
      <c r="AE39" s="118" t="str">
        <f>"aws s3 cp "&amp;s3_bucket&amp;"/RTDC"&amp;B39&amp;"/"&amp;TEXT(F39,"YYYY-MM-DD")&amp;"/ "&amp;search_path&amp;"\RTDC"&amp;B39&amp;"\"&amp;TEXT(F39,"YYYY-MM-DD")&amp;" --recursive &amp; """&amp;walkandungz&amp;""" "&amp;search_path&amp;"\RTDC"&amp;B39&amp;"\"&amp;TEXT(F39,"YYYY-MM-DD")
&amp;" &amp; "&amp;"aws s3 cp "&amp;s3_bucket&amp;"/RTDC"&amp;B39&amp;"/"&amp;TEXT(F39+1,"YYYY-MM-DD")&amp;"/ "&amp;search_path&amp;"\RTDC"&amp;B39&amp;"\"&amp;TEXT(F39+1,"YYYY-MM-DD")&amp;" --recursive &amp; """&amp;walkandungz&amp;""" "&amp;search_path&amp;"\RTDC"&amp;B39&amp;"\"&amp;TEXT(F39+1,"YYYY-MM-DD")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39" s="118" t="str">
        <f>astrogrep_path&amp;" /spath="&amp;search_path&amp;" /stypes=""*"&amp;B39&amp;"*"&amp;TEXT(F39-utc_offset/24,"YYYYMMDD")&amp;"*"" /stext="" "&amp;TEXT(F39-utc_offset/24,"HH")&amp;search_regexp&amp;""" /e /r /s"</f>
        <v>"C:\Program Files (x86)\AstroGrep\AstroGrep.exe" /spath="C:\Users\stu\Documents\Analysis\2016-02-23 RTDC Observations" /stypes="*4044*20160706*" /stext=" 12:.+((prompt.+disp)|(slice.+state.+chan)|(ment ac)|(system.+state.+chan)|(\|lc)|(penalty)|(\[timeout))" /e /r /s</v>
      </c>
    </row>
    <row r="40" spans="1:32" s="1" customFormat="1" x14ac:dyDescent="0.25">
      <c r="A40" s="62" t="s">
        <v>488</v>
      </c>
      <c r="B40" s="34">
        <v>4043</v>
      </c>
      <c r="C40" s="34" t="s">
        <v>60</v>
      </c>
      <c r="D40" s="34" t="s">
        <v>580</v>
      </c>
      <c r="E40" s="20">
        <v>42557.317337962966</v>
      </c>
      <c r="F40" s="20">
        <v>42557.318252314813</v>
      </c>
      <c r="G40" s="23">
        <v>1</v>
      </c>
      <c r="H40" s="20" t="s">
        <v>129</v>
      </c>
      <c r="I40" s="20">
        <v>42557.355868055558</v>
      </c>
      <c r="J40" s="34">
        <v>0</v>
      </c>
      <c r="K40" s="34" t="str">
        <f t="shared" si="0"/>
        <v>4043/4044</v>
      </c>
      <c r="L40" s="34" t="str">
        <f>VLOOKUP(A40,'Trips&amp;Operators'!$C$1:$E$10000,3,FALSE)</f>
        <v>YORK</v>
      </c>
      <c r="M40" s="6">
        <f t="shared" si="1"/>
        <v>3.761574074451346E-2</v>
      </c>
      <c r="N40" s="7">
        <f t="shared" si="2"/>
        <v>54.166666672099382</v>
      </c>
      <c r="O40" s="7"/>
      <c r="P40" s="7"/>
      <c r="Q40" s="35"/>
      <c r="R40" s="35"/>
      <c r="S40" s="54">
        <f t="shared" si="3"/>
        <v>1</v>
      </c>
      <c r="T40" s="108" t="str">
        <f t="shared" si="4"/>
        <v>Southbound</v>
      </c>
      <c r="U40" s="108">
        <f>COUNTIFS(Variables!$M$2:$M$19,IF(T40="NorthBound","&gt;=","&lt;=")&amp;Y40,Variables!$M$2:$M$19,IF(T40="NorthBound","&lt;=","&gt;=")&amp;Z40)</f>
        <v>12</v>
      </c>
      <c r="V40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07:35:58-0600',mode:absolute,to:'2016-07-06 08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116" t="str">
        <f t="shared" si="6"/>
        <v>N</v>
      </c>
      <c r="X40" s="116">
        <f t="shared" si="7"/>
        <v>1</v>
      </c>
      <c r="Y40" s="116">
        <f t="shared" si="8"/>
        <v>23.295300000000001</v>
      </c>
      <c r="Z40" s="116">
        <f t="shared" si="9"/>
        <v>1.54E-2</v>
      </c>
      <c r="AA40" s="116">
        <f t="shared" si="10"/>
        <v>23.279900000000001</v>
      </c>
      <c r="AB40" s="117" t="e">
        <f>VLOOKUP(A40,Enforcements!$C$7:$J$30,8,0)</f>
        <v>#N/A</v>
      </c>
      <c r="AC40" s="117" t="e">
        <f>VLOOKUP(A40,Enforcements!$C$7:$E$30,3,0)</f>
        <v>#N/A</v>
      </c>
      <c r="AD40" s="118" t="str">
        <f t="shared" si="11"/>
        <v>0128-06</v>
      </c>
      <c r="AE40" s="118" t="str">
        <f>"aws s3 cp "&amp;s3_bucket&amp;"/RTDC"&amp;B40&amp;"/"&amp;TEXT(F40,"YYYY-MM-DD")&amp;"/ "&amp;search_path&amp;"\RTDC"&amp;B40&amp;"\"&amp;TEXT(F40,"YYYY-MM-DD")&amp;" --recursive &amp; """&amp;walkandungz&amp;""" "&amp;search_path&amp;"\RTDC"&amp;B40&amp;"\"&amp;TEXT(F40,"YYYY-MM-DD")
&amp;" &amp; "&amp;"aws s3 cp "&amp;s3_bucket&amp;"/RTDC"&amp;B40&amp;"/"&amp;TEXT(F40+1,"YYYY-MM-DD")&amp;"/ "&amp;search_path&amp;"\RTDC"&amp;B40&amp;"\"&amp;TEXT(F40+1,"YYYY-MM-DD")&amp;" --recursive &amp; """&amp;walkandungz&amp;""" "&amp;search_path&amp;"\RTDC"&amp;B40&amp;"\"&amp;TEXT(F40+1,"YYYY-MM-DD")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40" s="118" t="str">
        <f>astrogrep_path&amp;" /spath="&amp;search_path&amp;" /stypes=""*"&amp;B40&amp;"*"&amp;TEXT(F40-utc_offset/24,"YYYYMMDD")&amp;"*"" /stext="" "&amp;TEXT(F40-utc_offset/24,"HH")&amp;search_regexp&amp;""" /e /r /s"</f>
        <v>"C:\Program Files (x86)\AstroGrep\AstroGrep.exe" /spath="C:\Users\stu\Documents\Analysis\2016-02-23 RTDC Observations" /stypes="*4043*20160706*" /stext=" 13:.+((prompt.+disp)|(slice.+state.+chan)|(ment ac)|(system.+state.+chan)|(\|lc)|(penalty)|(\[timeout))" /e /r /s</v>
      </c>
    </row>
    <row r="41" spans="1:32" s="1" customFormat="1" x14ac:dyDescent="0.25">
      <c r="A41" s="62" t="s">
        <v>334</v>
      </c>
      <c r="B41" s="34">
        <v>4018</v>
      </c>
      <c r="C41" s="34" t="s">
        <v>60</v>
      </c>
      <c r="D41" s="34" t="s">
        <v>581</v>
      </c>
      <c r="E41" s="20">
        <v>42557.299641203703</v>
      </c>
      <c r="F41" s="20">
        <v>42557.300902777781</v>
      </c>
      <c r="G41" s="23">
        <v>1</v>
      </c>
      <c r="H41" s="20" t="s">
        <v>229</v>
      </c>
      <c r="I41" s="20">
        <v>42557.326817129629</v>
      </c>
      <c r="J41" s="34">
        <v>0</v>
      </c>
      <c r="K41" s="34" t="str">
        <f t="shared" si="0"/>
        <v>4017/4018</v>
      </c>
      <c r="L41" s="34" t="str">
        <f>VLOOKUP(A41,'Trips&amp;Operators'!$C$1:$E$10000,3,FALSE)</f>
        <v>ROCHA</v>
      </c>
      <c r="M41" s="6">
        <f t="shared" si="1"/>
        <v>2.5914351848769002E-2</v>
      </c>
      <c r="N41" s="7">
        <f t="shared" si="2"/>
        <v>37.316666662227362</v>
      </c>
      <c r="O41" s="7"/>
      <c r="P41" s="7"/>
      <c r="Q41" s="35"/>
      <c r="R41" s="35"/>
      <c r="S41" s="54">
        <f t="shared" si="3"/>
        <v>1</v>
      </c>
      <c r="T41" s="108" t="str">
        <f t="shared" si="4"/>
        <v>NorthBound</v>
      </c>
      <c r="U41" s="108">
        <f>COUNTIFS(Variables!$M$2:$M$19,IF(T41="NorthBound","&gt;=","&lt;=")&amp;Y41,Variables!$M$2:$M$19,IF(T41="NorthBound","&lt;=","&gt;=")&amp;Z41)</f>
        <v>12</v>
      </c>
      <c r="V41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07:10:29-0600',mode:absolute,to:'2016-07-06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116" t="str">
        <f t="shared" si="6"/>
        <v>N</v>
      </c>
      <c r="X41" s="116">
        <f t="shared" si="7"/>
        <v>1</v>
      </c>
      <c r="Y41" s="116">
        <f t="shared" si="8"/>
        <v>0.14979999999999999</v>
      </c>
      <c r="Z41" s="116">
        <f t="shared" si="9"/>
        <v>23.329899999999999</v>
      </c>
      <c r="AA41" s="116">
        <f t="shared" si="10"/>
        <v>23.180099999999999</v>
      </c>
      <c r="AB41" s="117" t="e">
        <f>VLOOKUP(A41,Enforcements!$C$7:$J$30,8,0)</f>
        <v>#N/A</v>
      </c>
      <c r="AC41" s="117" t="e">
        <f>VLOOKUP(A41,Enforcements!$C$7:$E$30,3,0)</f>
        <v>#N/A</v>
      </c>
      <c r="AD41" s="118" t="str">
        <f t="shared" si="11"/>
        <v>0129-06</v>
      </c>
      <c r="AE41" s="118" t="str">
        <f>"aws s3 cp "&amp;s3_bucket&amp;"/RTDC"&amp;B41&amp;"/"&amp;TEXT(F41,"YYYY-MM-DD")&amp;"/ "&amp;search_path&amp;"\RTDC"&amp;B41&amp;"\"&amp;TEXT(F41,"YYYY-MM-DD")&amp;" --recursive &amp; """&amp;walkandungz&amp;""" "&amp;search_path&amp;"\RTDC"&amp;B41&amp;"\"&amp;TEXT(F41,"YYYY-MM-DD")
&amp;" &amp; "&amp;"aws s3 cp "&amp;s3_bucket&amp;"/RTDC"&amp;B41&amp;"/"&amp;TEXT(F41+1,"YYYY-MM-DD")&amp;"/ "&amp;search_path&amp;"\RTDC"&amp;B41&amp;"\"&amp;TEXT(F41+1,"YYYY-MM-DD")&amp;" --recursive &amp; """&amp;walkandungz&amp;""" "&amp;search_path&amp;"\RTDC"&amp;B41&amp;"\"&amp;TEXT(F41+1,"YYYY-MM-DD")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41" s="118" t="str">
        <f>astrogrep_path&amp;" /spath="&amp;search_path&amp;" /stypes=""*"&amp;B41&amp;"*"&amp;TEXT(F41-utc_offset/24,"YYYYMMDD")&amp;"*"" /stext="" "&amp;TEXT(F41-utc_offset/24,"HH")&amp;search_regexp&amp;""" /e /r /s"</f>
        <v>"C:\Program Files (x86)\AstroGrep\AstroGrep.exe" /spath="C:\Users\stu\Documents\Analysis\2016-02-23 RTDC Observations" /stypes="*4018*20160706*" /stext=" 13:.+((prompt.+disp)|(slice.+state.+chan)|(ment ac)|(system.+state.+chan)|(\|lc)|(penalty)|(\[timeout))" /e /r /s</v>
      </c>
    </row>
    <row r="42" spans="1:32" s="1" customFormat="1" x14ac:dyDescent="0.25">
      <c r="A42" s="62" t="s">
        <v>474</v>
      </c>
      <c r="B42" s="34">
        <v>4017</v>
      </c>
      <c r="C42" s="34" t="s">
        <v>60</v>
      </c>
      <c r="D42" s="34" t="s">
        <v>572</v>
      </c>
      <c r="E42" s="20">
        <v>42557.332638888889</v>
      </c>
      <c r="F42" s="20">
        <v>42557.333391203705</v>
      </c>
      <c r="G42" s="23">
        <v>1</v>
      </c>
      <c r="H42" s="20" t="s">
        <v>582</v>
      </c>
      <c r="I42" s="20">
        <v>42557.366539351853</v>
      </c>
      <c r="J42" s="34">
        <v>0</v>
      </c>
      <c r="K42" s="34" t="str">
        <f t="shared" si="0"/>
        <v>4017/4018</v>
      </c>
      <c r="L42" s="34" t="str">
        <f>VLOOKUP(A42,'Trips&amp;Operators'!$C$1:$E$10000,3,FALSE)</f>
        <v>ROCHA</v>
      </c>
      <c r="M42" s="6">
        <f t="shared" si="1"/>
        <v>3.3148148148029577E-2</v>
      </c>
      <c r="N42" s="7">
        <f t="shared" si="2"/>
        <v>47.733333333162591</v>
      </c>
      <c r="O42" s="7"/>
      <c r="P42" s="7"/>
      <c r="Q42" s="35"/>
      <c r="R42" s="35"/>
      <c r="S42" s="54">
        <f t="shared" si="3"/>
        <v>1</v>
      </c>
      <c r="T42" s="108" t="str">
        <f t="shared" si="4"/>
        <v>Southbound</v>
      </c>
      <c r="U42" s="108">
        <f>COUNTIFS(Variables!$M$2:$M$19,IF(T42="NorthBound","&gt;=","&lt;=")&amp;Y42,Variables!$M$2:$M$19,IF(T42="NorthBound","&lt;=","&gt;=")&amp;Z42)</f>
        <v>12</v>
      </c>
      <c r="V42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07:58:00-0600',mode:absolute,to:'2016-07-06 08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116" t="str">
        <f t="shared" si="6"/>
        <v>N</v>
      </c>
      <c r="X42" s="116">
        <f t="shared" si="7"/>
        <v>1</v>
      </c>
      <c r="Y42" s="116">
        <f t="shared" si="8"/>
        <v>23.296500000000002</v>
      </c>
      <c r="Z42" s="116">
        <f t="shared" si="9"/>
        <v>3.2899999999999999E-2</v>
      </c>
      <c r="AA42" s="116">
        <f t="shared" si="10"/>
        <v>23.2636</v>
      </c>
      <c r="AB42" s="117" t="e">
        <f>VLOOKUP(A42,Enforcements!$C$7:$J$30,8,0)</f>
        <v>#N/A</v>
      </c>
      <c r="AC42" s="117" t="e">
        <f>VLOOKUP(A42,Enforcements!$C$7:$E$30,3,0)</f>
        <v>#N/A</v>
      </c>
      <c r="AD42" s="118" t="str">
        <f t="shared" si="11"/>
        <v>0130-06</v>
      </c>
      <c r="AE42" s="118" t="str">
        <f>"aws s3 cp "&amp;s3_bucket&amp;"/RTDC"&amp;B42&amp;"/"&amp;TEXT(F42,"YYYY-MM-DD")&amp;"/ "&amp;search_path&amp;"\RTDC"&amp;B42&amp;"\"&amp;TEXT(F42,"YYYY-MM-DD")&amp;" --recursive &amp; """&amp;walkandungz&amp;""" "&amp;search_path&amp;"\RTDC"&amp;B42&amp;"\"&amp;TEXT(F42,"YYYY-MM-DD")
&amp;" &amp; "&amp;"aws s3 cp "&amp;s3_bucket&amp;"/RTDC"&amp;B42&amp;"/"&amp;TEXT(F42+1,"YYYY-MM-DD")&amp;"/ "&amp;search_path&amp;"\RTDC"&amp;B42&amp;"\"&amp;TEXT(F42+1,"YYYY-MM-DD")&amp;" --recursive &amp; """&amp;walkandungz&amp;""" "&amp;search_path&amp;"\RTDC"&amp;B42&amp;"\"&amp;TEXT(F42+1,"YYYY-MM-DD")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42" s="118" t="str">
        <f>astrogrep_path&amp;" /spath="&amp;search_path&amp;" /stypes=""*"&amp;B42&amp;"*"&amp;TEXT(F42-utc_offset/24,"YYYYMMDD")&amp;"*"" /stext="" "&amp;TEXT(F42-utc_offset/24,"HH")&amp;search_regexp&amp;""" /e /r /s"</f>
        <v>"C:\Program Files (x86)\AstroGrep\AstroGrep.exe" /spath="C:\Users\stu\Documents\Analysis\2016-02-23 RTDC Observations" /stypes="*4017*20160706*" /stext=" 14:.+((prompt.+disp)|(slice.+state.+chan)|(ment ac)|(system.+state.+chan)|(\|lc)|(penalty)|(\[timeout))" /e /r /s</v>
      </c>
    </row>
    <row r="43" spans="1:32" s="1" customFormat="1" x14ac:dyDescent="0.25">
      <c r="A43" s="62" t="s">
        <v>484</v>
      </c>
      <c r="B43" s="34">
        <v>4014</v>
      </c>
      <c r="C43" s="34" t="s">
        <v>60</v>
      </c>
      <c r="D43" s="34" t="s">
        <v>583</v>
      </c>
      <c r="E43" s="20">
        <v>42557.309687499997</v>
      </c>
      <c r="F43" s="20">
        <v>42557.31077546296</v>
      </c>
      <c r="G43" s="23">
        <v>1</v>
      </c>
      <c r="H43" s="20" t="s">
        <v>298</v>
      </c>
      <c r="I43" s="20">
        <v>42557.337256944447</v>
      </c>
      <c r="J43" s="34">
        <v>0</v>
      </c>
      <c r="K43" s="34" t="str">
        <f t="shared" si="0"/>
        <v>4013/4014</v>
      </c>
      <c r="L43" s="34" t="str">
        <f>VLOOKUP(A43,'Trips&amp;Operators'!$C$1:$E$10000,3,FALSE)</f>
        <v>STARKS</v>
      </c>
      <c r="M43" s="6">
        <f t="shared" si="1"/>
        <v>2.6481481487280689E-2</v>
      </c>
      <c r="N43" s="7">
        <f t="shared" si="2"/>
        <v>38.133333341684192</v>
      </c>
      <c r="O43" s="7"/>
      <c r="P43" s="7"/>
      <c r="Q43" s="35"/>
      <c r="R43" s="35"/>
      <c r="S43" s="54">
        <f t="shared" si="3"/>
        <v>1</v>
      </c>
      <c r="T43" s="108" t="str">
        <f t="shared" si="4"/>
        <v>NorthBound</v>
      </c>
      <c r="U43" s="108">
        <f>COUNTIFS(Variables!$M$2:$M$19,IF(T43="NorthBound","&gt;=","&lt;=")&amp;Y43,Variables!$M$2:$M$19,IF(T43="NorthBound","&lt;=","&gt;=")&amp;Z43)</f>
        <v>12</v>
      </c>
      <c r="V43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07:24:57-0600',mode:absolute,to:'2016-07-06 08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3" s="116" t="str">
        <f t="shared" si="6"/>
        <v>N</v>
      </c>
      <c r="X43" s="116">
        <f t="shared" si="7"/>
        <v>1</v>
      </c>
      <c r="Y43" s="116">
        <f t="shared" si="8"/>
        <v>6.4600000000000005E-2</v>
      </c>
      <c r="Z43" s="116">
        <f t="shared" si="9"/>
        <v>23.328499999999998</v>
      </c>
      <c r="AA43" s="116">
        <f t="shared" si="10"/>
        <v>23.2639</v>
      </c>
      <c r="AB43" s="117" t="e">
        <f>VLOOKUP(A43,Enforcements!$C$7:$J$30,8,0)</f>
        <v>#N/A</v>
      </c>
      <c r="AC43" s="117" t="e">
        <f>VLOOKUP(A43,Enforcements!$C$7:$E$30,3,0)</f>
        <v>#N/A</v>
      </c>
      <c r="AD43" s="118" t="str">
        <f t="shared" si="11"/>
        <v>0131-06</v>
      </c>
      <c r="AE43" s="118" t="str">
        <f>"aws s3 cp "&amp;s3_bucket&amp;"/RTDC"&amp;B43&amp;"/"&amp;TEXT(F43,"YYYY-MM-DD")&amp;"/ "&amp;search_path&amp;"\RTDC"&amp;B43&amp;"\"&amp;TEXT(F43,"YYYY-MM-DD")&amp;" --recursive &amp; """&amp;walkandungz&amp;""" "&amp;search_path&amp;"\RTDC"&amp;B43&amp;"\"&amp;TEXT(F43,"YYYY-MM-DD")
&amp;" &amp; "&amp;"aws s3 cp "&amp;s3_bucket&amp;"/RTDC"&amp;B43&amp;"/"&amp;TEXT(F43+1,"YYYY-MM-DD")&amp;"/ "&amp;search_path&amp;"\RTDC"&amp;B43&amp;"\"&amp;TEXT(F43+1,"YYYY-MM-DD")&amp;" --recursive &amp; """&amp;walkandungz&amp;""" "&amp;search_path&amp;"\RTDC"&amp;B43&amp;"\"&amp;TEXT(F43+1,"YYYY-MM-DD")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43" s="118" t="str">
        <f>astrogrep_path&amp;" /spath="&amp;search_path&amp;" /stypes=""*"&amp;B43&amp;"*"&amp;TEXT(F43-utc_offset/24,"YYYYMMDD")&amp;"*"" /stext="" "&amp;TEXT(F43-utc_offset/24,"HH")&amp;search_regexp&amp;""" /e /r /s"</f>
        <v>"C:\Program Files (x86)\AstroGrep\AstroGrep.exe" /spath="C:\Users\stu\Documents\Analysis\2016-02-23 RTDC Observations" /stypes="*4014*20160706*" /stext=" 13:.+((prompt.+disp)|(slice.+state.+chan)|(ment ac)|(system.+state.+chan)|(\|lc)|(penalty)|(\[timeout))" /e /r /s</v>
      </c>
    </row>
    <row r="44" spans="1:32" s="1" customFormat="1" x14ac:dyDescent="0.25">
      <c r="A44" s="62" t="s">
        <v>485</v>
      </c>
      <c r="B44" s="34">
        <v>4013</v>
      </c>
      <c r="C44" s="34" t="s">
        <v>60</v>
      </c>
      <c r="D44" s="34" t="s">
        <v>584</v>
      </c>
      <c r="E44" s="20">
        <v>42557.349664351852</v>
      </c>
      <c r="F44" s="20">
        <v>42557.351122685184</v>
      </c>
      <c r="G44" s="23">
        <v>2</v>
      </c>
      <c r="H44" s="20" t="s">
        <v>117</v>
      </c>
      <c r="I44" s="20">
        <v>42557.37704861111</v>
      </c>
      <c r="J44" s="34">
        <v>0</v>
      </c>
      <c r="K44" s="34" t="str">
        <f t="shared" si="0"/>
        <v>4013/4014</v>
      </c>
      <c r="L44" s="34" t="str">
        <f>VLOOKUP(A44,'Trips&amp;Operators'!$C$1:$E$10000,3,FALSE)</f>
        <v>STARKS</v>
      </c>
      <c r="M44" s="6">
        <f t="shared" si="1"/>
        <v>2.5925925925548654E-2</v>
      </c>
      <c r="N44" s="7">
        <f t="shared" si="2"/>
        <v>37.333333332790062</v>
      </c>
      <c r="O44" s="7"/>
      <c r="P44" s="7"/>
      <c r="Q44" s="35"/>
      <c r="R44" s="35"/>
      <c r="S44" s="54">
        <f t="shared" si="3"/>
        <v>1</v>
      </c>
      <c r="T44" s="108" t="str">
        <f t="shared" si="4"/>
        <v>Southbound</v>
      </c>
      <c r="U44" s="108">
        <f>COUNTIFS(Variables!$M$2:$M$19,IF(T44="NorthBound","&gt;=","&lt;=")&amp;Y44,Variables!$M$2:$M$19,IF(T44="NorthBound","&lt;=","&gt;=")&amp;Z44)</f>
        <v>12</v>
      </c>
      <c r="V44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08:22:31-0600',mode:absolute,to:'2016-07-06 09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4" s="116" t="str">
        <f t="shared" si="6"/>
        <v>N</v>
      </c>
      <c r="X44" s="116">
        <f t="shared" si="7"/>
        <v>1</v>
      </c>
      <c r="Y44" s="116">
        <f t="shared" si="8"/>
        <v>23.295999999999999</v>
      </c>
      <c r="Z44" s="116">
        <f t="shared" si="9"/>
        <v>1.43E-2</v>
      </c>
      <c r="AA44" s="116">
        <f t="shared" si="10"/>
        <v>23.281700000000001</v>
      </c>
      <c r="AB44" s="117" t="e">
        <f>VLOOKUP(A44,Enforcements!$C$7:$J$30,8,0)</f>
        <v>#N/A</v>
      </c>
      <c r="AC44" s="117" t="e">
        <f>VLOOKUP(A44,Enforcements!$C$7:$E$30,3,0)</f>
        <v>#N/A</v>
      </c>
      <c r="AD44" s="118" t="str">
        <f t="shared" si="11"/>
        <v>0132-06</v>
      </c>
      <c r="AE44" s="118" t="str">
        <f>"aws s3 cp "&amp;s3_bucket&amp;"/RTDC"&amp;B44&amp;"/"&amp;TEXT(F44,"YYYY-MM-DD")&amp;"/ "&amp;search_path&amp;"\RTDC"&amp;B44&amp;"\"&amp;TEXT(F44,"YYYY-MM-DD")&amp;" --recursive &amp; """&amp;walkandungz&amp;""" "&amp;search_path&amp;"\RTDC"&amp;B44&amp;"\"&amp;TEXT(F44,"YYYY-MM-DD")
&amp;" &amp; "&amp;"aws s3 cp "&amp;s3_bucket&amp;"/RTDC"&amp;B44&amp;"/"&amp;TEXT(F44+1,"YYYY-MM-DD")&amp;"/ "&amp;search_path&amp;"\RTDC"&amp;B44&amp;"\"&amp;TEXT(F44+1,"YYYY-MM-DD")&amp;" --recursive &amp; """&amp;walkandungz&amp;""" "&amp;search_path&amp;"\RTDC"&amp;B44&amp;"\"&amp;TEXT(F44+1,"YYYY-MM-DD")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44" s="118" t="str">
        <f>astrogrep_path&amp;" /spath="&amp;search_path&amp;" /stypes=""*"&amp;B44&amp;"*"&amp;TEXT(F44-utc_offset/24,"YYYYMMDD")&amp;"*"" /stext="" "&amp;TEXT(F44-utc_offset/24,"HH")&amp;search_regexp&amp;""" /e /r /s"</f>
        <v>"C:\Program Files (x86)\AstroGrep\AstroGrep.exe" /spath="C:\Users\stu\Documents\Analysis\2016-02-23 RTDC Observations" /stypes="*4013*20160706*" /stext=" 14:.+((prompt.+disp)|(slice.+state.+chan)|(ment ac)|(system.+state.+chan)|(\|lc)|(penalty)|(\[timeout))" /e /r /s</v>
      </c>
    </row>
    <row r="45" spans="1:32" s="1" customFormat="1" x14ac:dyDescent="0.25">
      <c r="A45" s="62" t="s">
        <v>525</v>
      </c>
      <c r="B45" s="34">
        <v>4025</v>
      </c>
      <c r="C45" s="34" t="s">
        <v>60</v>
      </c>
      <c r="D45" s="34" t="s">
        <v>225</v>
      </c>
      <c r="E45" s="20">
        <v>42557.317349537036</v>
      </c>
      <c r="F45" s="20">
        <v>42557.318784722222</v>
      </c>
      <c r="G45" s="23">
        <v>2</v>
      </c>
      <c r="H45" s="20" t="s">
        <v>201</v>
      </c>
      <c r="I45" s="20">
        <v>42557.347905092596</v>
      </c>
      <c r="J45" s="34">
        <v>0</v>
      </c>
      <c r="K45" s="34" t="str">
        <f t="shared" si="0"/>
        <v>4025/4026</v>
      </c>
      <c r="L45" s="34" t="str">
        <f>VLOOKUP(A45,'Trips&amp;Operators'!$C$1:$E$10000,3,FALSE)</f>
        <v>MOSES</v>
      </c>
      <c r="M45" s="6">
        <f t="shared" si="1"/>
        <v>2.9120370374585036E-2</v>
      </c>
      <c r="N45" s="7">
        <f t="shared" si="2"/>
        <v>41.933333339402452</v>
      </c>
      <c r="O45" s="7"/>
      <c r="P45" s="7"/>
      <c r="Q45" s="35"/>
      <c r="R45" s="35"/>
      <c r="S45" s="54">
        <f t="shared" si="3"/>
        <v>1</v>
      </c>
      <c r="T45" s="108" t="str">
        <f t="shared" si="4"/>
        <v>NorthBound</v>
      </c>
      <c r="U45" s="108">
        <f>COUNTIFS(Variables!$M$2:$M$19,IF(T45="NorthBound","&gt;=","&lt;=")&amp;Y45,Variables!$M$2:$M$19,IF(T45="NorthBound","&lt;=","&gt;=")&amp;Z45)</f>
        <v>12</v>
      </c>
      <c r="V45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07:35:59-0600',mode:absolute,to:'2016-07-06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116" t="str">
        <f t="shared" si="6"/>
        <v>N</v>
      </c>
      <c r="X45" s="116">
        <f t="shared" si="7"/>
        <v>1</v>
      </c>
      <c r="Y45" s="116">
        <f t="shared" si="8"/>
        <v>4.6199999999999998E-2</v>
      </c>
      <c r="Z45" s="116">
        <f t="shared" si="9"/>
        <v>23.328900000000001</v>
      </c>
      <c r="AA45" s="116">
        <f t="shared" si="10"/>
        <v>23.282700000000002</v>
      </c>
      <c r="AB45" s="117" t="e">
        <f>VLOOKUP(A45,Enforcements!$C$7:$J$30,8,0)</f>
        <v>#N/A</v>
      </c>
      <c r="AC45" s="117" t="e">
        <f>VLOOKUP(A45,Enforcements!$C$7:$E$30,3,0)</f>
        <v>#N/A</v>
      </c>
      <c r="AD45" s="118" t="str">
        <f t="shared" si="11"/>
        <v>0133-06</v>
      </c>
      <c r="AE45" s="118" t="str">
        <f>"aws s3 cp "&amp;s3_bucket&amp;"/RTDC"&amp;B45&amp;"/"&amp;TEXT(F45,"YYYY-MM-DD")&amp;"/ "&amp;search_path&amp;"\RTDC"&amp;B45&amp;"\"&amp;TEXT(F45,"YYYY-MM-DD")&amp;" --recursive &amp; """&amp;walkandungz&amp;""" "&amp;search_path&amp;"\RTDC"&amp;B45&amp;"\"&amp;TEXT(F45,"YYYY-MM-DD")
&amp;" &amp; "&amp;"aws s3 cp "&amp;s3_bucket&amp;"/RTDC"&amp;B45&amp;"/"&amp;TEXT(F45+1,"YYYY-MM-DD")&amp;"/ "&amp;search_path&amp;"\RTDC"&amp;B45&amp;"\"&amp;TEXT(F45+1,"YYYY-MM-DD")&amp;" --recursive &amp; """&amp;walkandungz&amp;""" "&amp;search_path&amp;"\RTDC"&amp;B45&amp;"\"&amp;TEXT(F45+1,"YYYY-MM-DD")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45" s="118" t="str">
        <f>astrogrep_path&amp;" /spath="&amp;search_path&amp;" /stypes=""*"&amp;B45&amp;"*"&amp;TEXT(F45-utc_offset/24,"YYYYMMDD")&amp;"*"" /stext="" "&amp;TEXT(F45-utc_offset/24,"HH")&amp;search_regexp&amp;""" /e /r /s"</f>
        <v>"C:\Program Files (x86)\AstroGrep\AstroGrep.exe" /spath="C:\Users\stu\Documents\Analysis\2016-02-23 RTDC Observations" /stypes="*4025*20160706*" /stext=" 13:.+((prompt.+disp)|(slice.+state.+chan)|(ment ac)|(system.+state.+chan)|(\|lc)|(penalty)|(\[timeout))" /e /r /s</v>
      </c>
    </row>
    <row r="46" spans="1:32" s="1" customFormat="1" x14ac:dyDescent="0.25">
      <c r="A46" s="62" t="s">
        <v>341</v>
      </c>
      <c r="B46" s="34">
        <v>4026</v>
      </c>
      <c r="C46" s="34" t="s">
        <v>60</v>
      </c>
      <c r="D46" s="34" t="s">
        <v>585</v>
      </c>
      <c r="E46" s="20">
        <v>42557.355775462966</v>
      </c>
      <c r="F46" s="20">
        <v>42557.357349537036</v>
      </c>
      <c r="G46" s="23">
        <v>2</v>
      </c>
      <c r="H46" s="20" t="s">
        <v>586</v>
      </c>
      <c r="I46" s="20">
        <v>42557.388437499998</v>
      </c>
      <c r="J46" s="34">
        <v>1</v>
      </c>
      <c r="K46" s="34" t="str">
        <f t="shared" si="0"/>
        <v>4025/4026</v>
      </c>
      <c r="L46" s="34" t="str">
        <f>VLOOKUP(A46,'Trips&amp;Operators'!$C$1:$E$10000,3,FALSE)</f>
        <v>MOSES</v>
      </c>
      <c r="M46" s="6">
        <f t="shared" si="1"/>
        <v>3.1087962961464655E-2</v>
      </c>
      <c r="N46" s="7">
        <f t="shared" si="2"/>
        <v>44.766666664509103</v>
      </c>
      <c r="O46" s="7"/>
      <c r="P46" s="7"/>
      <c r="Q46" s="35"/>
      <c r="R46" s="35"/>
      <c r="S46" s="54">
        <f t="shared" si="3"/>
        <v>1</v>
      </c>
      <c r="T46" s="108" t="str">
        <f t="shared" si="4"/>
        <v>Southbound</v>
      </c>
      <c r="U46" s="108">
        <f>COUNTIFS(Variables!$M$2:$M$19,IF(T46="NorthBound","&gt;=","&lt;=")&amp;Y46,Variables!$M$2:$M$19,IF(T46="NorthBound","&lt;=","&gt;=")&amp;Z46)</f>
        <v>12</v>
      </c>
      <c r="V46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08:31:19-0600',mode:absolute,to:'2016-07-06 09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116" t="str">
        <f t="shared" si="6"/>
        <v>N</v>
      </c>
      <c r="X46" s="116">
        <f t="shared" si="7"/>
        <v>1</v>
      </c>
      <c r="Y46" s="116">
        <f t="shared" si="8"/>
        <v>23.2959</v>
      </c>
      <c r="Z46" s="116">
        <f t="shared" si="9"/>
        <v>3.5099999999999999E-2</v>
      </c>
      <c r="AA46" s="116">
        <f t="shared" si="10"/>
        <v>23.2608</v>
      </c>
      <c r="AB46" s="117" t="e">
        <f>VLOOKUP(A46,Enforcements!$C$7:$J$30,8,0)</f>
        <v>#N/A</v>
      </c>
      <c r="AC46" s="117" t="e">
        <f>VLOOKUP(A46,Enforcements!$C$7:$E$30,3,0)</f>
        <v>#N/A</v>
      </c>
      <c r="AD46" s="118" t="str">
        <f t="shared" si="11"/>
        <v>0134-06</v>
      </c>
      <c r="AE46" s="118" t="str">
        <f>"aws s3 cp "&amp;s3_bucket&amp;"/RTDC"&amp;B46&amp;"/"&amp;TEXT(F46,"YYYY-MM-DD")&amp;"/ "&amp;search_path&amp;"\RTDC"&amp;B46&amp;"\"&amp;TEXT(F46,"YYYY-MM-DD")&amp;" --recursive &amp; """&amp;walkandungz&amp;""" "&amp;search_path&amp;"\RTDC"&amp;B46&amp;"\"&amp;TEXT(F46,"YYYY-MM-DD")
&amp;" &amp; "&amp;"aws s3 cp "&amp;s3_bucket&amp;"/RTDC"&amp;B46&amp;"/"&amp;TEXT(F46+1,"YYYY-MM-DD")&amp;"/ "&amp;search_path&amp;"\RTDC"&amp;B46&amp;"\"&amp;TEXT(F46+1,"YYYY-MM-DD")&amp;" --recursive &amp; """&amp;walkandungz&amp;""" "&amp;search_path&amp;"\RTDC"&amp;B46&amp;"\"&amp;TEXT(F46+1,"YYYY-MM-DD")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46" s="118" t="str">
        <f>astrogrep_path&amp;" /spath="&amp;search_path&amp;" /stypes=""*"&amp;B46&amp;"*"&amp;TEXT(F46-utc_offset/24,"YYYYMMDD")&amp;"*"" /stext="" "&amp;TEXT(F46-utc_offset/24,"HH")&amp;search_regexp&amp;""" /e /r /s"</f>
        <v>"C:\Program Files (x86)\AstroGrep\AstroGrep.exe" /spath="C:\Users\stu\Documents\Analysis\2016-02-23 RTDC Observations" /stypes="*4026*20160706*" /stext=" 14:.+((prompt.+disp)|(slice.+state.+chan)|(ment ac)|(system.+state.+chan)|(\|lc)|(penalty)|(\[timeout))" /e /r /s</v>
      </c>
    </row>
    <row r="47" spans="1:32" s="1" customFormat="1" x14ac:dyDescent="0.25">
      <c r="A47" s="62" t="s">
        <v>482</v>
      </c>
      <c r="B47" s="34">
        <v>4040</v>
      </c>
      <c r="C47" s="34" t="s">
        <v>60</v>
      </c>
      <c r="D47" s="34" t="s">
        <v>318</v>
      </c>
      <c r="E47" s="20">
        <v>42557.330555555556</v>
      </c>
      <c r="F47" s="20">
        <v>42557.331412037034</v>
      </c>
      <c r="G47" s="23">
        <v>1</v>
      </c>
      <c r="H47" s="20" t="s">
        <v>587</v>
      </c>
      <c r="I47" s="20">
        <v>42557.358101851853</v>
      </c>
      <c r="J47" s="34">
        <v>0</v>
      </c>
      <c r="K47" s="34" t="str">
        <f t="shared" si="0"/>
        <v>4039/4040</v>
      </c>
      <c r="L47" s="34" t="str">
        <f>VLOOKUP(A47,'Trips&amp;Operators'!$C$1:$E$10000,3,FALSE)</f>
        <v>YANAI</v>
      </c>
      <c r="M47" s="6">
        <f t="shared" si="1"/>
        <v>2.6689814818382729E-2</v>
      </c>
      <c r="N47" s="7">
        <f t="shared" si="2"/>
        <v>38.43333333847113</v>
      </c>
      <c r="O47" s="7"/>
      <c r="P47" s="7"/>
      <c r="Q47" s="35"/>
      <c r="R47" s="35"/>
      <c r="S47" s="54">
        <f t="shared" si="3"/>
        <v>1</v>
      </c>
      <c r="T47" s="108" t="str">
        <f t="shared" si="4"/>
        <v>NorthBound</v>
      </c>
      <c r="U47" s="108">
        <f>COUNTIFS(Variables!$M$2:$M$19,IF(T47="NorthBound","&gt;=","&lt;=")&amp;Y47,Variables!$M$2:$M$19,IF(T47="NorthBound","&lt;=","&gt;=")&amp;Z47)</f>
        <v>12</v>
      </c>
      <c r="V47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07:55:00-0600',mode:absolute,to:'2016-07-06 08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116" t="str">
        <f t="shared" si="6"/>
        <v>N</v>
      </c>
      <c r="X47" s="116">
        <f t="shared" si="7"/>
        <v>1</v>
      </c>
      <c r="Y47" s="116">
        <f t="shared" si="8"/>
        <v>6.6799999999999998E-2</v>
      </c>
      <c r="Z47" s="116">
        <f t="shared" si="9"/>
        <v>23.331900000000001</v>
      </c>
      <c r="AA47" s="116">
        <f t="shared" si="10"/>
        <v>23.2651</v>
      </c>
      <c r="AB47" s="117" t="e">
        <f>VLOOKUP(A47,Enforcements!$C$7:$J$30,8,0)</f>
        <v>#N/A</v>
      </c>
      <c r="AC47" s="117" t="e">
        <f>VLOOKUP(A47,Enforcements!$C$7:$E$30,3,0)</f>
        <v>#N/A</v>
      </c>
      <c r="AD47" s="118" t="str">
        <f t="shared" si="11"/>
        <v>0135-06</v>
      </c>
      <c r="AE47" s="118" t="str">
        <f>"aws s3 cp "&amp;s3_bucket&amp;"/RTDC"&amp;B47&amp;"/"&amp;TEXT(F47,"YYYY-MM-DD")&amp;"/ "&amp;search_path&amp;"\RTDC"&amp;B47&amp;"\"&amp;TEXT(F47,"YYYY-MM-DD")&amp;" --recursive &amp; """&amp;walkandungz&amp;""" "&amp;search_path&amp;"\RTDC"&amp;B47&amp;"\"&amp;TEXT(F47,"YYYY-MM-DD")
&amp;" &amp; "&amp;"aws s3 cp "&amp;s3_bucket&amp;"/RTDC"&amp;B47&amp;"/"&amp;TEXT(F47+1,"YYYY-MM-DD")&amp;"/ "&amp;search_path&amp;"\RTDC"&amp;B47&amp;"\"&amp;TEXT(F47+1,"YYYY-MM-DD")&amp;" --recursive &amp; """&amp;walkandungz&amp;""" "&amp;search_path&amp;"\RTDC"&amp;B47&amp;"\"&amp;TEXT(F47+1,"YYYY-MM-DD")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47" s="118" t="str">
        <f>astrogrep_path&amp;" /spath="&amp;search_path&amp;" /stypes=""*"&amp;B47&amp;"*"&amp;TEXT(F47-utc_offset/24,"YYYYMMDD")&amp;"*"" /stext="" "&amp;TEXT(F47-utc_offset/24,"HH")&amp;search_regexp&amp;""" /e /r /s"</f>
        <v>"C:\Program Files (x86)\AstroGrep\AstroGrep.exe" /spath="C:\Users\stu\Documents\Analysis\2016-02-23 RTDC Observations" /stypes="*4040*20160706*" /stext=" 13:.+((prompt.+disp)|(slice.+state.+chan)|(ment ac)|(system.+state.+chan)|(\|lc)|(penalty)|(\[timeout))" /e /r /s</v>
      </c>
    </row>
    <row r="48" spans="1:32" s="1" customFormat="1" x14ac:dyDescent="0.25">
      <c r="A48" s="62" t="s">
        <v>549</v>
      </c>
      <c r="B48" s="34">
        <v>4039</v>
      </c>
      <c r="C48" s="34" t="s">
        <v>60</v>
      </c>
      <c r="D48" s="34" t="s">
        <v>147</v>
      </c>
      <c r="E48" s="20">
        <v>42557.368113425924</v>
      </c>
      <c r="F48" s="20">
        <v>42557.369849537034</v>
      </c>
      <c r="G48" s="23">
        <v>2</v>
      </c>
      <c r="H48" s="20" t="s">
        <v>287</v>
      </c>
      <c r="I48" s="20">
        <v>42557.397581018522</v>
      </c>
      <c r="J48" s="34">
        <v>0</v>
      </c>
      <c r="K48" s="34" t="str">
        <f t="shared" si="0"/>
        <v>4039/4040</v>
      </c>
      <c r="L48" s="34" t="str">
        <f>VLOOKUP(A48,'Trips&amp;Operators'!$C$1:$E$10000,3,FALSE)</f>
        <v>MAELZER</v>
      </c>
      <c r="M48" s="6">
        <f t="shared" si="1"/>
        <v>2.7731481488444842E-2</v>
      </c>
      <c r="N48" s="7">
        <f t="shared" si="2"/>
        <v>39.933333343360573</v>
      </c>
      <c r="O48" s="7"/>
      <c r="P48" s="7"/>
      <c r="Q48" s="35"/>
      <c r="R48" s="35"/>
      <c r="S48" s="54">
        <f t="shared" si="3"/>
        <v>1</v>
      </c>
      <c r="T48" s="108" t="str">
        <f t="shared" si="4"/>
        <v>Southbound</v>
      </c>
      <c r="U48" s="108">
        <f>COUNTIFS(Variables!$M$2:$M$19,IF(T48="NorthBound","&gt;=","&lt;=")&amp;Y48,Variables!$M$2:$M$19,IF(T48="NorthBound","&lt;=","&gt;=")&amp;Z48)</f>
        <v>12</v>
      </c>
      <c r="V48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08:49:05-0600',mode:absolute,to:'2016-07-06 09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116" t="str">
        <f t="shared" si="6"/>
        <v>N</v>
      </c>
      <c r="X48" s="116">
        <f t="shared" si="7"/>
        <v>1</v>
      </c>
      <c r="Y48" s="116">
        <f t="shared" si="8"/>
        <v>23.3004</v>
      </c>
      <c r="Z48" s="116">
        <f t="shared" si="9"/>
        <v>1.3899999999999999E-2</v>
      </c>
      <c r="AA48" s="116">
        <f t="shared" si="10"/>
        <v>23.2865</v>
      </c>
      <c r="AB48" s="117" t="e">
        <f>VLOOKUP(A48,Enforcements!$C$7:$J$30,8,0)</f>
        <v>#N/A</v>
      </c>
      <c r="AC48" s="117" t="e">
        <f>VLOOKUP(A48,Enforcements!$C$7:$E$30,3,0)</f>
        <v>#N/A</v>
      </c>
      <c r="AD48" s="118" t="str">
        <f t="shared" si="11"/>
        <v>0136-06</v>
      </c>
      <c r="AE48" s="118" t="str">
        <f>"aws s3 cp "&amp;s3_bucket&amp;"/RTDC"&amp;B48&amp;"/"&amp;TEXT(F48,"YYYY-MM-DD")&amp;"/ "&amp;search_path&amp;"\RTDC"&amp;B48&amp;"\"&amp;TEXT(F48,"YYYY-MM-DD")&amp;" --recursive &amp; """&amp;walkandungz&amp;""" "&amp;search_path&amp;"\RTDC"&amp;B48&amp;"\"&amp;TEXT(F48,"YYYY-MM-DD")
&amp;" &amp; "&amp;"aws s3 cp "&amp;s3_bucket&amp;"/RTDC"&amp;B48&amp;"/"&amp;TEXT(F48+1,"YYYY-MM-DD")&amp;"/ "&amp;search_path&amp;"\RTDC"&amp;B48&amp;"\"&amp;TEXT(F48+1,"YYYY-MM-DD")&amp;" --recursive &amp; """&amp;walkandungz&amp;""" "&amp;search_path&amp;"\RTDC"&amp;B48&amp;"\"&amp;TEXT(F48+1,"YYYY-MM-DD")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48" s="118" t="str">
        <f>astrogrep_path&amp;" /spath="&amp;search_path&amp;" /stypes=""*"&amp;B48&amp;"*"&amp;TEXT(F48-utc_offset/24,"YYYYMMDD")&amp;"*"" /stext="" "&amp;TEXT(F48-utc_offset/24,"HH")&amp;search_regexp&amp;""" /e /r /s"</f>
        <v>"C:\Program Files (x86)\AstroGrep\AstroGrep.exe" /spath="C:\Users\stu\Documents\Analysis\2016-02-23 RTDC Observations" /stypes="*4039*20160706*" /stext=" 14:.+((prompt.+disp)|(slice.+state.+chan)|(ment ac)|(system.+state.+chan)|(\|lc)|(penalty)|(\[timeout))" /e /r /s</v>
      </c>
    </row>
    <row r="49" spans="1:32" s="1" customFormat="1" x14ac:dyDescent="0.25">
      <c r="A49" s="62" t="s">
        <v>339</v>
      </c>
      <c r="B49" s="34">
        <v>4031</v>
      </c>
      <c r="C49" s="34" t="s">
        <v>60</v>
      </c>
      <c r="D49" s="34" t="s">
        <v>588</v>
      </c>
      <c r="E49" s="20">
        <v>42557.337048611109</v>
      </c>
      <c r="F49" s="20">
        <v>42557.338090277779</v>
      </c>
      <c r="G49" s="23">
        <v>1</v>
      </c>
      <c r="H49" s="20" t="s">
        <v>229</v>
      </c>
      <c r="I49" s="20">
        <v>42557.368275462963</v>
      </c>
      <c r="J49" s="34">
        <v>1</v>
      </c>
      <c r="K49" s="34" t="str">
        <f t="shared" si="0"/>
        <v>4031/4032</v>
      </c>
      <c r="L49" s="34" t="str">
        <f>VLOOKUP(A49,'Trips&amp;Operators'!$C$1:$E$10000,3,FALSE)</f>
        <v>NEWELL</v>
      </c>
      <c r="M49" s="6">
        <f t="shared" si="1"/>
        <v>3.0185185183654539E-2</v>
      </c>
      <c r="N49" s="7">
        <f t="shared" si="2"/>
        <v>43.466666664462537</v>
      </c>
      <c r="O49" s="7"/>
      <c r="P49" s="7"/>
      <c r="Q49" s="35"/>
      <c r="R49" s="35"/>
      <c r="S49" s="54">
        <f t="shared" si="3"/>
        <v>1</v>
      </c>
      <c r="T49" s="108" t="str">
        <f t="shared" si="4"/>
        <v>NorthBound</v>
      </c>
      <c r="U49" s="108">
        <f>COUNTIFS(Variables!$M$2:$M$19,IF(T49="NorthBound","&gt;=","&lt;=")&amp;Y49,Variables!$M$2:$M$19,IF(T49="NorthBound","&lt;=","&gt;=")&amp;Z49)</f>
        <v>12</v>
      </c>
      <c r="V49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08:04:21-0600',mode:absolute,to:'2016-07-06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9" s="116" t="str">
        <f t="shared" si="6"/>
        <v>N</v>
      </c>
      <c r="X49" s="116">
        <f t="shared" si="7"/>
        <v>1</v>
      </c>
      <c r="Y49" s="116">
        <f t="shared" si="8"/>
        <v>4.24E-2</v>
      </c>
      <c r="Z49" s="116">
        <f t="shared" si="9"/>
        <v>23.329899999999999</v>
      </c>
      <c r="AA49" s="116">
        <f t="shared" si="10"/>
        <v>23.287499999999998</v>
      </c>
      <c r="AB49" s="117" t="e">
        <f>VLOOKUP(A49,Enforcements!$C$7:$J$30,8,0)</f>
        <v>#N/A</v>
      </c>
      <c r="AC49" s="117" t="e">
        <f>VLOOKUP(A49,Enforcements!$C$7:$E$30,3,0)</f>
        <v>#N/A</v>
      </c>
      <c r="AD49" s="118" t="str">
        <f t="shared" si="11"/>
        <v>0137-06</v>
      </c>
      <c r="AE49" s="118" t="str">
        <f>"aws s3 cp "&amp;s3_bucket&amp;"/RTDC"&amp;B49&amp;"/"&amp;TEXT(F49,"YYYY-MM-DD")&amp;"/ "&amp;search_path&amp;"\RTDC"&amp;B49&amp;"\"&amp;TEXT(F49,"YYYY-MM-DD")&amp;" --recursive &amp; """&amp;walkandungz&amp;""" "&amp;search_path&amp;"\RTDC"&amp;B49&amp;"\"&amp;TEXT(F49,"YYYY-MM-DD")
&amp;" &amp; "&amp;"aws s3 cp "&amp;s3_bucket&amp;"/RTDC"&amp;B49&amp;"/"&amp;TEXT(F49+1,"YYYY-MM-DD")&amp;"/ "&amp;search_path&amp;"\RTDC"&amp;B49&amp;"\"&amp;TEXT(F49+1,"YYYY-MM-DD")&amp;" --recursive &amp; """&amp;walkandungz&amp;""" "&amp;search_path&amp;"\RTDC"&amp;B49&amp;"\"&amp;TEXT(F49+1,"YYYY-MM-DD")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49" s="118" t="str">
        <f>astrogrep_path&amp;" /spath="&amp;search_path&amp;" /stypes=""*"&amp;B49&amp;"*"&amp;TEXT(F49-utc_offset/24,"YYYYMMDD")&amp;"*"" /stext="" "&amp;TEXT(F49-utc_offset/24,"HH")&amp;search_regexp&amp;""" /e /r /s"</f>
        <v>"C:\Program Files (x86)\AstroGrep\AstroGrep.exe" /spath="C:\Users\stu\Documents\Analysis\2016-02-23 RTDC Observations" /stypes="*4031*20160706*" /stext=" 14:.+((prompt.+disp)|(slice.+state.+chan)|(ment ac)|(system.+state.+chan)|(\|lc)|(penalty)|(\[timeout))" /e /r /s</v>
      </c>
    </row>
    <row r="50" spans="1:32" s="1" customFormat="1" x14ac:dyDescent="0.25">
      <c r="A50" s="62" t="s">
        <v>534</v>
      </c>
      <c r="B50" s="34">
        <v>4032</v>
      </c>
      <c r="C50" s="34" t="s">
        <v>60</v>
      </c>
      <c r="D50" s="34" t="s">
        <v>283</v>
      </c>
      <c r="E50" s="20">
        <v>42557.377557870372</v>
      </c>
      <c r="F50" s="20">
        <v>42557.378668981481</v>
      </c>
      <c r="G50" s="23">
        <v>1</v>
      </c>
      <c r="H50" s="20" t="s">
        <v>303</v>
      </c>
      <c r="I50" s="20">
        <v>42557.408310185187</v>
      </c>
      <c r="J50" s="34">
        <v>0</v>
      </c>
      <c r="K50" s="34" t="str">
        <f t="shared" si="0"/>
        <v>4031/4032</v>
      </c>
      <c r="L50" s="34" t="str">
        <f>VLOOKUP(A50,'Trips&amp;Operators'!$C$1:$E$10000,3,FALSE)</f>
        <v>NEWELL</v>
      </c>
      <c r="M50" s="6">
        <f t="shared" si="1"/>
        <v>2.9641203705978114E-2</v>
      </c>
      <c r="N50" s="7">
        <f t="shared" si="2"/>
        <v>42.683333336608484</v>
      </c>
      <c r="O50" s="7"/>
      <c r="P50" s="7"/>
      <c r="Q50" s="35"/>
      <c r="R50" s="35"/>
      <c r="S50" s="54">
        <f t="shared" si="3"/>
        <v>1</v>
      </c>
      <c r="T50" s="108" t="str">
        <f t="shared" si="4"/>
        <v>Southbound</v>
      </c>
      <c r="U50" s="108">
        <f>COUNTIFS(Variables!$M$2:$M$19,IF(T50="NorthBound","&gt;=","&lt;=")&amp;Y50,Variables!$M$2:$M$19,IF(T50="NorthBound","&lt;=","&gt;=")&amp;Z50)</f>
        <v>12</v>
      </c>
      <c r="V50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09:02:41-0600',mode:absolute,to:'2016-07-06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0" s="116" t="str">
        <f t="shared" si="6"/>
        <v>N</v>
      </c>
      <c r="X50" s="116">
        <f t="shared" si="7"/>
        <v>1</v>
      </c>
      <c r="Y50" s="116">
        <f t="shared" si="8"/>
        <v>23.2988</v>
      </c>
      <c r="Z50" s="116">
        <f t="shared" si="9"/>
        <v>3.6900000000000002E-2</v>
      </c>
      <c r="AA50" s="116">
        <f t="shared" si="10"/>
        <v>23.261900000000001</v>
      </c>
      <c r="AB50" s="117" t="e">
        <f>VLOOKUP(A50,Enforcements!$C$7:$J$30,8,0)</f>
        <v>#N/A</v>
      </c>
      <c r="AC50" s="117" t="e">
        <f>VLOOKUP(A50,Enforcements!$C$7:$E$30,3,0)</f>
        <v>#N/A</v>
      </c>
      <c r="AD50" s="118" t="str">
        <f t="shared" si="11"/>
        <v>0138-06</v>
      </c>
      <c r="AE50" s="118" t="str">
        <f>"aws s3 cp "&amp;s3_bucket&amp;"/RTDC"&amp;B50&amp;"/"&amp;TEXT(F50,"YYYY-MM-DD")&amp;"/ "&amp;search_path&amp;"\RTDC"&amp;B50&amp;"\"&amp;TEXT(F50,"YYYY-MM-DD")&amp;" --recursive &amp; """&amp;walkandungz&amp;""" "&amp;search_path&amp;"\RTDC"&amp;B50&amp;"\"&amp;TEXT(F50,"YYYY-MM-DD")
&amp;" &amp; "&amp;"aws s3 cp "&amp;s3_bucket&amp;"/RTDC"&amp;B50&amp;"/"&amp;TEXT(F50+1,"YYYY-MM-DD")&amp;"/ "&amp;search_path&amp;"\RTDC"&amp;B50&amp;"\"&amp;TEXT(F50+1,"YYYY-MM-DD")&amp;" --recursive &amp; """&amp;walkandungz&amp;""" "&amp;search_path&amp;"\RTDC"&amp;B50&amp;"\"&amp;TEXT(F50+1,"YYYY-MM-DD")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50" s="118" t="str">
        <f>astrogrep_path&amp;" /spath="&amp;search_path&amp;" /stypes=""*"&amp;B50&amp;"*"&amp;TEXT(F50-utc_offset/24,"YYYYMMDD")&amp;"*"" /stext="" "&amp;TEXT(F50-utc_offset/24,"HH")&amp;search_regexp&amp;""" /e /r /s"</f>
        <v>"C:\Program Files (x86)\AstroGrep\AstroGrep.exe" /spath="C:\Users\stu\Documents\Analysis\2016-02-23 RTDC Observations" /stypes="*4032*20160706*" /stext=" 15:.+((prompt.+disp)|(slice.+state.+chan)|(ment ac)|(system.+state.+chan)|(\|lc)|(penalty)|(\[timeout))" /e /r /s</v>
      </c>
    </row>
    <row r="51" spans="1:32" s="1" customFormat="1" x14ac:dyDescent="0.25">
      <c r="A51" s="62" t="s">
        <v>340</v>
      </c>
      <c r="B51" s="34">
        <v>4042</v>
      </c>
      <c r="C51" s="34" t="s">
        <v>60</v>
      </c>
      <c r="D51" s="34" t="s">
        <v>589</v>
      </c>
      <c r="E51" s="20">
        <v>42557.352025462962</v>
      </c>
      <c r="F51" s="20">
        <v>42557.352905092594</v>
      </c>
      <c r="G51" s="23">
        <v>1</v>
      </c>
      <c r="H51" s="20" t="s">
        <v>590</v>
      </c>
      <c r="I51" s="20">
        <v>42557.379548611112</v>
      </c>
      <c r="J51" s="34">
        <v>1</v>
      </c>
      <c r="K51" s="34" t="str">
        <f t="shared" si="0"/>
        <v>4041/4042</v>
      </c>
      <c r="L51" s="34" t="str">
        <f>VLOOKUP(A51,'Trips&amp;Operators'!$C$1:$E$10000,3,FALSE)</f>
        <v>BEAM</v>
      </c>
      <c r="M51" s="6">
        <f t="shared" si="1"/>
        <v>2.6643518518540077E-2</v>
      </c>
      <c r="N51" s="7">
        <f t="shared" si="2"/>
        <v>38.366666666697711</v>
      </c>
      <c r="O51" s="7"/>
      <c r="P51" s="7"/>
      <c r="Q51" s="35"/>
      <c r="R51" s="35"/>
      <c r="S51" s="54">
        <f t="shared" si="3"/>
        <v>1</v>
      </c>
      <c r="T51" s="108" t="str">
        <f t="shared" si="4"/>
        <v>NorthBound</v>
      </c>
      <c r="U51" s="108">
        <f>COUNTIFS(Variables!$M$2:$M$19,IF(T51="NorthBound","&gt;=","&lt;=")&amp;Y51,Variables!$M$2:$M$19,IF(T51="NorthBound","&lt;=","&gt;=")&amp;Z51)</f>
        <v>12</v>
      </c>
      <c r="V51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08:25:55-0600',mode:absolute,to:'2016-07-06 09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116" t="str">
        <f t="shared" si="6"/>
        <v>N</v>
      </c>
      <c r="X51" s="116">
        <f t="shared" si="7"/>
        <v>1</v>
      </c>
      <c r="Y51" s="116">
        <f t="shared" si="8"/>
        <v>6.5000000000000002E-2</v>
      </c>
      <c r="Z51" s="116">
        <f t="shared" si="9"/>
        <v>23.319099999999999</v>
      </c>
      <c r="AA51" s="116">
        <f t="shared" si="10"/>
        <v>23.254099999999998</v>
      </c>
      <c r="AB51" s="117" t="e">
        <f>VLOOKUP(A51,Enforcements!$C$7:$J$30,8,0)</f>
        <v>#N/A</v>
      </c>
      <c r="AC51" s="117" t="e">
        <f>VLOOKUP(A51,Enforcements!$C$7:$E$30,3,0)</f>
        <v>#N/A</v>
      </c>
      <c r="AD51" s="118" t="str">
        <f t="shared" si="11"/>
        <v>0139-06</v>
      </c>
      <c r="AE51" s="118" t="str">
        <f>"aws s3 cp "&amp;s3_bucket&amp;"/RTDC"&amp;B51&amp;"/"&amp;TEXT(F51,"YYYY-MM-DD")&amp;"/ "&amp;search_path&amp;"\RTDC"&amp;B51&amp;"\"&amp;TEXT(F51,"YYYY-MM-DD")&amp;" --recursive &amp; """&amp;walkandungz&amp;""" "&amp;search_path&amp;"\RTDC"&amp;B51&amp;"\"&amp;TEXT(F51,"YYYY-MM-DD")
&amp;" &amp; "&amp;"aws s3 cp "&amp;s3_bucket&amp;"/RTDC"&amp;B51&amp;"/"&amp;TEXT(F51+1,"YYYY-MM-DD")&amp;"/ "&amp;search_path&amp;"\RTDC"&amp;B51&amp;"\"&amp;TEXT(F51+1,"YYYY-MM-DD")&amp;" --recursive &amp; """&amp;walkandungz&amp;""" "&amp;search_path&amp;"\RTDC"&amp;B51&amp;"\"&amp;TEXT(F51+1,"YYYY-MM-DD")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51" s="118" t="str">
        <f>astrogrep_path&amp;" /spath="&amp;search_path&amp;" /stypes=""*"&amp;B51&amp;"*"&amp;TEXT(F51-utc_offset/24,"YYYYMMDD")&amp;"*"" /stext="" "&amp;TEXT(F51-utc_offset/24,"HH")&amp;search_regexp&amp;""" /e /r /s"</f>
        <v>"C:\Program Files (x86)\AstroGrep\AstroGrep.exe" /spath="C:\Users\stu\Documents\Analysis\2016-02-23 RTDC Observations" /stypes="*4042*20160706*" /stext=" 14:.+((prompt.+disp)|(slice.+state.+chan)|(ment ac)|(system.+state.+chan)|(\|lc)|(penalty)|(\[timeout))" /e /r /s</v>
      </c>
    </row>
    <row r="52" spans="1:32" s="1" customFormat="1" x14ac:dyDescent="0.25">
      <c r="A52" s="62" t="s">
        <v>520</v>
      </c>
      <c r="B52" s="34">
        <v>4041</v>
      </c>
      <c r="C52" s="34" t="s">
        <v>60</v>
      </c>
      <c r="D52" s="34" t="s">
        <v>591</v>
      </c>
      <c r="E52" s="20">
        <v>42557.389456018522</v>
      </c>
      <c r="F52" s="20">
        <v>42557.390370370369</v>
      </c>
      <c r="G52" s="23">
        <v>1</v>
      </c>
      <c r="H52" s="20" t="s">
        <v>117</v>
      </c>
      <c r="I52" s="20">
        <v>42557.41847222222</v>
      </c>
      <c r="J52" s="34">
        <v>0</v>
      </c>
      <c r="K52" s="34" t="str">
        <f t="shared" si="0"/>
        <v>4041/4042</v>
      </c>
      <c r="L52" s="34" t="str">
        <f>VLOOKUP(A52,'Trips&amp;Operators'!$C$1:$E$10000,3,FALSE)</f>
        <v>BEAM</v>
      </c>
      <c r="M52" s="6">
        <f t="shared" si="1"/>
        <v>2.810185185080627E-2</v>
      </c>
      <c r="N52" s="7">
        <f t="shared" si="2"/>
        <v>40.466666665161029</v>
      </c>
      <c r="O52" s="7"/>
      <c r="P52" s="7"/>
      <c r="Q52" s="35"/>
      <c r="R52" s="35"/>
      <c r="S52" s="54">
        <f t="shared" si="3"/>
        <v>1</v>
      </c>
      <c r="T52" s="108" t="str">
        <f t="shared" si="4"/>
        <v>Southbound</v>
      </c>
      <c r="U52" s="108">
        <f>COUNTIFS(Variables!$M$2:$M$19,IF(T52="NorthBound","&gt;=","&lt;=")&amp;Y52,Variables!$M$2:$M$19,IF(T52="NorthBound","&lt;=","&gt;=")&amp;Z52)</f>
        <v>12</v>
      </c>
      <c r="V52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09:19:49-0600',mode:absolute,to:'2016-07-06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2" s="116" t="str">
        <f t="shared" si="6"/>
        <v>N</v>
      </c>
      <c r="X52" s="116">
        <f t="shared" si="7"/>
        <v>1</v>
      </c>
      <c r="Y52" s="116">
        <f t="shared" si="8"/>
        <v>23.2864</v>
      </c>
      <c r="Z52" s="116">
        <f t="shared" si="9"/>
        <v>1.43E-2</v>
      </c>
      <c r="AA52" s="116">
        <f t="shared" si="10"/>
        <v>23.272100000000002</v>
      </c>
      <c r="AB52" s="117" t="e">
        <f>VLOOKUP(A52,Enforcements!$C$7:$J$30,8,0)</f>
        <v>#N/A</v>
      </c>
      <c r="AC52" s="117" t="e">
        <f>VLOOKUP(A52,Enforcements!$C$7:$E$30,3,0)</f>
        <v>#N/A</v>
      </c>
      <c r="AD52" s="118" t="str">
        <f t="shared" si="11"/>
        <v>0140-06</v>
      </c>
      <c r="AE52" s="118" t="str">
        <f>"aws s3 cp "&amp;s3_bucket&amp;"/RTDC"&amp;B52&amp;"/"&amp;TEXT(F52,"YYYY-MM-DD")&amp;"/ "&amp;search_path&amp;"\RTDC"&amp;B52&amp;"\"&amp;TEXT(F52,"YYYY-MM-DD")&amp;" --recursive &amp; """&amp;walkandungz&amp;""" "&amp;search_path&amp;"\RTDC"&amp;B52&amp;"\"&amp;TEXT(F52,"YYYY-MM-DD")
&amp;" &amp; "&amp;"aws s3 cp "&amp;s3_bucket&amp;"/RTDC"&amp;B52&amp;"/"&amp;TEXT(F52+1,"YYYY-MM-DD")&amp;"/ "&amp;search_path&amp;"\RTDC"&amp;B52&amp;"\"&amp;TEXT(F52+1,"YYYY-MM-DD")&amp;" --recursive &amp; """&amp;walkandungz&amp;""" "&amp;search_path&amp;"\RTDC"&amp;B52&amp;"\"&amp;TEXT(F52+1,"YYYY-MM-DD")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52" s="118" t="str">
        <f>astrogrep_path&amp;" /spath="&amp;search_path&amp;" /stypes=""*"&amp;B52&amp;"*"&amp;TEXT(F52-utc_offset/24,"YYYYMMDD")&amp;"*"" /stext="" "&amp;TEXT(F52-utc_offset/24,"HH")&amp;search_regexp&amp;""" /e /r /s"</f>
        <v>"C:\Program Files (x86)\AstroGrep\AstroGrep.exe" /spath="C:\Users\stu\Documents\Analysis\2016-02-23 RTDC Observations" /stypes="*4041*20160706*" /stext=" 15:.+((prompt.+disp)|(slice.+state.+chan)|(ment ac)|(system.+state.+chan)|(\|lc)|(penalty)|(\[timeout))" /e /r /s</v>
      </c>
    </row>
    <row r="53" spans="1:32" s="1" customFormat="1" x14ac:dyDescent="0.25">
      <c r="A53" s="62" t="s">
        <v>487</v>
      </c>
      <c r="B53" s="34">
        <v>4044</v>
      </c>
      <c r="C53" s="34" t="s">
        <v>60</v>
      </c>
      <c r="D53" s="34" t="s">
        <v>225</v>
      </c>
      <c r="E53" s="20">
        <v>42557.357453703706</v>
      </c>
      <c r="F53" s="20">
        <v>42557.358414351853</v>
      </c>
      <c r="G53" s="23">
        <v>1</v>
      </c>
      <c r="H53" s="20" t="s">
        <v>295</v>
      </c>
      <c r="I53" s="20">
        <v>42557.388888888891</v>
      </c>
      <c r="J53" s="34">
        <v>0</v>
      </c>
      <c r="K53" s="34" t="str">
        <f t="shared" si="0"/>
        <v>4043/4044</v>
      </c>
      <c r="L53" s="34" t="str">
        <f>VLOOKUP(A53,'Trips&amp;Operators'!$C$1:$E$10000,3,FALSE)</f>
        <v>YORK</v>
      </c>
      <c r="M53" s="6">
        <f t="shared" si="1"/>
        <v>3.047453703766223E-2</v>
      </c>
      <c r="N53" s="7">
        <f t="shared" si="2"/>
        <v>43.883333334233612</v>
      </c>
      <c r="O53" s="7"/>
      <c r="P53" s="7"/>
      <c r="Q53" s="35"/>
      <c r="R53" s="35"/>
      <c r="S53" s="54">
        <f t="shared" si="3"/>
        <v>1</v>
      </c>
      <c r="T53" s="108" t="str">
        <f t="shared" si="4"/>
        <v>NorthBound</v>
      </c>
      <c r="U53" s="108">
        <f>COUNTIFS(Variables!$M$2:$M$19,IF(T53="NorthBound","&gt;=","&lt;=")&amp;Y53,Variables!$M$2:$M$19,IF(T53="NorthBound","&lt;=","&gt;=")&amp;Z53)</f>
        <v>12</v>
      </c>
      <c r="V53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08:33:44-0600',mode:absolute,to:'2016-07-06 09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116" t="str">
        <f t="shared" si="6"/>
        <v>N</v>
      </c>
      <c r="X53" s="116">
        <f t="shared" si="7"/>
        <v>1</v>
      </c>
      <c r="Y53" s="116">
        <f t="shared" si="8"/>
        <v>4.6199999999999998E-2</v>
      </c>
      <c r="Z53" s="116">
        <f t="shared" si="9"/>
        <v>23.3276</v>
      </c>
      <c r="AA53" s="116">
        <f t="shared" si="10"/>
        <v>23.281400000000001</v>
      </c>
      <c r="AB53" s="117" t="e">
        <f>VLOOKUP(A53,Enforcements!$C$7:$J$30,8,0)</f>
        <v>#N/A</v>
      </c>
      <c r="AC53" s="117" t="e">
        <f>VLOOKUP(A53,Enforcements!$C$7:$E$30,3,0)</f>
        <v>#N/A</v>
      </c>
      <c r="AD53" s="118" t="str">
        <f t="shared" si="11"/>
        <v>0141-06</v>
      </c>
      <c r="AE53" s="118" t="str">
        <f>"aws s3 cp "&amp;s3_bucket&amp;"/RTDC"&amp;B53&amp;"/"&amp;TEXT(F53,"YYYY-MM-DD")&amp;"/ "&amp;search_path&amp;"\RTDC"&amp;B53&amp;"\"&amp;TEXT(F53,"YYYY-MM-DD")&amp;" --recursive &amp; """&amp;walkandungz&amp;""" "&amp;search_path&amp;"\RTDC"&amp;B53&amp;"\"&amp;TEXT(F53,"YYYY-MM-DD")
&amp;" &amp; "&amp;"aws s3 cp "&amp;s3_bucket&amp;"/RTDC"&amp;B53&amp;"/"&amp;TEXT(F53+1,"YYYY-MM-DD")&amp;"/ "&amp;search_path&amp;"\RTDC"&amp;B53&amp;"\"&amp;TEXT(F53+1,"YYYY-MM-DD")&amp;" --recursive &amp; """&amp;walkandungz&amp;""" "&amp;search_path&amp;"\RTDC"&amp;B53&amp;"\"&amp;TEXT(F53+1,"YYYY-MM-DD")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53" s="118" t="str">
        <f>astrogrep_path&amp;" /spath="&amp;search_path&amp;" /stypes=""*"&amp;B53&amp;"*"&amp;TEXT(F53-utc_offset/24,"YYYYMMDD")&amp;"*"" /stext="" "&amp;TEXT(F53-utc_offset/24,"HH")&amp;search_regexp&amp;""" /e /r /s"</f>
        <v>"C:\Program Files (x86)\AstroGrep\AstroGrep.exe" /spath="C:\Users\stu\Documents\Analysis\2016-02-23 RTDC Observations" /stypes="*4044*20160706*" /stext=" 14:.+((prompt.+disp)|(slice.+state.+chan)|(ment ac)|(system.+state.+chan)|(\|lc)|(penalty)|(\[timeout))" /e /r /s</v>
      </c>
    </row>
    <row r="54" spans="1:32" s="1" customFormat="1" x14ac:dyDescent="0.25">
      <c r="A54" s="82" t="s">
        <v>502</v>
      </c>
      <c r="B54" s="34">
        <v>4043</v>
      </c>
      <c r="C54" s="34" t="s">
        <v>60</v>
      </c>
      <c r="D54" s="34" t="s">
        <v>585</v>
      </c>
      <c r="E54" s="20">
        <v>42557.389953703707</v>
      </c>
      <c r="F54" s="20">
        <v>42557.390787037039</v>
      </c>
      <c r="G54" s="23">
        <v>1</v>
      </c>
      <c r="H54" s="20" t="s">
        <v>592</v>
      </c>
      <c r="I54" s="20">
        <v>42557.427083333336</v>
      </c>
      <c r="J54" s="34">
        <v>0</v>
      </c>
      <c r="K54" s="34" t="str">
        <f t="shared" si="0"/>
        <v>4043/4044</v>
      </c>
      <c r="L54" s="34" t="str">
        <f>VLOOKUP(A54,'Trips&amp;Operators'!$C$1:$E$10000,3,FALSE)</f>
        <v>YORK</v>
      </c>
      <c r="M54" s="6">
        <f t="shared" si="1"/>
        <v>3.6296296297223307E-2</v>
      </c>
      <c r="N54" s="7"/>
      <c r="O54" s="7"/>
      <c r="P54" s="7">
        <f t="shared" si="2"/>
        <v>52.266666668001562</v>
      </c>
      <c r="Q54" s="35"/>
      <c r="R54" s="35" t="s">
        <v>733</v>
      </c>
      <c r="S54" s="54">
        <f t="shared" si="3"/>
        <v>1</v>
      </c>
      <c r="T54" s="108" t="str">
        <f t="shared" si="4"/>
        <v>Southbound</v>
      </c>
      <c r="U54" s="108">
        <f>COUNTIFS(Variables!$M$2:$M$19,IF(T54="NorthBound","&gt;=","&lt;=")&amp;Y54,Variables!$M$2:$M$19,IF(T54="NorthBound","&lt;=","&gt;=")&amp;Z54)</f>
        <v>12</v>
      </c>
      <c r="V54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09:20:32-0600',mode:absolute,to:'2016-07-06 10:16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116" t="str">
        <f t="shared" si="6"/>
        <v>Y</v>
      </c>
      <c r="X54" s="116">
        <f t="shared" si="7"/>
        <v>1</v>
      </c>
      <c r="Y54" s="116">
        <f t="shared" si="8"/>
        <v>23.2959</v>
      </c>
      <c r="Z54" s="116">
        <f t="shared" si="9"/>
        <v>0.83289999999999997</v>
      </c>
      <c r="AA54" s="116">
        <f t="shared" si="10"/>
        <v>22.463000000000001</v>
      </c>
      <c r="AB54" s="117" t="e">
        <f>VLOOKUP(A54,Enforcements!$C$7:$J$30,8,0)</f>
        <v>#N/A</v>
      </c>
      <c r="AC54" s="117" t="e">
        <f>VLOOKUP(A54,Enforcements!$C$7:$E$30,3,0)</f>
        <v>#N/A</v>
      </c>
      <c r="AD54" s="118" t="str">
        <f t="shared" si="11"/>
        <v>0142-06</v>
      </c>
      <c r="AE54" s="118" t="str">
        <f>"aws s3 cp "&amp;s3_bucket&amp;"/RTDC"&amp;B54&amp;"/"&amp;TEXT(F54,"YYYY-MM-DD")&amp;"/ "&amp;search_path&amp;"\RTDC"&amp;B54&amp;"\"&amp;TEXT(F54,"YYYY-MM-DD")&amp;" --recursive &amp; """&amp;walkandungz&amp;""" "&amp;search_path&amp;"\RTDC"&amp;B54&amp;"\"&amp;TEXT(F54,"YYYY-MM-DD")
&amp;" &amp; "&amp;"aws s3 cp "&amp;s3_bucket&amp;"/RTDC"&amp;B54&amp;"/"&amp;TEXT(F54+1,"YYYY-MM-DD")&amp;"/ "&amp;search_path&amp;"\RTDC"&amp;B54&amp;"\"&amp;TEXT(F54+1,"YYYY-MM-DD")&amp;" --recursive &amp; """&amp;walkandungz&amp;""" "&amp;search_path&amp;"\RTDC"&amp;B54&amp;"\"&amp;TEXT(F54+1,"YYYY-MM-DD")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54" s="118" t="str">
        <f>astrogrep_path&amp;" /spath="&amp;search_path&amp;" /stypes=""*"&amp;B54&amp;"*"&amp;TEXT(F54-utc_offset/24,"YYYYMMDD")&amp;"*"" /stext="" "&amp;TEXT(F54-utc_offset/24,"HH")&amp;search_regexp&amp;""" /e /r /s"</f>
        <v>"C:\Program Files (x86)\AstroGrep\AstroGrep.exe" /spath="C:\Users\stu\Documents\Analysis\2016-02-23 RTDC Observations" /stypes="*4043*20160706*" /stext=" 15:.+((prompt.+disp)|(slice.+state.+chan)|(ment ac)|(system.+state.+chan)|(\|lc)|(penalty)|(\[timeout))" /e /r /s</v>
      </c>
    </row>
    <row r="55" spans="1:32" s="1" customFormat="1" x14ac:dyDescent="0.25">
      <c r="A55" s="62" t="s">
        <v>476</v>
      </c>
      <c r="B55" s="34">
        <v>4018</v>
      </c>
      <c r="C55" s="34" t="s">
        <v>60</v>
      </c>
      <c r="D55" s="34" t="s">
        <v>593</v>
      </c>
      <c r="E55" s="20">
        <v>42557.36917824074</v>
      </c>
      <c r="F55" s="20">
        <v>42557.370104166665</v>
      </c>
      <c r="G55" s="23">
        <v>1</v>
      </c>
      <c r="H55" s="20" t="s">
        <v>594</v>
      </c>
      <c r="I55" s="20">
        <v>42557.399525462963</v>
      </c>
      <c r="J55" s="34">
        <v>0</v>
      </c>
      <c r="K55" s="34" t="str">
        <f t="shared" si="0"/>
        <v>4017/4018</v>
      </c>
      <c r="L55" s="34" t="str">
        <f>VLOOKUP(A55,'Trips&amp;Operators'!$C$1:$E$10000,3,FALSE)</f>
        <v>ROCHA</v>
      </c>
      <c r="M55" s="6">
        <f t="shared" si="1"/>
        <v>2.9421296298096422E-2</v>
      </c>
      <c r="N55" s="7">
        <f t="shared" si="2"/>
        <v>42.366666669258848</v>
      </c>
      <c r="O55" s="7"/>
      <c r="P55" s="7"/>
      <c r="Q55" s="35"/>
      <c r="R55" s="35"/>
      <c r="S55" s="54">
        <f t="shared" si="3"/>
        <v>1</v>
      </c>
      <c r="T55" s="108" t="str">
        <f t="shared" si="4"/>
        <v>NorthBound</v>
      </c>
      <c r="U55" s="108">
        <f>COUNTIFS(Variables!$M$2:$M$19,IF(T55="NorthBound","&gt;=","&lt;=")&amp;Y55,Variables!$M$2:$M$19,IF(T55="NorthBound","&lt;=","&gt;=")&amp;Z55)</f>
        <v>12</v>
      </c>
      <c r="V55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08:50:37-0600',mode:absolute,to:'2016-07-06 09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116" t="str">
        <f t="shared" si="6"/>
        <v>N</v>
      </c>
      <c r="X55" s="116">
        <f t="shared" si="7"/>
        <v>1</v>
      </c>
      <c r="Y55" s="116">
        <f t="shared" si="8"/>
        <v>6.3899999999999998E-2</v>
      </c>
      <c r="Z55" s="116">
        <f t="shared" si="9"/>
        <v>23.330400000000001</v>
      </c>
      <c r="AA55" s="116">
        <f t="shared" si="10"/>
        <v>23.266500000000001</v>
      </c>
      <c r="AB55" s="117" t="e">
        <f>VLOOKUP(A55,Enforcements!$C$7:$J$30,8,0)</f>
        <v>#N/A</v>
      </c>
      <c r="AC55" s="117" t="e">
        <f>VLOOKUP(A55,Enforcements!$C$7:$E$30,3,0)</f>
        <v>#N/A</v>
      </c>
      <c r="AD55" s="118" t="str">
        <f t="shared" si="11"/>
        <v>0143-06</v>
      </c>
      <c r="AE55" s="118" t="str">
        <f>"aws s3 cp "&amp;s3_bucket&amp;"/RTDC"&amp;B55&amp;"/"&amp;TEXT(F55,"YYYY-MM-DD")&amp;"/ "&amp;search_path&amp;"\RTDC"&amp;B55&amp;"\"&amp;TEXT(F55,"YYYY-MM-DD")&amp;" --recursive &amp; """&amp;walkandungz&amp;""" "&amp;search_path&amp;"\RTDC"&amp;B55&amp;"\"&amp;TEXT(F55,"YYYY-MM-DD")
&amp;" &amp; "&amp;"aws s3 cp "&amp;s3_bucket&amp;"/RTDC"&amp;B55&amp;"/"&amp;TEXT(F55+1,"YYYY-MM-DD")&amp;"/ "&amp;search_path&amp;"\RTDC"&amp;B55&amp;"\"&amp;TEXT(F55+1,"YYYY-MM-DD")&amp;" --recursive &amp; """&amp;walkandungz&amp;""" "&amp;search_path&amp;"\RTDC"&amp;B55&amp;"\"&amp;TEXT(F55+1,"YYYY-MM-DD")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55" s="118" t="str">
        <f>astrogrep_path&amp;" /spath="&amp;search_path&amp;" /stypes=""*"&amp;B55&amp;"*"&amp;TEXT(F55-utc_offset/24,"YYYYMMDD")&amp;"*"" /stext="" "&amp;TEXT(F55-utc_offset/24,"HH")&amp;search_regexp&amp;""" /e /r /s"</f>
        <v>"C:\Program Files (x86)\AstroGrep\AstroGrep.exe" /spath="C:\Users\stu\Documents\Analysis\2016-02-23 RTDC Observations" /stypes="*4018*20160706*" /stext=" 14:.+((prompt.+disp)|(slice.+state.+chan)|(ment ac)|(system.+state.+chan)|(\|lc)|(penalty)|(\[timeout))" /e /r /s</v>
      </c>
    </row>
    <row r="56" spans="1:32" s="1" customFormat="1" x14ac:dyDescent="0.25">
      <c r="A56" s="62" t="s">
        <v>462</v>
      </c>
      <c r="B56" s="34">
        <v>4017</v>
      </c>
      <c r="C56" s="34" t="s">
        <v>60</v>
      </c>
      <c r="D56" s="34" t="s">
        <v>286</v>
      </c>
      <c r="E56" s="20">
        <v>42557.405833333331</v>
      </c>
      <c r="F56" s="20">
        <v>42557.407233796293</v>
      </c>
      <c r="G56" s="23">
        <v>2</v>
      </c>
      <c r="H56" s="20" t="s">
        <v>141</v>
      </c>
      <c r="I56" s="20">
        <v>42557.439166666663</v>
      </c>
      <c r="J56" s="34">
        <v>0</v>
      </c>
      <c r="K56" s="34" t="str">
        <f t="shared" si="0"/>
        <v>4017/4018</v>
      </c>
      <c r="L56" s="34" t="str">
        <f>VLOOKUP(A56,'Trips&amp;Operators'!$C$1:$E$10000,3,FALSE)</f>
        <v>ROCHA</v>
      </c>
      <c r="M56" s="6">
        <f t="shared" si="1"/>
        <v>3.1932870369928423E-2</v>
      </c>
      <c r="N56" s="7">
        <f t="shared" si="2"/>
        <v>45.98333333269693</v>
      </c>
      <c r="O56" s="7"/>
      <c r="P56" s="7"/>
      <c r="Q56" s="35"/>
      <c r="R56" s="35"/>
      <c r="S56" s="54">
        <f t="shared" si="3"/>
        <v>1</v>
      </c>
      <c r="T56" s="108" t="str">
        <f t="shared" si="4"/>
        <v>Southbound</v>
      </c>
      <c r="U56" s="108">
        <f>COUNTIFS(Variables!$M$2:$M$19,IF(T56="NorthBound","&gt;=","&lt;=")&amp;Y56,Variables!$M$2:$M$19,IF(T56="NorthBound","&lt;=","&gt;=")&amp;Z56)</f>
        <v>12</v>
      </c>
      <c r="V56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09:43:24-0600',mode:absolute,to:'2016-07-06 10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116" t="str">
        <f t="shared" si="6"/>
        <v>N</v>
      </c>
      <c r="X56" s="116">
        <f t="shared" si="7"/>
        <v>1</v>
      </c>
      <c r="Y56" s="116">
        <f t="shared" si="8"/>
        <v>23.2989</v>
      </c>
      <c r="Z56" s="116">
        <f t="shared" si="9"/>
        <v>1.5599999999999999E-2</v>
      </c>
      <c r="AA56" s="116">
        <f t="shared" si="10"/>
        <v>23.283300000000001</v>
      </c>
      <c r="AB56" s="117" t="e">
        <f>VLOOKUP(A56,Enforcements!$C$7:$J$30,8,0)</f>
        <v>#N/A</v>
      </c>
      <c r="AC56" s="117" t="e">
        <f>VLOOKUP(A56,Enforcements!$C$7:$E$30,3,0)</f>
        <v>#N/A</v>
      </c>
      <c r="AD56" s="118" t="str">
        <f t="shared" si="11"/>
        <v>0144-06</v>
      </c>
      <c r="AE56" s="118" t="str">
        <f>"aws s3 cp "&amp;s3_bucket&amp;"/RTDC"&amp;B56&amp;"/"&amp;TEXT(F56,"YYYY-MM-DD")&amp;"/ "&amp;search_path&amp;"\RTDC"&amp;B56&amp;"\"&amp;TEXT(F56,"YYYY-MM-DD")&amp;" --recursive &amp; """&amp;walkandungz&amp;""" "&amp;search_path&amp;"\RTDC"&amp;B56&amp;"\"&amp;TEXT(F56,"YYYY-MM-DD")
&amp;" &amp; "&amp;"aws s3 cp "&amp;s3_bucket&amp;"/RTDC"&amp;B56&amp;"/"&amp;TEXT(F56+1,"YYYY-MM-DD")&amp;"/ "&amp;search_path&amp;"\RTDC"&amp;B56&amp;"\"&amp;TEXT(F56+1,"YYYY-MM-DD")&amp;" --recursive &amp; """&amp;walkandungz&amp;""" "&amp;search_path&amp;"\RTDC"&amp;B56&amp;"\"&amp;TEXT(F56+1,"YYYY-MM-DD")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56" s="118" t="str">
        <f>astrogrep_path&amp;" /spath="&amp;search_path&amp;" /stypes=""*"&amp;B56&amp;"*"&amp;TEXT(F56-utc_offset/24,"YYYYMMDD")&amp;"*"" /stext="" "&amp;TEXT(F56-utc_offset/24,"HH")&amp;search_regexp&amp;""" /e /r /s"</f>
        <v>"C:\Program Files (x86)\AstroGrep\AstroGrep.exe" /spath="C:\Users\stu\Documents\Analysis\2016-02-23 RTDC Observations" /stypes="*4017*20160706*" /stext=" 15:.+((prompt.+disp)|(slice.+state.+chan)|(ment ac)|(system.+state.+chan)|(\|lc)|(penalty)|(\[timeout))" /e /r /s</v>
      </c>
    </row>
    <row r="57" spans="1:32" s="1" customFormat="1" x14ac:dyDescent="0.25">
      <c r="A57" s="62" t="s">
        <v>406</v>
      </c>
      <c r="B57" s="34">
        <v>4014</v>
      </c>
      <c r="C57" s="34" t="s">
        <v>60</v>
      </c>
      <c r="D57" s="34" t="s">
        <v>68</v>
      </c>
      <c r="E57" s="20">
        <v>42557.382175925923</v>
      </c>
      <c r="F57" s="20">
        <v>42557.383032407408</v>
      </c>
      <c r="G57" s="23">
        <v>1</v>
      </c>
      <c r="H57" s="20" t="s">
        <v>156</v>
      </c>
      <c r="I57" s="20">
        <v>42557.410879629628</v>
      </c>
      <c r="J57" s="34">
        <v>0</v>
      </c>
      <c r="K57" s="34" t="str">
        <f t="shared" si="0"/>
        <v>4013/4014</v>
      </c>
      <c r="L57" s="34" t="str">
        <f>VLOOKUP(A57,'Trips&amp;Operators'!$C$1:$E$10000,3,FALSE)</f>
        <v>STARKS</v>
      </c>
      <c r="M57" s="6">
        <f t="shared" si="1"/>
        <v>2.7847222219861578E-2</v>
      </c>
      <c r="N57" s="7">
        <f t="shared" si="2"/>
        <v>40.099999996600673</v>
      </c>
      <c r="O57" s="7"/>
      <c r="P57" s="7"/>
      <c r="Q57" s="35"/>
      <c r="R57" s="35"/>
      <c r="S57" s="54">
        <f t="shared" si="3"/>
        <v>1</v>
      </c>
      <c r="T57" s="108" t="str">
        <f t="shared" si="4"/>
        <v>NorthBound</v>
      </c>
      <c r="U57" s="108">
        <f>COUNTIFS(Variables!$M$2:$M$19,IF(T57="NorthBound","&gt;=","&lt;=")&amp;Y57,Variables!$M$2:$M$19,IF(T57="NorthBound","&lt;=","&gt;=")&amp;Z57)</f>
        <v>12</v>
      </c>
      <c r="V57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09:09:20-0600',mode:absolute,to:'2016-07-06 09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7" s="116" t="str">
        <f t="shared" si="6"/>
        <v>N</v>
      </c>
      <c r="X57" s="116">
        <f t="shared" si="7"/>
        <v>1</v>
      </c>
      <c r="Y57" s="116">
        <f t="shared" si="8"/>
        <v>4.5999999999999999E-2</v>
      </c>
      <c r="Z57" s="116">
        <f t="shared" si="9"/>
        <v>23.328800000000001</v>
      </c>
      <c r="AA57" s="116">
        <f t="shared" si="10"/>
        <v>23.282800000000002</v>
      </c>
      <c r="AB57" s="117" t="e">
        <f>VLOOKUP(A57,Enforcements!$C$7:$J$30,8,0)</f>
        <v>#N/A</v>
      </c>
      <c r="AC57" s="117" t="e">
        <f>VLOOKUP(A57,Enforcements!$C$7:$E$30,3,0)</f>
        <v>#N/A</v>
      </c>
      <c r="AD57" s="118" t="str">
        <f t="shared" si="11"/>
        <v>0145-06</v>
      </c>
      <c r="AE57" s="118" t="str">
        <f>"aws s3 cp "&amp;s3_bucket&amp;"/RTDC"&amp;B57&amp;"/"&amp;TEXT(F57,"YYYY-MM-DD")&amp;"/ "&amp;search_path&amp;"\RTDC"&amp;B57&amp;"\"&amp;TEXT(F57,"YYYY-MM-DD")&amp;" --recursive &amp; """&amp;walkandungz&amp;""" "&amp;search_path&amp;"\RTDC"&amp;B57&amp;"\"&amp;TEXT(F57,"YYYY-MM-DD")
&amp;" &amp; "&amp;"aws s3 cp "&amp;s3_bucket&amp;"/RTDC"&amp;B57&amp;"/"&amp;TEXT(F57+1,"YYYY-MM-DD")&amp;"/ "&amp;search_path&amp;"\RTDC"&amp;B57&amp;"\"&amp;TEXT(F57+1,"YYYY-MM-DD")&amp;" --recursive &amp; """&amp;walkandungz&amp;""" "&amp;search_path&amp;"\RTDC"&amp;B57&amp;"\"&amp;TEXT(F57+1,"YYYY-MM-DD")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57" s="118" t="str">
        <f>astrogrep_path&amp;" /spath="&amp;search_path&amp;" /stypes=""*"&amp;B57&amp;"*"&amp;TEXT(F57-utc_offset/24,"YYYYMMDD")&amp;"*"" /stext="" "&amp;TEXT(F57-utc_offset/24,"HH")&amp;search_regexp&amp;""" /e /r /s"</f>
        <v>"C:\Program Files (x86)\AstroGrep\AstroGrep.exe" /spath="C:\Users\stu\Documents\Analysis\2016-02-23 RTDC Observations" /stypes="*4014*20160706*" /stext=" 15:.+((prompt.+disp)|(slice.+state.+chan)|(ment ac)|(system.+state.+chan)|(\|lc)|(penalty)|(\[timeout))" /e /r /s</v>
      </c>
    </row>
    <row r="58" spans="1:32" s="1" customFormat="1" x14ac:dyDescent="0.25">
      <c r="A58" s="62" t="s">
        <v>433</v>
      </c>
      <c r="B58" s="34">
        <v>4025</v>
      </c>
      <c r="C58" s="34" t="s">
        <v>60</v>
      </c>
      <c r="D58" s="34" t="s">
        <v>595</v>
      </c>
      <c r="E58" s="20">
        <v>42557.391296296293</v>
      </c>
      <c r="F58" s="20">
        <v>42557.392592592594</v>
      </c>
      <c r="G58" s="23">
        <v>1</v>
      </c>
      <c r="H58" s="20" t="s">
        <v>301</v>
      </c>
      <c r="I58" s="20">
        <v>42557.420856481483</v>
      </c>
      <c r="J58" s="34">
        <v>0</v>
      </c>
      <c r="K58" s="34" t="str">
        <f t="shared" si="0"/>
        <v>4025/4026</v>
      </c>
      <c r="L58" s="34" t="str">
        <f>VLOOKUP(A58,'Trips&amp;Operators'!$C$1:$E$10000,3,FALSE)</f>
        <v>MOSES</v>
      </c>
      <c r="M58" s="6">
        <f t="shared" si="1"/>
        <v>2.8263888889341615E-2</v>
      </c>
      <c r="N58" s="7">
        <f t="shared" si="2"/>
        <v>40.700000000651926</v>
      </c>
      <c r="O58" s="7"/>
      <c r="P58" s="7"/>
      <c r="Q58" s="35"/>
      <c r="R58" s="35"/>
      <c r="S58" s="54">
        <f t="shared" si="3"/>
        <v>1</v>
      </c>
      <c r="T58" s="108" t="str">
        <f t="shared" si="4"/>
        <v>NorthBound</v>
      </c>
      <c r="U58" s="108">
        <f>COUNTIFS(Variables!$M$2:$M$19,IF(T58="NorthBound","&gt;=","&lt;=")&amp;Y58,Variables!$M$2:$M$19,IF(T58="NorthBound","&lt;=","&gt;=")&amp;Z58)</f>
        <v>12</v>
      </c>
      <c r="V58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09:22:28-0600',mode:absolute,to:'2016-07-06 10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116" t="str">
        <f t="shared" si="6"/>
        <v>N</v>
      </c>
      <c r="X58" s="116">
        <f t="shared" si="7"/>
        <v>2</v>
      </c>
      <c r="Y58" s="116">
        <f t="shared" si="8"/>
        <v>6.4399999999999999E-2</v>
      </c>
      <c r="Z58" s="116">
        <f t="shared" si="9"/>
        <v>23.329699999999999</v>
      </c>
      <c r="AA58" s="116">
        <f t="shared" si="10"/>
        <v>23.2653</v>
      </c>
      <c r="AB58" s="117" t="e">
        <f>VLOOKUP(A58,Enforcements!$C$7:$J$30,8,0)</f>
        <v>#N/A</v>
      </c>
      <c r="AC58" s="117" t="e">
        <f>VLOOKUP(A58,Enforcements!$C$7:$E$30,3,0)</f>
        <v>#N/A</v>
      </c>
      <c r="AD58" s="118" t="str">
        <f t="shared" si="11"/>
        <v>0147-06</v>
      </c>
      <c r="AE58" s="118" t="str">
        <f>"aws s3 cp "&amp;s3_bucket&amp;"/RTDC"&amp;B58&amp;"/"&amp;TEXT(F58,"YYYY-MM-DD")&amp;"/ "&amp;search_path&amp;"\RTDC"&amp;B58&amp;"\"&amp;TEXT(F58,"YYYY-MM-DD")&amp;" --recursive &amp; """&amp;walkandungz&amp;""" "&amp;search_path&amp;"\RTDC"&amp;B58&amp;"\"&amp;TEXT(F58,"YYYY-MM-DD")
&amp;" &amp; "&amp;"aws s3 cp "&amp;s3_bucket&amp;"/RTDC"&amp;B58&amp;"/"&amp;TEXT(F58+1,"YYYY-MM-DD")&amp;"/ "&amp;search_path&amp;"\RTDC"&amp;B58&amp;"\"&amp;TEXT(F58+1,"YYYY-MM-DD")&amp;" --recursive &amp; """&amp;walkandungz&amp;""" "&amp;search_path&amp;"\RTDC"&amp;B58&amp;"\"&amp;TEXT(F58+1,"YYYY-MM-DD")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58" s="118" t="str">
        <f>astrogrep_path&amp;" /spath="&amp;search_path&amp;" /stypes=""*"&amp;B58&amp;"*"&amp;TEXT(F58-utc_offset/24,"YYYYMMDD")&amp;"*"" /stext="" "&amp;TEXT(F58-utc_offset/24,"HH")&amp;search_regexp&amp;""" /e /r /s"</f>
        <v>"C:\Program Files (x86)\AstroGrep\AstroGrep.exe" /spath="C:\Users\stu\Documents\Analysis\2016-02-23 RTDC Observations" /stypes="*4025*20160706*" /stext=" 15:.+((prompt.+disp)|(slice.+state.+chan)|(ment ac)|(system.+state.+chan)|(\|lc)|(penalty)|(\[timeout))" /e /r /s</v>
      </c>
    </row>
    <row r="59" spans="1:32" s="1" customFormat="1" x14ac:dyDescent="0.25">
      <c r="A59" s="62" t="s">
        <v>347</v>
      </c>
      <c r="B59" s="34">
        <v>4026</v>
      </c>
      <c r="C59" s="34" t="s">
        <v>60</v>
      </c>
      <c r="D59" s="34" t="s">
        <v>596</v>
      </c>
      <c r="E59" s="20">
        <v>42557.429131944446</v>
      </c>
      <c r="F59" s="20">
        <v>42557.430324074077</v>
      </c>
      <c r="G59" s="23">
        <v>1</v>
      </c>
      <c r="H59" s="20" t="s">
        <v>597</v>
      </c>
      <c r="I59" s="20">
        <v>42557.460428240738</v>
      </c>
      <c r="J59" s="34">
        <v>1</v>
      </c>
      <c r="K59" s="34" t="str">
        <f t="shared" si="0"/>
        <v>4025/4026</v>
      </c>
      <c r="L59" s="34" t="str">
        <f>VLOOKUP(A59,'Trips&amp;Operators'!$C$1:$E$10000,3,FALSE)</f>
        <v>MOSES</v>
      </c>
      <c r="M59" s="6">
        <f t="shared" si="1"/>
        <v>3.0104166660748888E-2</v>
      </c>
      <c r="N59" s="7">
        <f t="shared" si="2"/>
        <v>43.349999991478398</v>
      </c>
      <c r="O59" s="7"/>
      <c r="P59" s="7"/>
      <c r="Q59" s="35"/>
      <c r="R59" s="35"/>
      <c r="S59" s="54">
        <f t="shared" si="3"/>
        <v>1</v>
      </c>
      <c r="T59" s="108" t="str">
        <f t="shared" si="4"/>
        <v>Southbound</v>
      </c>
      <c r="U59" s="108">
        <f>COUNTIFS(Variables!$M$2:$M$19,IF(T59="NorthBound","&gt;=","&lt;=")&amp;Y59,Variables!$M$2:$M$19,IF(T59="NorthBound","&lt;=","&gt;=")&amp;Z59)</f>
        <v>12</v>
      </c>
      <c r="V59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10:16:57-0600',mode:absolute,to:'2016-07-06 11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116" t="str">
        <f t="shared" si="6"/>
        <v>N</v>
      </c>
      <c r="X59" s="116">
        <f t="shared" si="7"/>
        <v>1</v>
      </c>
      <c r="Y59" s="116">
        <f t="shared" si="8"/>
        <v>23.298300000000001</v>
      </c>
      <c r="Z59" s="116">
        <f t="shared" si="9"/>
        <v>1.8700000000000001E-2</v>
      </c>
      <c r="AA59" s="116">
        <f t="shared" si="10"/>
        <v>23.279600000000002</v>
      </c>
      <c r="AB59" s="117" t="e">
        <f>VLOOKUP(A59,Enforcements!$C$7:$J$30,8,0)</f>
        <v>#N/A</v>
      </c>
      <c r="AC59" s="117" t="e">
        <f>VLOOKUP(A59,Enforcements!$C$7:$E$30,3,0)</f>
        <v>#N/A</v>
      </c>
      <c r="AD59" s="118" t="str">
        <f t="shared" si="11"/>
        <v>0148-06</v>
      </c>
      <c r="AE59" s="118" t="str">
        <f>"aws s3 cp "&amp;s3_bucket&amp;"/RTDC"&amp;B59&amp;"/"&amp;TEXT(F59,"YYYY-MM-DD")&amp;"/ "&amp;search_path&amp;"\RTDC"&amp;B59&amp;"\"&amp;TEXT(F59,"YYYY-MM-DD")&amp;" --recursive &amp; """&amp;walkandungz&amp;""" "&amp;search_path&amp;"\RTDC"&amp;B59&amp;"\"&amp;TEXT(F59,"YYYY-MM-DD")
&amp;" &amp; "&amp;"aws s3 cp "&amp;s3_bucket&amp;"/RTDC"&amp;B59&amp;"/"&amp;TEXT(F59+1,"YYYY-MM-DD")&amp;"/ "&amp;search_path&amp;"\RTDC"&amp;B59&amp;"\"&amp;TEXT(F59+1,"YYYY-MM-DD")&amp;" --recursive &amp; """&amp;walkandungz&amp;""" "&amp;search_path&amp;"\RTDC"&amp;B59&amp;"\"&amp;TEXT(F59+1,"YYYY-MM-DD")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59" s="118" t="str">
        <f>astrogrep_path&amp;" /spath="&amp;search_path&amp;" /stypes=""*"&amp;B59&amp;"*"&amp;TEXT(F59-utc_offset/24,"YYYYMMDD")&amp;"*"" /stext="" "&amp;TEXT(F59-utc_offset/24,"HH")&amp;search_regexp&amp;""" /e /r /s"</f>
        <v>"C:\Program Files (x86)\AstroGrep\AstroGrep.exe" /spath="C:\Users\stu\Documents\Analysis\2016-02-23 RTDC Observations" /stypes="*4026*20160706*" /stext=" 16:.+((prompt.+disp)|(slice.+state.+chan)|(ment ac)|(system.+state.+chan)|(\|lc)|(penalty)|(\[timeout))" /e /r /s</v>
      </c>
    </row>
    <row r="60" spans="1:32" s="1" customFormat="1" x14ac:dyDescent="0.25">
      <c r="A60" s="62" t="s">
        <v>504</v>
      </c>
      <c r="B60" s="34">
        <v>4040</v>
      </c>
      <c r="C60" s="34" t="s">
        <v>60</v>
      </c>
      <c r="D60" s="34" t="s">
        <v>72</v>
      </c>
      <c r="E60" s="20">
        <v>42557.399918981479</v>
      </c>
      <c r="F60" s="20">
        <v>42557.40115740741</v>
      </c>
      <c r="G60" s="23">
        <v>1</v>
      </c>
      <c r="H60" s="20" t="s">
        <v>297</v>
      </c>
      <c r="I60" s="20">
        <v>42557.430960648147</v>
      </c>
      <c r="J60" s="34">
        <v>0</v>
      </c>
      <c r="K60" s="34" t="str">
        <f t="shared" si="0"/>
        <v>4039/4040</v>
      </c>
      <c r="L60" s="34" t="str">
        <f>VLOOKUP(A60,'Trips&amp;Operators'!$C$1:$E$10000,3,FALSE)</f>
        <v>MAELZER</v>
      </c>
      <c r="M60" s="6">
        <f t="shared" si="1"/>
        <v>2.9803240737237502E-2</v>
      </c>
      <c r="N60" s="7">
        <f t="shared" si="2"/>
        <v>42.916666661622003</v>
      </c>
      <c r="O60" s="7"/>
      <c r="P60" s="7"/>
      <c r="Q60" s="35"/>
      <c r="R60" s="35"/>
      <c r="S60" s="54">
        <f t="shared" si="3"/>
        <v>1</v>
      </c>
      <c r="T60" s="108" t="str">
        <f t="shared" si="4"/>
        <v>NorthBound</v>
      </c>
      <c r="U60" s="108">
        <f>COUNTIFS(Variables!$M$2:$M$19,IF(T60="NorthBound","&gt;=","&lt;=")&amp;Y60,Variables!$M$2:$M$19,IF(T60="NorthBound","&lt;=","&gt;=")&amp;Z60)</f>
        <v>12</v>
      </c>
      <c r="V60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09:34:53-0600',mode:absolute,to:'2016-07-06 10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0" s="116" t="str">
        <f t="shared" si="6"/>
        <v>N</v>
      </c>
      <c r="X60" s="116">
        <f t="shared" si="7"/>
        <v>1</v>
      </c>
      <c r="Y60" s="116">
        <f t="shared" si="8"/>
        <v>4.5699999999999998E-2</v>
      </c>
      <c r="Z60" s="116">
        <f t="shared" si="9"/>
        <v>23.330500000000001</v>
      </c>
      <c r="AA60" s="116">
        <f t="shared" si="10"/>
        <v>23.284800000000001</v>
      </c>
      <c r="AB60" s="117" t="e">
        <f>VLOOKUP(A60,Enforcements!$C$7:$J$30,8,0)</f>
        <v>#N/A</v>
      </c>
      <c r="AC60" s="117" t="e">
        <f>VLOOKUP(A60,Enforcements!$C$7:$E$30,3,0)</f>
        <v>#N/A</v>
      </c>
      <c r="AD60" s="118" t="str">
        <f t="shared" si="11"/>
        <v>0149-06</v>
      </c>
      <c r="AE60" s="118" t="str">
        <f>"aws s3 cp "&amp;s3_bucket&amp;"/RTDC"&amp;B60&amp;"/"&amp;TEXT(F60,"YYYY-MM-DD")&amp;"/ "&amp;search_path&amp;"\RTDC"&amp;B60&amp;"\"&amp;TEXT(F60,"YYYY-MM-DD")&amp;" --recursive &amp; """&amp;walkandungz&amp;""" "&amp;search_path&amp;"\RTDC"&amp;B60&amp;"\"&amp;TEXT(F60,"YYYY-MM-DD")
&amp;" &amp; "&amp;"aws s3 cp "&amp;s3_bucket&amp;"/RTDC"&amp;B60&amp;"/"&amp;TEXT(F60+1,"YYYY-MM-DD")&amp;"/ "&amp;search_path&amp;"\RTDC"&amp;B60&amp;"\"&amp;TEXT(F60+1,"YYYY-MM-DD")&amp;" --recursive &amp; """&amp;walkandungz&amp;""" "&amp;search_path&amp;"\RTDC"&amp;B60&amp;"\"&amp;TEXT(F60+1,"YYYY-MM-DD")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60" s="118" t="str">
        <f>astrogrep_path&amp;" /spath="&amp;search_path&amp;" /stypes=""*"&amp;B60&amp;"*"&amp;TEXT(F60-utc_offset/24,"YYYYMMDD")&amp;"*"" /stext="" "&amp;TEXT(F60-utc_offset/24,"HH")&amp;search_regexp&amp;""" /e /r /s"</f>
        <v>"C:\Program Files (x86)\AstroGrep\AstroGrep.exe" /spath="C:\Users\stu\Documents\Analysis\2016-02-23 RTDC Observations" /stypes="*4040*20160706*" /stext=" 15:.+((prompt.+disp)|(slice.+state.+chan)|(ment ac)|(system.+state.+chan)|(\|lc)|(penalty)|(\[timeout))" /e /r /s</v>
      </c>
    </row>
    <row r="61" spans="1:32" s="1" customFormat="1" x14ac:dyDescent="0.25">
      <c r="A61" s="62" t="s">
        <v>542</v>
      </c>
      <c r="B61" s="34">
        <v>4039</v>
      </c>
      <c r="C61" s="34" t="s">
        <v>60</v>
      </c>
      <c r="D61" s="34" t="s">
        <v>70</v>
      </c>
      <c r="E61" s="20">
        <v>42557.440254629626</v>
      </c>
      <c r="F61" s="20">
        <v>42557.441296296296</v>
      </c>
      <c r="G61" s="23">
        <v>1</v>
      </c>
      <c r="H61" s="20" t="s">
        <v>129</v>
      </c>
      <c r="I61" s="20">
        <v>42557.471562500003</v>
      </c>
      <c r="J61" s="34">
        <v>0</v>
      </c>
      <c r="K61" s="34" t="str">
        <f t="shared" si="0"/>
        <v>4039/4040</v>
      </c>
      <c r="L61" s="34" t="str">
        <f>VLOOKUP(A61,'Trips&amp;Operators'!$C$1:$E$10000,3,FALSE)</f>
        <v>MAELZER</v>
      </c>
      <c r="M61" s="6">
        <f t="shared" si="1"/>
        <v>3.0266203706560191E-2</v>
      </c>
      <c r="N61" s="7">
        <f t="shared" si="2"/>
        <v>43.583333337446675</v>
      </c>
      <c r="O61" s="7"/>
      <c r="P61" s="7"/>
      <c r="Q61" s="35"/>
      <c r="R61" s="35"/>
      <c r="S61" s="54">
        <f t="shared" si="3"/>
        <v>1</v>
      </c>
      <c r="T61" s="108" t="str">
        <f t="shared" si="4"/>
        <v>Southbound</v>
      </c>
      <c r="U61" s="108">
        <f>COUNTIFS(Variables!$M$2:$M$19,IF(T61="NorthBound","&gt;=","&lt;=")&amp;Y61,Variables!$M$2:$M$19,IF(T61="NorthBound","&lt;=","&gt;=")&amp;Z61)</f>
        <v>12</v>
      </c>
      <c r="V61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10:32:58-0600',mode:absolute,to:'2016-07-06 11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1" s="116" t="str">
        <f t="shared" si="6"/>
        <v>N</v>
      </c>
      <c r="X61" s="116">
        <f t="shared" si="7"/>
        <v>1</v>
      </c>
      <c r="Y61" s="116">
        <f t="shared" si="8"/>
        <v>23.297699999999999</v>
      </c>
      <c r="Z61" s="116">
        <f t="shared" si="9"/>
        <v>1.54E-2</v>
      </c>
      <c r="AA61" s="116">
        <f t="shared" si="10"/>
        <v>23.282299999999999</v>
      </c>
      <c r="AB61" s="117" t="e">
        <f>VLOOKUP(A61,Enforcements!$C$7:$J$30,8,0)</f>
        <v>#N/A</v>
      </c>
      <c r="AC61" s="117" t="e">
        <f>VLOOKUP(A61,Enforcements!$C$7:$E$30,3,0)</f>
        <v>#N/A</v>
      </c>
      <c r="AD61" s="118" t="str">
        <f t="shared" si="11"/>
        <v>0150-06</v>
      </c>
      <c r="AE61" s="118" t="str">
        <f>"aws s3 cp "&amp;s3_bucket&amp;"/RTDC"&amp;B61&amp;"/"&amp;TEXT(F61,"YYYY-MM-DD")&amp;"/ "&amp;search_path&amp;"\RTDC"&amp;B61&amp;"\"&amp;TEXT(F61,"YYYY-MM-DD")&amp;" --recursive &amp; """&amp;walkandungz&amp;""" "&amp;search_path&amp;"\RTDC"&amp;B61&amp;"\"&amp;TEXT(F61,"YYYY-MM-DD")
&amp;" &amp; "&amp;"aws s3 cp "&amp;s3_bucket&amp;"/RTDC"&amp;B61&amp;"/"&amp;TEXT(F61+1,"YYYY-MM-DD")&amp;"/ "&amp;search_path&amp;"\RTDC"&amp;B61&amp;"\"&amp;TEXT(F61+1,"YYYY-MM-DD")&amp;" --recursive &amp; """&amp;walkandungz&amp;""" "&amp;search_path&amp;"\RTDC"&amp;B61&amp;"\"&amp;TEXT(F61+1,"YYYY-MM-DD")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61" s="118" t="str">
        <f>astrogrep_path&amp;" /spath="&amp;search_path&amp;" /stypes=""*"&amp;B61&amp;"*"&amp;TEXT(F61-utc_offset/24,"YYYYMMDD")&amp;"*"" /stext="" "&amp;TEXT(F61-utc_offset/24,"HH")&amp;search_regexp&amp;""" /e /r /s"</f>
        <v>"C:\Program Files (x86)\AstroGrep\AstroGrep.exe" /spath="C:\Users\stu\Documents\Analysis\2016-02-23 RTDC Observations" /stypes="*4039*20160706*" /stext=" 16:.+((prompt.+disp)|(slice.+state.+chan)|(ment ac)|(system.+state.+chan)|(\|lc)|(penalty)|(\[timeout))" /e /r /s</v>
      </c>
    </row>
    <row r="62" spans="1:32" s="1" customFormat="1" x14ac:dyDescent="0.25">
      <c r="A62" s="62" t="s">
        <v>343</v>
      </c>
      <c r="B62" s="34">
        <v>4031</v>
      </c>
      <c r="C62" s="34" t="s">
        <v>60</v>
      </c>
      <c r="D62" s="34" t="s">
        <v>318</v>
      </c>
      <c r="E62" s="20">
        <v>42557.411099537036</v>
      </c>
      <c r="F62" s="20">
        <v>42557.412152777775</v>
      </c>
      <c r="G62" s="23">
        <v>1</v>
      </c>
      <c r="H62" s="20" t="s">
        <v>598</v>
      </c>
      <c r="I62" s="20">
        <v>42557.441377314812</v>
      </c>
      <c r="J62" s="34">
        <v>1</v>
      </c>
      <c r="K62" s="34" t="str">
        <f t="shared" si="0"/>
        <v>4031/4032</v>
      </c>
      <c r="L62" s="34" t="str">
        <f>VLOOKUP(A62,'Trips&amp;Operators'!$C$1:$E$10000,3,FALSE)</f>
        <v>NEWELL</v>
      </c>
      <c r="M62" s="6">
        <f t="shared" si="1"/>
        <v>2.9224537036498077E-2</v>
      </c>
      <c r="N62" s="7">
        <f t="shared" si="2"/>
        <v>42.083333332557231</v>
      </c>
      <c r="O62" s="7"/>
      <c r="P62" s="7"/>
      <c r="Q62" s="35"/>
      <c r="R62" s="35"/>
      <c r="S62" s="54">
        <f t="shared" si="3"/>
        <v>1</v>
      </c>
      <c r="T62" s="108" t="str">
        <f t="shared" si="4"/>
        <v>NorthBound</v>
      </c>
      <c r="U62" s="108">
        <f>COUNTIFS(Variables!$M$2:$M$19,IF(T62="NorthBound","&gt;=","&lt;=")&amp;Y62,Variables!$M$2:$M$19,IF(T62="NorthBound","&lt;=","&gt;=")&amp;Z62)</f>
        <v>12</v>
      </c>
      <c r="V62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2" s="116" t="str">
        <f t="shared" si="6"/>
        <v>N</v>
      </c>
      <c r="X62" s="116">
        <f t="shared" si="7"/>
        <v>1</v>
      </c>
      <c r="Y62" s="116">
        <f t="shared" si="8"/>
        <v>6.6799999999999998E-2</v>
      </c>
      <c r="Z62" s="116">
        <f t="shared" si="9"/>
        <v>23.331</v>
      </c>
      <c r="AA62" s="116">
        <f t="shared" si="10"/>
        <v>23.264199999999999</v>
      </c>
      <c r="AB62" s="117" t="e">
        <f>VLOOKUP(A62,Enforcements!$C$7:$J$30,8,0)</f>
        <v>#N/A</v>
      </c>
      <c r="AC62" s="117" t="e">
        <f>VLOOKUP(A62,Enforcements!$C$7:$E$30,3,0)</f>
        <v>#N/A</v>
      </c>
      <c r="AD62" s="118" t="str">
        <f t="shared" si="11"/>
        <v>0151-06</v>
      </c>
      <c r="AE62" s="118" t="str">
        <f>"aws s3 cp "&amp;s3_bucket&amp;"/RTDC"&amp;B62&amp;"/"&amp;TEXT(F62,"YYYY-MM-DD")&amp;"/ "&amp;search_path&amp;"\RTDC"&amp;B62&amp;"\"&amp;TEXT(F62,"YYYY-MM-DD")&amp;" --recursive &amp; """&amp;walkandungz&amp;""" "&amp;search_path&amp;"\RTDC"&amp;B62&amp;"\"&amp;TEXT(F62,"YYYY-MM-DD")
&amp;" &amp; "&amp;"aws s3 cp "&amp;s3_bucket&amp;"/RTDC"&amp;B62&amp;"/"&amp;TEXT(F62+1,"YYYY-MM-DD")&amp;"/ "&amp;search_path&amp;"\RTDC"&amp;B62&amp;"\"&amp;TEXT(F62+1,"YYYY-MM-DD")&amp;" --recursive &amp; """&amp;walkandungz&amp;""" "&amp;search_path&amp;"\RTDC"&amp;B62&amp;"\"&amp;TEXT(F62+1,"YYYY-MM-DD")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62" s="118" t="str">
        <f>astrogrep_path&amp;" /spath="&amp;search_path&amp;" /stypes=""*"&amp;B62&amp;"*"&amp;TEXT(F62-utc_offset/24,"YYYYMMDD")&amp;"*"" /stext="" "&amp;TEXT(F62-utc_offset/24,"HH")&amp;search_regexp&amp;""" /e /r /s"</f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</row>
    <row r="63" spans="1:32" s="1" customFormat="1" x14ac:dyDescent="0.25">
      <c r="A63" s="82" t="s">
        <v>346</v>
      </c>
      <c r="B63" s="34">
        <v>4032</v>
      </c>
      <c r="C63" s="34" t="s">
        <v>60</v>
      </c>
      <c r="D63" s="34" t="s">
        <v>599</v>
      </c>
      <c r="E63" s="20">
        <v>42557.451226851852</v>
      </c>
      <c r="F63" s="20">
        <v>42557.451979166668</v>
      </c>
      <c r="G63" s="23">
        <v>1</v>
      </c>
      <c r="H63" s="20" t="s">
        <v>91</v>
      </c>
      <c r="I63" s="20">
        <v>42557.480995370373</v>
      </c>
      <c r="J63" s="34">
        <v>1</v>
      </c>
      <c r="K63" s="34" t="str">
        <f t="shared" si="0"/>
        <v>4031/4032</v>
      </c>
      <c r="L63" s="34" t="str">
        <f>VLOOKUP(A63,'Trips&amp;Operators'!$C$1:$E$10000,3,FALSE)</f>
        <v>NEWELL</v>
      </c>
      <c r="M63" s="6">
        <f t="shared" si="1"/>
        <v>2.9016203705396038E-2</v>
      </c>
      <c r="N63" s="7">
        <f t="shared" si="2"/>
        <v>41.783333335770294</v>
      </c>
      <c r="O63" s="7"/>
      <c r="P63" s="7"/>
      <c r="Q63" s="35"/>
      <c r="R63" s="35"/>
      <c r="S63" s="54">
        <f t="shared" si="3"/>
        <v>1</v>
      </c>
      <c r="T63" s="108" t="str">
        <f t="shared" si="4"/>
        <v>Southbound</v>
      </c>
      <c r="U63" s="108">
        <f>COUNTIFS(Variables!$M$2:$M$19,IF(T63="NorthBound","&gt;=","&lt;=")&amp;Y63,Variables!$M$2:$M$19,IF(T63="NorthBound","&lt;=","&gt;=")&amp;Z63)</f>
        <v>12</v>
      </c>
      <c r="V63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10:48:46-0600',mode:absolute,to:'2016-07-06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3" s="116" t="str">
        <f t="shared" si="6"/>
        <v>N</v>
      </c>
      <c r="X63" s="116">
        <f t="shared" si="7"/>
        <v>1</v>
      </c>
      <c r="Y63" s="116">
        <f t="shared" si="8"/>
        <v>23.299600000000002</v>
      </c>
      <c r="Z63" s="116">
        <f t="shared" si="9"/>
        <v>1.4999999999999999E-2</v>
      </c>
      <c r="AA63" s="116">
        <f t="shared" si="10"/>
        <v>23.284600000000001</v>
      </c>
      <c r="AB63" s="117">
        <f>VLOOKUP(A63,Enforcements!$C$7:$J$30,8,0)</f>
        <v>224581</v>
      </c>
      <c r="AC63" s="117" t="str">
        <f>VLOOKUP(A63,Enforcements!$C$7:$E$30,3,0)</f>
        <v>PERMANENT SPEED RESTRICTION</v>
      </c>
      <c r="AD63" s="118" t="str">
        <f t="shared" si="11"/>
        <v>0152-06</v>
      </c>
      <c r="AE63" s="118" t="str">
        <f>"aws s3 cp "&amp;s3_bucket&amp;"/RTDC"&amp;B63&amp;"/"&amp;TEXT(F63,"YYYY-MM-DD")&amp;"/ "&amp;search_path&amp;"\RTDC"&amp;B63&amp;"\"&amp;TEXT(F63,"YYYY-MM-DD")&amp;" --recursive &amp; """&amp;walkandungz&amp;""" "&amp;search_path&amp;"\RTDC"&amp;B63&amp;"\"&amp;TEXT(F63,"YYYY-MM-DD")
&amp;" &amp; "&amp;"aws s3 cp "&amp;s3_bucket&amp;"/RTDC"&amp;B63&amp;"/"&amp;TEXT(F63+1,"YYYY-MM-DD")&amp;"/ "&amp;search_path&amp;"\RTDC"&amp;B63&amp;"\"&amp;TEXT(F63+1,"YYYY-MM-DD")&amp;" --recursive &amp; """&amp;walkandungz&amp;""" "&amp;search_path&amp;"\RTDC"&amp;B63&amp;"\"&amp;TEXT(F63+1,"YYYY-MM-DD")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63" s="118" t="str">
        <f>astrogrep_path&amp;" /spath="&amp;search_path&amp;" /stypes=""*"&amp;B63&amp;"*"&amp;TEXT(F63-utc_offset/24,"YYYYMMDD")&amp;"*"" /stext="" "&amp;TEXT(F63-utc_offset/24,"HH")&amp;search_regexp&amp;""" /e /r /s"</f>
        <v>"C:\Program Files (x86)\AstroGrep\AstroGrep.exe" /spath="C:\Users\stu\Documents\Analysis\2016-02-23 RTDC Observations" /stypes="*4032*20160706*" /stext=" 16:.+((prompt.+disp)|(slice.+state.+chan)|(ment ac)|(system.+state.+chan)|(\|lc)|(penalty)|(\[timeout))" /e /r /s</v>
      </c>
    </row>
    <row r="64" spans="1:32" s="1" customFormat="1" x14ac:dyDescent="0.25">
      <c r="A64" s="62" t="s">
        <v>418</v>
      </c>
      <c r="B64" s="34">
        <v>4042</v>
      </c>
      <c r="C64" s="34" t="s">
        <v>60</v>
      </c>
      <c r="D64" s="34" t="s">
        <v>68</v>
      </c>
      <c r="E64" s="20">
        <v>42557.42591435185</v>
      </c>
      <c r="F64" s="20">
        <v>42557.427372685182</v>
      </c>
      <c r="G64" s="23">
        <v>2</v>
      </c>
      <c r="H64" s="20" t="s">
        <v>155</v>
      </c>
      <c r="I64" s="20">
        <v>42557.454594907409</v>
      </c>
      <c r="J64" s="34">
        <v>0</v>
      </c>
      <c r="K64" s="34" t="str">
        <f t="shared" si="0"/>
        <v>4041/4042</v>
      </c>
      <c r="L64" s="34" t="str">
        <f>VLOOKUP(A64,'Trips&amp;Operators'!$C$1:$E$10000,3,FALSE)</f>
        <v>SPECTOR</v>
      </c>
      <c r="M64" s="6">
        <f t="shared" si="1"/>
        <v>2.7222222226555459E-2</v>
      </c>
      <c r="N64" s="7">
        <f t="shared" si="2"/>
        <v>39.200000006239861</v>
      </c>
      <c r="O64" s="7"/>
      <c r="P64" s="7"/>
      <c r="Q64" s="35"/>
      <c r="R64" s="35"/>
      <c r="S64" s="54">
        <f t="shared" si="3"/>
        <v>1</v>
      </c>
      <c r="T64" s="108" t="str">
        <f t="shared" si="4"/>
        <v>NorthBound</v>
      </c>
      <c r="U64" s="108">
        <f>COUNTIFS(Variables!$M$2:$M$19,IF(T64="NorthBound","&gt;=","&lt;=")&amp;Y64,Variables!$M$2:$M$19,IF(T64="NorthBound","&lt;=","&gt;=")&amp;Z64)</f>
        <v>12</v>
      </c>
      <c r="V64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10:12:19-0600',mode:absolute,to:'2016-07-06 10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4" s="116" t="str">
        <f t="shared" si="6"/>
        <v>N</v>
      </c>
      <c r="X64" s="116">
        <f t="shared" si="7"/>
        <v>1</v>
      </c>
      <c r="Y64" s="116">
        <f t="shared" si="8"/>
        <v>4.5999999999999999E-2</v>
      </c>
      <c r="Z64" s="116">
        <f t="shared" si="9"/>
        <v>23.3309</v>
      </c>
      <c r="AA64" s="116">
        <f t="shared" si="10"/>
        <v>23.2849</v>
      </c>
      <c r="AB64" s="117" t="e">
        <f>VLOOKUP(A64,Enforcements!$C$7:$J$30,8,0)</f>
        <v>#N/A</v>
      </c>
      <c r="AC64" s="117" t="e">
        <f>VLOOKUP(A64,Enforcements!$C$7:$E$30,3,0)</f>
        <v>#N/A</v>
      </c>
      <c r="AD64" s="118" t="str">
        <f t="shared" si="11"/>
        <v>0153-06</v>
      </c>
      <c r="AE64" s="118" t="str">
        <f>"aws s3 cp "&amp;s3_bucket&amp;"/RTDC"&amp;B64&amp;"/"&amp;TEXT(F64,"YYYY-MM-DD")&amp;"/ "&amp;search_path&amp;"\RTDC"&amp;B64&amp;"\"&amp;TEXT(F64,"YYYY-MM-DD")&amp;" --recursive &amp; """&amp;walkandungz&amp;""" "&amp;search_path&amp;"\RTDC"&amp;B64&amp;"\"&amp;TEXT(F64,"YYYY-MM-DD")
&amp;" &amp; "&amp;"aws s3 cp "&amp;s3_bucket&amp;"/RTDC"&amp;B64&amp;"/"&amp;TEXT(F64+1,"YYYY-MM-DD")&amp;"/ "&amp;search_path&amp;"\RTDC"&amp;B64&amp;"\"&amp;TEXT(F64+1,"YYYY-MM-DD")&amp;" --recursive &amp; """&amp;walkandungz&amp;""" "&amp;search_path&amp;"\RTDC"&amp;B64&amp;"\"&amp;TEXT(F64+1,"YYYY-MM-DD")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64" s="118" t="str">
        <f>astrogrep_path&amp;" /spath="&amp;search_path&amp;" /stypes=""*"&amp;B64&amp;"*"&amp;TEXT(F64-utc_offset/24,"YYYYMMDD")&amp;"*"" /stext="" "&amp;TEXT(F64-utc_offset/24,"HH")&amp;search_regexp&amp;""" /e /r /s"</f>
        <v>"C:\Program Files (x86)\AstroGrep\AstroGrep.exe" /spath="C:\Users\stu\Documents\Analysis\2016-02-23 RTDC Observations" /stypes="*4042*20160706*" /stext=" 16:.+((prompt.+disp)|(slice.+state.+chan)|(ment ac)|(system.+state.+chan)|(\|lc)|(penalty)|(\[timeout))" /e /r /s</v>
      </c>
    </row>
    <row r="65" spans="1:32" s="1" customFormat="1" x14ac:dyDescent="0.25">
      <c r="A65" s="62" t="s">
        <v>349</v>
      </c>
      <c r="B65" s="34">
        <v>4041</v>
      </c>
      <c r="C65" s="34" t="s">
        <v>60</v>
      </c>
      <c r="D65" s="34" t="s">
        <v>192</v>
      </c>
      <c r="E65" s="20">
        <v>42557.460925925923</v>
      </c>
      <c r="F65" s="20">
        <v>42557.462222222224</v>
      </c>
      <c r="G65" s="23">
        <v>1</v>
      </c>
      <c r="H65" s="20" t="s">
        <v>600</v>
      </c>
      <c r="I65" s="20">
        <v>42557.517152777778</v>
      </c>
      <c r="J65" s="34">
        <v>2</v>
      </c>
      <c r="K65" s="34" t="str">
        <f t="shared" si="0"/>
        <v>4041/4042</v>
      </c>
      <c r="L65" s="34" t="str">
        <f>VLOOKUP(A65,'Trips&amp;Operators'!$C$1:$E$10000,3,FALSE)</f>
        <v>SPECTOR</v>
      </c>
      <c r="M65" s="6">
        <f t="shared" si="1"/>
        <v>5.4930555554165039E-2</v>
      </c>
      <c r="N65" s="7"/>
      <c r="O65" s="7"/>
      <c r="P65" s="7">
        <f t="shared" si="2"/>
        <v>79.099999997997656</v>
      </c>
      <c r="Q65" s="35"/>
      <c r="R65" s="35" t="s">
        <v>734</v>
      </c>
      <c r="S65" s="54">
        <f t="shared" si="3"/>
        <v>8.3333333333333329E-2</v>
      </c>
      <c r="T65" s="108" t="str">
        <f t="shared" si="4"/>
        <v>Southbound</v>
      </c>
      <c r="U65" s="108">
        <f>COUNTIFS(Variables!$M$2:$M$19,IF(T65="NorthBound","&gt;=","&lt;=")&amp;Y65,Variables!$M$2:$M$19,IF(T65="NorthBound","&lt;=","&gt;=")&amp;Z65)</f>
        <v>1</v>
      </c>
      <c r="V65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5" s="116" t="str">
        <f t="shared" si="6"/>
        <v>Y</v>
      </c>
      <c r="X65" s="116">
        <f t="shared" si="7"/>
        <v>1</v>
      </c>
      <c r="Y65" s="116">
        <f t="shared" si="8"/>
        <v>23.299399999999999</v>
      </c>
      <c r="Z65" s="116">
        <f t="shared" si="9"/>
        <v>10.6654</v>
      </c>
      <c r="AA65" s="116">
        <f t="shared" si="10"/>
        <v>12.633999999999999</v>
      </c>
      <c r="AB65" s="117" t="e">
        <f>VLOOKUP(A65,Enforcements!$C$7:$J$30,8,0)</f>
        <v>#N/A</v>
      </c>
      <c r="AC65" s="117" t="e">
        <f>VLOOKUP(A65,Enforcements!$C$7:$E$30,3,0)</f>
        <v>#N/A</v>
      </c>
      <c r="AD65" s="118" t="str">
        <f t="shared" si="11"/>
        <v>0154-06</v>
      </c>
      <c r="AE65" s="118" t="str">
        <f>"aws s3 cp "&amp;s3_bucket&amp;"/RTDC"&amp;B65&amp;"/"&amp;TEXT(F65,"YYYY-MM-DD")&amp;"/ "&amp;search_path&amp;"\RTDC"&amp;B65&amp;"\"&amp;TEXT(F65,"YYYY-MM-DD")&amp;" --recursive &amp; """&amp;walkandungz&amp;""" "&amp;search_path&amp;"\RTDC"&amp;B65&amp;"\"&amp;TEXT(F65,"YYYY-MM-DD")
&amp;" &amp; "&amp;"aws s3 cp "&amp;s3_bucket&amp;"/RTDC"&amp;B65&amp;"/"&amp;TEXT(F65+1,"YYYY-MM-DD")&amp;"/ "&amp;search_path&amp;"\RTDC"&amp;B65&amp;"\"&amp;TEXT(F65+1,"YYYY-MM-DD")&amp;" --recursive &amp; """&amp;walkandungz&amp;""" "&amp;search_path&amp;"\RTDC"&amp;B65&amp;"\"&amp;TEXT(F65+1,"YYYY-MM-DD")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65" s="118" t="str">
        <f>astrogrep_path&amp;" /spath="&amp;search_path&amp;" /stypes=""*"&amp;B65&amp;"*"&amp;TEXT(F65-utc_offset/24,"YYYYMMDD")&amp;"*"" /stext="" "&amp;TEXT(F65-utc_offset/24,"HH")&amp;search_regexp&amp;""" /e /r /s"</f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</row>
    <row r="66" spans="1:32" s="1" customFormat="1" x14ac:dyDescent="0.25">
      <c r="A66" s="62" t="s">
        <v>345</v>
      </c>
      <c r="B66" s="34">
        <v>4044</v>
      </c>
      <c r="C66" s="34" t="s">
        <v>60</v>
      </c>
      <c r="D66" s="34" t="s">
        <v>601</v>
      </c>
      <c r="E66" s="20">
        <v>42557.434733796297</v>
      </c>
      <c r="F66" s="20">
        <v>42557.435729166667</v>
      </c>
      <c r="G66" s="23">
        <v>1</v>
      </c>
      <c r="H66" s="20" t="s">
        <v>227</v>
      </c>
      <c r="I66" s="20">
        <v>42557.462777777779</v>
      </c>
      <c r="J66" s="34">
        <v>1</v>
      </c>
      <c r="K66" s="34" t="str">
        <f t="shared" si="0"/>
        <v>4043/4044</v>
      </c>
      <c r="L66" s="34" t="str">
        <f>VLOOKUP(A66,'Trips&amp;Operators'!$C$1:$E$10000,3,FALSE)</f>
        <v>BEAM</v>
      </c>
      <c r="M66" s="6">
        <f t="shared" si="1"/>
        <v>2.7048611111240461E-2</v>
      </c>
      <c r="N66" s="7">
        <f t="shared" si="2"/>
        <v>38.950000000186265</v>
      </c>
      <c r="O66" s="7"/>
      <c r="P66" s="7"/>
      <c r="Q66" s="35"/>
      <c r="R66" s="35"/>
      <c r="S66" s="54">
        <f t="shared" si="3"/>
        <v>1</v>
      </c>
      <c r="T66" s="108" t="str">
        <f t="shared" si="4"/>
        <v>NorthBound</v>
      </c>
      <c r="U66" s="108">
        <f>COUNTIFS(Variables!$M$2:$M$19,IF(T66="NorthBound","&gt;=","&lt;=")&amp;Y66,Variables!$M$2:$M$19,IF(T66="NorthBound","&lt;=","&gt;=")&amp;Z66)</f>
        <v>12</v>
      </c>
      <c r="V66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10:25:01-0600',mode:absolute,to:'2016-07-06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6" s="116" t="str">
        <f t="shared" si="6"/>
        <v>N</v>
      </c>
      <c r="X66" s="116">
        <f t="shared" si="7"/>
        <v>1</v>
      </c>
      <c r="Y66" s="116">
        <f t="shared" si="8"/>
        <v>6.5199999999999994E-2</v>
      </c>
      <c r="Z66" s="116">
        <f t="shared" si="9"/>
        <v>23.3323</v>
      </c>
      <c r="AA66" s="116">
        <f t="shared" si="10"/>
        <v>23.267099999999999</v>
      </c>
      <c r="AB66" s="117">
        <f>VLOOKUP(A66,Enforcements!$C$7:$J$30,8,0)</f>
        <v>20338</v>
      </c>
      <c r="AC66" s="117" t="str">
        <f>VLOOKUP(A66,Enforcements!$C$7:$E$30,3,0)</f>
        <v>PERMANENT SPEED RESTRICTION</v>
      </c>
      <c r="AD66" s="118" t="str">
        <f t="shared" si="11"/>
        <v>0155-06</v>
      </c>
      <c r="AE66" s="118" t="str">
        <f>"aws s3 cp "&amp;s3_bucket&amp;"/RTDC"&amp;B66&amp;"/"&amp;TEXT(F66,"YYYY-MM-DD")&amp;"/ "&amp;search_path&amp;"\RTDC"&amp;B66&amp;"\"&amp;TEXT(F66,"YYYY-MM-DD")&amp;" --recursive &amp; """&amp;walkandungz&amp;""" "&amp;search_path&amp;"\RTDC"&amp;B66&amp;"\"&amp;TEXT(F66,"YYYY-MM-DD")
&amp;" &amp; "&amp;"aws s3 cp "&amp;s3_bucket&amp;"/RTDC"&amp;B66&amp;"/"&amp;TEXT(F66+1,"YYYY-MM-DD")&amp;"/ "&amp;search_path&amp;"\RTDC"&amp;B66&amp;"\"&amp;TEXT(F66+1,"YYYY-MM-DD")&amp;" --recursive &amp; """&amp;walkandungz&amp;""" "&amp;search_path&amp;"\RTDC"&amp;B66&amp;"\"&amp;TEXT(F66+1,"YYYY-MM-DD")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66" s="118" t="str">
        <f>astrogrep_path&amp;" /spath="&amp;search_path&amp;" /stypes=""*"&amp;B66&amp;"*"&amp;TEXT(F66-utc_offset/24,"YYYYMMDD")&amp;"*"" /stext="" "&amp;TEXT(F66-utc_offset/24,"HH")&amp;search_regexp&amp;""" /e /r /s"</f>
        <v>"C:\Program Files (x86)\AstroGrep\AstroGrep.exe" /spath="C:\Users\stu\Documents\Analysis\2016-02-23 RTDC Observations" /stypes="*4044*20160706*" /stext=" 16:.+((prompt.+disp)|(slice.+state.+chan)|(ment ac)|(system.+state.+chan)|(\|lc)|(penalty)|(\[timeout))" /e /r /s</v>
      </c>
    </row>
    <row r="67" spans="1:32" s="1" customFormat="1" x14ac:dyDescent="0.25">
      <c r="A67" s="62" t="s">
        <v>479</v>
      </c>
      <c r="B67" s="34">
        <v>4043</v>
      </c>
      <c r="C67" s="34" t="s">
        <v>60</v>
      </c>
      <c r="D67" s="34" t="s">
        <v>284</v>
      </c>
      <c r="E67" s="20">
        <v>42557.473101851851</v>
      </c>
      <c r="F67" s="20">
        <v>42557.474745370368</v>
      </c>
      <c r="G67" s="23">
        <v>2</v>
      </c>
      <c r="H67" s="20" t="s">
        <v>62</v>
      </c>
      <c r="I67" s="20">
        <v>42557.507256944446</v>
      </c>
      <c r="J67" s="34">
        <v>0</v>
      </c>
      <c r="K67" s="34" t="str">
        <f t="shared" si="0"/>
        <v>4043/4044</v>
      </c>
      <c r="L67" s="34" t="str">
        <f>VLOOKUP(A67,'Trips&amp;Operators'!$C$1:$E$10000,3,FALSE)</f>
        <v>BEAM</v>
      </c>
      <c r="M67" s="6">
        <f t="shared" si="1"/>
        <v>3.2511574077943806E-2</v>
      </c>
      <c r="N67" s="7">
        <f t="shared" si="2"/>
        <v>46.81666667223908</v>
      </c>
      <c r="O67" s="7"/>
      <c r="P67" s="7"/>
      <c r="Q67" s="35"/>
      <c r="R67" s="35"/>
      <c r="S67" s="54">
        <f t="shared" si="3"/>
        <v>1</v>
      </c>
      <c r="T67" s="108" t="str">
        <f t="shared" si="4"/>
        <v>Southbound</v>
      </c>
      <c r="U67" s="108">
        <f>COUNTIFS(Variables!$M$2:$M$19,IF(T67="NorthBound","&gt;=","&lt;=")&amp;Y67,Variables!$M$2:$M$19,IF(T67="NorthBound","&lt;=","&gt;=")&amp;Z67)</f>
        <v>12</v>
      </c>
      <c r="V67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11:20:16-0600',mode:absolute,to:'2016-07-06 12:11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7" s="116" t="str">
        <f t="shared" si="6"/>
        <v>N</v>
      </c>
      <c r="X67" s="116">
        <f t="shared" si="7"/>
        <v>1</v>
      </c>
      <c r="Y67" s="116">
        <f t="shared" si="8"/>
        <v>23.299299999999999</v>
      </c>
      <c r="Z67" s="116">
        <f t="shared" si="9"/>
        <v>1.52E-2</v>
      </c>
      <c r="AA67" s="116">
        <f t="shared" si="10"/>
        <v>23.284099999999999</v>
      </c>
      <c r="AB67" s="117" t="e">
        <f>VLOOKUP(A67,Enforcements!$C$7:$J$30,8,0)</f>
        <v>#N/A</v>
      </c>
      <c r="AC67" s="117" t="e">
        <f>VLOOKUP(A67,Enforcements!$C$7:$E$30,3,0)</f>
        <v>#N/A</v>
      </c>
      <c r="AD67" s="118" t="str">
        <f t="shared" si="11"/>
        <v>0156-06</v>
      </c>
      <c r="AE67" s="118" t="str">
        <f>"aws s3 cp "&amp;s3_bucket&amp;"/RTDC"&amp;B67&amp;"/"&amp;TEXT(F67,"YYYY-MM-DD")&amp;"/ "&amp;search_path&amp;"\RTDC"&amp;B67&amp;"\"&amp;TEXT(F67,"YYYY-MM-DD")&amp;" --recursive &amp; """&amp;walkandungz&amp;""" "&amp;search_path&amp;"\RTDC"&amp;B67&amp;"\"&amp;TEXT(F67,"YYYY-MM-DD")
&amp;" &amp; "&amp;"aws s3 cp "&amp;s3_bucket&amp;"/RTDC"&amp;B67&amp;"/"&amp;TEXT(F67+1,"YYYY-MM-DD")&amp;"/ "&amp;search_path&amp;"\RTDC"&amp;B67&amp;"\"&amp;TEXT(F67+1,"YYYY-MM-DD")&amp;" --recursive &amp; """&amp;walkandungz&amp;""" "&amp;search_path&amp;"\RTDC"&amp;B67&amp;"\"&amp;TEXT(F67+1,"YYYY-MM-DD")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67" s="118" t="str">
        <f>astrogrep_path&amp;" /spath="&amp;search_path&amp;" /stypes=""*"&amp;B67&amp;"*"&amp;TEXT(F67-utc_offset/24,"YYYYMMDD")&amp;"*"" /stext="" "&amp;TEXT(F67-utc_offset/24,"HH")&amp;search_regexp&amp;""" /e /r /s"</f>
        <v>"C:\Program Files (x86)\AstroGrep\AstroGrep.exe" /spath="C:\Users\stu\Documents\Analysis\2016-02-23 RTDC Observations" /stypes="*4043*20160706*" /stext=" 17:.+((prompt.+disp)|(slice.+state.+chan)|(ment ac)|(system.+state.+chan)|(\|lc)|(penalty)|(\[timeout))" /e /r /s</v>
      </c>
    </row>
    <row r="68" spans="1:32" s="1" customFormat="1" x14ac:dyDescent="0.25">
      <c r="A68" s="62" t="s">
        <v>415</v>
      </c>
      <c r="B68" s="34">
        <v>4018</v>
      </c>
      <c r="C68" s="34" t="s">
        <v>60</v>
      </c>
      <c r="D68" s="34" t="s">
        <v>579</v>
      </c>
      <c r="E68" s="20">
        <v>42557.442002314812</v>
      </c>
      <c r="F68" s="20">
        <v>42557.443425925929</v>
      </c>
      <c r="G68" s="23">
        <v>2</v>
      </c>
      <c r="H68" s="20" t="s">
        <v>190</v>
      </c>
      <c r="I68" s="20">
        <v>42557.472766203704</v>
      </c>
      <c r="J68" s="34">
        <v>0</v>
      </c>
      <c r="K68" s="34" t="str">
        <f t="shared" si="0"/>
        <v>4017/4018</v>
      </c>
      <c r="L68" s="34" t="str">
        <f>VLOOKUP(A68,'Trips&amp;Operators'!$C$1:$E$10000,3,FALSE)</f>
        <v>SANTIZO</v>
      </c>
      <c r="M68" s="6">
        <f t="shared" si="1"/>
        <v>2.9340277775190771E-2</v>
      </c>
      <c r="N68" s="7">
        <f t="shared" si="2"/>
        <v>42.24999999627471</v>
      </c>
      <c r="O68" s="7"/>
      <c r="P68" s="7"/>
      <c r="Q68" s="35"/>
      <c r="R68" s="35"/>
      <c r="S68" s="54">
        <f t="shared" si="3"/>
        <v>1</v>
      </c>
      <c r="T68" s="108" t="str">
        <f t="shared" si="4"/>
        <v>NorthBound</v>
      </c>
      <c r="U68" s="108">
        <f>COUNTIFS(Variables!$M$2:$M$19,IF(T68="NorthBound","&gt;=","&lt;=")&amp;Y68,Variables!$M$2:$M$19,IF(T68="NorthBound","&lt;=","&gt;=")&amp;Z68)</f>
        <v>12</v>
      </c>
      <c r="V68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10:35:29-0600',mode:absolute,to:'2016-07-06 11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8" s="116" t="str">
        <f t="shared" si="6"/>
        <v>N</v>
      </c>
      <c r="X68" s="116">
        <f t="shared" si="7"/>
        <v>1</v>
      </c>
      <c r="Y68" s="116">
        <f t="shared" si="8"/>
        <v>4.9299999999999997E-2</v>
      </c>
      <c r="Z68" s="116">
        <f t="shared" si="9"/>
        <v>23.3307</v>
      </c>
      <c r="AA68" s="116">
        <f t="shared" si="10"/>
        <v>23.281400000000001</v>
      </c>
      <c r="AB68" s="117" t="e">
        <f>VLOOKUP(A68,Enforcements!$C$7:$J$30,8,0)</f>
        <v>#N/A</v>
      </c>
      <c r="AC68" s="117" t="e">
        <f>VLOOKUP(A68,Enforcements!$C$7:$E$30,3,0)</f>
        <v>#N/A</v>
      </c>
      <c r="AD68" s="118" t="str">
        <f t="shared" si="11"/>
        <v>0157-06</v>
      </c>
      <c r="AE68" s="118" t="str">
        <f>"aws s3 cp "&amp;s3_bucket&amp;"/RTDC"&amp;B68&amp;"/"&amp;TEXT(F68,"YYYY-MM-DD")&amp;"/ "&amp;search_path&amp;"\RTDC"&amp;B68&amp;"\"&amp;TEXT(F68,"YYYY-MM-DD")&amp;" --recursive &amp; """&amp;walkandungz&amp;""" "&amp;search_path&amp;"\RTDC"&amp;B68&amp;"\"&amp;TEXT(F68,"YYYY-MM-DD")
&amp;" &amp; "&amp;"aws s3 cp "&amp;s3_bucket&amp;"/RTDC"&amp;B68&amp;"/"&amp;TEXT(F68+1,"YYYY-MM-DD")&amp;"/ "&amp;search_path&amp;"\RTDC"&amp;B68&amp;"\"&amp;TEXT(F68+1,"YYYY-MM-DD")&amp;" --recursive &amp; """&amp;walkandungz&amp;""" "&amp;search_path&amp;"\RTDC"&amp;B68&amp;"\"&amp;TEXT(F68+1,"YYYY-MM-DD")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68" s="118" t="str">
        <f>astrogrep_path&amp;" /spath="&amp;search_path&amp;" /stypes=""*"&amp;B68&amp;"*"&amp;TEXT(F68-utc_offset/24,"YYYYMMDD")&amp;"*"" /stext="" "&amp;TEXT(F68-utc_offset/24,"HH")&amp;search_regexp&amp;""" /e /r /s"</f>
        <v>"C:\Program Files (x86)\AstroGrep\AstroGrep.exe" /spath="C:\Users\stu\Documents\Analysis\2016-02-23 RTDC Observations" /stypes="*4018*20160706*" /stext=" 16:.+((prompt.+disp)|(slice.+state.+chan)|(ment ac)|(system.+state.+chan)|(\|lc)|(penalty)|(\[timeout))" /e /r /s</v>
      </c>
    </row>
    <row r="69" spans="1:32" s="1" customFormat="1" x14ac:dyDescent="0.25">
      <c r="A69" s="62" t="s">
        <v>539</v>
      </c>
      <c r="B69" s="34">
        <v>4017</v>
      </c>
      <c r="C69" s="34" t="s">
        <v>60</v>
      </c>
      <c r="D69" s="34" t="s">
        <v>602</v>
      </c>
      <c r="E69" s="20">
        <v>42557.475104166668</v>
      </c>
      <c r="F69" s="20">
        <v>42557.476157407407</v>
      </c>
      <c r="G69" s="23">
        <v>1</v>
      </c>
      <c r="H69" s="20" t="s">
        <v>67</v>
      </c>
      <c r="I69" s="20">
        <v>42557.513460648152</v>
      </c>
      <c r="J69" s="34">
        <v>0</v>
      </c>
      <c r="K69" s="34" t="str">
        <f t="shared" si="0"/>
        <v>4017/4018</v>
      </c>
      <c r="L69" s="34" t="str">
        <f>VLOOKUP(A69,'Trips&amp;Operators'!$C$1:$E$10000,3,FALSE)</f>
        <v>SANTIZO</v>
      </c>
      <c r="M69" s="6">
        <f t="shared" si="1"/>
        <v>3.7303240744222421E-2</v>
      </c>
      <c r="N69" s="7">
        <f t="shared" si="2"/>
        <v>53.716666671680287</v>
      </c>
      <c r="O69" s="7"/>
      <c r="P69" s="7"/>
      <c r="Q69" s="35"/>
      <c r="R69" s="35"/>
      <c r="S69" s="54">
        <f t="shared" si="3"/>
        <v>1</v>
      </c>
      <c r="T69" s="108" t="str">
        <f t="shared" si="4"/>
        <v>Southbound</v>
      </c>
      <c r="U69" s="108">
        <f>COUNTIFS(Variables!$M$2:$M$19,IF(T69="NorthBound","&gt;=","&lt;=")&amp;Y69,Variables!$M$2:$M$19,IF(T69="NorthBound","&lt;=","&gt;=")&amp;Z69)</f>
        <v>12</v>
      </c>
      <c r="V69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11:23:09-0600',mode:absolute,to:'2016-07-06 12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9" s="116" t="str">
        <f t="shared" si="6"/>
        <v>N</v>
      </c>
      <c r="X69" s="116">
        <f t="shared" si="7"/>
        <v>1</v>
      </c>
      <c r="Y69" s="116">
        <f t="shared" si="8"/>
        <v>23.2986</v>
      </c>
      <c r="Z69" s="116">
        <f t="shared" si="9"/>
        <v>1.47E-2</v>
      </c>
      <c r="AA69" s="116">
        <f t="shared" si="10"/>
        <v>23.283899999999999</v>
      </c>
      <c r="AB69" s="117" t="e">
        <f>VLOOKUP(A69,Enforcements!$C$7:$J$30,8,0)</f>
        <v>#N/A</v>
      </c>
      <c r="AC69" s="117" t="e">
        <f>VLOOKUP(A69,Enforcements!$C$7:$E$30,3,0)</f>
        <v>#N/A</v>
      </c>
      <c r="AD69" s="118" t="str">
        <f t="shared" si="11"/>
        <v>0158-06</v>
      </c>
      <c r="AE69" s="118" t="str">
        <f>"aws s3 cp "&amp;s3_bucket&amp;"/RTDC"&amp;B69&amp;"/"&amp;TEXT(F69,"YYYY-MM-DD")&amp;"/ "&amp;search_path&amp;"\RTDC"&amp;B69&amp;"\"&amp;TEXT(F69,"YYYY-MM-DD")&amp;" --recursive &amp; """&amp;walkandungz&amp;""" "&amp;search_path&amp;"\RTDC"&amp;B69&amp;"\"&amp;TEXT(F69,"YYYY-MM-DD")
&amp;" &amp; "&amp;"aws s3 cp "&amp;s3_bucket&amp;"/RTDC"&amp;B69&amp;"/"&amp;TEXT(F69+1,"YYYY-MM-DD")&amp;"/ "&amp;search_path&amp;"\RTDC"&amp;B69&amp;"\"&amp;TEXT(F69+1,"YYYY-MM-DD")&amp;" --recursive &amp; """&amp;walkandungz&amp;""" "&amp;search_path&amp;"\RTDC"&amp;B69&amp;"\"&amp;TEXT(F69+1,"YYYY-MM-DD")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69" s="118" t="str">
        <f>astrogrep_path&amp;" /spath="&amp;search_path&amp;" /stypes=""*"&amp;B69&amp;"*"&amp;TEXT(F69-utc_offset/24,"YYYYMMDD")&amp;"*"" /stext="" "&amp;TEXT(F69-utc_offset/24,"HH")&amp;search_regexp&amp;""" /e /r /s"</f>
        <v>"C:\Program Files (x86)\AstroGrep\AstroGrep.exe" /spath="C:\Users\stu\Documents\Analysis\2016-02-23 RTDC Observations" /stypes="*4017*20160706*" /stext=" 17:.+((prompt.+disp)|(slice.+state.+chan)|(ment ac)|(system.+state.+chan)|(\|lc)|(penalty)|(\[timeout))" /e /r /s</v>
      </c>
    </row>
    <row r="70" spans="1:32" s="1" customFormat="1" x14ac:dyDescent="0.25">
      <c r="A70" s="62" t="s">
        <v>537</v>
      </c>
      <c r="B70" s="34">
        <v>4014</v>
      </c>
      <c r="C70" s="34" t="s">
        <v>60</v>
      </c>
      <c r="D70" s="34" t="s">
        <v>603</v>
      </c>
      <c r="E70" s="20">
        <v>42557.457916666666</v>
      </c>
      <c r="F70" s="20">
        <v>42557.459062499998</v>
      </c>
      <c r="G70" s="23">
        <v>1</v>
      </c>
      <c r="H70" s="20" t="s">
        <v>290</v>
      </c>
      <c r="I70" s="20">
        <v>42557.48505787037</v>
      </c>
      <c r="J70" s="34">
        <v>0</v>
      </c>
      <c r="K70" s="34" t="str">
        <f t="shared" si="0"/>
        <v>4013/4014</v>
      </c>
      <c r="L70" s="34" t="str">
        <f>VLOOKUP(A70,'Trips&amp;Operators'!$C$1:$E$10000,3,FALSE)</f>
        <v>ROCHA</v>
      </c>
      <c r="M70" s="6">
        <f t="shared" si="1"/>
        <v>2.5995370371674653E-2</v>
      </c>
      <c r="N70" s="7">
        <f t="shared" si="2"/>
        <v>37.433333335211501</v>
      </c>
      <c r="O70" s="7"/>
      <c r="P70" s="7"/>
      <c r="Q70" s="35"/>
      <c r="R70" s="35"/>
      <c r="S70" s="54">
        <f t="shared" si="3"/>
        <v>1</v>
      </c>
      <c r="T70" s="108" t="str">
        <f t="shared" si="4"/>
        <v>NorthBound</v>
      </c>
      <c r="U70" s="108">
        <f>COUNTIFS(Variables!$M$2:$M$19,IF(T70="NorthBound","&gt;=","&lt;=")&amp;Y70,Variables!$M$2:$M$19,IF(T70="NorthBound","&lt;=","&gt;=")&amp;Z70)</f>
        <v>12</v>
      </c>
      <c r="V70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10:58:24-0600',mode:absolute,to:'2016-07-06 11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0" s="116" t="str">
        <f t="shared" si="6"/>
        <v>N</v>
      </c>
      <c r="X70" s="116">
        <f t="shared" si="7"/>
        <v>1</v>
      </c>
      <c r="Y70" s="116">
        <f t="shared" si="8"/>
        <v>6.4799999999999996E-2</v>
      </c>
      <c r="Z70" s="116">
        <f t="shared" si="9"/>
        <v>23.331199999999999</v>
      </c>
      <c r="AA70" s="116">
        <f t="shared" si="10"/>
        <v>23.266399999999997</v>
      </c>
      <c r="AB70" s="117" t="e">
        <f>VLOOKUP(A70,Enforcements!$C$7:$J$30,8,0)</f>
        <v>#N/A</v>
      </c>
      <c r="AC70" s="117" t="e">
        <f>VLOOKUP(A70,Enforcements!$C$7:$E$30,3,0)</f>
        <v>#N/A</v>
      </c>
      <c r="AD70" s="118" t="str">
        <f t="shared" si="11"/>
        <v>0159-06</v>
      </c>
      <c r="AE70" s="118" t="str">
        <f>"aws s3 cp "&amp;s3_bucket&amp;"/RTDC"&amp;B70&amp;"/"&amp;TEXT(F70,"YYYY-MM-DD")&amp;"/ "&amp;search_path&amp;"\RTDC"&amp;B70&amp;"\"&amp;TEXT(F70,"YYYY-MM-DD")&amp;" --recursive &amp; """&amp;walkandungz&amp;""" "&amp;search_path&amp;"\RTDC"&amp;B70&amp;"\"&amp;TEXT(F70,"YYYY-MM-DD")
&amp;" &amp; "&amp;"aws s3 cp "&amp;s3_bucket&amp;"/RTDC"&amp;B70&amp;"/"&amp;TEXT(F70+1,"YYYY-MM-DD")&amp;"/ "&amp;search_path&amp;"\RTDC"&amp;B70&amp;"\"&amp;TEXT(F70+1,"YYYY-MM-DD")&amp;" --recursive &amp; """&amp;walkandungz&amp;""" "&amp;search_path&amp;"\RTDC"&amp;B70&amp;"\"&amp;TEXT(F70+1,"YYYY-MM-DD")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70" s="118" t="str">
        <f>astrogrep_path&amp;" /spath="&amp;search_path&amp;" /stypes=""*"&amp;B70&amp;"*"&amp;TEXT(F70-utc_offset/24,"YYYYMMDD")&amp;"*"" /stext="" "&amp;TEXT(F70-utc_offset/24,"HH")&amp;search_regexp&amp;""" /e /r /s"</f>
        <v>"C:\Program Files (x86)\AstroGrep\AstroGrep.exe" /spath="C:\Users\stu\Documents\Analysis\2016-02-23 RTDC Observations" /stypes="*4014*20160706*" /stext=" 17:.+((prompt.+disp)|(slice.+state.+chan)|(ment ac)|(system.+state.+chan)|(\|lc)|(penalty)|(\[timeout))" /e /r /s</v>
      </c>
    </row>
    <row r="71" spans="1:32" s="1" customFormat="1" x14ac:dyDescent="0.25">
      <c r="A71" s="62" t="s">
        <v>481</v>
      </c>
      <c r="B71" s="34">
        <v>4013</v>
      </c>
      <c r="C71" s="34" t="s">
        <v>60</v>
      </c>
      <c r="D71" s="34" t="s">
        <v>192</v>
      </c>
      <c r="E71" s="20">
        <v>42557.492835648147</v>
      </c>
      <c r="F71" s="20">
        <v>42557.49359953704</v>
      </c>
      <c r="G71" s="23">
        <v>1</v>
      </c>
      <c r="H71" s="20" t="s">
        <v>604</v>
      </c>
      <c r="I71" s="20">
        <v>42557.523101851853</v>
      </c>
      <c r="J71" s="34">
        <v>0</v>
      </c>
      <c r="K71" s="34" t="str">
        <f t="shared" si="0"/>
        <v>4013/4014</v>
      </c>
      <c r="L71" s="34" t="str">
        <f>VLOOKUP(A71,'Trips&amp;Operators'!$C$1:$E$10000,3,FALSE)</f>
        <v>ROCHA</v>
      </c>
      <c r="M71" s="6">
        <f t="shared" si="1"/>
        <v>2.9502314813726116E-2</v>
      </c>
      <c r="N71" s="7">
        <f t="shared" si="2"/>
        <v>42.483333331765607</v>
      </c>
      <c r="O71" s="7"/>
      <c r="P71" s="7"/>
      <c r="Q71" s="35"/>
      <c r="R71" s="35"/>
      <c r="S71" s="54">
        <f t="shared" si="3"/>
        <v>1</v>
      </c>
      <c r="T71" s="108" t="str">
        <f t="shared" si="4"/>
        <v>Southbound</v>
      </c>
      <c r="U71" s="108">
        <f>COUNTIFS(Variables!$M$2:$M$19,IF(T71="NorthBound","&gt;=","&lt;=")&amp;Y71,Variables!$M$2:$M$19,IF(T71="NorthBound","&lt;=","&gt;=")&amp;Z71)</f>
        <v>12</v>
      </c>
      <c r="V71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11:48:41-0600',mode:absolute,to:'2016-07-06 12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1" s="116" t="str">
        <f t="shared" si="6"/>
        <v>N</v>
      </c>
      <c r="X71" s="116">
        <f t="shared" si="7"/>
        <v>1</v>
      </c>
      <c r="Y71" s="116">
        <f t="shared" si="8"/>
        <v>23.299399999999999</v>
      </c>
      <c r="Z71" s="116">
        <f t="shared" si="9"/>
        <v>1.6299999999999999E-2</v>
      </c>
      <c r="AA71" s="116">
        <f t="shared" si="10"/>
        <v>23.283099999999997</v>
      </c>
      <c r="AB71" s="117" t="e">
        <f>VLOOKUP(A71,Enforcements!$C$7:$J$30,8,0)</f>
        <v>#N/A</v>
      </c>
      <c r="AC71" s="117" t="e">
        <f>VLOOKUP(A71,Enforcements!$C$7:$E$30,3,0)</f>
        <v>#N/A</v>
      </c>
      <c r="AD71" s="118" t="str">
        <f t="shared" si="11"/>
        <v>0160-06</v>
      </c>
      <c r="AE71" s="118" t="str">
        <f>"aws s3 cp "&amp;s3_bucket&amp;"/RTDC"&amp;B71&amp;"/"&amp;TEXT(F71,"YYYY-MM-DD")&amp;"/ "&amp;search_path&amp;"\RTDC"&amp;B71&amp;"\"&amp;TEXT(F71,"YYYY-MM-DD")&amp;" --recursive &amp; """&amp;walkandungz&amp;""" "&amp;search_path&amp;"\RTDC"&amp;B71&amp;"\"&amp;TEXT(F71,"YYYY-MM-DD")
&amp;" &amp; "&amp;"aws s3 cp "&amp;s3_bucket&amp;"/RTDC"&amp;B71&amp;"/"&amp;TEXT(F71+1,"YYYY-MM-DD")&amp;"/ "&amp;search_path&amp;"\RTDC"&amp;B71&amp;"\"&amp;TEXT(F71+1,"YYYY-MM-DD")&amp;" --recursive &amp; """&amp;walkandungz&amp;""" "&amp;search_path&amp;"\RTDC"&amp;B71&amp;"\"&amp;TEXT(F71+1,"YYYY-MM-DD")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71" s="118" t="str">
        <f>astrogrep_path&amp;" /spath="&amp;search_path&amp;" /stypes=""*"&amp;B71&amp;"*"&amp;TEXT(F71-utc_offset/24,"YYYYMMDD")&amp;"*"" /stext="" "&amp;TEXT(F71-utc_offset/24,"HH")&amp;search_regexp&amp;""" /e /r /s"</f>
        <v>"C:\Program Files (x86)\AstroGrep\AstroGrep.exe" /spath="C:\Users\stu\Documents\Analysis\2016-02-23 RTDC Observations" /stypes="*4013*20160706*" /stext=" 17:.+((prompt.+disp)|(slice.+state.+chan)|(ment ac)|(system.+state.+chan)|(\|lc)|(penalty)|(\[timeout))" /e /r /s</v>
      </c>
    </row>
    <row r="72" spans="1:32" s="1" customFormat="1" x14ac:dyDescent="0.25">
      <c r="A72" s="62" t="s">
        <v>478</v>
      </c>
      <c r="B72" s="34">
        <v>4025</v>
      </c>
      <c r="C72" s="34" t="s">
        <v>60</v>
      </c>
      <c r="D72" s="34" t="s">
        <v>605</v>
      </c>
      <c r="E72" s="20">
        <v>42557.46435185185</v>
      </c>
      <c r="F72" s="20">
        <v>42557.465821759259</v>
      </c>
      <c r="G72" s="23">
        <v>2</v>
      </c>
      <c r="H72" s="20" t="s">
        <v>156</v>
      </c>
      <c r="I72" s="20">
        <v>42557.493796296294</v>
      </c>
      <c r="J72" s="34">
        <v>0</v>
      </c>
      <c r="K72" s="34" t="str">
        <f t="shared" si="0"/>
        <v>4025/4026</v>
      </c>
      <c r="L72" s="34" t="str">
        <f>VLOOKUP(A72,'Trips&amp;Operators'!$C$1:$E$10000,3,FALSE)</f>
        <v>STAMBAUGH</v>
      </c>
      <c r="M72" s="6">
        <f t="shared" si="1"/>
        <v>2.7974537035333924E-2</v>
      </c>
      <c r="N72" s="7">
        <f t="shared" si="2"/>
        <v>40.283333330880851</v>
      </c>
      <c r="O72" s="7"/>
      <c r="P72" s="7"/>
      <c r="Q72" s="35"/>
      <c r="R72" s="35"/>
      <c r="S72" s="54">
        <f t="shared" si="3"/>
        <v>1</v>
      </c>
      <c r="T72" s="108" t="str">
        <f t="shared" si="4"/>
        <v>NorthBound</v>
      </c>
      <c r="U72" s="108">
        <f>COUNTIFS(Variables!$M$2:$M$19,IF(T72="NorthBound","&gt;=","&lt;=")&amp;Y72,Variables!$M$2:$M$19,IF(T72="NorthBound","&lt;=","&gt;=")&amp;Z72)</f>
        <v>12</v>
      </c>
      <c r="V72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11:07:40-0600',mode:absolute,to:'2016-07-06 11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2" s="116" t="str">
        <f t="shared" si="6"/>
        <v>N</v>
      </c>
      <c r="X72" s="116">
        <f t="shared" si="7"/>
        <v>1</v>
      </c>
      <c r="Y72" s="116">
        <f t="shared" si="8"/>
        <v>5.04E-2</v>
      </c>
      <c r="Z72" s="116">
        <f t="shared" si="9"/>
        <v>23.328800000000001</v>
      </c>
      <c r="AA72" s="116">
        <f t="shared" si="10"/>
        <v>23.278400000000001</v>
      </c>
      <c r="AB72" s="117" t="e">
        <f>VLOOKUP(A72,Enforcements!$C$7:$J$30,8,0)</f>
        <v>#N/A</v>
      </c>
      <c r="AC72" s="117" t="e">
        <f>VLOOKUP(A72,Enforcements!$C$7:$E$30,3,0)</f>
        <v>#N/A</v>
      </c>
      <c r="AD72" s="118" t="str">
        <f t="shared" si="11"/>
        <v>0161-06</v>
      </c>
      <c r="AE72" s="118" t="str">
        <f>"aws s3 cp "&amp;s3_bucket&amp;"/RTDC"&amp;B72&amp;"/"&amp;TEXT(F72,"YYYY-MM-DD")&amp;"/ "&amp;search_path&amp;"\RTDC"&amp;B72&amp;"\"&amp;TEXT(F72,"YYYY-MM-DD")&amp;" --recursive &amp; """&amp;walkandungz&amp;""" "&amp;search_path&amp;"\RTDC"&amp;B72&amp;"\"&amp;TEXT(F72,"YYYY-MM-DD")
&amp;" &amp; "&amp;"aws s3 cp "&amp;s3_bucket&amp;"/RTDC"&amp;B72&amp;"/"&amp;TEXT(F72+1,"YYYY-MM-DD")&amp;"/ "&amp;search_path&amp;"\RTDC"&amp;B72&amp;"\"&amp;TEXT(F72+1,"YYYY-MM-DD")&amp;" --recursive &amp; """&amp;walkandungz&amp;""" "&amp;search_path&amp;"\RTDC"&amp;B72&amp;"\"&amp;TEXT(F72+1,"YYYY-MM-DD")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72" s="118" t="str">
        <f>astrogrep_path&amp;" /spath="&amp;search_path&amp;" /stypes=""*"&amp;B72&amp;"*"&amp;TEXT(F72-utc_offset/24,"YYYYMMDD")&amp;"*"" /stext="" "&amp;TEXT(F72-utc_offset/24,"HH")&amp;search_regexp&amp;""" /e /r /s"</f>
        <v>"C:\Program Files (x86)\AstroGrep\AstroGrep.exe" /spath="C:\Users\stu\Documents\Analysis\2016-02-23 RTDC Observations" /stypes="*4025*20160706*" /stext=" 17:.+((prompt.+disp)|(slice.+state.+chan)|(ment ac)|(system.+state.+chan)|(\|lc)|(penalty)|(\[timeout))" /e /r /s</v>
      </c>
    </row>
    <row r="73" spans="1:32" s="1" customFormat="1" x14ac:dyDescent="0.25">
      <c r="A73" s="62" t="s">
        <v>353</v>
      </c>
      <c r="B73" s="34">
        <v>4026</v>
      </c>
      <c r="C73" s="34" t="s">
        <v>60</v>
      </c>
      <c r="D73" s="34" t="s">
        <v>172</v>
      </c>
      <c r="E73" s="20">
        <v>42557.504583333335</v>
      </c>
      <c r="F73" s="20">
        <v>42557.505682870367</v>
      </c>
      <c r="G73" s="23">
        <v>1</v>
      </c>
      <c r="H73" s="20" t="s">
        <v>606</v>
      </c>
      <c r="I73" s="20">
        <v>42557.533113425925</v>
      </c>
      <c r="J73" s="34">
        <v>1</v>
      </c>
      <c r="K73" s="34" t="str">
        <f t="shared" si="0"/>
        <v>4025/4026</v>
      </c>
      <c r="L73" s="34" t="str">
        <f>VLOOKUP(A73,'Trips&amp;Operators'!$C$1:$E$10000,3,FALSE)</f>
        <v>STAMBAUGH</v>
      </c>
      <c r="M73" s="6">
        <f t="shared" si="1"/>
        <v>2.7430555557657499E-2</v>
      </c>
      <c r="N73" s="7">
        <f t="shared" si="2"/>
        <v>39.500000003026798</v>
      </c>
      <c r="O73" s="7"/>
      <c r="P73" s="7"/>
      <c r="Q73" s="35"/>
      <c r="R73" s="35"/>
      <c r="S73" s="54">
        <f t="shared" si="3"/>
        <v>1</v>
      </c>
      <c r="T73" s="108" t="str">
        <f t="shared" si="4"/>
        <v>Southbound</v>
      </c>
      <c r="U73" s="108">
        <f>COUNTIFS(Variables!$M$2:$M$19,IF(T73="NorthBound","&gt;=","&lt;=")&amp;Y73,Variables!$M$2:$M$19,IF(T73="NorthBound","&lt;=","&gt;=")&amp;Z73)</f>
        <v>12</v>
      </c>
      <c r="V73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12:05:36-0600',mode:absolute,to:'2016-07-06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3" s="116" t="str">
        <f t="shared" si="6"/>
        <v>N</v>
      </c>
      <c r="X73" s="116">
        <f t="shared" si="7"/>
        <v>1</v>
      </c>
      <c r="Y73" s="116">
        <f t="shared" si="8"/>
        <v>23.2973</v>
      </c>
      <c r="Z73" s="116">
        <f t="shared" si="9"/>
        <v>1.7999999999999999E-2</v>
      </c>
      <c r="AA73" s="116">
        <f t="shared" si="10"/>
        <v>23.279299999999999</v>
      </c>
      <c r="AB73" s="117" t="e">
        <f>VLOOKUP(A73,Enforcements!$C$7:$J$30,8,0)</f>
        <v>#N/A</v>
      </c>
      <c r="AC73" s="117" t="e">
        <f>VLOOKUP(A73,Enforcements!$C$7:$E$30,3,0)</f>
        <v>#N/A</v>
      </c>
      <c r="AD73" s="118" t="str">
        <f t="shared" si="11"/>
        <v>0162-06</v>
      </c>
      <c r="AE73" s="118" t="str">
        <f>"aws s3 cp "&amp;s3_bucket&amp;"/RTDC"&amp;B73&amp;"/"&amp;TEXT(F73,"YYYY-MM-DD")&amp;"/ "&amp;search_path&amp;"\RTDC"&amp;B73&amp;"\"&amp;TEXT(F73,"YYYY-MM-DD")&amp;" --recursive &amp; """&amp;walkandungz&amp;""" "&amp;search_path&amp;"\RTDC"&amp;B73&amp;"\"&amp;TEXT(F73,"YYYY-MM-DD")
&amp;" &amp; "&amp;"aws s3 cp "&amp;s3_bucket&amp;"/RTDC"&amp;B73&amp;"/"&amp;TEXT(F73+1,"YYYY-MM-DD")&amp;"/ "&amp;search_path&amp;"\RTDC"&amp;B73&amp;"\"&amp;TEXT(F73+1,"YYYY-MM-DD")&amp;" --recursive &amp; """&amp;walkandungz&amp;""" "&amp;search_path&amp;"\RTDC"&amp;B73&amp;"\"&amp;TEXT(F73+1,"YYYY-MM-DD")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73" s="118" t="str">
        <f>astrogrep_path&amp;" /spath="&amp;search_path&amp;" /stypes=""*"&amp;B73&amp;"*"&amp;TEXT(F73-utc_offset/24,"YYYYMMDD")&amp;"*"" /stext="" "&amp;TEXT(F73-utc_offset/24,"HH")&amp;search_regexp&amp;""" /e /r /s"</f>
        <v>"C:\Program Files (x86)\AstroGrep\AstroGrep.exe" /spath="C:\Users\stu\Documents\Analysis\2016-02-23 RTDC Observations" /stypes="*4026*20160706*" /stext=" 18:.+((prompt.+disp)|(slice.+state.+chan)|(ment ac)|(system.+state.+chan)|(\|lc)|(penalty)|(\[timeout))" /e /r /s</v>
      </c>
    </row>
    <row r="74" spans="1:32" s="1" customFormat="1" ht="16.5" customHeight="1" x14ac:dyDescent="0.25">
      <c r="A74" s="82" t="s">
        <v>540</v>
      </c>
      <c r="B74" s="34">
        <v>4040</v>
      </c>
      <c r="C74" s="34" t="s">
        <v>60</v>
      </c>
      <c r="D74" s="34" t="s">
        <v>123</v>
      </c>
      <c r="E74" s="20">
        <v>42557.47488425926</v>
      </c>
      <c r="F74" s="20">
        <v>42557.475844907407</v>
      </c>
      <c r="G74" s="20">
        <v>1</v>
      </c>
      <c r="H74" s="20" t="s">
        <v>288</v>
      </c>
      <c r="I74" s="20">
        <v>42557.506215277775</v>
      </c>
      <c r="J74" s="34">
        <v>0</v>
      </c>
      <c r="K74" s="34" t="str">
        <f t="shared" si="0"/>
        <v>4039/4040</v>
      </c>
      <c r="L74" s="34" t="str">
        <f>VLOOKUP(A74,'Trips&amp;Operators'!$C$1:$E$10000,3,FALSE)</f>
        <v>SHOOK</v>
      </c>
      <c r="M74" s="6">
        <f t="shared" si="1"/>
        <v>3.0370370368473232E-2</v>
      </c>
      <c r="N74" s="7">
        <f t="shared" si="2"/>
        <v>43.733333330601454</v>
      </c>
      <c r="O74" s="7"/>
      <c r="P74" s="7"/>
      <c r="Q74" s="35"/>
      <c r="R74" s="35"/>
      <c r="S74" s="54">
        <f t="shared" si="3"/>
        <v>1</v>
      </c>
      <c r="T74" s="108" t="str">
        <f t="shared" si="4"/>
        <v>NorthBound</v>
      </c>
      <c r="U74" s="108">
        <f>COUNTIFS(Variables!$M$2:$M$19,IF(T74="NorthBound","&gt;=","&lt;=")&amp;Y74,Variables!$M$2:$M$19,IF(T74="NorthBound","&lt;=","&gt;=")&amp;Z74)</f>
        <v>12</v>
      </c>
      <c r="V74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11:22:50-0600',mode:absolute,to:'2016-07-06 12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116" t="str">
        <f t="shared" si="6"/>
        <v>N</v>
      </c>
      <c r="X74" s="116">
        <f t="shared" si="7"/>
        <v>1</v>
      </c>
      <c r="Y74" s="116">
        <f t="shared" si="8"/>
        <v>4.4400000000000002E-2</v>
      </c>
      <c r="Z74" s="116">
        <f t="shared" si="9"/>
        <v>23.331700000000001</v>
      </c>
      <c r="AA74" s="116">
        <f t="shared" si="10"/>
        <v>23.287300000000002</v>
      </c>
      <c r="AB74" s="117" t="e">
        <f>VLOOKUP(A74,Enforcements!$C$7:$J$30,8,0)</f>
        <v>#N/A</v>
      </c>
      <c r="AC74" s="117" t="e">
        <f>VLOOKUP(A74,Enforcements!$C$7:$E$30,3,0)</f>
        <v>#N/A</v>
      </c>
      <c r="AD74" s="118" t="str">
        <f t="shared" si="11"/>
        <v>0163-06</v>
      </c>
      <c r="AE74" s="118" t="str">
        <f>"aws s3 cp "&amp;s3_bucket&amp;"/RTDC"&amp;B74&amp;"/"&amp;TEXT(F74,"YYYY-MM-DD")&amp;"/ "&amp;search_path&amp;"\RTDC"&amp;B74&amp;"\"&amp;TEXT(F74,"YYYY-MM-DD")&amp;" --recursive &amp; """&amp;walkandungz&amp;""" "&amp;search_path&amp;"\RTDC"&amp;B74&amp;"\"&amp;TEXT(F74,"YYYY-MM-DD")
&amp;" &amp; "&amp;"aws s3 cp "&amp;s3_bucket&amp;"/RTDC"&amp;B74&amp;"/"&amp;TEXT(F74+1,"YYYY-MM-DD")&amp;"/ "&amp;search_path&amp;"\RTDC"&amp;B74&amp;"\"&amp;TEXT(F74+1,"YYYY-MM-DD")&amp;" --recursive &amp; """&amp;walkandungz&amp;""" "&amp;search_path&amp;"\RTDC"&amp;B74&amp;"\"&amp;TEXT(F74+1,"YYYY-MM-DD")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74" s="118" t="str">
        <f>astrogrep_path&amp;" /spath="&amp;search_path&amp;" /stypes=""*"&amp;B74&amp;"*"&amp;TEXT(F74-utc_offset/24,"YYYYMMDD")&amp;"*"" /stext="" "&amp;TEXT(F74-utc_offset/24,"HH")&amp;search_regexp&amp;""" /e /r /s"</f>
        <v>"C:\Program Files (x86)\AstroGrep\AstroGrep.exe" /spath="C:\Users\stu\Documents\Analysis\2016-02-23 RTDC Observations" /stypes="*4040*20160706*" /stext=" 17:.+((prompt.+disp)|(slice.+state.+chan)|(ment ac)|(system.+state.+chan)|(\|lc)|(penalty)|(\[timeout))" /e /r /s</v>
      </c>
    </row>
    <row r="75" spans="1:32" s="1" customFormat="1" x14ac:dyDescent="0.25">
      <c r="A75" s="62" t="s">
        <v>512</v>
      </c>
      <c r="B75" s="34">
        <v>4039</v>
      </c>
      <c r="C75" s="34" t="s">
        <v>60</v>
      </c>
      <c r="D75" s="34" t="s">
        <v>223</v>
      </c>
      <c r="E75" s="20">
        <v>42557.512928240743</v>
      </c>
      <c r="F75" s="20">
        <v>42557.514050925929</v>
      </c>
      <c r="G75" s="23">
        <v>1</v>
      </c>
      <c r="H75" s="20" t="s">
        <v>607</v>
      </c>
      <c r="I75" s="20">
        <v>42557.545416666668</v>
      </c>
      <c r="J75" s="34">
        <v>0</v>
      </c>
      <c r="K75" s="34" t="str">
        <f t="shared" si="0"/>
        <v>4039/4040</v>
      </c>
      <c r="L75" s="34" t="str">
        <f>VLOOKUP(A75,'Trips&amp;Operators'!$C$1:$E$10000,3,FALSE)</f>
        <v>SHOOK</v>
      </c>
      <c r="M75" s="6">
        <f t="shared" si="1"/>
        <v>3.1365740738692693E-2</v>
      </c>
      <c r="N75" s="7">
        <f t="shared" si="2"/>
        <v>45.166666663717479</v>
      </c>
      <c r="O75" s="7"/>
      <c r="P75" s="7"/>
      <c r="Q75" s="35"/>
      <c r="R75" s="35"/>
      <c r="S75" s="54">
        <f t="shared" si="3"/>
        <v>1</v>
      </c>
      <c r="T75" s="108" t="str">
        <f t="shared" si="4"/>
        <v>Southbound</v>
      </c>
      <c r="U75" s="108">
        <f>COUNTIFS(Variables!$M$2:$M$19,IF(T75="NorthBound","&gt;=","&lt;=")&amp;Y75,Variables!$M$2:$M$19,IF(T75="NorthBound","&lt;=","&gt;=")&amp;Z75)</f>
        <v>12</v>
      </c>
      <c r="V75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12:17:37-0600',mode:absolute,to:'2016-07-06 13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116" t="str">
        <f t="shared" si="6"/>
        <v>N</v>
      </c>
      <c r="X75" s="116">
        <f t="shared" si="7"/>
        <v>1</v>
      </c>
      <c r="Y75" s="116">
        <f t="shared" si="8"/>
        <v>23.300599999999999</v>
      </c>
      <c r="Z75" s="116">
        <f t="shared" si="9"/>
        <v>1.2999999999999999E-2</v>
      </c>
      <c r="AA75" s="116">
        <f t="shared" si="10"/>
        <v>23.287599999999998</v>
      </c>
      <c r="AB75" s="117" t="e">
        <f>VLOOKUP(A75,Enforcements!$C$7:$J$30,8,0)</f>
        <v>#N/A</v>
      </c>
      <c r="AC75" s="117" t="e">
        <f>VLOOKUP(A75,Enforcements!$C$7:$E$30,3,0)</f>
        <v>#N/A</v>
      </c>
      <c r="AD75" s="118" t="str">
        <f t="shared" si="11"/>
        <v>0164-06</v>
      </c>
      <c r="AE75" s="118" t="str">
        <f>"aws s3 cp "&amp;s3_bucket&amp;"/RTDC"&amp;B75&amp;"/"&amp;TEXT(F75,"YYYY-MM-DD")&amp;"/ "&amp;search_path&amp;"\RTDC"&amp;B75&amp;"\"&amp;TEXT(F75,"YYYY-MM-DD")&amp;" --recursive &amp; """&amp;walkandungz&amp;""" "&amp;search_path&amp;"\RTDC"&amp;B75&amp;"\"&amp;TEXT(F75,"YYYY-MM-DD")
&amp;" &amp; "&amp;"aws s3 cp "&amp;s3_bucket&amp;"/RTDC"&amp;B75&amp;"/"&amp;TEXT(F75+1,"YYYY-MM-DD")&amp;"/ "&amp;search_path&amp;"\RTDC"&amp;B75&amp;"\"&amp;TEXT(F75+1,"YYYY-MM-DD")&amp;" --recursive &amp; """&amp;walkandungz&amp;""" "&amp;search_path&amp;"\RTDC"&amp;B75&amp;"\"&amp;TEXT(F75+1,"YYYY-MM-DD")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75" s="118" t="str">
        <f>astrogrep_path&amp;" /spath="&amp;search_path&amp;" /stypes=""*"&amp;B75&amp;"*"&amp;TEXT(F75-utc_offset/24,"YYYYMMDD")&amp;"*"" /stext="" "&amp;TEXT(F75-utc_offset/24,"HH")&amp;search_regexp&amp;""" /e /r /s"</f>
        <v>"C:\Program Files (x86)\AstroGrep\AstroGrep.exe" /spath="C:\Users\stu\Documents\Analysis\2016-02-23 RTDC Observations" /stypes="*4039*20160706*" /stext=" 18:.+((prompt.+disp)|(slice.+state.+chan)|(ment ac)|(system.+state.+chan)|(\|lc)|(penalty)|(\[timeout))" /e /r /s</v>
      </c>
    </row>
    <row r="76" spans="1:32" s="1" customFormat="1" x14ac:dyDescent="0.25">
      <c r="A76" s="62" t="s">
        <v>454</v>
      </c>
      <c r="B76" s="34">
        <v>4031</v>
      </c>
      <c r="C76" s="34" t="s">
        <v>60</v>
      </c>
      <c r="D76" s="34" t="s">
        <v>154</v>
      </c>
      <c r="E76" s="20">
        <v>42557.484016203707</v>
      </c>
      <c r="F76" s="20">
        <v>42557.485821759263</v>
      </c>
      <c r="G76" s="23">
        <v>2</v>
      </c>
      <c r="H76" s="20" t="s">
        <v>127</v>
      </c>
      <c r="I76" s="20">
        <v>42557.514293981483</v>
      </c>
      <c r="J76" s="34">
        <v>0</v>
      </c>
      <c r="K76" s="34" t="str">
        <f t="shared" si="0"/>
        <v>4031/4032</v>
      </c>
      <c r="L76" s="34" t="str">
        <f>VLOOKUP(A76,'Trips&amp;Operators'!$C$1:$E$10000,3,FALSE)</f>
        <v>COOLAHAN</v>
      </c>
      <c r="M76" s="6">
        <f t="shared" si="1"/>
        <v>2.8472222220443655E-2</v>
      </c>
      <c r="N76" s="7">
        <f t="shared" si="2"/>
        <v>40.999999997438863</v>
      </c>
      <c r="O76" s="7"/>
      <c r="P76" s="7"/>
      <c r="Q76" s="35"/>
      <c r="R76" s="35"/>
      <c r="S76" s="54">
        <f t="shared" si="3"/>
        <v>1</v>
      </c>
      <c r="T76" s="108" t="str">
        <f t="shared" si="4"/>
        <v>NorthBound</v>
      </c>
      <c r="U76" s="108">
        <f>COUNTIFS(Variables!$M$2:$M$19,IF(T76="NorthBound","&gt;=","&lt;=")&amp;Y76,Variables!$M$2:$M$19,IF(T76="NorthBound","&lt;=","&gt;=")&amp;Z76)</f>
        <v>12</v>
      </c>
      <c r="V76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11:35:59-0600',mode:absolute,to:'2016-07-06 12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6" s="116" t="str">
        <f t="shared" si="6"/>
        <v>N</v>
      </c>
      <c r="X76" s="116">
        <f t="shared" si="7"/>
        <v>1</v>
      </c>
      <c r="Y76" s="116">
        <f t="shared" si="8"/>
        <v>4.5499999999999999E-2</v>
      </c>
      <c r="Z76" s="116">
        <f t="shared" si="9"/>
        <v>23.331399999999999</v>
      </c>
      <c r="AA76" s="116">
        <f t="shared" si="10"/>
        <v>23.285899999999998</v>
      </c>
      <c r="AB76" s="117" t="e">
        <f>VLOOKUP(A76,Enforcements!$C$7:$J$30,8,0)</f>
        <v>#N/A</v>
      </c>
      <c r="AC76" s="117" t="e">
        <f>VLOOKUP(A76,Enforcements!$C$7:$E$30,3,0)</f>
        <v>#N/A</v>
      </c>
      <c r="AD76" s="118" t="str">
        <f t="shared" si="11"/>
        <v>0165-06</v>
      </c>
      <c r="AE76" s="118" t="str">
        <f>"aws s3 cp "&amp;s3_bucket&amp;"/RTDC"&amp;B76&amp;"/"&amp;TEXT(F76,"YYYY-MM-DD")&amp;"/ "&amp;search_path&amp;"\RTDC"&amp;B76&amp;"\"&amp;TEXT(F76,"YYYY-MM-DD")&amp;" --recursive &amp; """&amp;walkandungz&amp;""" "&amp;search_path&amp;"\RTDC"&amp;B76&amp;"\"&amp;TEXT(F76,"YYYY-MM-DD")
&amp;" &amp; "&amp;"aws s3 cp "&amp;s3_bucket&amp;"/RTDC"&amp;B76&amp;"/"&amp;TEXT(F76+1,"YYYY-MM-DD")&amp;"/ "&amp;search_path&amp;"\RTDC"&amp;B76&amp;"\"&amp;TEXT(F76+1,"YYYY-MM-DD")&amp;" --recursive &amp; """&amp;walkandungz&amp;""" "&amp;search_path&amp;"\RTDC"&amp;B76&amp;"\"&amp;TEXT(F76+1,"YYYY-MM-DD")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76" s="118" t="str">
        <f>astrogrep_path&amp;" /spath="&amp;search_path&amp;" /stypes=""*"&amp;B76&amp;"*"&amp;TEXT(F76-utc_offset/24,"YYYYMMDD")&amp;"*"" /stext="" "&amp;TEXT(F76-utc_offset/24,"HH")&amp;search_regexp&amp;""" /e /r /s"</f>
        <v>"C:\Program Files (x86)\AstroGrep\AstroGrep.exe" /spath="C:\Users\stu\Documents\Analysis\2016-02-23 RTDC Observations" /stypes="*4031*20160706*" /stext=" 17:.+((prompt.+disp)|(slice.+state.+chan)|(ment ac)|(system.+state.+chan)|(\|lc)|(penalty)|(\[timeout))" /e /r /s</v>
      </c>
    </row>
    <row r="77" spans="1:32" s="1" customFormat="1" x14ac:dyDescent="0.25">
      <c r="A77" s="62" t="s">
        <v>352</v>
      </c>
      <c r="B77" s="34">
        <v>4032</v>
      </c>
      <c r="C77" s="34" t="s">
        <v>60</v>
      </c>
      <c r="D77" s="34" t="s">
        <v>174</v>
      </c>
      <c r="E77" s="20">
        <v>42557.524618055555</v>
      </c>
      <c r="F77" s="20">
        <v>42557.526377314818</v>
      </c>
      <c r="G77" s="23">
        <v>2</v>
      </c>
      <c r="H77" s="20" t="s">
        <v>220</v>
      </c>
      <c r="I77" s="20">
        <v>42557.556655092594</v>
      </c>
      <c r="J77" s="34">
        <v>1</v>
      </c>
      <c r="K77" s="34" t="str">
        <f t="shared" si="0"/>
        <v>4031/4032</v>
      </c>
      <c r="L77" s="34" t="str">
        <f>VLOOKUP(A77,'Trips&amp;Operators'!$C$1:$E$10000,3,FALSE)</f>
        <v>COOLAHAN</v>
      </c>
      <c r="M77" s="6">
        <f t="shared" si="1"/>
        <v>3.0277777776063886E-2</v>
      </c>
      <c r="N77" s="7">
        <f t="shared" si="2"/>
        <v>43.599999997531995</v>
      </c>
      <c r="O77" s="7"/>
      <c r="P77" s="7"/>
      <c r="Q77" s="35"/>
      <c r="R77" s="35"/>
      <c r="S77" s="54">
        <f t="shared" si="3"/>
        <v>1</v>
      </c>
      <c r="T77" s="108" t="str">
        <f t="shared" si="4"/>
        <v>Southbound</v>
      </c>
      <c r="U77" s="108">
        <f>COUNTIFS(Variables!$M$2:$M$19,IF(T77="NorthBound","&gt;=","&lt;=")&amp;Y77,Variables!$M$2:$M$19,IF(T77="NorthBound","&lt;=","&gt;=")&amp;Z77)</f>
        <v>12</v>
      </c>
      <c r="V77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12:34:27-0600',mode:absolute,to:'2016-07-06 13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7" s="116" t="str">
        <f t="shared" si="6"/>
        <v>N</v>
      </c>
      <c r="X77" s="116">
        <f t="shared" si="7"/>
        <v>1</v>
      </c>
      <c r="Y77" s="116">
        <f t="shared" si="8"/>
        <v>23.3</v>
      </c>
      <c r="Z77" s="116">
        <f t="shared" si="9"/>
        <v>1.6500000000000001E-2</v>
      </c>
      <c r="AA77" s="116">
        <f t="shared" si="10"/>
        <v>23.2835</v>
      </c>
      <c r="AB77" s="117">
        <f>VLOOKUP(A77,Enforcements!$C$7:$J$30,8,0)</f>
        <v>228668</v>
      </c>
      <c r="AC77" s="117" t="str">
        <f>VLOOKUP(A77,Enforcements!$C$7:$E$30,3,0)</f>
        <v>PERMANENT SPEED RESTRICTION</v>
      </c>
      <c r="AD77" s="118" t="str">
        <f t="shared" si="11"/>
        <v>0166-06</v>
      </c>
      <c r="AE77" s="118" t="str">
        <f>"aws s3 cp "&amp;s3_bucket&amp;"/RTDC"&amp;B77&amp;"/"&amp;TEXT(F77,"YYYY-MM-DD")&amp;"/ "&amp;search_path&amp;"\RTDC"&amp;B77&amp;"\"&amp;TEXT(F77,"YYYY-MM-DD")&amp;" --recursive &amp; """&amp;walkandungz&amp;""" "&amp;search_path&amp;"\RTDC"&amp;B77&amp;"\"&amp;TEXT(F77,"YYYY-MM-DD")
&amp;" &amp; "&amp;"aws s3 cp "&amp;s3_bucket&amp;"/RTDC"&amp;B77&amp;"/"&amp;TEXT(F77+1,"YYYY-MM-DD")&amp;"/ "&amp;search_path&amp;"\RTDC"&amp;B77&amp;"\"&amp;TEXT(F77+1,"YYYY-MM-DD")&amp;" --recursive &amp; """&amp;walkandungz&amp;""" "&amp;search_path&amp;"\RTDC"&amp;B77&amp;"\"&amp;TEXT(F77+1,"YYYY-MM-DD")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77" s="118" t="str">
        <f>astrogrep_path&amp;" /spath="&amp;search_path&amp;" /stypes=""*"&amp;B77&amp;"*"&amp;TEXT(F77-utc_offset/24,"YYYYMMDD")&amp;"*"" /stext="" "&amp;TEXT(F77-utc_offset/24,"HH")&amp;search_regexp&amp;""" /e /r /s"</f>
        <v>"C:\Program Files (x86)\AstroGrep\AstroGrep.exe" /spath="C:\Users\stu\Documents\Analysis\2016-02-23 RTDC Observations" /stypes="*4032*20160706*" /stext=" 18:.+((prompt.+disp)|(slice.+state.+chan)|(ment ac)|(system.+state.+chan)|(\|lc)|(penalty)|(\[timeout))" /e /r /s</v>
      </c>
    </row>
    <row r="78" spans="1:32" s="48" customFormat="1" x14ac:dyDescent="0.25">
      <c r="A78" s="62" t="s">
        <v>515</v>
      </c>
      <c r="B78" s="34">
        <v>4011</v>
      </c>
      <c r="C78" s="34" t="s">
        <v>60</v>
      </c>
      <c r="D78" s="34" t="s">
        <v>608</v>
      </c>
      <c r="E78" s="20">
        <v>42557.482974537037</v>
      </c>
      <c r="F78" s="20">
        <v>42557.484039351853</v>
      </c>
      <c r="G78" s="23">
        <v>1</v>
      </c>
      <c r="H78" s="20" t="s">
        <v>609</v>
      </c>
      <c r="I78" s="20">
        <v>42557.515335648146</v>
      </c>
      <c r="J78" s="34">
        <v>0</v>
      </c>
      <c r="K78" s="34" t="str">
        <f t="shared" si="0"/>
        <v>4011/4012</v>
      </c>
      <c r="L78" s="34" t="str">
        <f>VLOOKUP(A78,'Trips&amp;Operators'!$C$1:$E$10000,3,FALSE)</f>
        <v>CUSHING</v>
      </c>
      <c r="M78" s="6">
        <f t="shared" si="1"/>
        <v>3.1296296292566694E-2</v>
      </c>
      <c r="N78" s="7"/>
      <c r="O78" s="7"/>
      <c r="P78" s="7">
        <f t="shared" si="2"/>
        <v>45.06666666129604</v>
      </c>
      <c r="Q78" s="35"/>
      <c r="R78" s="35" t="s">
        <v>733</v>
      </c>
      <c r="S78" s="54">
        <f t="shared" si="3"/>
        <v>1</v>
      </c>
      <c r="T78" s="108" t="str">
        <f t="shared" si="4"/>
        <v>NorthBound</v>
      </c>
      <c r="U78" s="108">
        <f>COUNTIFS(Variables!$M$2:$M$19,IF(T78="NorthBound","&gt;=","&lt;=")&amp;Y78,Variables!$M$2:$M$19,IF(T78="NorthBound","&lt;=","&gt;=")&amp;Z78)</f>
        <v>12</v>
      </c>
      <c r="V78" s="116" t="str">
        <f t="shared" si="5"/>
        <v>https://search-rtdc-monitor-bjffxe2xuh6vdkpspy63sjmuny.us-east-1.es.amazonaws.com/_plugin/kibana/#/discover/Steve-Slow-Train-Analysis-(2080s-and-2083s)?_g=(refreshInterval:(display:Off,section:0,value:0),time:(from:'2016-07-06 11:34:29-0600',mode:absolute,to:'2016-07-06 12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116" t="str">
        <f t="shared" si="6"/>
        <v>Y</v>
      </c>
      <c r="X78" s="116">
        <f t="shared" si="7"/>
        <v>1</v>
      </c>
      <c r="Y78" s="116">
        <f t="shared" si="8"/>
        <v>0.1507</v>
      </c>
      <c r="Z78" s="116">
        <f t="shared" si="9"/>
        <v>12.825699999999999</v>
      </c>
      <c r="AA78" s="116">
        <f t="shared" si="10"/>
        <v>12.674999999999999</v>
      </c>
      <c r="AB78" s="117" t="e">
        <f>VLOOKUP(A78,Enforcements!$C$7:$J$30,8,0)</f>
        <v>#N/A</v>
      </c>
      <c r="AC78" s="117" t="e">
        <f>VLOOKUP(A78,Enforcements!$C$7:$E$30,3,0)</f>
        <v>#N/A</v>
      </c>
      <c r="AD78" s="118" t="str">
        <f t="shared" si="11"/>
        <v>0167-06</v>
      </c>
      <c r="AE78" s="118" t="str">
        <f>"aws s3 cp "&amp;s3_bucket&amp;"/RTDC"&amp;B78&amp;"/"&amp;TEXT(F78,"YYYY-MM-DD")&amp;"/ "&amp;search_path&amp;"\RTDC"&amp;B78&amp;"\"&amp;TEXT(F78,"YYYY-MM-DD")&amp;" --recursive &amp; """&amp;walkandungz&amp;""" "&amp;search_path&amp;"\RTDC"&amp;B78&amp;"\"&amp;TEXT(F78,"YYYY-MM-DD")
&amp;" &amp; "&amp;"aws s3 cp "&amp;s3_bucket&amp;"/RTDC"&amp;B78&amp;"/"&amp;TEXT(F78+1,"YYYY-MM-DD")&amp;"/ "&amp;search_path&amp;"\RTDC"&amp;B78&amp;"\"&amp;TEXT(F78+1,"YYYY-MM-DD")&amp;" --recursive &amp; """&amp;walkandungz&amp;""" "&amp;search_path&amp;"\RTDC"&amp;B78&amp;"\"&amp;TEXT(F78+1,"YYYY-MM-DD")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78" s="118" t="str">
        <f>astrogrep_path&amp;" /spath="&amp;search_path&amp;" /stypes=""*"&amp;B78&amp;"*"&amp;TEXT(F78-utc_offset/24,"YYYYMMDD")&amp;"*"" /stext="" "&amp;TEXT(F78-utc_offset/24,"HH")&amp;search_regexp&amp;""" /e /r /s"</f>
        <v>"C:\Program Files (x86)\AstroGrep\AstroGrep.exe" /spath="C:\Users\stu\Documents\Analysis\2016-02-23 RTDC Observations" /stypes="*4011*20160706*" /stext=" 17:.+((prompt.+disp)|(slice.+state.+chan)|(ment ac)|(system.+state.+chan)|(\|lc)|(penalty)|(\[timeout))" /e /r /s</v>
      </c>
    </row>
    <row r="79" spans="1:32" s="1" customFormat="1" x14ac:dyDescent="0.25">
      <c r="A79" s="62" t="s">
        <v>521</v>
      </c>
      <c r="B79" s="34">
        <v>4012</v>
      </c>
      <c r="C79" s="34" t="s">
        <v>60</v>
      </c>
      <c r="D79" s="34" t="s">
        <v>173</v>
      </c>
      <c r="E79" s="20">
        <v>42557.53392361111</v>
      </c>
      <c r="F79" s="20">
        <v>42557.534942129627</v>
      </c>
      <c r="G79" s="23">
        <v>1</v>
      </c>
      <c r="H79" s="20" t="s">
        <v>604</v>
      </c>
      <c r="I79" s="20">
        <v>42557.564675925925</v>
      </c>
      <c r="J79" s="34">
        <v>0</v>
      </c>
      <c r="K79" s="34" t="str">
        <f t="shared" ref="K79:K142" si="12">IF(ISEVEN(B79),(B79-1)&amp;"/"&amp;B79,B79&amp;"/"&amp;(B79+1))</f>
        <v>4011/4012</v>
      </c>
      <c r="L79" s="34" t="str">
        <f>VLOOKUP(A79,'Trips&amp;Operators'!$C$1:$E$10000,3,FALSE)</f>
        <v>SPECTOR</v>
      </c>
      <c r="M79" s="6">
        <f t="shared" ref="M79:M142" si="13">I79-F79</f>
        <v>2.973379629838746E-2</v>
      </c>
      <c r="N79" s="7">
        <f t="shared" ref="N79:P142" si="14">24*60*SUM($M79:$M79)</f>
        <v>42.816666669677943</v>
      </c>
      <c r="O79" s="7"/>
      <c r="P79" s="7"/>
      <c r="Q79" s="35"/>
      <c r="R79" s="35"/>
      <c r="S79" s="54">
        <f t="shared" ref="S79:S142" si="15">SUM(U79:U79)/12</f>
        <v>1</v>
      </c>
      <c r="T79" s="108" t="str">
        <f t="shared" ref="T79:T142" si="16">IF(ISEVEN(LEFT(A79,3)),"Southbound","NorthBound")</f>
        <v>Southbound</v>
      </c>
      <c r="U79" s="108">
        <f>COUNTIFS(Variables!$M$2:$M$19,IF(T79="NorthBound","&gt;=","&lt;=")&amp;Y79,Variables!$M$2:$M$19,IF(T79="NorthBound","&lt;=","&gt;=")&amp;Z79)</f>
        <v>12</v>
      </c>
      <c r="V79" s="116" t="str">
        <f t="shared" ref="V79:V142" si="17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https://search-rtdc-monitor-bjffxe2xuh6vdkpspy63sjmuny.us-east-1.es.amazonaws.com/_plugin/kibana/#/discover/Steve-Slow-Train-Analysis-(2080s-and-2083s)?_g=(refreshInterval:(display:Off,section:0,value:0),time:(from:'2016-07-06 12:47:51-0600',mode:absolute,to:'2016-07-06 13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116" t="str">
        <f t="shared" ref="W79:W142" si="18">IF(AA79&lt;23,"Y","N")</f>
        <v>N</v>
      </c>
      <c r="X79" s="116">
        <f t="shared" ref="X79:X142" si="19">VALUE(LEFT(A79,3))-VALUE(LEFT(A78,3))</f>
        <v>1</v>
      </c>
      <c r="Y79" s="116">
        <f t="shared" ref="Y79:Y142" si="20">RIGHT(D79,LEN(D79)-4)/10000</f>
        <v>23.2987</v>
      </c>
      <c r="Z79" s="116">
        <f t="shared" ref="Z79:Z142" si="21">RIGHT(H79,LEN(H79)-4)/10000</f>
        <v>1.6299999999999999E-2</v>
      </c>
      <c r="AA79" s="116">
        <f t="shared" ref="AA79:AA142" si="22">ABS(Z79-Y79)</f>
        <v>23.282399999999999</v>
      </c>
      <c r="AB79" s="117" t="e">
        <f>VLOOKUP(A79,Enforcements!$C$7:$J$30,8,0)</f>
        <v>#N/A</v>
      </c>
      <c r="AC79" s="117" t="e">
        <f>VLOOKUP(A79,Enforcements!$C$7:$E$30,3,0)</f>
        <v>#N/A</v>
      </c>
      <c r="AD79" s="118" t="str">
        <f t="shared" ref="AD79:AD142" si="23">IF(LEN(A79)=6,"0"&amp;A79,A79)</f>
        <v>0168-06</v>
      </c>
      <c r="AE79" s="118" t="str">
        <f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79" s="118" t="str">
        <f>astrogrep_path&amp;" /spath="&amp;search_path&amp;" /stypes=""*"&amp;B79&amp;"*"&amp;TEXT(F79-utc_offset/24,"YYYYMMDD")&amp;"*"" /stext="" "&amp;TEXT(F79-utc_offset/24,"HH")&amp;search_regexp&amp;""" /e /r /s"</f>
        <v>"C:\Program Files (x86)\AstroGrep\AstroGrep.exe" /spath="C:\Users\stu\Documents\Analysis\2016-02-23 RTDC Observations" /stypes="*4012*20160706*" /stext=" 18:.+((prompt.+disp)|(slice.+state.+chan)|(ment ac)|(system.+state.+chan)|(\|lc)|(penalty)|(\[timeout))" /e /r /s</v>
      </c>
    </row>
    <row r="80" spans="1:32" s="1" customFormat="1" ht="14.25" customHeight="1" x14ac:dyDescent="0.25">
      <c r="A80" s="62" t="s">
        <v>409</v>
      </c>
      <c r="B80" s="34">
        <v>4044</v>
      </c>
      <c r="C80" s="34" t="s">
        <v>60</v>
      </c>
      <c r="D80" s="34" t="s">
        <v>181</v>
      </c>
      <c r="E80" s="20">
        <v>42557.51017361111</v>
      </c>
      <c r="F80" s="20">
        <v>42557.511435185188</v>
      </c>
      <c r="G80" s="23">
        <v>1</v>
      </c>
      <c r="H80" s="20" t="s">
        <v>171</v>
      </c>
      <c r="I80" s="20">
        <v>42557.538321759261</v>
      </c>
      <c r="J80" s="34">
        <v>0</v>
      </c>
      <c r="K80" s="34" t="str">
        <f t="shared" si="12"/>
        <v>4043/4044</v>
      </c>
      <c r="L80" s="34" t="str">
        <f>VLOOKUP(A80,'Trips&amp;Operators'!$C$1:$E$10000,3,FALSE)</f>
        <v>STEWART</v>
      </c>
      <c r="M80" s="6">
        <f t="shared" si="13"/>
        <v>2.6886574072705116E-2</v>
      </c>
      <c r="N80" s="7">
        <f t="shared" si="14"/>
        <v>38.716666664695367</v>
      </c>
      <c r="O80" s="7"/>
      <c r="P80" s="7"/>
      <c r="Q80" s="35"/>
      <c r="R80" s="35"/>
      <c r="S80" s="54">
        <f t="shared" si="15"/>
        <v>1</v>
      </c>
      <c r="T80" s="108" t="str">
        <f t="shared" si="16"/>
        <v>NorthBound</v>
      </c>
      <c r="U80" s="108">
        <f>COUNTIFS(Variables!$M$2:$M$19,IF(T80="NorthBound","&gt;=","&lt;=")&amp;Y80,Variables!$M$2:$M$19,IF(T80="NorthBound","&lt;=","&gt;=")&amp;Z80)</f>
        <v>12</v>
      </c>
      <c r="V80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12:13:39-0600',mode:absolute,to:'2016-07-06 12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0" s="116" t="str">
        <f t="shared" si="18"/>
        <v>N</v>
      </c>
      <c r="X80" s="116">
        <f t="shared" si="19"/>
        <v>1</v>
      </c>
      <c r="Y80" s="116">
        <f t="shared" si="20"/>
        <v>4.4900000000000002E-2</v>
      </c>
      <c r="Z80" s="116">
        <f t="shared" si="21"/>
        <v>23.328600000000002</v>
      </c>
      <c r="AA80" s="116">
        <f t="shared" si="22"/>
        <v>23.283700000000003</v>
      </c>
      <c r="AB80" s="117" t="e">
        <f>VLOOKUP(A80,Enforcements!$C$7:$J$30,8,0)</f>
        <v>#N/A</v>
      </c>
      <c r="AC80" s="117" t="e">
        <f>VLOOKUP(A80,Enforcements!$C$7:$E$30,3,0)</f>
        <v>#N/A</v>
      </c>
      <c r="AD80" s="118" t="str">
        <f t="shared" si="23"/>
        <v>0169-06</v>
      </c>
      <c r="AE80" s="118" t="str">
        <f>"aws s3 cp "&amp;s3_bucket&amp;"/RTDC"&amp;B80&amp;"/"&amp;TEXT(F80,"YYYY-MM-DD")&amp;"/ "&amp;search_path&amp;"\RTDC"&amp;B80&amp;"\"&amp;TEXT(F80,"YYYY-MM-DD")&amp;" --recursive &amp; """&amp;walkandungz&amp;""" "&amp;search_path&amp;"\RTDC"&amp;B80&amp;"\"&amp;TEXT(F80,"YYYY-MM-DD")
&amp;" &amp; "&amp;"aws s3 cp "&amp;s3_bucket&amp;"/RTDC"&amp;B80&amp;"/"&amp;TEXT(F80+1,"YYYY-MM-DD")&amp;"/ "&amp;search_path&amp;"\RTDC"&amp;B80&amp;"\"&amp;TEXT(F80+1,"YYYY-MM-DD")&amp;" --recursive &amp; """&amp;walkandungz&amp;""" "&amp;search_path&amp;"\RTDC"&amp;B80&amp;"\"&amp;TEXT(F80+1,"YYYY-MM-DD")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80" s="118" t="str">
        <f>astrogrep_path&amp;" /spath="&amp;search_path&amp;" /stypes=""*"&amp;B80&amp;"*"&amp;TEXT(F80-utc_offset/24,"YYYYMMDD")&amp;"*"" /stext="" "&amp;TEXT(F80-utc_offset/24,"HH")&amp;search_regexp&amp;""" /e /r /s"</f>
        <v>"C:\Program Files (x86)\AstroGrep\AstroGrep.exe" /spath="C:\Users\stu\Documents\Analysis\2016-02-23 RTDC Observations" /stypes="*4044*20160706*" /stext=" 18:.+((prompt.+disp)|(slice.+state.+chan)|(ment ac)|(system.+state.+chan)|(\|lc)|(penalty)|(\[timeout))" /e /r /s</v>
      </c>
    </row>
    <row r="81" spans="1:32" s="1" customFormat="1" x14ac:dyDescent="0.25">
      <c r="A81" s="62" t="s">
        <v>541</v>
      </c>
      <c r="B81" s="34">
        <v>4043</v>
      </c>
      <c r="C81" s="34" t="s">
        <v>60</v>
      </c>
      <c r="D81" s="34" t="s">
        <v>172</v>
      </c>
      <c r="E81" s="20">
        <v>42557.544351851851</v>
      </c>
      <c r="F81" s="20">
        <v>42557.545636574076</v>
      </c>
      <c r="G81" s="23">
        <v>1</v>
      </c>
      <c r="H81" s="20" t="s">
        <v>86</v>
      </c>
      <c r="I81" s="20">
        <v>42557.576585648145</v>
      </c>
      <c r="J81" s="34">
        <v>0</v>
      </c>
      <c r="K81" s="34" t="str">
        <f t="shared" si="12"/>
        <v>4043/4044</v>
      </c>
      <c r="L81" s="34" t="str">
        <f>VLOOKUP(A81,'Trips&amp;Operators'!$C$1:$E$10000,3,FALSE)</f>
        <v>STEWART</v>
      </c>
      <c r="M81" s="6">
        <f t="shared" si="13"/>
        <v>3.0949074069212656E-2</v>
      </c>
      <c r="N81" s="7">
        <f t="shared" si="14"/>
        <v>44.566666659666225</v>
      </c>
      <c r="O81" s="7"/>
      <c r="P81" s="7"/>
      <c r="Q81" s="35"/>
      <c r="R81" s="35"/>
      <c r="S81" s="54">
        <f t="shared" si="15"/>
        <v>1</v>
      </c>
      <c r="T81" s="108" t="str">
        <f t="shared" si="16"/>
        <v>Southbound</v>
      </c>
      <c r="U81" s="108">
        <f>COUNTIFS(Variables!$M$2:$M$19,IF(T81="NorthBound","&gt;=","&lt;=")&amp;Y81,Variables!$M$2:$M$19,IF(T81="NorthBound","&lt;=","&gt;=")&amp;Z81)</f>
        <v>12</v>
      </c>
      <c r="V81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13:02:52-0600',mode:absolute,to:'2016-07-06 13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1" s="116" t="str">
        <f t="shared" si="18"/>
        <v>N</v>
      </c>
      <c r="X81" s="116">
        <f t="shared" si="19"/>
        <v>1</v>
      </c>
      <c r="Y81" s="116">
        <f t="shared" si="20"/>
        <v>23.2973</v>
      </c>
      <c r="Z81" s="116">
        <f t="shared" si="21"/>
        <v>1.5800000000000002E-2</v>
      </c>
      <c r="AA81" s="116">
        <f t="shared" si="22"/>
        <v>23.281500000000001</v>
      </c>
      <c r="AB81" s="117" t="e">
        <f>VLOOKUP(A81,Enforcements!$C$7:$J$30,8,0)</f>
        <v>#N/A</v>
      </c>
      <c r="AC81" s="117" t="e">
        <f>VLOOKUP(A81,Enforcements!$C$7:$E$30,3,0)</f>
        <v>#N/A</v>
      </c>
      <c r="AD81" s="118" t="str">
        <f t="shared" si="23"/>
        <v>0170-06</v>
      </c>
      <c r="AE81" s="118" t="str">
        <f>"aws s3 cp "&amp;s3_bucket&amp;"/RTDC"&amp;B81&amp;"/"&amp;TEXT(F81,"YYYY-MM-DD")&amp;"/ "&amp;search_path&amp;"\RTDC"&amp;B81&amp;"\"&amp;TEXT(F81,"YYYY-MM-DD")&amp;" --recursive &amp; """&amp;walkandungz&amp;""" "&amp;search_path&amp;"\RTDC"&amp;B81&amp;"\"&amp;TEXT(F81,"YYYY-MM-DD")
&amp;" &amp; "&amp;"aws s3 cp "&amp;s3_bucket&amp;"/RTDC"&amp;B81&amp;"/"&amp;TEXT(F81+1,"YYYY-MM-DD")&amp;"/ "&amp;search_path&amp;"\RTDC"&amp;B81&amp;"\"&amp;TEXT(F81+1,"YYYY-MM-DD")&amp;" --recursive &amp; """&amp;walkandungz&amp;""" "&amp;search_path&amp;"\RTDC"&amp;B81&amp;"\"&amp;TEXT(F81+1,"YYYY-MM-DD")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81" s="118" t="str">
        <f>astrogrep_path&amp;" /spath="&amp;search_path&amp;" /stypes=""*"&amp;B81&amp;"*"&amp;TEXT(F81-utc_offset/24,"YYYYMMDD")&amp;"*"" /stext="" "&amp;TEXT(F81-utc_offset/24,"HH")&amp;search_regexp&amp;""" /e /r /s"</f>
        <v>"C:\Program Files (x86)\AstroGrep\AstroGrep.exe" /spath="C:\Users\stu\Documents\Analysis\2016-02-23 RTDC Observations" /stypes="*4043*20160706*" /stext=" 19:.+((prompt.+disp)|(slice.+state.+chan)|(ment ac)|(system.+state.+chan)|(\|lc)|(penalty)|(\[timeout))" /e /r /s</v>
      </c>
    </row>
    <row r="82" spans="1:32" s="1" customFormat="1" x14ac:dyDescent="0.25">
      <c r="A82" s="62" t="s">
        <v>463</v>
      </c>
      <c r="B82" s="34">
        <v>4018</v>
      </c>
      <c r="C82" s="34" t="s">
        <v>60</v>
      </c>
      <c r="D82" s="34" t="s">
        <v>610</v>
      </c>
      <c r="E82" s="20">
        <v>42557.517916666664</v>
      </c>
      <c r="F82" s="20">
        <v>42557.51898148148</v>
      </c>
      <c r="G82" s="23">
        <v>1</v>
      </c>
      <c r="H82" s="20" t="s">
        <v>598</v>
      </c>
      <c r="I82" s="20">
        <v>42557.545949074076</v>
      </c>
      <c r="J82" s="34">
        <v>0</v>
      </c>
      <c r="K82" s="34" t="str">
        <f t="shared" si="12"/>
        <v>4017/4018</v>
      </c>
      <c r="L82" s="34" t="str">
        <f>VLOOKUP(A82,'Trips&amp;Operators'!$C$1:$E$10000,3,FALSE)</f>
        <v>SANTIZO</v>
      </c>
      <c r="M82" s="6">
        <f t="shared" si="13"/>
        <v>2.6967592595610768E-2</v>
      </c>
      <c r="N82" s="7">
        <f t="shared" si="14"/>
        <v>38.833333337679505</v>
      </c>
      <c r="O82" s="7"/>
      <c r="P82" s="7"/>
      <c r="Q82" s="35"/>
      <c r="R82" s="35"/>
      <c r="S82" s="54">
        <f t="shared" si="15"/>
        <v>1</v>
      </c>
      <c r="T82" s="108" t="str">
        <f t="shared" si="16"/>
        <v>NorthBound</v>
      </c>
      <c r="U82" s="108">
        <f>COUNTIFS(Variables!$M$2:$M$19,IF(T82="NorthBound","&gt;=","&lt;=")&amp;Y82,Variables!$M$2:$M$19,IF(T82="NorthBound","&lt;=","&gt;=")&amp;Z82)</f>
        <v>12</v>
      </c>
      <c r="V82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12:24:48-0600',mode:absolute,to:'2016-07-06 13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2" s="116" t="str">
        <f t="shared" si="18"/>
        <v>N</v>
      </c>
      <c r="X82" s="116">
        <f t="shared" si="19"/>
        <v>1</v>
      </c>
      <c r="Y82" s="116">
        <f t="shared" si="20"/>
        <v>4.6699999999999998E-2</v>
      </c>
      <c r="Z82" s="116">
        <f t="shared" si="21"/>
        <v>23.331</v>
      </c>
      <c r="AA82" s="116">
        <f t="shared" si="22"/>
        <v>23.284299999999998</v>
      </c>
      <c r="AB82" s="117" t="e">
        <f>VLOOKUP(A82,Enforcements!$C$7:$J$30,8,0)</f>
        <v>#N/A</v>
      </c>
      <c r="AC82" s="117" t="e">
        <f>VLOOKUP(A82,Enforcements!$C$7:$E$30,3,0)</f>
        <v>#N/A</v>
      </c>
      <c r="AD82" s="118" t="str">
        <f t="shared" si="23"/>
        <v>0171-06</v>
      </c>
      <c r="AE82" s="118" t="str">
        <f>"aws s3 cp "&amp;s3_bucket&amp;"/RTDC"&amp;B82&amp;"/"&amp;TEXT(F82,"YYYY-MM-DD")&amp;"/ "&amp;search_path&amp;"\RTDC"&amp;B82&amp;"\"&amp;TEXT(F82,"YYYY-MM-DD")&amp;" --recursive &amp; """&amp;walkandungz&amp;""" "&amp;search_path&amp;"\RTDC"&amp;B82&amp;"\"&amp;TEXT(F82,"YYYY-MM-DD")
&amp;" &amp; "&amp;"aws s3 cp "&amp;s3_bucket&amp;"/RTDC"&amp;B82&amp;"/"&amp;TEXT(F82+1,"YYYY-MM-DD")&amp;"/ "&amp;search_path&amp;"\RTDC"&amp;B82&amp;"\"&amp;TEXT(F82+1,"YYYY-MM-DD")&amp;" --recursive &amp; """&amp;walkandungz&amp;""" "&amp;search_path&amp;"\RTDC"&amp;B82&amp;"\"&amp;TEXT(F82+1,"YYYY-MM-DD")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82" s="118" t="str">
        <f>astrogrep_path&amp;" /spath="&amp;search_path&amp;" /stypes=""*"&amp;B82&amp;"*"&amp;TEXT(F82-utc_offset/24,"YYYYMMDD")&amp;"*"" /stext="" "&amp;TEXT(F82-utc_offset/24,"HH")&amp;search_regexp&amp;""" /e /r /s"</f>
        <v>"C:\Program Files (x86)\AstroGrep\AstroGrep.exe" /spath="C:\Users\stu\Documents\Analysis\2016-02-23 RTDC Observations" /stypes="*4018*20160706*" /stext=" 18:.+((prompt.+disp)|(slice.+state.+chan)|(ment ac)|(system.+state.+chan)|(\|lc)|(penalty)|(\[timeout))" /e /r /s</v>
      </c>
    </row>
    <row r="83" spans="1:32" s="1" customFormat="1" x14ac:dyDescent="0.25">
      <c r="A83" s="62" t="s">
        <v>483</v>
      </c>
      <c r="B83" s="34">
        <v>4017</v>
      </c>
      <c r="C83" s="34" t="s">
        <v>60</v>
      </c>
      <c r="D83" s="34" t="s">
        <v>286</v>
      </c>
      <c r="E83" s="20">
        <v>42557.555532407408</v>
      </c>
      <c r="F83" s="20">
        <v>42557.556493055556</v>
      </c>
      <c r="G83" s="23">
        <v>1</v>
      </c>
      <c r="H83" s="20" t="s">
        <v>73</v>
      </c>
      <c r="I83" s="20">
        <v>42557.588078703702</v>
      </c>
      <c r="J83" s="34">
        <v>0</v>
      </c>
      <c r="K83" s="34" t="str">
        <f t="shared" si="12"/>
        <v>4017/4018</v>
      </c>
      <c r="L83" s="34" t="str">
        <f>VLOOKUP(A83,'Trips&amp;Operators'!$C$1:$E$10000,3,FALSE)</f>
        <v>SANTIZO</v>
      </c>
      <c r="M83" s="6">
        <f t="shared" si="13"/>
        <v>3.1585648146574385E-2</v>
      </c>
      <c r="N83" s="7">
        <f t="shared" si="14"/>
        <v>45.483333331067115</v>
      </c>
      <c r="O83" s="7"/>
      <c r="P83" s="7"/>
      <c r="Q83" s="35"/>
      <c r="R83" s="35"/>
      <c r="S83" s="54">
        <f t="shared" si="15"/>
        <v>1</v>
      </c>
      <c r="T83" s="108" t="str">
        <f t="shared" si="16"/>
        <v>Southbound</v>
      </c>
      <c r="U83" s="108">
        <f>COUNTIFS(Variables!$M$2:$M$19,IF(T83="NorthBound","&gt;=","&lt;=")&amp;Y83,Variables!$M$2:$M$19,IF(T83="NorthBound","&lt;=","&gt;=")&amp;Z83)</f>
        <v>12</v>
      </c>
      <c r="V83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13:18:58-0600',mode:absolute,to:'2016-07-06 14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3" s="116" t="str">
        <f t="shared" si="18"/>
        <v>N</v>
      </c>
      <c r="X83" s="116">
        <f t="shared" si="19"/>
        <v>1</v>
      </c>
      <c r="Y83" s="116">
        <f t="shared" si="20"/>
        <v>23.2989</v>
      </c>
      <c r="Z83" s="116">
        <f t="shared" si="21"/>
        <v>1.49E-2</v>
      </c>
      <c r="AA83" s="116">
        <f t="shared" si="22"/>
        <v>23.283999999999999</v>
      </c>
      <c r="AB83" s="117" t="e">
        <f>VLOOKUP(A83,Enforcements!$C$7:$J$30,8,0)</f>
        <v>#N/A</v>
      </c>
      <c r="AC83" s="117" t="e">
        <f>VLOOKUP(A83,Enforcements!$C$7:$E$30,3,0)</f>
        <v>#N/A</v>
      </c>
      <c r="AD83" s="118" t="str">
        <f t="shared" si="23"/>
        <v>0172-06</v>
      </c>
      <c r="AE83" s="118" t="str">
        <f>"aws s3 cp "&amp;s3_bucket&amp;"/RTDC"&amp;B83&amp;"/"&amp;TEXT(F83,"YYYY-MM-DD")&amp;"/ "&amp;search_path&amp;"\RTDC"&amp;B83&amp;"\"&amp;TEXT(F83,"YYYY-MM-DD")&amp;" --recursive &amp; """&amp;walkandungz&amp;""" "&amp;search_path&amp;"\RTDC"&amp;B83&amp;"\"&amp;TEXT(F83,"YYYY-MM-DD")
&amp;" &amp; "&amp;"aws s3 cp "&amp;s3_bucket&amp;"/RTDC"&amp;B83&amp;"/"&amp;TEXT(F83+1,"YYYY-MM-DD")&amp;"/ "&amp;search_path&amp;"\RTDC"&amp;B83&amp;"\"&amp;TEXT(F83+1,"YYYY-MM-DD")&amp;" --recursive &amp; """&amp;walkandungz&amp;""" "&amp;search_path&amp;"\RTDC"&amp;B83&amp;"\"&amp;TEXT(F83+1,"YYYY-MM-DD")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83" s="118" t="str">
        <f>astrogrep_path&amp;" /spath="&amp;search_path&amp;" /stypes=""*"&amp;B83&amp;"*"&amp;TEXT(F83-utc_offset/24,"YYYYMMDD")&amp;"*"" /stext="" "&amp;TEXT(F83-utc_offset/24,"HH")&amp;search_regexp&amp;""" /e /r /s"</f>
        <v>"C:\Program Files (x86)\AstroGrep\AstroGrep.exe" /spath="C:\Users\stu\Documents\Analysis\2016-02-23 RTDC Observations" /stypes="*4017*20160706*" /stext=" 19:.+((prompt.+disp)|(slice.+state.+chan)|(ment ac)|(system.+state.+chan)|(\|lc)|(penalty)|(\[timeout))" /e /r /s</v>
      </c>
    </row>
    <row r="84" spans="1:32" s="1" customFormat="1" x14ac:dyDescent="0.25">
      <c r="A84" s="62" t="s">
        <v>354</v>
      </c>
      <c r="B84" s="34">
        <v>4014</v>
      </c>
      <c r="C84" s="34" t="s">
        <v>60</v>
      </c>
      <c r="D84" s="34" t="s">
        <v>154</v>
      </c>
      <c r="E84" s="20">
        <v>42557.528310185182</v>
      </c>
      <c r="F84" s="20">
        <v>42557.529594907406</v>
      </c>
      <c r="G84" s="23">
        <v>1</v>
      </c>
      <c r="H84" s="20" t="s">
        <v>297</v>
      </c>
      <c r="I84" s="20">
        <v>42557.55804398148</v>
      </c>
      <c r="J84" s="34">
        <v>1</v>
      </c>
      <c r="K84" s="34" t="str">
        <f t="shared" si="12"/>
        <v>4013/4014</v>
      </c>
      <c r="L84" s="34" t="str">
        <f>VLOOKUP(A84,'Trips&amp;Operators'!$C$1:$E$10000,3,FALSE)</f>
        <v>YOUNG</v>
      </c>
      <c r="M84" s="6">
        <f t="shared" si="13"/>
        <v>2.8449074074160308E-2</v>
      </c>
      <c r="N84" s="7">
        <f t="shared" si="14"/>
        <v>40.966666666790843</v>
      </c>
      <c r="O84" s="7"/>
      <c r="P84" s="7"/>
      <c r="Q84" s="35"/>
      <c r="R84" s="35"/>
      <c r="S84" s="54">
        <f t="shared" si="15"/>
        <v>1</v>
      </c>
      <c r="T84" s="108" t="str">
        <f t="shared" si="16"/>
        <v>NorthBound</v>
      </c>
      <c r="U84" s="108">
        <f>COUNTIFS(Variables!$M$2:$M$19,IF(T84="NorthBound","&gt;=","&lt;=")&amp;Y84,Variables!$M$2:$M$19,IF(T84="NorthBound","&lt;=","&gt;=")&amp;Z84)</f>
        <v>12</v>
      </c>
      <c r="V84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12:39:46-0600',mode:absolute,to:'2016-07-06 13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4" s="116" t="str">
        <f t="shared" si="18"/>
        <v>N</v>
      </c>
      <c r="X84" s="116">
        <f t="shared" si="19"/>
        <v>1</v>
      </c>
      <c r="Y84" s="116">
        <f t="shared" si="20"/>
        <v>4.5499999999999999E-2</v>
      </c>
      <c r="Z84" s="116">
        <f t="shared" si="21"/>
        <v>23.330500000000001</v>
      </c>
      <c r="AA84" s="116">
        <f t="shared" si="22"/>
        <v>23.285</v>
      </c>
      <c r="AB84" s="117" t="e">
        <f>VLOOKUP(A84,Enforcements!$C$7:$J$30,8,0)</f>
        <v>#N/A</v>
      </c>
      <c r="AC84" s="117" t="e">
        <f>VLOOKUP(A84,Enforcements!$C$7:$E$30,3,0)</f>
        <v>#N/A</v>
      </c>
      <c r="AD84" s="118" t="str">
        <f t="shared" si="23"/>
        <v>0173-06</v>
      </c>
      <c r="AE84" s="118" t="str">
        <f>"aws s3 cp "&amp;s3_bucket&amp;"/RTDC"&amp;B84&amp;"/"&amp;TEXT(F84,"YYYY-MM-DD")&amp;"/ "&amp;search_path&amp;"\RTDC"&amp;B84&amp;"\"&amp;TEXT(F84,"YYYY-MM-DD")&amp;" --recursive &amp; """&amp;walkandungz&amp;""" "&amp;search_path&amp;"\RTDC"&amp;B84&amp;"\"&amp;TEXT(F84,"YYYY-MM-DD")
&amp;" &amp; "&amp;"aws s3 cp "&amp;s3_bucket&amp;"/RTDC"&amp;B84&amp;"/"&amp;TEXT(F84+1,"YYYY-MM-DD")&amp;"/ "&amp;search_path&amp;"\RTDC"&amp;B84&amp;"\"&amp;TEXT(F84+1,"YYYY-MM-DD")&amp;" --recursive &amp; """&amp;walkandungz&amp;""" "&amp;search_path&amp;"\RTDC"&amp;B84&amp;"\"&amp;TEXT(F84+1,"YYYY-MM-DD")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84" s="118" t="str">
        <f>astrogrep_path&amp;" /spath="&amp;search_path&amp;" /stypes=""*"&amp;B84&amp;"*"&amp;TEXT(F84-utc_offset/24,"YYYYMMDD")&amp;"*"" /stext="" "&amp;TEXT(F84-utc_offset/24,"HH")&amp;search_regexp&amp;""" /e /r /s"</f>
        <v>"C:\Program Files (x86)\AstroGrep\AstroGrep.exe" /spath="C:\Users\stu\Documents\Analysis\2016-02-23 RTDC Observations" /stypes="*4014*20160706*" /stext=" 18:.+((prompt.+disp)|(slice.+state.+chan)|(ment ac)|(system.+state.+chan)|(\|lc)|(penalty)|(\[timeout))" /e /r /s</v>
      </c>
    </row>
    <row r="85" spans="1:32" s="1" customFormat="1" x14ac:dyDescent="0.25">
      <c r="A85" s="62" t="s">
        <v>510</v>
      </c>
      <c r="B85" s="34">
        <v>4013</v>
      </c>
      <c r="C85" s="34" t="s">
        <v>60</v>
      </c>
      <c r="D85" s="34" t="s">
        <v>228</v>
      </c>
      <c r="E85" s="20">
        <v>42557.564641203702</v>
      </c>
      <c r="F85" s="20">
        <v>42557.568136574075</v>
      </c>
      <c r="G85" s="23">
        <v>5</v>
      </c>
      <c r="H85" s="20" t="s">
        <v>304</v>
      </c>
      <c r="I85" s="20">
        <v>42557.601018518515</v>
      </c>
      <c r="J85" s="34">
        <v>0</v>
      </c>
      <c r="K85" s="34" t="str">
        <f t="shared" si="12"/>
        <v>4013/4014</v>
      </c>
      <c r="L85" s="34" t="str">
        <f>VLOOKUP(A85,'Trips&amp;Operators'!$C$1:$E$10000,3,FALSE)</f>
        <v>YOUNG</v>
      </c>
      <c r="M85" s="6">
        <f t="shared" si="13"/>
        <v>3.2881944440305233E-2</v>
      </c>
      <c r="N85" s="7">
        <f t="shared" si="14"/>
        <v>47.349999994039536</v>
      </c>
      <c r="O85" s="7"/>
      <c r="P85" s="7"/>
      <c r="Q85" s="35"/>
      <c r="R85" s="35"/>
      <c r="S85" s="54">
        <f t="shared" si="15"/>
        <v>1</v>
      </c>
      <c r="T85" s="108" t="str">
        <f t="shared" si="16"/>
        <v>Southbound</v>
      </c>
      <c r="U85" s="108">
        <f>COUNTIFS(Variables!$M$2:$M$19,IF(T85="NorthBound","&gt;=","&lt;=")&amp;Y85,Variables!$M$2:$M$19,IF(T85="NorthBound","&lt;=","&gt;=")&amp;Z85)</f>
        <v>12</v>
      </c>
      <c r="V85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13:32:05-0600',mode:absolute,to:'2016-07-06 14:26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5" s="116" t="str">
        <f t="shared" si="18"/>
        <v>N</v>
      </c>
      <c r="X85" s="116">
        <f t="shared" si="19"/>
        <v>1</v>
      </c>
      <c r="Y85" s="116">
        <f t="shared" si="20"/>
        <v>23.298200000000001</v>
      </c>
      <c r="Z85" s="116">
        <f t="shared" si="21"/>
        <v>0.02</v>
      </c>
      <c r="AA85" s="116">
        <f t="shared" si="22"/>
        <v>23.278200000000002</v>
      </c>
      <c r="AB85" s="117" t="e">
        <f>VLOOKUP(A85,Enforcements!$C$7:$J$30,8,0)</f>
        <v>#N/A</v>
      </c>
      <c r="AC85" s="117" t="e">
        <f>VLOOKUP(A85,Enforcements!$C$7:$E$30,3,0)</f>
        <v>#N/A</v>
      </c>
      <c r="AD85" s="118" t="str">
        <f t="shared" si="23"/>
        <v>0174-06</v>
      </c>
      <c r="AE85" s="118" t="str">
        <f>"aws s3 cp "&amp;s3_bucket&amp;"/RTDC"&amp;B85&amp;"/"&amp;TEXT(F85,"YYYY-MM-DD")&amp;"/ "&amp;search_path&amp;"\RTDC"&amp;B85&amp;"\"&amp;TEXT(F85,"YYYY-MM-DD")&amp;" --recursive &amp; """&amp;walkandungz&amp;""" "&amp;search_path&amp;"\RTDC"&amp;B85&amp;"\"&amp;TEXT(F85,"YYYY-MM-DD")
&amp;" &amp; "&amp;"aws s3 cp "&amp;s3_bucket&amp;"/RTDC"&amp;B85&amp;"/"&amp;TEXT(F85+1,"YYYY-MM-DD")&amp;"/ "&amp;search_path&amp;"\RTDC"&amp;B85&amp;"\"&amp;TEXT(F85+1,"YYYY-MM-DD")&amp;" --recursive &amp; """&amp;walkandungz&amp;""" "&amp;search_path&amp;"\RTDC"&amp;B85&amp;"\"&amp;TEXT(F85+1,"YYYY-MM-DD")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85" s="118" t="str">
        <f>astrogrep_path&amp;" /spath="&amp;search_path&amp;" /stypes=""*"&amp;B85&amp;"*"&amp;TEXT(F85-utc_offset/24,"YYYYMMDD")&amp;"*"" /stext="" "&amp;TEXT(F85-utc_offset/24,"HH")&amp;search_regexp&amp;""" /e /r /s"</f>
        <v>"C:\Program Files (x86)\AstroGrep\AstroGrep.exe" /spath="C:\Users\stu\Documents\Analysis\2016-02-23 RTDC Observations" /stypes="*4013*20160706*" /stext=" 19:.+((prompt.+disp)|(slice.+state.+chan)|(ment ac)|(system.+state.+chan)|(\|lc)|(penalty)|(\[timeout))" /e /r /s</v>
      </c>
    </row>
    <row r="86" spans="1:32" s="1" customFormat="1" x14ac:dyDescent="0.25">
      <c r="A86" s="62" t="s">
        <v>357</v>
      </c>
      <c r="B86" s="34">
        <v>4025</v>
      </c>
      <c r="C86" s="34" t="s">
        <v>60</v>
      </c>
      <c r="D86" s="34" t="s">
        <v>611</v>
      </c>
      <c r="E86" s="20">
        <v>42557.53564814815</v>
      </c>
      <c r="F86" s="20">
        <v>42557.537060185183</v>
      </c>
      <c r="G86" s="23">
        <v>2</v>
      </c>
      <c r="H86" s="20" t="s">
        <v>612</v>
      </c>
      <c r="I86" s="20">
        <v>42557.56653935185</v>
      </c>
      <c r="J86" s="34">
        <v>1</v>
      </c>
      <c r="K86" s="34" t="str">
        <f t="shared" si="12"/>
        <v>4025/4026</v>
      </c>
      <c r="L86" s="34" t="str">
        <f>VLOOKUP(A86,'Trips&amp;Operators'!$C$1:$E$10000,3,FALSE)</f>
        <v>STAMBAUGH</v>
      </c>
      <c r="M86" s="6">
        <f t="shared" si="13"/>
        <v>2.9479166667442769E-2</v>
      </c>
      <c r="N86" s="7">
        <f t="shared" si="14"/>
        <v>42.450000001117587</v>
      </c>
      <c r="O86" s="7"/>
      <c r="P86" s="7"/>
      <c r="Q86" s="35"/>
      <c r="R86" s="35"/>
      <c r="S86" s="54">
        <f t="shared" si="15"/>
        <v>1</v>
      </c>
      <c r="T86" s="108" t="str">
        <f t="shared" si="16"/>
        <v>NorthBound</v>
      </c>
      <c r="U86" s="108">
        <f>COUNTIFS(Variables!$M$2:$M$19,IF(T86="NorthBound","&gt;=","&lt;=")&amp;Y86,Variables!$M$2:$M$19,IF(T86="NorthBound","&lt;=","&gt;=")&amp;Z86)</f>
        <v>12</v>
      </c>
      <c r="V86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12:50:20-0600',mode:absolute,to:'2016-07-06 13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6" s="116" t="str">
        <f t="shared" si="18"/>
        <v>N</v>
      </c>
      <c r="X86" s="116">
        <f t="shared" si="19"/>
        <v>1</v>
      </c>
      <c r="Y86" s="116">
        <f t="shared" si="20"/>
        <v>4.8000000000000001E-2</v>
      </c>
      <c r="Z86" s="116">
        <f t="shared" si="21"/>
        <v>23.325700000000001</v>
      </c>
      <c r="AA86" s="116">
        <f t="shared" si="22"/>
        <v>23.277700000000003</v>
      </c>
      <c r="AB86" s="117" t="e">
        <f>VLOOKUP(A86,Enforcements!$C$7:$J$30,8,0)</f>
        <v>#N/A</v>
      </c>
      <c r="AC86" s="117" t="e">
        <f>VLOOKUP(A86,Enforcements!$C$7:$E$30,3,0)</f>
        <v>#N/A</v>
      </c>
      <c r="AD86" s="118" t="str">
        <f t="shared" si="23"/>
        <v>0175-06</v>
      </c>
      <c r="AE86" s="118" t="str">
        <f>"aws s3 cp "&amp;s3_bucket&amp;"/RTDC"&amp;B86&amp;"/"&amp;TEXT(F86,"YYYY-MM-DD")&amp;"/ "&amp;search_path&amp;"\RTDC"&amp;B86&amp;"\"&amp;TEXT(F86,"YYYY-MM-DD")&amp;" --recursive &amp; """&amp;walkandungz&amp;""" "&amp;search_path&amp;"\RTDC"&amp;B86&amp;"\"&amp;TEXT(F86,"YYYY-MM-DD")
&amp;" &amp; "&amp;"aws s3 cp "&amp;s3_bucket&amp;"/RTDC"&amp;B86&amp;"/"&amp;TEXT(F86+1,"YYYY-MM-DD")&amp;"/ "&amp;search_path&amp;"\RTDC"&amp;B86&amp;"\"&amp;TEXT(F86+1,"YYYY-MM-DD")&amp;" --recursive &amp; """&amp;walkandungz&amp;""" "&amp;search_path&amp;"\RTDC"&amp;B86&amp;"\"&amp;TEXT(F86+1,"YYYY-MM-DD")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86" s="118" t="str">
        <f>astrogrep_path&amp;" /spath="&amp;search_path&amp;" /stypes=""*"&amp;B86&amp;"*"&amp;TEXT(F86-utc_offset/24,"YYYYMMDD")&amp;"*"" /stext="" "&amp;TEXT(F86-utc_offset/24,"HH")&amp;search_regexp&amp;""" /e /r /s"</f>
        <v>"C:\Program Files (x86)\AstroGrep\AstroGrep.exe" /spath="C:\Users\stu\Documents\Analysis\2016-02-23 RTDC Observations" /stypes="*4025*20160706*" /stext=" 18:.+((prompt.+disp)|(slice.+state.+chan)|(ment ac)|(system.+state.+chan)|(\|lc)|(penalty)|(\[timeout))" /e /r /s</v>
      </c>
    </row>
    <row r="87" spans="1:32" s="1" customFormat="1" x14ac:dyDescent="0.25">
      <c r="A87" s="62" t="s">
        <v>447</v>
      </c>
      <c r="B87" s="34">
        <v>4026</v>
      </c>
      <c r="C87" s="34" t="s">
        <v>60</v>
      </c>
      <c r="D87" s="34" t="s">
        <v>613</v>
      </c>
      <c r="E87" s="20">
        <v>42557.577187499999</v>
      </c>
      <c r="F87" s="20">
        <v>42557.578275462962</v>
      </c>
      <c r="G87" s="23">
        <v>1</v>
      </c>
      <c r="H87" s="20" t="s">
        <v>62</v>
      </c>
      <c r="I87" s="20">
        <v>42557.606076388889</v>
      </c>
      <c r="J87" s="34">
        <v>0</v>
      </c>
      <c r="K87" s="34" t="str">
        <f t="shared" si="12"/>
        <v>4025/4026</v>
      </c>
      <c r="L87" s="34" t="str">
        <f>VLOOKUP(A87,'Trips&amp;Operators'!$C$1:$E$10000,3,FALSE)</f>
        <v>STAMBAUGH</v>
      </c>
      <c r="M87" s="6">
        <f t="shared" si="13"/>
        <v>2.7800925927294884E-2</v>
      </c>
      <c r="N87" s="7">
        <f t="shared" si="14"/>
        <v>40.033333335304633</v>
      </c>
      <c r="O87" s="7"/>
      <c r="P87" s="7"/>
      <c r="Q87" s="35"/>
      <c r="R87" s="35"/>
      <c r="S87" s="54">
        <f t="shared" si="15"/>
        <v>1</v>
      </c>
      <c r="T87" s="108" t="str">
        <f t="shared" si="16"/>
        <v>Southbound</v>
      </c>
      <c r="U87" s="108">
        <f>COUNTIFS(Variables!$M$2:$M$19,IF(T87="NorthBound","&gt;=","&lt;=")&amp;Y87,Variables!$M$2:$M$19,IF(T87="NorthBound","&lt;=","&gt;=")&amp;Z87)</f>
        <v>12</v>
      </c>
      <c r="V87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13:50:09-0600',mode:absolute,to:'2016-07-06 14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7" s="116" t="str">
        <f t="shared" si="18"/>
        <v>N</v>
      </c>
      <c r="X87" s="116">
        <f t="shared" si="19"/>
        <v>1</v>
      </c>
      <c r="Y87" s="116">
        <f t="shared" si="20"/>
        <v>23.294499999999999</v>
      </c>
      <c r="Z87" s="116">
        <f t="shared" si="21"/>
        <v>1.52E-2</v>
      </c>
      <c r="AA87" s="116">
        <f t="shared" si="22"/>
        <v>23.279299999999999</v>
      </c>
      <c r="AB87" s="117" t="e">
        <f>VLOOKUP(A87,Enforcements!$C$7:$J$30,8,0)</f>
        <v>#N/A</v>
      </c>
      <c r="AC87" s="117" t="e">
        <f>VLOOKUP(A87,Enforcements!$C$7:$E$30,3,0)</f>
        <v>#N/A</v>
      </c>
      <c r="AD87" s="118" t="str">
        <f t="shared" si="23"/>
        <v>0176-06</v>
      </c>
      <c r="AE87" s="118" t="str">
        <f>"aws s3 cp "&amp;s3_bucket&amp;"/RTDC"&amp;B87&amp;"/"&amp;TEXT(F87,"YYYY-MM-DD")&amp;"/ "&amp;search_path&amp;"\RTDC"&amp;B87&amp;"\"&amp;TEXT(F87,"YYYY-MM-DD")&amp;" --recursive &amp; """&amp;walkandungz&amp;""" "&amp;search_path&amp;"\RTDC"&amp;B87&amp;"\"&amp;TEXT(F87,"YYYY-MM-DD")
&amp;" &amp; "&amp;"aws s3 cp "&amp;s3_bucket&amp;"/RTDC"&amp;B87&amp;"/"&amp;TEXT(F87+1,"YYYY-MM-DD")&amp;"/ "&amp;search_path&amp;"\RTDC"&amp;B87&amp;"\"&amp;TEXT(F87+1,"YYYY-MM-DD")&amp;" --recursive &amp; """&amp;walkandungz&amp;""" "&amp;search_path&amp;"\RTDC"&amp;B87&amp;"\"&amp;TEXT(F87+1,"YYYY-MM-DD")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87" s="118" t="str">
        <f>astrogrep_path&amp;" /spath="&amp;search_path&amp;" /stypes=""*"&amp;B87&amp;"*"&amp;TEXT(F87-utc_offset/24,"YYYYMMDD")&amp;"*"" /stext="" "&amp;TEXT(F87-utc_offset/24,"HH")&amp;search_regexp&amp;""" /e /r /s"</f>
        <v>"C:\Program Files (x86)\AstroGrep\AstroGrep.exe" /spath="C:\Users\stu\Documents\Analysis\2016-02-23 RTDC Observations" /stypes="*4026*20160706*" /stext=" 19:.+((prompt.+disp)|(slice.+state.+chan)|(ment ac)|(system.+state.+chan)|(\|lc)|(penalty)|(\[timeout))" /e /r /s</v>
      </c>
    </row>
    <row r="88" spans="1:32" s="1" customFormat="1" x14ac:dyDescent="0.25">
      <c r="A88" s="62" t="s">
        <v>355</v>
      </c>
      <c r="B88" s="34">
        <v>4040</v>
      </c>
      <c r="C88" s="34" t="s">
        <v>60</v>
      </c>
      <c r="D88" s="34" t="s">
        <v>282</v>
      </c>
      <c r="E88" s="20">
        <v>42557.547361111108</v>
      </c>
      <c r="F88" s="20">
        <v>42557.548356481479</v>
      </c>
      <c r="G88" s="23">
        <v>1</v>
      </c>
      <c r="H88" s="20" t="s">
        <v>614</v>
      </c>
      <c r="I88" s="20">
        <v>42557.564328703702</v>
      </c>
      <c r="J88" s="34">
        <v>1</v>
      </c>
      <c r="K88" s="34" t="str">
        <f t="shared" si="12"/>
        <v>4039/4040</v>
      </c>
      <c r="L88" s="34" t="str">
        <f>VLOOKUP(A88,'Trips&amp;Operators'!$C$1:$E$10000,3,FALSE)</f>
        <v>SHOOK</v>
      </c>
      <c r="M88" s="6">
        <f t="shared" si="13"/>
        <v>1.5972222223354038E-2</v>
      </c>
      <c r="N88" s="7"/>
      <c r="O88" s="7"/>
      <c r="P88" s="7">
        <f>24*60*SUM($M88:$M89)</f>
        <v>42.850000000325963</v>
      </c>
      <c r="Q88" s="35"/>
      <c r="R88" s="35" t="s">
        <v>145</v>
      </c>
      <c r="S88" s="54">
        <f>SUM(U88:U89)/12</f>
        <v>1</v>
      </c>
      <c r="T88" s="108" t="str">
        <f t="shared" si="16"/>
        <v>NorthBound</v>
      </c>
      <c r="U88" s="108">
        <f>COUNTIFS(Variables!$M$2:$M$19,IF(T88="NorthBound","&gt;=","&lt;=")&amp;Y88,Variables!$M$2:$M$19,IF(T88="NorthBound","&lt;=","&gt;=")&amp;Z88)</f>
        <v>10</v>
      </c>
      <c r="V88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13:07:12-0600',mode:absolute,to:'2016-07-06 13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116" t="str">
        <f t="shared" si="18"/>
        <v>Y</v>
      </c>
      <c r="X88" s="116">
        <f t="shared" si="19"/>
        <v>1</v>
      </c>
      <c r="Y88" s="116">
        <f t="shared" si="20"/>
        <v>4.3999999999999997E-2</v>
      </c>
      <c r="Z88" s="116">
        <f t="shared" si="21"/>
        <v>8.4207999999999998</v>
      </c>
      <c r="AA88" s="116">
        <f t="shared" si="22"/>
        <v>8.3767999999999994</v>
      </c>
      <c r="AB88" s="117" t="e">
        <f>VLOOKUP(A88,Enforcements!$C$7:$J$30,8,0)</f>
        <v>#N/A</v>
      </c>
      <c r="AC88" s="117" t="e">
        <f>VLOOKUP(A88,Enforcements!$C$7:$E$30,3,0)</f>
        <v>#N/A</v>
      </c>
      <c r="AD88" s="118" t="str">
        <f t="shared" si="23"/>
        <v>0177-06</v>
      </c>
      <c r="AE88" s="118" t="str">
        <f>"aws s3 cp "&amp;s3_bucket&amp;"/RTDC"&amp;B88&amp;"/"&amp;TEXT(F88,"YYYY-MM-DD")&amp;"/ "&amp;search_path&amp;"\RTDC"&amp;B88&amp;"\"&amp;TEXT(F88,"YYYY-MM-DD")&amp;" --recursive &amp; """&amp;walkandungz&amp;""" "&amp;search_path&amp;"\RTDC"&amp;B88&amp;"\"&amp;TEXT(F88,"YYYY-MM-DD")
&amp;" &amp; "&amp;"aws s3 cp "&amp;s3_bucket&amp;"/RTDC"&amp;B88&amp;"/"&amp;TEXT(F88+1,"YYYY-MM-DD")&amp;"/ "&amp;search_path&amp;"\RTDC"&amp;B88&amp;"\"&amp;TEXT(F88+1,"YYYY-MM-DD")&amp;" --recursive &amp; """&amp;walkandungz&amp;""" "&amp;search_path&amp;"\RTDC"&amp;B88&amp;"\"&amp;TEXT(F88+1,"YYYY-MM-DD")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88" s="118" t="str">
        <f>astrogrep_path&amp;" /spath="&amp;search_path&amp;" /stypes=""*"&amp;B88&amp;"*"&amp;TEXT(F88-utc_offset/24,"YYYYMMDD")&amp;"*"" /stext="" "&amp;TEXT(F88-utc_offset/24,"HH")&amp;search_regexp&amp;""" /e /r /s"</f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</row>
    <row r="89" spans="1:32" s="1" customFormat="1" x14ac:dyDescent="0.25">
      <c r="A89" s="62" t="s">
        <v>355</v>
      </c>
      <c r="B89" s="34">
        <v>4040</v>
      </c>
      <c r="C89" s="34" t="s">
        <v>60</v>
      </c>
      <c r="D89" s="34" t="s">
        <v>615</v>
      </c>
      <c r="E89" s="20">
        <v>42557.565694444442</v>
      </c>
      <c r="F89" s="20">
        <v>42557.566678240742</v>
      </c>
      <c r="G89" s="23">
        <v>1</v>
      </c>
      <c r="H89" s="20" t="s">
        <v>171</v>
      </c>
      <c r="I89" s="20">
        <v>42557.580462962964</v>
      </c>
      <c r="J89" s="34">
        <v>0</v>
      </c>
      <c r="K89" s="34" t="str">
        <f t="shared" si="12"/>
        <v>4039/4040</v>
      </c>
      <c r="L89" s="34" t="str">
        <f>VLOOKUP(A89,'Trips&amp;Operators'!$C$1:$E$10000,3,FALSE)</f>
        <v>SHOOK</v>
      </c>
      <c r="M89" s="6">
        <f t="shared" si="13"/>
        <v>1.378472222131677E-2</v>
      </c>
      <c r="N89" s="7"/>
      <c r="O89" s="7"/>
      <c r="P89" s="7"/>
      <c r="Q89" s="35"/>
      <c r="R89" s="35"/>
      <c r="S89" s="54"/>
      <c r="T89" s="108" t="str">
        <f t="shared" si="16"/>
        <v>NorthBound</v>
      </c>
      <c r="U89" s="108">
        <f>COUNTIFS(Variables!$M$2:$M$19,IF(T89="NorthBound","&gt;=","&lt;=")&amp;Y89,Variables!$M$2:$M$19,IF(T89="NorthBound","&lt;=","&gt;=")&amp;Z89)</f>
        <v>2</v>
      </c>
      <c r="V89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13:33:36-0600',mode:absolute,to:'2016-07-06 13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9" s="116" t="str">
        <f t="shared" si="18"/>
        <v>Y</v>
      </c>
      <c r="X89" s="116">
        <f t="shared" si="19"/>
        <v>0</v>
      </c>
      <c r="Y89" s="116">
        <f t="shared" si="20"/>
        <v>8.6373999999999995</v>
      </c>
      <c r="Z89" s="116">
        <f t="shared" si="21"/>
        <v>23.328600000000002</v>
      </c>
      <c r="AA89" s="116">
        <f t="shared" si="22"/>
        <v>14.691200000000002</v>
      </c>
      <c r="AB89" s="117" t="e">
        <f>VLOOKUP(A89,Enforcements!$C$7:$J$30,8,0)</f>
        <v>#N/A</v>
      </c>
      <c r="AC89" s="117" t="e">
        <f>VLOOKUP(A89,Enforcements!$C$7:$E$30,3,0)</f>
        <v>#N/A</v>
      </c>
      <c r="AD89" s="118" t="str">
        <f t="shared" si="23"/>
        <v>0177-06</v>
      </c>
      <c r="AE89" s="118" t="str">
        <f>"aws s3 cp "&amp;s3_bucket&amp;"/RTDC"&amp;B89&amp;"/"&amp;TEXT(F89,"YYYY-MM-DD")&amp;"/ "&amp;search_path&amp;"\RTDC"&amp;B89&amp;"\"&amp;TEXT(F89,"YYYY-MM-DD")&amp;" --recursive &amp; """&amp;walkandungz&amp;""" "&amp;search_path&amp;"\RTDC"&amp;B89&amp;"\"&amp;TEXT(F89,"YYYY-MM-DD")
&amp;" &amp; "&amp;"aws s3 cp "&amp;s3_bucket&amp;"/RTDC"&amp;B89&amp;"/"&amp;TEXT(F89+1,"YYYY-MM-DD")&amp;"/ "&amp;search_path&amp;"\RTDC"&amp;B89&amp;"\"&amp;TEXT(F89+1,"YYYY-MM-DD")&amp;" --recursive &amp; """&amp;walkandungz&amp;""" "&amp;search_path&amp;"\RTDC"&amp;B89&amp;"\"&amp;TEXT(F89+1,"YYYY-MM-DD")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89" s="118" t="str">
        <f>astrogrep_path&amp;" /spath="&amp;search_path&amp;" /stypes=""*"&amp;B89&amp;"*"&amp;TEXT(F89-utc_offset/24,"YYYYMMDD")&amp;"*"" /stext="" "&amp;TEXT(F89-utc_offset/24,"HH")&amp;search_regexp&amp;""" /e /r /s"</f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</row>
    <row r="90" spans="1:32" s="1" customFormat="1" x14ac:dyDescent="0.25">
      <c r="A90" s="62" t="s">
        <v>527</v>
      </c>
      <c r="B90" s="34">
        <v>4039</v>
      </c>
      <c r="C90" s="34" t="s">
        <v>60</v>
      </c>
      <c r="D90" s="34" t="s">
        <v>616</v>
      </c>
      <c r="E90" s="20">
        <v>42557.585300925923</v>
      </c>
      <c r="F90" s="20">
        <v>42557.587210648147</v>
      </c>
      <c r="G90" s="23">
        <v>2</v>
      </c>
      <c r="H90" s="20" t="s">
        <v>307</v>
      </c>
      <c r="I90" s="20">
        <v>42557.618078703701</v>
      </c>
      <c r="J90" s="34">
        <v>0</v>
      </c>
      <c r="K90" s="34" t="str">
        <f t="shared" si="12"/>
        <v>4039/4040</v>
      </c>
      <c r="L90" s="34" t="str">
        <f>VLOOKUP(A90,'Trips&amp;Operators'!$C$1:$E$10000,3,FALSE)</f>
        <v>SHOOK</v>
      </c>
      <c r="M90" s="6">
        <f t="shared" si="13"/>
        <v>3.0868055553582963E-2</v>
      </c>
      <c r="N90" s="7">
        <f t="shared" si="14"/>
        <v>44.449999997159466</v>
      </c>
      <c r="O90" s="7"/>
      <c r="P90" s="7"/>
      <c r="Q90" s="35"/>
      <c r="R90" s="35"/>
      <c r="S90" s="54">
        <f t="shared" si="15"/>
        <v>1</v>
      </c>
      <c r="T90" s="108" t="str">
        <f t="shared" si="16"/>
        <v>Southbound</v>
      </c>
      <c r="U90" s="108">
        <f>COUNTIFS(Variables!$M$2:$M$19,IF(T90="NorthBound","&gt;=","&lt;=")&amp;Y90,Variables!$M$2:$M$19,IF(T90="NorthBound","&lt;=","&gt;=")&amp;Z90)</f>
        <v>12</v>
      </c>
      <c r="V90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14:01:50-0600',mode:absolute,to:'2016-07-06 14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0" s="116" t="str">
        <f t="shared" si="18"/>
        <v>N</v>
      </c>
      <c r="X90" s="116">
        <f t="shared" si="19"/>
        <v>1</v>
      </c>
      <c r="Y90" s="116">
        <f t="shared" si="20"/>
        <v>23.295000000000002</v>
      </c>
      <c r="Z90" s="116">
        <f t="shared" si="21"/>
        <v>1.8100000000000002E-2</v>
      </c>
      <c r="AA90" s="116">
        <f t="shared" si="22"/>
        <v>23.276900000000001</v>
      </c>
      <c r="AB90" s="117" t="e">
        <f>VLOOKUP(A90,Enforcements!$C$7:$J$30,8,0)</f>
        <v>#N/A</v>
      </c>
      <c r="AC90" s="117" t="e">
        <f>VLOOKUP(A90,Enforcements!$C$7:$E$30,3,0)</f>
        <v>#N/A</v>
      </c>
      <c r="AD90" s="118" t="str">
        <f t="shared" si="23"/>
        <v>0178-06</v>
      </c>
      <c r="AE90" s="118" t="str">
        <f>"aws s3 cp "&amp;s3_bucket&amp;"/RTDC"&amp;B90&amp;"/"&amp;TEXT(F90,"YYYY-MM-DD")&amp;"/ "&amp;search_path&amp;"\RTDC"&amp;B90&amp;"\"&amp;TEXT(F90,"YYYY-MM-DD")&amp;" --recursive &amp; """&amp;walkandungz&amp;""" "&amp;search_path&amp;"\RTDC"&amp;B90&amp;"\"&amp;TEXT(F90,"YYYY-MM-DD")
&amp;" &amp; "&amp;"aws s3 cp "&amp;s3_bucket&amp;"/RTDC"&amp;B90&amp;"/"&amp;TEXT(F90+1,"YYYY-MM-DD")&amp;"/ "&amp;search_path&amp;"\RTDC"&amp;B90&amp;"\"&amp;TEXT(F90+1,"YYYY-MM-DD")&amp;" --recursive &amp; """&amp;walkandungz&amp;""" "&amp;search_path&amp;"\RTDC"&amp;B90&amp;"\"&amp;TEXT(F90+1,"YYYY-MM-DD")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90" s="118" t="str">
        <f>astrogrep_path&amp;" /spath="&amp;search_path&amp;" /stypes=""*"&amp;B90&amp;"*"&amp;TEXT(F90-utc_offset/24,"YYYYMMDD")&amp;"*"" /stext="" "&amp;TEXT(F90-utc_offset/24,"HH")&amp;search_regexp&amp;""" /e /r /s"</f>
        <v>"C:\Program Files (x86)\AstroGrep\AstroGrep.exe" /spath="C:\Users\stu\Documents\Analysis\2016-02-23 RTDC Observations" /stypes="*4039*20160706*" /stext=" 20:.+((prompt.+disp)|(slice.+state.+chan)|(ment ac)|(system.+state.+chan)|(\|lc)|(penalty)|(\[timeout))" /e /r /s</v>
      </c>
    </row>
    <row r="91" spans="1:32" s="1" customFormat="1" x14ac:dyDescent="0.25">
      <c r="A91" s="62" t="s">
        <v>436</v>
      </c>
      <c r="B91" s="34">
        <v>4031</v>
      </c>
      <c r="C91" s="34" t="s">
        <v>60</v>
      </c>
      <c r="D91" s="34" t="s">
        <v>128</v>
      </c>
      <c r="E91" s="20">
        <v>42557.558692129627</v>
      </c>
      <c r="F91" s="20">
        <v>42557.559895833336</v>
      </c>
      <c r="G91" s="23">
        <v>1</v>
      </c>
      <c r="H91" s="20" t="s">
        <v>301</v>
      </c>
      <c r="I91" s="20">
        <v>42557.587164351855</v>
      </c>
      <c r="J91" s="34">
        <v>0</v>
      </c>
      <c r="K91" s="34" t="str">
        <f t="shared" si="12"/>
        <v>4031/4032</v>
      </c>
      <c r="L91" s="34" t="str">
        <f>VLOOKUP(A91,'Trips&amp;Operators'!$C$1:$E$10000,3,FALSE)</f>
        <v>COOLAHAN</v>
      </c>
      <c r="M91" s="6">
        <f t="shared" si="13"/>
        <v>2.7268518519122154E-2</v>
      </c>
      <c r="N91" s="7">
        <f t="shared" si="14"/>
        <v>39.266666667535901</v>
      </c>
      <c r="O91" s="7"/>
      <c r="P91" s="7"/>
      <c r="Q91" s="35"/>
      <c r="R91" s="35"/>
      <c r="S91" s="54">
        <f t="shared" si="15"/>
        <v>1</v>
      </c>
      <c r="T91" s="108" t="str">
        <f t="shared" si="16"/>
        <v>NorthBound</v>
      </c>
      <c r="U91" s="108">
        <f>COUNTIFS(Variables!$M$2:$M$19,IF(T91="NorthBound","&gt;=","&lt;=")&amp;Y91,Variables!$M$2:$M$19,IF(T91="NorthBound","&lt;=","&gt;=")&amp;Z91)</f>
        <v>12</v>
      </c>
      <c r="V91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13:23:31-0600',mode:absolute,to:'2016-07-06 14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1" s="116" t="str">
        <f t="shared" si="18"/>
        <v>N</v>
      </c>
      <c r="X91" s="116">
        <f t="shared" si="19"/>
        <v>1</v>
      </c>
      <c r="Y91" s="116">
        <f t="shared" si="20"/>
        <v>4.6600000000000003E-2</v>
      </c>
      <c r="Z91" s="116">
        <f t="shared" si="21"/>
        <v>23.329699999999999</v>
      </c>
      <c r="AA91" s="116">
        <f t="shared" si="22"/>
        <v>23.283099999999997</v>
      </c>
      <c r="AB91" s="117" t="e">
        <f>VLOOKUP(A91,Enforcements!$C$7:$J$30,8,0)</f>
        <v>#N/A</v>
      </c>
      <c r="AC91" s="117" t="e">
        <f>VLOOKUP(A91,Enforcements!$C$7:$E$30,3,0)</f>
        <v>#N/A</v>
      </c>
      <c r="AD91" s="118" t="str">
        <f t="shared" si="23"/>
        <v>0179-06</v>
      </c>
      <c r="AE91" s="118" t="str">
        <f>"aws s3 cp "&amp;s3_bucket&amp;"/RTDC"&amp;B91&amp;"/"&amp;TEXT(F91,"YYYY-MM-DD")&amp;"/ "&amp;search_path&amp;"\RTDC"&amp;B91&amp;"\"&amp;TEXT(F91,"YYYY-MM-DD")&amp;" --recursive &amp; """&amp;walkandungz&amp;""" "&amp;search_path&amp;"\RTDC"&amp;B91&amp;"\"&amp;TEXT(F91,"YYYY-MM-DD")
&amp;" &amp; "&amp;"aws s3 cp "&amp;s3_bucket&amp;"/RTDC"&amp;B91&amp;"/"&amp;TEXT(F91+1,"YYYY-MM-DD")&amp;"/ "&amp;search_path&amp;"\RTDC"&amp;B91&amp;"\"&amp;TEXT(F91+1,"YYYY-MM-DD")&amp;" --recursive &amp; """&amp;walkandungz&amp;""" "&amp;search_path&amp;"\RTDC"&amp;B91&amp;"\"&amp;TEXT(F91+1,"YYYY-MM-DD")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91" s="118" t="str">
        <f>astrogrep_path&amp;" /spath="&amp;search_path&amp;" /stypes=""*"&amp;B91&amp;"*"&amp;TEXT(F91-utc_offset/24,"YYYYMMDD")&amp;"*"" /stext="" "&amp;TEXT(F91-utc_offset/24,"HH")&amp;search_regexp&amp;""" /e /r /s"</f>
        <v>"C:\Program Files (x86)\AstroGrep\AstroGrep.exe" /spath="C:\Users\stu\Documents\Analysis\2016-02-23 RTDC Observations" /stypes="*4031*20160706*" /stext=" 19:.+((prompt.+disp)|(slice.+state.+chan)|(ment ac)|(system.+state.+chan)|(\|lc)|(penalty)|(\[timeout))" /e /r /s</v>
      </c>
    </row>
    <row r="92" spans="1:32" s="1" customFormat="1" x14ac:dyDescent="0.25">
      <c r="A92" s="62" t="s">
        <v>522</v>
      </c>
      <c r="B92" s="34">
        <v>4032</v>
      </c>
      <c r="C92" s="34" t="s">
        <v>60</v>
      </c>
      <c r="D92" s="34" t="s">
        <v>292</v>
      </c>
      <c r="E92" s="20">
        <v>42557.597997685189</v>
      </c>
      <c r="F92" s="20">
        <v>42557.599502314813</v>
      </c>
      <c r="G92" s="20">
        <v>2</v>
      </c>
      <c r="H92" s="20" t="s">
        <v>62</v>
      </c>
      <c r="I92" s="20">
        <v>42557.627974537034</v>
      </c>
      <c r="J92" s="34">
        <v>0</v>
      </c>
      <c r="K92" s="34" t="str">
        <f t="shared" si="12"/>
        <v>4031/4032</v>
      </c>
      <c r="L92" s="34" t="str">
        <f>VLOOKUP(A92,'Trips&amp;Operators'!$C$1:$E$10000,3,FALSE)</f>
        <v>COOLAHAN</v>
      </c>
      <c r="M92" s="6">
        <f t="shared" si="13"/>
        <v>2.8472222220443655E-2</v>
      </c>
      <c r="N92" s="7">
        <f t="shared" si="14"/>
        <v>40.999999997438863</v>
      </c>
      <c r="O92" s="7"/>
      <c r="P92" s="7"/>
      <c r="Q92" s="35"/>
      <c r="R92" s="35"/>
      <c r="S92" s="54">
        <f t="shared" si="15"/>
        <v>1</v>
      </c>
      <c r="T92" s="108" t="str">
        <f t="shared" si="16"/>
        <v>Southbound</v>
      </c>
      <c r="U92" s="108">
        <f>COUNTIFS(Variables!$M$2:$M$19,IF(T92="NorthBound","&gt;=","&lt;=")&amp;Y92,Variables!$M$2:$M$19,IF(T92="NorthBound","&lt;=","&gt;=")&amp;Z92)</f>
        <v>12</v>
      </c>
      <c r="V92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14:20:07-0600',mode:absolute,to:'2016-07-06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2" s="116" t="str">
        <f t="shared" si="18"/>
        <v>N</v>
      </c>
      <c r="X92" s="116">
        <f t="shared" si="19"/>
        <v>1</v>
      </c>
      <c r="Y92" s="116">
        <f t="shared" si="20"/>
        <v>23.297599999999999</v>
      </c>
      <c r="Z92" s="116">
        <f t="shared" si="21"/>
        <v>1.52E-2</v>
      </c>
      <c r="AA92" s="116">
        <f t="shared" si="22"/>
        <v>23.282399999999999</v>
      </c>
      <c r="AB92" s="117" t="e">
        <f>VLOOKUP(A92,Enforcements!$C$7:$J$30,8,0)</f>
        <v>#N/A</v>
      </c>
      <c r="AC92" s="117" t="e">
        <f>VLOOKUP(A92,Enforcements!$C$7:$E$30,3,0)</f>
        <v>#N/A</v>
      </c>
      <c r="AD92" s="118" t="str">
        <f t="shared" si="23"/>
        <v>0180-06</v>
      </c>
      <c r="AE92" s="118" t="str">
        <f>"aws s3 cp "&amp;s3_bucket&amp;"/RTDC"&amp;B92&amp;"/"&amp;TEXT(F92,"YYYY-MM-DD")&amp;"/ "&amp;search_path&amp;"\RTDC"&amp;B92&amp;"\"&amp;TEXT(F92,"YYYY-MM-DD")&amp;" --recursive &amp; """&amp;walkandungz&amp;""" "&amp;search_path&amp;"\RTDC"&amp;B92&amp;"\"&amp;TEXT(F92,"YYYY-MM-DD")
&amp;" &amp; "&amp;"aws s3 cp "&amp;s3_bucket&amp;"/RTDC"&amp;B92&amp;"/"&amp;TEXT(F92+1,"YYYY-MM-DD")&amp;"/ "&amp;search_path&amp;"\RTDC"&amp;B92&amp;"\"&amp;TEXT(F92+1,"YYYY-MM-DD")&amp;" --recursive &amp; """&amp;walkandungz&amp;""" "&amp;search_path&amp;"\RTDC"&amp;B92&amp;"\"&amp;TEXT(F92+1,"YYYY-MM-DD")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92" s="118" t="str">
        <f>astrogrep_path&amp;" /spath="&amp;search_path&amp;" /stypes=""*"&amp;B92&amp;"*"&amp;TEXT(F92-utc_offset/24,"YYYYMMDD")&amp;"*"" /stext="" "&amp;TEXT(F92-utc_offset/24,"HH")&amp;search_regexp&amp;""" /e /r /s"</f>
        <v>"C:\Program Files (x86)\AstroGrep\AstroGrep.exe" /spath="C:\Users\stu\Documents\Analysis\2016-02-23 RTDC Observations" /stypes="*4032*20160706*" /stext=" 20:.+((prompt.+disp)|(slice.+state.+chan)|(ment ac)|(system.+state.+chan)|(\|lc)|(penalty)|(\[timeout))" /e /r /s</v>
      </c>
    </row>
    <row r="93" spans="1:32" s="1" customFormat="1" x14ac:dyDescent="0.25">
      <c r="A93" s="34" t="s">
        <v>464</v>
      </c>
      <c r="B93" s="34">
        <v>4011</v>
      </c>
      <c r="C93" s="34" t="s">
        <v>60</v>
      </c>
      <c r="D93" s="34" t="s">
        <v>140</v>
      </c>
      <c r="E93" s="20">
        <v>42557.566076388888</v>
      </c>
      <c r="F93" s="20">
        <v>42557.567499999997</v>
      </c>
      <c r="G93" s="20">
        <v>2</v>
      </c>
      <c r="H93" s="20" t="s">
        <v>201</v>
      </c>
      <c r="I93" s="20">
        <v>42557.597453703704</v>
      </c>
      <c r="J93" s="34">
        <v>0</v>
      </c>
      <c r="K93" s="34" t="str">
        <f t="shared" si="12"/>
        <v>4011/4012</v>
      </c>
      <c r="L93" s="34" t="str">
        <f>VLOOKUP(A93,'Trips&amp;Operators'!$C$1:$E$10000,3,FALSE)</f>
        <v>SPECTOR</v>
      </c>
      <c r="M93" s="6">
        <f t="shared" si="13"/>
        <v>2.9953703706269152E-2</v>
      </c>
      <c r="N93" s="7">
        <f t="shared" si="14"/>
        <v>43.13333333702758</v>
      </c>
      <c r="O93" s="7"/>
      <c r="P93" s="7"/>
      <c r="Q93" s="35"/>
      <c r="R93" s="35"/>
      <c r="S93" s="54">
        <f t="shared" si="15"/>
        <v>1</v>
      </c>
      <c r="T93" s="108" t="str">
        <f t="shared" si="16"/>
        <v>NorthBound</v>
      </c>
      <c r="U93" s="108">
        <f>COUNTIFS(Variables!$M$2:$M$19,IF(T93="NorthBound","&gt;=","&lt;=")&amp;Y93,Variables!$M$2:$M$19,IF(T93="NorthBound","&lt;=","&gt;=")&amp;Z93)</f>
        <v>12</v>
      </c>
      <c r="V93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13:34:09-0600',mode:absolute,to:'2016-07-06 14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3" s="116" t="str">
        <f t="shared" si="18"/>
        <v>N</v>
      </c>
      <c r="X93" s="116">
        <f t="shared" si="19"/>
        <v>1</v>
      </c>
      <c r="Y93" s="116">
        <f t="shared" si="20"/>
        <v>4.4600000000000001E-2</v>
      </c>
      <c r="Z93" s="116">
        <f t="shared" si="21"/>
        <v>23.328900000000001</v>
      </c>
      <c r="AA93" s="116">
        <f t="shared" si="22"/>
        <v>23.284300000000002</v>
      </c>
      <c r="AB93" s="117" t="e">
        <f>VLOOKUP(A93,Enforcements!$C$7:$J$30,8,0)</f>
        <v>#N/A</v>
      </c>
      <c r="AC93" s="117" t="e">
        <f>VLOOKUP(A93,Enforcements!$C$7:$E$30,3,0)</f>
        <v>#N/A</v>
      </c>
      <c r="AD93" s="118" t="str">
        <f t="shared" si="23"/>
        <v>0181-06</v>
      </c>
      <c r="AE93" s="118" t="str">
        <f>"aws s3 cp "&amp;s3_bucket&amp;"/RTDC"&amp;B93&amp;"/"&amp;TEXT(F93,"YYYY-MM-DD")&amp;"/ "&amp;search_path&amp;"\RTDC"&amp;B93&amp;"\"&amp;TEXT(F93,"YYYY-MM-DD")&amp;" --recursive &amp; """&amp;walkandungz&amp;""" "&amp;search_path&amp;"\RTDC"&amp;B93&amp;"\"&amp;TEXT(F93,"YYYY-MM-DD")
&amp;" &amp; "&amp;"aws s3 cp "&amp;s3_bucket&amp;"/RTDC"&amp;B93&amp;"/"&amp;TEXT(F93+1,"YYYY-MM-DD")&amp;"/ "&amp;search_path&amp;"\RTDC"&amp;B93&amp;"\"&amp;TEXT(F93+1,"YYYY-MM-DD")&amp;" --recursive &amp; """&amp;walkandungz&amp;""" "&amp;search_path&amp;"\RTDC"&amp;B93&amp;"\"&amp;TEXT(F93+1,"YYYY-MM-DD")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93" s="118" t="str">
        <f>astrogrep_path&amp;" /spath="&amp;search_path&amp;" /stypes=""*"&amp;B93&amp;"*"&amp;TEXT(F93-utc_offset/24,"YYYYMMDD")&amp;"*"" /stext="" "&amp;TEXT(F93-utc_offset/24,"HH")&amp;search_regexp&amp;""" /e /r /s"</f>
        <v>"C:\Program Files (x86)\AstroGrep\AstroGrep.exe" /spath="C:\Users\stu\Documents\Analysis\2016-02-23 RTDC Observations" /stypes="*4011*20160706*" /stext=" 19:.+((prompt.+disp)|(slice.+state.+chan)|(ment ac)|(system.+state.+chan)|(\|lc)|(penalty)|(\[timeout))" /e /r /s</v>
      </c>
    </row>
    <row r="94" spans="1:32" s="1" customFormat="1" x14ac:dyDescent="0.25">
      <c r="A94" s="34" t="s">
        <v>531</v>
      </c>
      <c r="B94" s="64">
        <v>4012</v>
      </c>
      <c r="C94" s="64" t="s">
        <v>60</v>
      </c>
      <c r="D94" s="64" t="s">
        <v>222</v>
      </c>
      <c r="E94" s="70">
        <v>42557.604907407411</v>
      </c>
      <c r="F94" s="70">
        <v>42557.60601851852</v>
      </c>
      <c r="G94" s="71">
        <v>1</v>
      </c>
      <c r="H94" s="70" t="s">
        <v>62</v>
      </c>
      <c r="I94" s="70">
        <v>42557.637465277781</v>
      </c>
      <c r="J94" s="64">
        <v>0</v>
      </c>
      <c r="K94" s="34" t="str">
        <f t="shared" si="12"/>
        <v>4011/4012</v>
      </c>
      <c r="L94" s="34" t="str">
        <f>VLOOKUP(A94,'Trips&amp;Operators'!$C$1:$E$10000,3,FALSE)</f>
        <v>SPECTOR</v>
      </c>
      <c r="M94" s="6">
        <f t="shared" si="13"/>
        <v>3.1446759261598345E-2</v>
      </c>
      <c r="N94" s="7">
        <f t="shared" si="14"/>
        <v>45.283333336701617</v>
      </c>
      <c r="O94" s="7"/>
      <c r="P94" s="7"/>
      <c r="Q94" s="35"/>
      <c r="R94" s="35"/>
      <c r="S94" s="54">
        <f t="shared" si="15"/>
        <v>1</v>
      </c>
      <c r="T94" s="108" t="str">
        <f t="shared" si="16"/>
        <v>Southbound</v>
      </c>
      <c r="U94" s="108">
        <f>COUNTIFS(Variables!$M$2:$M$19,IF(T94="NorthBound","&gt;=","&lt;=")&amp;Y94,Variables!$M$2:$M$19,IF(T94="NorthBound","&lt;=","&gt;=")&amp;Z94)</f>
        <v>12</v>
      </c>
      <c r="V94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14:30:04-0600',mode:absolute,to:'2016-07-06 15:18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4" s="116" t="str">
        <f t="shared" si="18"/>
        <v>N</v>
      </c>
      <c r="X94" s="116">
        <f t="shared" si="19"/>
        <v>1</v>
      </c>
      <c r="Y94" s="116">
        <f t="shared" si="20"/>
        <v>23.298400000000001</v>
      </c>
      <c r="Z94" s="116">
        <f t="shared" si="21"/>
        <v>1.52E-2</v>
      </c>
      <c r="AA94" s="116">
        <f t="shared" si="22"/>
        <v>23.283200000000001</v>
      </c>
      <c r="AB94" s="117" t="e">
        <f>VLOOKUP(A94,Enforcements!$C$7:$J$30,8,0)</f>
        <v>#N/A</v>
      </c>
      <c r="AC94" s="117" t="e">
        <f>VLOOKUP(A94,Enforcements!$C$7:$E$30,3,0)</f>
        <v>#N/A</v>
      </c>
      <c r="AD94" s="118" t="str">
        <f t="shared" si="23"/>
        <v>0182-06</v>
      </c>
      <c r="AE94" s="118" t="str">
        <f>"aws s3 cp "&amp;s3_bucket&amp;"/RTDC"&amp;B94&amp;"/"&amp;TEXT(F94,"YYYY-MM-DD")&amp;"/ "&amp;search_path&amp;"\RTDC"&amp;B94&amp;"\"&amp;TEXT(F94,"YYYY-MM-DD")&amp;" --recursive &amp; """&amp;walkandungz&amp;""" "&amp;search_path&amp;"\RTDC"&amp;B94&amp;"\"&amp;TEXT(F94,"YYYY-MM-DD")
&amp;" &amp; "&amp;"aws s3 cp "&amp;s3_bucket&amp;"/RTDC"&amp;B94&amp;"/"&amp;TEXT(F94+1,"YYYY-MM-DD")&amp;"/ "&amp;search_path&amp;"\RTDC"&amp;B94&amp;"\"&amp;TEXT(F94+1,"YYYY-MM-DD")&amp;" --recursive &amp; """&amp;walkandungz&amp;""" "&amp;search_path&amp;"\RTDC"&amp;B94&amp;"\"&amp;TEXT(F94+1,"YYYY-MM-DD")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94" s="118" t="str">
        <f>astrogrep_path&amp;" /spath="&amp;search_path&amp;" /stypes=""*"&amp;B94&amp;"*"&amp;TEXT(F94-utc_offset/24,"YYYYMMDD")&amp;"*"" /stext="" "&amp;TEXT(F94-utc_offset/24,"HH")&amp;search_regexp&amp;""" /e /r /s"</f>
        <v>"C:\Program Files (x86)\AstroGrep\AstroGrep.exe" /spath="C:\Users\stu\Documents\Analysis\2016-02-23 RTDC Observations" /stypes="*4012*20160706*" /stext=" 20:.+((prompt.+disp)|(slice.+state.+chan)|(ment ac)|(system.+state.+chan)|(\|lc)|(penalty)|(\[timeout))" /e /r /s</v>
      </c>
    </row>
    <row r="95" spans="1:32" s="1" customFormat="1" x14ac:dyDescent="0.25">
      <c r="A95" s="34" t="s">
        <v>413</v>
      </c>
      <c r="B95" s="64">
        <v>4044</v>
      </c>
      <c r="C95" s="64" t="s">
        <v>60</v>
      </c>
      <c r="D95" s="64" t="s">
        <v>289</v>
      </c>
      <c r="E95" s="70">
        <v>42557.579641203702</v>
      </c>
      <c r="F95" s="70">
        <v>42557.580729166664</v>
      </c>
      <c r="G95" s="71">
        <v>1</v>
      </c>
      <c r="H95" s="70" t="s">
        <v>185</v>
      </c>
      <c r="I95" s="70">
        <v>42557.609155092592</v>
      </c>
      <c r="J95" s="64">
        <v>0</v>
      </c>
      <c r="K95" s="34" t="str">
        <f t="shared" si="12"/>
        <v>4043/4044</v>
      </c>
      <c r="L95" s="34" t="str">
        <f>VLOOKUP(A95,'Trips&amp;Operators'!$C$1:$E$10000,3,FALSE)</f>
        <v>STEWART</v>
      </c>
      <c r="M95" s="6">
        <f t="shared" si="13"/>
        <v>2.842592592787696E-2</v>
      </c>
      <c r="N95" s="7">
        <f t="shared" si="14"/>
        <v>40.933333336142823</v>
      </c>
      <c r="O95" s="7"/>
      <c r="P95" s="7"/>
      <c r="Q95" s="35"/>
      <c r="R95" s="35"/>
      <c r="S95" s="54">
        <f t="shared" si="15"/>
        <v>1</v>
      </c>
      <c r="T95" s="108" t="str">
        <f t="shared" si="16"/>
        <v>NorthBound</v>
      </c>
      <c r="U95" s="108">
        <f>COUNTIFS(Variables!$M$2:$M$19,IF(T95="NorthBound","&gt;=","&lt;=")&amp;Y95,Variables!$M$2:$M$19,IF(T95="NorthBound","&lt;=","&gt;=")&amp;Z95)</f>
        <v>12</v>
      </c>
      <c r="V95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13:53:41-0600',mode:absolute,to:'2016-07-06 14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116" t="str">
        <f t="shared" si="18"/>
        <v>N</v>
      </c>
      <c r="X95" s="116">
        <f t="shared" si="19"/>
        <v>1</v>
      </c>
      <c r="Y95" s="116">
        <f t="shared" si="20"/>
        <v>4.3700000000000003E-2</v>
      </c>
      <c r="Z95" s="116">
        <f t="shared" si="21"/>
        <v>23.33</v>
      </c>
      <c r="AA95" s="116">
        <f t="shared" si="22"/>
        <v>23.286299999999997</v>
      </c>
      <c r="AB95" s="117" t="e">
        <f>VLOOKUP(A95,Enforcements!$C$7:$J$30,8,0)</f>
        <v>#N/A</v>
      </c>
      <c r="AC95" s="117" t="e">
        <f>VLOOKUP(A95,Enforcements!$C$7:$E$30,3,0)</f>
        <v>#N/A</v>
      </c>
      <c r="AD95" s="118" t="str">
        <f t="shared" si="23"/>
        <v>0183-06</v>
      </c>
      <c r="AE95" s="118" t="str">
        <f>"aws s3 cp "&amp;s3_bucket&amp;"/RTDC"&amp;B95&amp;"/"&amp;TEXT(F95,"YYYY-MM-DD")&amp;"/ "&amp;search_path&amp;"\RTDC"&amp;B95&amp;"\"&amp;TEXT(F95,"YYYY-MM-DD")&amp;" --recursive &amp; """&amp;walkandungz&amp;""" "&amp;search_path&amp;"\RTDC"&amp;B95&amp;"\"&amp;TEXT(F95,"YYYY-MM-DD")
&amp;" &amp; "&amp;"aws s3 cp "&amp;s3_bucket&amp;"/RTDC"&amp;B95&amp;"/"&amp;TEXT(F95+1,"YYYY-MM-DD")&amp;"/ "&amp;search_path&amp;"\RTDC"&amp;B95&amp;"\"&amp;TEXT(F95+1,"YYYY-MM-DD")&amp;" --recursive &amp; """&amp;walkandungz&amp;""" "&amp;search_path&amp;"\RTDC"&amp;B95&amp;"\"&amp;TEXT(F95+1,"YYYY-MM-DD")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95" s="118" t="str">
        <f>astrogrep_path&amp;" /spath="&amp;search_path&amp;" /stypes=""*"&amp;B95&amp;"*"&amp;TEXT(F95-utc_offset/24,"YYYYMMDD")&amp;"*"" /stext="" "&amp;TEXT(F95-utc_offset/24,"HH")&amp;search_regexp&amp;""" /e /r /s"</f>
        <v>"C:\Program Files (x86)\AstroGrep\AstroGrep.exe" /spath="C:\Users\stu\Documents\Analysis\2016-02-23 RTDC Observations" /stypes="*4044*20160706*" /stext=" 19:.+((prompt.+disp)|(slice.+state.+chan)|(ment ac)|(system.+state.+chan)|(\|lc)|(penalty)|(\[timeout))" /e /r /s</v>
      </c>
    </row>
    <row r="96" spans="1:32" s="1" customFormat="1" x14ac:dyDescent="0.25">
      <c r="A96" s="34" t="s">
        <v>365</v>
      </c>
      <c r="B96" s="64">
        <v>4043</v>
      </c>
      <c r="C96" s="64" t="s">
        <v>60</v>
      </c>
      <c r="D96" s="64" t="s">
        <v>173</v>
      </c>
      <c r="E96" s="70">
        <v>42557.61891203704</v>
      </c>
      <c r="F96" s="70">
        <v>42557.619942129626</v>
      </c>
      <c r="G96" s="71">
        <v>1</v>
      </c>
      <c r="H96" s="70" t="s">
        <v>604</v>
      </c>
      <c r="I96" s="70">
        <v>42557.649270833332</v>
      </c>
      <c r="J96" s="64">
        <v>1</v>
      </c>
      <c r="K96" s="34" t="str">
        <f t="shared" si="12"/>
        <v>4043/4044</v>
      </c>
      <c r="L96" s="34" t="str">
        <f>VLOOKUP(A96,'Trips&amp;Operators'!$C$1:$E$10000,3,FALSE)</f>
        <v>STEWART</v>
      </c>
      <c r="M96" s="6">
        <f t="shared" si="13"/>
        <v>2.9328703705687076E-2</v>
      </c>
      <c r="N96" s="7">
        <f t="shared" si="14"/>
        <v>42.233333336189389</v>
      </c>
      <c r="O96" s="7"/>
      <c r="P96" s="7"/>
      <c r="Q96" s="35"/>
      <c r="R96" s="35"/>
      <c r="S96" s="54">
        <f t="shared" si="15"/>
        <v>1</v>
      </c>
      <c r="T96" s="108" t="str">
        <f t="shared" si="16"/>
        <v>Southbound</v>
      </c>
      <c r="U96" s="108">
        <f>COUNTIFS(Variables!$M$2:$M$19,IF(T96="NorthBound","&gt;=","&lt;=")&amp;Y96,Variables!$M$2:$M$19,IF(T96="NorthBound","&lt;=","&gt;=")&amp;Z96)</f>
        <v>12</v>
      </c>
      <c r="V96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14:50:14-0600',mode:absolute,to:'2016-07-06 15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116" t="str">
        <f t="shared" si="18"/>
        <v>N</v>
      </c>
      <c r="X96" s="116">
        <f t="shared" si="19"/>
        <v>1</v>
      </c>
      <c r="Y96" s="116">
        <f t="shared" si="20"/>
        <v>23.2987</v>
      </c>
      <c r="Z96" s="116">
        <f t="shared" si="21"/>
        <v>1.6299999999999999E-2</v>
      </c>
      <c r="AA96" s="116">
        <f t="shared" si="22"/>
        <v>23.282399999999999</v>
      </c>
      <c r="AB96" s="117" t="e">
        <f>VLOOKUP(A96,Enforcements!$C$7:$J$30,8,0)</f>
        <v>#N/A</v>
      </c>
      <c r="AC96" s="117" t="e">
        <f>VLOOKUP(A96,Enforcements!$C$7:$E$30,3,0)</f>
        <v>#N/A</v>
      </c>
      <c r="AD96" s="118" t="str">
        <f t="shared" si="23"/>
        <v>0184-06</v>
      </c>
      <c r="AE96" s="118" t="str">
        <f>"aws s3 cp "&amp;s3_bucket&amp;"/RTDC"&amp;B96&amp;"/"&amp;TEXT(F96,"YYYY-MM-DD")&amp;"/ "&amp;search_path&amp;"\RTDC"&amp;B96&amp;"\"&amp;TEXT(F96,"YYYY-MM-DD")&amp;" --recursive &amp; """&amp;walkandungz&amp;""" "&amp;search_path&amp;"\RTDC"&amp;B96&amp;"\"&amp;TEXT(F96,"YYYY-MM-DD")
&amp;" &amp; "&amp;"aws s3 cp "&amp;s3_bucket&amp;"/RTDC"&amp;B96&amp;"/"&amp;TEXT(F96+1,"YYYY-MM-DD")&amp;"/ "&amp;search_path&amp;"\RTDC"&amp;B96&amp;"\"&amp;TEXT(F96+1,"YYYY-MM-DD")&amp;" --recursive &amp; """&amp;walkandungz&amp;""" "&amp;search_path&amp;"\RTDC"&amp;B96&amp;"\"&amp;TEXT(F96+1,"YYYY-MM-DD")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96" s="118" t="str">
        <f>astrogrep_path&amp;" /spath="&amp;search_path&amp;" /stypes=""*"&amp;B96&amp;"*"&amp;TEXT(F96-utc_offset/24,"YYYYMMDD")&amp;"*"" /stext="" "&amp;TEXT(F96-utc_offset/24,"HH")&amp;search_regexp&amp;""" /e /r /s"</f>
        <v>"C:\Program Files (x86)\AstroGrep\AstroGrep.exe" /spath="C:\Users\stu\Documents\Analysis\2016-02-23 RTDC Observations" /stypes="*4043*20160706*" /stext=" 20:.+((prompt.+disp)|(slice.+state.+chan)|(ment ac)|(system.+state.+chan)|(\|lc)|(penalty)|(\[timeout))" /e /r /s</v>
      </c>
    </row>
    <row r="97" spans="1:32" s="1" customFormat="1" x14ac:dyDescent="0.25">
      <c r="A97" s="34" t="s">
        <v>359</v>
      </c>
      <c r="B97" s="64">
        <v>4018</v>
      </c>
      <c r="C97" s="64" t="s">
        <v>60</v>
      </c>
      <c r="D97" s="64" t="s">
        <v>617</v>
      </c>
      <c r="E97" s="70">
        <v>42557.590567129628</v>
      </c>
      <c r="F97" s="70">
        <v>42557.591620370367</v>
      </c>
      <c r="G97" s="71">
        <v>1</v>
      </c>
      <c r="H97" s="70" t="s">
        <v>85</v>
      </c>
      <c r="I97" s="70">
        <v>42557.618460648147</v>
      </c>
      <c r="J97" s="64">
        <v>0</v>
      </c>
      <c r="K97" s="34" t="str">
        <f t="shared" si="12"/>
        <v>4017/4018</v>
      </c>
      <c r="L97" s="34" t="str">
        <f>VLOOKUP(A97,'Trips&amp;Operators'!$C$1:$E$10000,3,FALSE)</f>
        <v>BRANNON</v>
      </c>
      <c r="M97" s="6">
        <f t="shared" si="13"/>
        <v>2.6840277780138422E-2</v>
      </c>
      <c r="N97" s="7">
        <f t="shared" si="14"/>
        <v>38.650000003399327</v>
      </c>
      <c r="O97" s="7"/>
      <c r="P97" s="7"/>
      <c r="Q97" s="35"/>
      <c r="R97" s="35"/>
      <c r="S97" s="54">
        <f t="shared" si="15"/>
        <v>1</v>
      </c>
      <c r="T97" s="108" t="str">
        <f t="shared" si="16"/>
        <v>NorthBound</v>
      </c>
      <c r="U97" s="108">
        <f>COUNTIFS(Variables!$M$2:$M$19,IF(T97="NorthBound","&gt;=","&lt;=")&amp;Y97,Variables!$M$2:$M$19,IF(T97="NorthBound","&lt;=","&gt;=")&amp;Z97)</f>
        <v>12</v>
      </c>
      <c r="V97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14:09:25-0600',mode:absolute,to:'2016-07-06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116" t="str">
        <f t="shared" si="18"/>
        <v>N</v>
      </c>
      <c r="X97" s="116">
        <f t="shared" si="19"/>
        <v>1</v>
      </c>
      <c r="Y97" s="116">
        <f t="shared" si="20"/>
        <v>4.7100000000000003E-2</v>
      </c>
      <c r="Z97" s="116">
        <f t="shared" si="21"/>
        <v>23.329499999999999</v>
      </c>
      <c r="AA97" s="116">
        <f t="shared" si="22"/>
        <v>23.282399999999999</v>
      </c>
      <c r="AB97" s="117" t="e">
        <f>VLOOKUP(A97,Enforcements!$C$7:$J$30,8,0)</f>
        <v>#N/A</v>
      </c>
      <c r="AC97" s="117" t="e">
        <f>VLOOKUP(A97,Enforcements!$C$7:$E$30,3,0)</f>
        <v>#N/A</v>
      </c>
      <c r="AD97" s="118" t="str">
        <f t="shared" si="23"/>
        <v>0185-06</v>
      </c>
      <c r="AE97" s="118" t="str">
        <f>"aws s3 cp "&amp;s3_bucket&amp;"/RTDC"&amp;B97&amp;"/"&amp;TEXT(F97,"YYYY-MM-DD")&amp;"/ "&amp;search_path&amp;"\RTDC"&amp;B97&amp;"\"&amp;TEXT(F97,"YYYY-MM-DD")&amp;" --recursive &amp; """&amp;walkandungz&amp;""" "&amp;search_path&amp;"\RTDC"&amp;B97&amp;"\"&amp;TEXT(F97,"YYYY-MM-DD")
&amp;" &amp; "&amp;"aws s3 cp "&amp;s3_bucket&amp;"/RTDC"&amp;B97&amp;"/"&amp;TEXT(F97+1,"YYYY-MM-DD")&amp;"/ "&amp;search_path&amp;"\RTDC"&amp;B97&amp;"\"&amp;TEXT(F97+1,"YYYY-MM-DD")&amp;" --recursive &amp; """&amp;walkandungz&amp;""" "&amp;search_path&amp;"\RTDC"&amp;B97&amp;"\"&amp;TEXT(F97+1,"YYYY-MM-DD")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97" s="118" t="str">
        <f>astrogrep_path&amp;" /spath="&amp;search_path&amp;" /stypes=""*"&amp;B97&amp;"*"&amp;TEXT(F97-utc_offset/24,"YYYYMMDD")&amp;"*"" /stext="" "&amp;TEXT(F97-utc_offset/24,"HH")&amp;search_regexp&amp;""" /e /r /s"</f>
        <v>"C:\Program Files (x86)\AstroGrep\AstroGrep.exe" /spath="C:\Users\stu\Documents\Analysis\2016-02-23 RTDC Observations" /stypes="*4018*20160706*" /stext=" 20:.+((prompt.+disp)|(slice.+state.+chan)|(ment ac)|(system.+state.+chan)|(\|lc)|(penalty)|(\[timeout))" /e /r /s</v>
      </c>
    </row>
    <row r="98" spans="1:32" s="1" customFormat="1" x14ac:dyDescent="0.25">
      <c r="A98" s="34" t="s">
        <v>361</v>
      </c>
      <c r="B98" s="64">
        <v>4017</v>
      </c>
      <c r="C98" s="64" t="s">
        <v>60</v>
      </c>
      <c r="D98" s="64" t="s">
        <v>300</v>
      </c>
      <c r="E98" s="70">
        <v>42557.623148148145</v>
      </c>
      <c r="F98" s="70">
        <v>42557.624189814815</v>
      </c>
      <c r="G98" s="71">
        <v>1</v>
      </c>
      <c r="H98" s="70" t="s">
        <v>176</v>
      </c>
      <c r="I98" s="70">
        <v>42557.658587962964</v>
      </c>
      <c r="J98" s="64">
        <v>2</v>
      </c>
      <c r="K98" s="34" t="str">
        <f t="shared" si="12"/>
        <v>4017/4018</v>
      </c>
      <c r="L98" s="34" t="str">
        <f>VLOOKUP(A98,'Trips&amp;Operators'!$C$1:$E$10000,3,FALSE)</f>
        <v>BRANNON</v>
      </c>
      <c r="M98" s="6">
        <f t="shared" si="13"/>
        <v>3.439814814919373E-2</v>
      </c>
      <c r="N98" s="7">
        <f t="shared" si="14"/>
        <v>49.533333334838971</v>
      </c>
      <c r="O98" s="7"/>
      <c r="P98" s="7"/>
      <c r="Q98" s="35"/>
      <c r="R98" s="35"/>
      <c r="S98" s="54">
        <f t="shared" si="15"/>
        <v>1</v>
      </c>
      <c r="T98" s="108" t="str">
        <f t="shared" si="16"/>
        <v>Southbound</v>
      </c>
      <c r="U98" s="108">
        <f>COUNTIFS(Variables!$M$2:$M$19,IF(T98="NorthBound","&gt;=","&lt;=")&amp;Y98,Variables!$M$2:$M$19,IF(T98="NorthBound","&lt;=","&gt;=")&amp;Z98)</f>
        <v>12</v>
      </c>
      <c r="V98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116" t="str">
        <f t="shared" si="18"/>
        <v>N</v>
      </c>
      <c r="X98" s="116">
        <f t="shared" si="19"/>
        <v>1</v>
      </c>
      <c r="Y98" s="116">
        <f t="shared" si="20"/>
        <v>23.2971</v>
      </c>
      <c r="Z98" s="116">
        <f t="shared" si="21"/>
        <v>1.41E-2</v>
      </c>
      <c r="AA98" s="116">
        <f t="shared" si="22"/>
        <v>23.283000000000001</v>
      </c>
      <c r="AB98" s="117" t="e">
        <f>VLOOKUP(A98,Enforcements!$C$7:$J$30,8,0)</f>
        <v>#N/A</v>
      </c>
      <c r="AC98" s="117" t="e">
        <f>VLOOKUP(A98,Enforcements!$C$7:$E$30,3,0)</f>
        <v>#N/A</v>
      </c>
      <c r="AD98" s="118" t="str">
        <f t="shared" si="23"/>
        <v>0186-06</v>
      </c>
      <c r="AE98" s="118" t="str">
        <f>"aws s3 cp "&amp;s3_bucket&amp;"/RTDC"&amp;B98&amp;"/"&amp;TEXT(F98,"YYYY-MM-DD")&amp;"/ "&amp;search_path&amp;"\RTDC"&amp;B98&amp;"\"&amp;TEXT(F98,"YYYY-MM-DD")&amp;" --recursive &amp; """&amp;walkandungz&amp;""" "&amp;search_path&amp;"\RTDC"&amp;B98&amp;"\"&amp;TEXT(F98,"YYYY-MM-DD")
&amp;" &amp; "&amp;"aws s3 cp "&amp;s3_bucket&amp;"/RTDC"&amp;B98&amp;"/"&amp;TEXT(F98+1,"YYYY-MM-DD")&amp;"/ "&amp;search_path&amp;"\RTDC"&amp;B98&amp;"\"&amp;TEXT(F98+1,"YYYY-MM-DD")&amp;" --recursive &amp; """&amp;walkandungz&amp;""" "&amp;search_path&amp;"\RTDC"&amp;B98&amp;"\"&amp;TEXT(F98+1,"YYYY-MM-DD")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98" s="118" t="str">
        <f>astrogrep_path&amp;" /spath="&amp;search_path&amp;" /stypes=""*"&amp;B98&amp;"*"&amp;TEXT(F98-utc_offset/24,"YYYYMMDD")&amp;"*"" /stext="" "&amp;TEXT(F98-utc_offset/24,"HH")&amp;search_regexp&amp;""" /e /r /s"</f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</row>
    <row r="99" spans="1:32" s="1" customFormat="1" x14ac:dyDescent="0.25">
      <c r="A99" s="34" t="s">
        <v>399</v>
      </c>
      <c r="B99" s="64">
        <v>4014</v>
      </c>
      <c r="C99" s="64" t="s">
        <v>60</v>
      </c>
      <c r="D99" s="64" t="s">
        <v>618</v>
      </c>
      <c r="E99" s="70">
        <v>42557.602673611109</v>
      </c>
      <c r="F99" s="70">
        <v>42557.603796296295</v>
      </c>
      <c r="G99" s="71">
        <v>1</v>
      </c>
      <c r="H99" s="70" t="s">
        <v>291</v>
      </c>
      <c r="I99" s="70">
        <v>42557.630509259259</v>
      </c>
      <c r="J99" s="64">
        <v>0</v>
      </c>
      <c r="K99" s="34" t="str">
        <f t="shared" si="12"/>
        <v>4013/4014</v>
      </c>
      <c r="L99" s="34" t="str">
        <f>VLOOKUP(A99,'Trips&amp;Operators'!$C$1:$E$10000,3,FALSE)</f>
        <v>YOUNG</v>
      </c>
      <c r="M99" s="6">
        <f t="shared" si="13"/>
        <v>2.6712962964666076E-2</v>
      </c>
      <c r="N99" s="7">
        <f t="shared" si="14"/>
        <v>38.466666669119149</v>
      </c>
      <c r="O99" s="7"/>
      <c r="P99" s="7"/>
      <c r="Q99" s="35"/>
      <c r="R99" s="35"/>
      <c r="S99" s="54">
        <f t="shared" si="15"/>
        <v>1</v>
      </c>
      <c r="T99" s="108" t="str">
        <f t="shared" si="16"/>
        <v>NorthBound</v>
      </c>
      <c r="U99" s="108">
        <f>COUNTIFS(Variables!$M$2:$M$19,IF(T99="NorthBound","&gt;=","&lt;=")&amp;Y99,Variables!$M$2:$M$19,IF(T99="NorthBound","&lt;=","&gt;=")&amp;Z99)</f>
        <v>12</v>
      </c>
      <c r="V99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14:26:51-0600',mode:absolute,to:'2016-07-06 15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9" s="116" t="str">
        <f t="shared" si="18"/>
        <v>N</v>
      </c>
      <c r="X99" s="116">
        <f t="shared" si="19"/>
        <v>1</v>
      </c>
      <c r="Y99" s="116">
        <f t="shared" si="20"/>
        <v>4.9799999999999997E-2</v>
      </c>
      <c r="Z99" s="116">
        <f t="shared" si="21"/>
        <v>23.331499999999998</v>
      </c>
      <c r="AA99" s="116">
        <f t="shared" si="22"/>
        <v>23.281699999999997</v>
      </c>
      <c r="AB99" s="117" t="e">
        <f>VLOOKUP(A99,Enforcements!$C$7:$J$30,8,0)</f>
        <v>#N/A</v>
      </c>
      <c r="AC99" s="117" t="e">
        <f>VLOOKUP(A99,Enforcements!$C$7:$E$30,3,0)</f>
        <v>#N/A</v>
      </c>
      <c r="AD99" s="118" t="str">
        <f t="shared" si="23"/>
        <v>0187-06</v>
      </c>
      <c r="AE99" s="118" t="str">
        <f>"aws s3 cp "&amp;s3_bucket&amp;"/RTDC"&amp;B99&amp;"/"&amp;TEXT(F99,"YYYY-MM-DD")&amp;"/ "&amp;search_path&amp;"\RTDC"&amp;B99&amp;"\"&amp;TEXT(F99,"YYYY-MM-DD")&amp;" --recursive &amp; """&amp;walkandungz&amp;""" "&amp;search_path&amp;"\RTDC"&amp;B99&amp;"\"&amp;TEXT(F99,"YYYY-MM-DD")
&amp;" &amp; "&amp;"aws s3 cp "&amp;s3_bucket&amp;"/RTDC"&amp;B99&amp;"/"&amp;TEXT(F99+1,"YYYY-MM-DD")&amp;"/ "&amp;search_path&amp;"\RTDC"&amp;B99&amp;"\"&amp;TEXT(F99+1,"YYYY-MM-DD")&amp;" --recursive &amp; """&amp;walkandungz&amp;""" "&amp;search_path&amp;"\RTDC"&amp;B99&amp;"\"&amp;TEXT(F99+1,"YYYY-MM-DD")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99" s="118" t="str">
        <f>astrogrep_path&amp;" /spath="&amp;search_path&amp;" /stypes=""*"&amp;B99&amp;"*"&amp;TEXT(F99-utc_offset/24,"YYYYMMDD")&amp;"*"" /stext="" "&amp;TEXT(F99-utc_offset/24,"HH")&amp;search_regexp&amp;""" /e /r /s"</f>
        <v>"C:\Program Files (x86)\AstroGrep\AstroGrep.exe" /spath="C:\Users\stu\Documents\Analysis\2016-02-23 RTDC Observations" /stypes="*4014*20160706*" /stext=" 20:.+((prompt.+disp)|(slice.+state.+chan)|(ment ac)|(system.+state.+chan)|(\|lc)|(penalty)|(\[timeout))" /e /r /s</v>
      </c>
    </row>
    <row r="100" spans="1:32" s="1" customFormat="1" x14ac:dyDescent="0.25">
      <c r="A100" s="34" t="s">
        <v>363</v>
      </c>
      <c r="B100" s="64">
        <v>4013</v>
      </c>
      <c r="C100" s="64" t="s">
        <v>60</v>
      </c>
      <c r="D100" s="64" t="s">
        <v>599</v>
      </c>
      <c r="E100" s="70">
        <v>42557.639293981483</v>
      </c>
      <c r="F100" s="70">
        <v>42557.643206018518</v>
      </c>
      <c r="G100" s="71">
        <v>5</v>
      </c>
      <c r="H100" s="70" t="s">
        <v>619</v>
      </c>
      <c r="I100" s="70">
        <v>42557.671203703707</v>
      </c>
      <c r="J100" s="64">
        <v>1</v>
      </c>
      <c r="K100" s="34" t="str">
        <f t="shared" si="12"/>
        <v>4013/4014</v>
      </c>
      <c r="L100" s="34" t="str">
        <f>VLOOKUP(A100,'Trips&amp;Operators'!$C$1:$E$10000,3,FALSE)</f>
        <v>YOUNG</v>
      </c>
      <c r="M100" s="6">
        <f t="shared" si="13"/>
        <v>2.7997685188893229E-2</v>
      </c>
      <c r="N100" s="7">
        <f t="shared" si="14"/>
        <v>40.316666672006249</v>
      </c>
      <c r="O100" s="7"/>
      <c r="P100" s="7"/>
      <c r="Q100" s="35"/>
      <c r="R100" s="35"/>
      <c r="S100" s="54">
        <f t="shared" si="15"/>
        <v>1</v>
      </c>
      <c r="T100" s="108" t="str">
        <f t="shared" si="16"/>
        <v>Southbound</v>
      </c>
      <c r="U100" s="108">
        <f>COUNTIFS(Variables!$M$2:$M$19,IF(T100="NorthBound","&gt;=","&lt;=")&amp;Y100,Variables!$M$2:$M$19,IF(T100="NorthBound","&lt;=","&gt;=")&amp;Z100)</f>
        <v>12</v>
      </c>
      <c r="V100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15:19:35-0600',mode:absolute,to:'2016-07-06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0" s="116" t="str">
        <f t="shared" si="18"/>
        <v>N</v>
      </c>
      <c r="X100" s="116">
        <f t="shared" si="19"/>
        <v>1</v>
      </c>
      <c r="Y100" s="116">
        <f t="shared" si="20"/>
        <v>23.299600000000002</v>
      </c>
      <c r="Z100" s="116">
        <f t="shared" si="21"/>
        <v>2.01E-2</v>
      </c>
      <c r="AA100" s="116">
        <f t="shared" si="22"/>
        <v>23.279500000000002</v>
      </c>
      <c r="AB100" s="117" t="e">
        <f>VLOOKUP(A100,Enforcements!$C$7:$J$30,8,0)</f>
        <v>#N/A</v>
      </c>
      <c r="AC100" s="117" t="e">
        <f>VLOOKUP(A100,Enforcements!$C$7:$E$30,3,0)</f>
        <v>#N/A</v>
      </c>
      <c r="AD100" s="118" t="str">
        <f t="shared" si="23"/>
        <v>0188-06</v>
      </c>
      <c r="AE100" s="118" t="str">
        <f>"aws s3 cp "&amp;s3_bucket&amp;"/RTDC"&amp;B100&amp;"/"&amp;TEXT(F100,"YYYY-MM-DD")&amp;"/ "&amp;search_path&amp;"\RTDC"&amp;B100&amp;"\"&amp;TEXT(F100,"YYYY-MM-DD")&amp;" --recursive &amp; """&amp;walkandungz&amp;""" "&amp;search_path&amp;"\RTDC"&amp;B100&amp;"\"&amp;TEXT(F100,"YYYY-MM-DD")
&amp;" &amp; "&amp;"aws s3 cp "&amp;s3_bucket&amp;"/RTDC"&amp;B100&amp;"/"&amp;TEXT(F100+1,"YYYY-MM-DD")&amp;"/ "&amp;search_path&amp;"\RTDC"&amp;B100&amp;"\"&amp;TEXT(F100+1,"YYYY-MM-DD")&amp;" --recursive &amp; """&amp;walkandungz&amp;""" "&amp;search_path&amp;"\RTDC"&amp;B100&amp;"\"&amp;TEXT(F100+1,"YYYY-MM-DD")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00" s="118" t="str">
        <f>astrogrep_path&amp;" /spath="&amp;search_path&amp;" /stypes=""*"&amp;B100&amp;"*"&amp;TEXT(F100-utc_offset/24,"YYYYMMDD")&amp;"*"" /stext="" "&amp;TEXT(F100-utc_offset/24,"HH")&amp;search_regexp&amp;""" /e /r /s"</f>
        <v>"C:\Program Files (x86)\AstroGrep\AstroGrep.exe" /spath="C:\Users\stu\Documents\Analysis\2016-02-23 RTDC Observations" /stypes="*4013*20160706*" /stext=" 21:.+((prompt.+disp)|(slice.+state.+chan)|(ment ac)|(system.+state.+chan)|(\|lc)|(penalty)|(\[timeout))" /e /r /s</v>
      </c>
    </row>
    <row r="101" spans="1:32" s="1" customFormat="1" x14ac:dyDescent="0.25">
      <c r="A101" s="34" t="s">
        <v>362</v>
      </c>
      <c r="B101" s="64">
        <v>4025</v>
      </c>
      <c r="C101" s="64" t="s">
        <v>60</v>
      </c>
      <c r="D101" s="64" t="s">
        <v>122</v>
      </c>
      <c r="E101" s="70">
        <v>42557.61037037037</v>
      </c>
      <c r="F101" s="70">
        <v>42557.611944444441</v>
      </c>
      <c r="G101" s="71">
        <v>2</v>
      </c>
      <c r="H101" s="70" t="s">
        <v>305</v>
      </c>
      <c r="I101" s="70">
        <v>42557.63894675926</v>
      </c>
      <c r="J101" s="64">
        <v>1</v>
      </c>
      <c r="K101" s="34" t="str">
        <f t="shared" si="12"/>
        <v>4025/4026</v>
      </c>
      <c r="L101" s="34" t="str">
        <f>VLOOKUP(A101,'Trips&amp;Operators'!$C$1:$E$10000,3,FALSE)</f>
        <v>STAMBAUGH</v>
      </c>
      <c r="M101" s="6">
        <f t="shared" si="13"/>
        <v>2.7002314818673767E-2</v>
      </c>
      <c r="N101" s="7">
        <f t="shared" si="14"/>
        <v>38.883333338890225</v>
      </c>
      <c r="O101" s="7"/>
      <c r="P101" s="7"/>
      <c r="Q101" s="35"/>
      <c r="R101" s="35"/>
      <c r="S101" s="54">
        <f t="shared" si="15"/>
        <v>1</v>
      </c>
      <c r="T101" s="108" t="str">
        <f t="shared" si="16"/>
        <v>NorthBound</v>
      </c>
      <c r="U101" s="108">
        <f>COUNTIFS(Variables!$M$2:$M$19,IF(T101="NorthBound","&gt;=","&lt;=")&amp;Y101,Variables!$M$2:$M$19,IF(T101="NorthBound","&lt;=","&gt;=")&amp;Z101)</f>
        <v>12</v>
      </c>
      <c r="V101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14:37:56-0600',mode:absolute,to:'2016-07-06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1" s="116" t="str">
        <f t="shared" si="18"/>
        <v>N</v>
      </c>
      <c r="X101" s="116">
        <f t="shared" si="19"/>
        <v>1</v>
      </c>
      <c r="Y101" s="116">
        <f t="shared" si="20"/>
        <v>4.5100000000000001E-2</v>
      </c>
      <c r="Z101" s="116">
        <f t="shared" si="21"/>
        <v>23.331800000000001</v>
      </c>
      <c r="AA101" s="116">
        <f t="shared" si="22"/>
        <v>23.2867</v>
      </c>
      <c r="AB101" s="117" t="e">
        <f>VLOOKUP(A101,Enforcements!$C$7:$J$30,8,0)</f>
        <v>#N/A</v>
      </c>
      <c r="AC101" s="117" t="e">
        <f>VLOOKUP(A101,Enforcements!$C$7:$E$30,3,0)</f>
        <v>#N/A</v>
      </c>
      <c r="AD101" s="118" t="str">
        <f t="shared" si="23"/>
        <v>0189-06</v>
      </c>
      <c r="AE101" s="118" t="str">
        <f>"aws s3 cp "&amp;s3_bucket&amp;"/RTDC"&amp;B101&amp;"/"&amp;TEXT(F101,"YYYY-MM-DD")&amp;"/ "&amp;search_path&amp;"\RTDC"&amp;B101&amp;"\"&amp;TEXT(F101,"YYYY-MM-DD")&amp;" --recursive &amp; """&amp;walkandungz&amp;""" "&amp;search_path&amp;"\RTDC"&amp;B101&amp;"\"&amp;TEXT(F101,"YYYY-MM-DD")
&amp;" &amp; "&amp;"aws s3 cp "&amp;s3_bucket&amp;"/RTDC"&amp;B101&amp;"/"&amp;TEXT(F101+1,"YYYY-MM-DD")&amp;"/ "&amp;search_path&amp;"\RTDC"&amp;B101&amp;"\"&amp;TEXT(F101+1,"YYYY-MM-DD")&amp;" --recursive &amp; """&amp;walkandungz&amp;""" "&amp;search_path&amp;"\RTDC"&amp;B101&amp;"\"&amp;TEXT(F101+1,"YYYY-MM-DD")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01" s="118" t="str">
        <f>astrogrep_path&amp;" /spath="&amp;search_path&amp;" /stypes=""*"&amp;B101&amp;"*"&amp;TEXT(F101-utc_offset/24,"YYYYMMDD")&amp;"*"" /stext="" "&amp;TEXT(F101-utc_offset/24,"HH")&amp;search_regexp&amp;""" /e /r /s"</f>
        <v>"C:\Program Files (x86)\AstroGrep\AstroGrep.exe" /spath="C:\Users\stu\Documents\Analysis\2016-02-23 RTDC Observations" /stypes="*4025*20160706*" /stext=" 20:.+((prompt.+disp)|(slice.+state.+chan)|(ment ac)|(system.+state.+chan)|(\|lc)|(penalty)|(\[timeout))" /e /r /s</v>
      </c>
    </row>
    <row r="102" spans="1:32" s="1" customFormat="1" x14ac:dyDescent="0.25">
      <c r="A102" s="34" t="s">
        <v>452</v>
      </c>
      <c r="B102" s="64">
        <v>4026</v>
      </c>
      <c r="C102" s="64" t="s">
        <v>60</v>
      </c>
      <c r="D102" s="64" t="s">
        <v>602</v>
      </c>
      <c r="E102" s="70">
        <v>42557.650868055556</v>
      </c>
      <c r="F102" s="70">
        <v>42557.652453703704</v>
      </c>
      <c r="G102" s="71">
        <v>2</v>
      </c>
      <c r="H102" s="70" t="s">
        <v>620</v>
      </c>
      <c r="I102" s="70">
        <v>42557.678738425922</v>
      </c>
      <c r="J102" s="64">
        <v>0</v>
      </c>
      <c r="K102" s="34" t="str">
        <f t="shared" si="12"/>
        <v>4025/4026</v>
      </c>
      <c r="L102" s="34" t="str">
        <f>VLOOKUP(A102,'Trips&amp;Operators'!$C$1:$E$10000,3,FALSE)</f>
        <v>STAMBAUGH</v>
      </c>
      <c r="M102" s="6">
        <f t="shared" si="13"/>
        <v>2.6284722218406387E-2</v>
      </c>
      <c r="N102" s="7">
        <f t="shared" si="14"/>
        <v>37.849999994505197</v>
      </c>
      <c r="O102" s="7"/>
      <c r="P102" s="7"/>
      <c r="Q102" s="35"/>
      <c r="R102" s="35"/>
      <c r="S102" s="54">
        <f t="shared" si="15"/>
        <v>1</v>
      </c>
      <c r="T102" s="108" t="str">
        <f t="shared" si="16"/>
        <v>Southbound</v>
      </c>
      <c r="U102" s="108">
        <f>COUNTIFS(Variables!$M$2:$M$19,IF(T102="NorthBound","&gt;=","&lt;=")&amp;Y102,Variables!$M$2:$M$19,IF(T102="NorthBound","&lt;=","&gt;=")&amp;Z102)</f>
        <v>12</v>
      </c>
      <c r="V102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15:36:15-0600',mode:absolute,to:'2016-07-06 16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2" s="116" t="str">
        <f t="shared" si="18"/>
        <v>N</v>
      </c>
      <c r="X102" s="116">
        <f t="shared" si="19"/>
        <v>1</v>
      </c>
      <c r="Y102" s="116">
        <f t="shared" si="20"/>
        <v>23.2986</v>
      </c>
      <c r="Z102" s="116">
        <f t="shared" si="21"/>
        <v>1.34E-2</v>
      </c>
      <c r="AA102" s="116">
        <f t="shared" si="22"/>
        <v>23.2852</v>
      </c>
      <c r="AB102" s="117" t="e">
        <f>VLOOKUP(A102,Enforcements!$C$7:$J$30,8,0)</f>
        <v>#N/A</v>
      </c>
      <c r="AC102" s="117" t="e">
        <f>VLOOKUP(A102,Enforcements!$C$7:$E$30,3,0)</f>
        <v>#N/A</v>
      </c>
      <c r="AD102" s="118" t="str">
        <f t="shared" si="23"/>
        <v>0190-06</v>
      </c>
      <c r="AE102" s="118" t="str">
        <f>"aws s3 cp "&amp;s3_bucket&amp;"/RTDC"&amp;B102&amp;"/"&amp;TEXT(F102,"YYYY-MM-DD")&amp;"/ "&amp;search_path&amp;"\RTDC"&amp;B102&amp;"\"&amp;TEXT(F102,"YYYY-MM-DD")&amp;" --recursive &amp; """&amp;walkandungz&amp;""" "&amp;search_path&amp;"\RTDC"&amp;B102&amp;"\"&amp;TEXT(F102,"YYYY-MM-DD")
&amp;" &amp; "&amp;"aws s3 cp "&amp;s3_bucket&amp;"/RTDC"&amp;B102&amp;"/"&amp;TEXT(F102+1,"YYYY-MM-DD")&amp;"/ "&amp;search_path&amp;"\RTDC"&amp;B102&amp;"\"&amp;TEXT(F102+1,"YYYY-MM-DD")&amp;" --recursive &amp; """&amp;walkandungz&amp;""" "&amp;search_path&amp;"\RTDC"&amp;B102&amp;"\"&amp;TEXT(F102+1,"YYYY-MM-DD")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02" s="118" t="str">
        <f>astrogrep_path&amp;" /spath="&amp;search_path&amp;" /stypes=""*"&amp;B102&amp;"*"&amp;TEXT(F102-utc_offset/24,"YYYYMMDD")&amp;"*"" /stext="" "&amp;TEXT(F102-utc_offset/24,"HH")&amp;search_regexp&amp;""" /e /r /s"</f>
        <v>"C:\Program Files (x86)\AstroGrep\AstroGrep.exe" /spath="C:\Users\stu\Documents\Analysis\2016-02-23 RTDC Observations" /stypes="*4026*20160706*" /stext=" 21:.+((prompt.+disp)|(slice.+state.+chan)|(ment ac)|(system.+state.+chan)|(\|lc)|(penalty)|(\[timeout))" /e /r /s</v>
      </c>
    </row>
    <row r="103" spans="1:32" s="1" customFormat="1" x14ac:dyDescent="0.25">
      <c r="A103" s="34" t="s">
        <v>545</v>
      </c>
      <c r="B103" s="64">
        <v>4040</v>
      </c>
      <c r="C103" s="64" t="s">
        <v>60</v>
      </c>
      <c r="D103" s="64" t="s">
        <v>611</v>
      </c>
      <c r="E103" s="70">
        <v>42557.619386574072</v>
      </c>
      <c r="F103" s="70">
        <v>42557.620219907411</v>
      </c>
      <c r="G103" s="71">
        <v>1</v>
      </c>
      <c r="H103" s="70" t="s">
        <v>621</v>
      </c>
      <c r="I103" s="70">
        <v>42557.651307870372</v>
      </c>
      <c r="J103" s="64">
        <v>0</v>
      </c>
      <c r="K103" s="34" t="str">
        <f t="shared" si="12"/>
        <v>4039/4040</v>
      </c>
      <c r="L103" s="34" t="str">
        <f>VLOOKUP(A103,'Trips&amp;Operators'!$C$1:$E$10000,3,FALSE)</f>
        <v>SHOOK</v>
      </c>
      <c r="M103" s="6">
        <f t="shared" si="13"/>
        <v>3.1087962961464655E-2</v>
      </c>
      <c r="N103" s="7">
        <f t="shared" si="14"/>
        <v>44.766666664509103</v>
      </c>
      <c r="O103" s="7"/>
      <c r="P103" s="7"/>
      <c r="Q103" s="35"/>
      <c r="R103" s="35"/>
      <c r="S103" s="54">
        <f t="shared" si="15"/>
        <v>1</v>
      </c>
      <c r="T103" s="108" t="str">
        <f t="shared" si="16"/>
        <v>NorthBound</v>
      </c>
      <c r="U103" s="108">
        <f>COUNTIFS(Variables!$M$2:$M$19,IF(T103="NorthBound","&gt;=","&lt;=")&amp;Y103,Variables!$M$2:$M$19,IF(T103="NorthBound","&lt;=","&gt;=")&amp;Z103)</f>
        <v>12</v>
      </c>
      <c r="V103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14:50:55-0600',mode:absolute,to:'2016-07-06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3" s="116" t="str">
        <f t="shared" si="18"/>
        <v>N</v>
      </c>
      <c r="X103" s="116">
        <f t="shared" si="19"/>
        <v>1</v>
      </c>
      <c r="Y103" s="116">
        <f t="shared" si="20"/>
        <v>4.8000000000000001E-2</v>
      </c>
      <c r="Z103" s="116">
        <f t="shared" si="21"/>
        <v>23.336099999999998</v>
      </c>
      <c r="AA103" s="116">
        <f t="shared" si="22"/>
        <v>23.2881</v>
      </c>
      <c r="AB103" s="117" t="e">
        <f>VLOOKUP(A103,Enforcements!$C$7:$J$30,8,0)</f>
        <v>#N/A</v>
      </c>
      <c r="AC103" s="117" t="e">
        <f>VLOOKUP(A103,Enforcements!$C$7:$E$30,3,0)</f>
        <v>#N/A</v>
      </c>
      <c r="AD103" s="118" t="str">
        <f t="shared" si="23"/>
        <v>0191-06</v>
      </c>
      <c r="AE103" s="118" t="str">
        <f>"aws s3 cp "&amp;s3_bucket&amp;"/RTDC"&amp;B103&amp;"/"&amp;TEXT(F103,"YYYY-MM-DD")&amp;"/ "&amp;search_path&amp;"\RTDC"&amp;B103&amp;"\"&amp;TEXT(F103,"YYYY-MM-DD")&amp;" --recursive &amp; """&amp;walkandungz&amp;""" "&amp;search_path&amp;"\RTDC"&amp;B103&amp;"\"&amp;TEXT(F103,"YYYY-MM-DD")
&amp;" &amp; "&amp;"aws s3 cp "&amp;s3_bucket&amp;"/RTDC"&amp;B103&amp;"/"&amp;TEXT(F103+1,"YYYY-MM-DD")&amp;"/ "&amp;search_path&amp;"\RTDC"&amp;B103&amp;"\"&amp;TEXT(F103+1,"YYYY-MM-DD")&amp;" --recursive &amp; """&amp;walkandungz&amp;""" "&amp;search_path&amp;"\RTDC"&amp;B103&amp;"\"&amp;TEXT(F103+1,"YYYY-MM-DD")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03" s="118" t="str">
        <f>astrogrep_path&amp;" /spath="&amp;search_path&amp;" /stypes=""*"&amp;B103&amp;"*"&amp;TEXT(F103-utc_offset/24,"YYYYMMDD")&amp;"*"" /stext="" "&amp;TEXT(F103-utc_offset/24,"HH")&amp;search_regexp&amp;""" /e /r /s"</f>
        <v>"C:\Program Files (x86)\AstroGrep\AstroGrep.exe" /spath="C:\Users\stu\Documents\Analysis\2016-02-23 RTDC Observations" /stypes="*4040*20160706*" /stext=" 20:.+((prompt.+disp)|(slice.+state.+chan)|(ment ac)|(system.+state.+chan)|(\|lc)|(penalty)|(\[timeout))" /e /r /s</v>
      </c>
    </row>
    <row r="104" spans="1:32" s="1" customFormat="1" x14ac:dyDescent="0.25">
      <c r="A104" s="34" t="s">
        <v>429</v>
      </c>
      <c r="B104" s="64">
        <v>4039</v>
      </c>
      <c r="C104" s="64" t="s">
        <v>60</v>
      </c>
      <c r="D104" s="64" t="s">
        <v>622</v>
      </c>
      <c r="E104" s="70">
        <v>42557.656435185185</v>
      </c>
      <c r="F104" s="70">
        <v>42557.657546296294</v>
      </c>
      <c r="G104" s="71">
        <v>1</v>
      </c>
      <c r="H104" s="70" t="s">
        <v>623</v>
      </c>
      <c r="I104" s="70">
        <v>42557.689629629633</v>
      </c>
      <c r="J104" s="64">
        <v>0</v>
      </c>
      <c r="K104" s="34" t="str">
        <f t="shared" si="12"/>
        <v>4039/4040</v>
      </c>
      <c r="L104" s="34" t="str">
        <f>VLOOKUP(A104,'Trips&amp;Operators'!$C$1:$E$10000,3,FALSE)</f>
        <v>SHOOK</v>
      </c>
      <c r="M104" s="6">
        <f t="shared" si="13"/>
        <v>3.2083333338960074E-2</v>
      </c>
      <c r="N104" s="7">
        <f t="shared" si="14"/>
        <v>46.200000008102506</v>
      </c>
      <c r="O104" s="7"/>
      <c r="P104" s="7"/>
      <c r="Q104" s="35"/>
      <c r="R104" s="35"/>
      <c r="S104" s="54">
        <f t="shared" si="15"/>
        <v>1</v>
      </c>
      <c r="T104" s="108" t="str">
        <f t="shared" si="16"/>
        <v>Southbound</v>
      </c>
      <c r="U104" s="108">
        <f>COUNTIFS(Variables!$M$2:$M$19,IF(T104="NorthBound","&gt;=","&lt;=")&amp;Y104,Variables!$M$2:$M$19,IF(T104="NorthBound","&lt;=","&gt;=")&amp;Z104)</f>
        <v>12</v>
      </c>
      <c r="V104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15:44:16-0600',mode:absolute,to:'2016-07-06 16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4" s="116" t="str">
        <f t="shared" si="18"/>
        <v>N</v>
      </c>
      <c r="X104" s="116">
        <f t="shared" si="19"/>
        <v>1</v>
      </c>
      <c r="Y104" s="116">
        <f t="shared" si="20"/>
        <v>23.306799999999999</v>
      </c>
      <c r="Z104" s="116">
        <f t="shared" si="21"/>
        <v>1.6899999999999998E-2</v>
      </c>
      <c r="AA104" s="116">
        <f t="shared" si="22"/>
        <v>23.289899999999999</v>
      </c>
      <c r="AB104" s="117" t="e">
        <f>VLOOKUP(A104,Enforcements!$C$7:$J$30,8,0)</f>
        <v>#N/A</v>
      </c>
      <c r="AC104" s="117" t="e">
        <f>VLOOKUP(A104,Enforcements!$C$7:$E$30,3,0)</f>
        <v>#N/A</v>
      </c>
      <c r="AD104" s="118" t="str">
        <f t="shared" si="23"/>
        <v>0192-06</v>
      </c>
      <c r="AE104" s="118" t="str">
        <f>"aws s3 cp "&amp;s3_bucket&amp;"/RTDC"&amp;B104&amp;"/"&amp;TEXT(F104,"YYYY-MM-DD")&amp;"/ "&amp;search_path&amp;"\RTDC"&amp;B104&amp;"\"&amp;TEXT(F104,"YYYY-MM-DD")&amp;" --recursive &amp; """&amp;walkandungz&amp;""" "&amp;search_path&amp;"\RTDC"&amp;B104&amp;"\"&amp;TEXT(F104,"YYYY-MM-DD")
&amp;" &amp; "&amp;"aws s3 cp "&amp;s3_bucket&amp;"/RTDC"&amp;B104&amp;"/"&amp;TEXT(F104+1,"YYYY-MM-DD")&amp;"/ "&amp;search_path&amp;"\RTDC"&amp;B104&amp;"\"&amp;TEXT(F104+1,"YYYY-MM-DD")&amp;" --recursive &amp; """&amp;walkandungz&amp;""" "&amp;search_path&amp;"\RTDC"&amp;B104&amp;"\"&amp;TEXT(F104+1,"YYYY-MM-DD")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04" s="118" t="str">
        <f>astrogrep_path&amp;" /spath="&amp;search_path&amp;" /stypes=""*"&amp;B104&amp;"*"&amp;TEXT(F104-utc_offset/24,"YYYYMMDD")&amp;"*"" /stext="" "&amp;TEXT(F104-utc_offset/24,"HH")&amp;search_regexp&amp;""" /e /r /s"</f>
        <v>"C:\Program Files (x86)\AstroGrep\AstroGrep.exe" /spath="C:\Users\stu\Documents\Analysis\2016-02-23 RTDC Observations" /stypes="*4039*20160706*" /stext=" 21:.+((prompt.+disp)|(slice.+state.+chan)|(ment ac)|(system.+state.+chan)|(\|lc)|(penalty)|(\[timeout))" /e /r /s</v>
      </c>
    </row>
    <row r="105" spans="1:32" s="1" customFormat="1" x14ac:dyDescent="0.25">
      <c r="A105" s="34" t="s">
        <v>402</v>
      </c>
      <c r="B105" s="64">
        <v>4031</v>
      </c>
      <c r="C105" s="64" t="s">
        <v>60</v>
      </c>
      <c r="D105" s="64" t="s">
        <v>624</v>
      </c>
      <c r="E105" s="70">
        <v>42557.631712962961</v>
      </c>
      <c r="F105" s="70">
        <v>42557.632916666669</v>
      </c>
      <c r="G105" s="71">
        <v>1</v>
      </c>
      <c r="H105" s="70" t="s">
        <v>625</v>
      </c>
      <c r="I105" s="70">
        <v>42557.660127314812</v>
      </c>
      <c r="J105" s="64">
        <v>0</v>
      </c>
      <c r="K105" s="34" t="str">
        <f t="shared" si="12"/>
        <v>4031/4032</v>
      </c>
      <c r="L105" s="34" t="str">
        <f>VLOOKUP(A105,'Trips&amp;Operators'!$C$1:$E$10000,3,FALSE)</f>
        <v>COOLAHAN</v>
      </c>
      <c r="M105" s="6">
        <f t="shared" si="13"/>
        <v>2.7210648142499849E-2</v>
      </c>
      <c r="N105" s="7">
        <f t="shared" si="14"/>
        <v>39.183333325199783</v>
      </c>
      <c r="O105" s="7"/>
      <c r="P105" s="7"/>
      <c r="Q105" s="35"/>
      <c r="R105" s="35"/>
      <c r="S105" s="54">
        <f t="shared" si="15"/>
        <v>1</v>
      </c>
      <c r="T105" s="108" t="str">
        <f t="shared" si="16"/>
        <v>NorthBound</v>
      </c>
      <c r="U105" s="108">
        <f>COUNTIFS(Variables!$M$2:$M$19,IF(T105="NorthBound","&gt;=","&lt;=")&amp;Y105,Variables!$M$2:$M$19,IF(T105="NorthBound","&lt;=","&gt;=")&amp;Z105)</f>
        <v>12</v>
      </c>
      <c r="V105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15:08:40-0600',mode:absolute,to:'2016-07-06 15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5" s="116" t="str">
        <f t="shared" si="18"/>
        <v>N</v>
      </c>
      <c r="X105" s="116">
        <f t="shared" si="19"/>
        <v>1</v>
      </c>
      <c r="Y105" s="116">
        <f t="shared" si="20"/>
        <v>4.7800000000000002E-2</v>
      </c>
      <c r="Z105" s="116">
        <f t="shared" si="21"/>
        <v>23.332000000000001</v>
      </c>
      <c r="AA105" s="116">
        <f t="shared" si="22"/>
        <v>23.284200000000002</v>
      </c>
      <c r="AB105" s="117" t="e">
        <f>VLOOKUP(A105,Enforcements!$C$7:$J$30,8,0)</f>
        <v>#N/A</v>
      </c>
      <c r="AC105" s="117" t="e">
        <f>VLOOKUP(A105,Enforcements!$C$7:$E$30,3,0)</f>
        <v>#N/A</v>
      </c>
      <c r="AD105" s="118" t="str">
        <f t="shared" si="23"/>
        <v>0193-06</v>
      </c>
      <c r="AE105" s="118" t="str">
        <f>"aws s3 cp "&amp;s3_bucket&amp;"/RTDC"&amp;B105&amp;"/"&amp;TEXT(F105,"YYYY-MM-DD")&amp;"/ "&amp;search_path&amp;"\RTDC"&amp;B105&amp;"\"&amp;TEXT(F105,"YYYY-MM-DD")&amp;" --recursive &amp; """&amp;walkandungz&amp;""" "&amp;search_path&amp;"\RTDC"&amp;B105&amp;"\"&amp;TEXT(F105,"YYYY-MM-DD")
&amp;" &amp; "&amp;"aws s3 cp "&amp;s3_bucket&amp;"/RTDC"&amp;B105&amp;"/"&amp;TEXT(F105+1,"YYYY-MM-DD")&amp;"/ "&amp;search_path&amp;"\RTDC"&amp;B105&amp;"\"&amp;TEXT(F105+1,"YYYY-MM-DD")&amp;" --recursive &amp; """&amp;walkandungz&amp;""" "&amp;search_path&amp;"\RTDC"&amp;B105&amp;"\"&amp;TEXT(F105+1,"YYYY-MM-DD")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05" s="118" t="str">
        <f>astrogrep_path&amp;" /spath="&amp;search_path&amp;" /stypes=""*"&amp;B105&amp;"*"&amp;TEXT(F105-utc_offset/24,"YYYYMMDD")&amp;"*"" /stext="" "&amp;TEXT(F105-utc_offset/24,"HH")&amp;search_regexp&amp;""" /e /r /s"</f>
        <v>"C:\Program Files (x86)\AstroGrep\AstroGrep.exe" /spath="C:\Users\stu\Documents\Analysis\2016-02-23 RTDC Observations" /stypes="*4031*20160706*" /stext=" 21:.+((prompt.+disp)|(slice.+state.+chan)|(ment ac)|(system.+state.+chan)|(\|lc)|(penalty)|(\[timeout))" /e /r /s</v>
      </c>
    </row>
    <row r="106" spans="1:32" s="1" customFormat="1" x14ac:dyDescent="0.25">
      <c r="A106" s="34" t="s">
        <v>371</v>
      </c>
      <c r="B106" s="64">
        <v>4032</v>
      </c>
      <c r="C106" s="64" t="s">
        <v>60</v>
      </c>
      <c r="D106" s="64" t="s">
        <v>626</v>
      </c>
      <c r="E106" s="70">
        <v>42557.672407407408</v>
      </c>
      <c r="F106" s="70">
        <v>42557.673854166664</v>
      </c>
      <c r="G106" s="71">
        <v>2</v>
      </c>
      <c r="H106" s="70" t="s">
        <v>627</v>
      </c>
      <c r="I106" s="70">
        <v>42557.691296296296</v>
      </c>
      <c r="J106" s="64">
        <v>1</v>
      </c>
      <c r="K106" s="34" t="str">
        <f t="shared" si="12"/>
        <v>4031/4032</v>
      </c>
      <c r="L106" s="34" t="str">
        <f>VLOOKUP(A106,'Trips&amp;Operators'!$C$1:$E$10000,3,FALSE)</f>
        <v>COOLAHAN</v>
      </c>
      <c r="M106" s="6">
        <f t="shared" si="13"/>
        <v>1.7442129632399883E-2</v>
      </c>
      <c r="N106" s="7">
        <f t="shared" si="14"/>
        <v>25.116666670655832</v>
      </c>
      <c r="O106" s="7"/>
      <c r="P106" s="7">
        <f t="shared" si="14"/>
        <v>25.116666670655832</v>
      </c>
      <c r="Q106" s="35"/>
      <c r="R106" s="35" t="s">
        <v>735</v>
      </c>
      <c r="S106" s="54">
        <f t="shared" si="15"/>
        <v>0.25</v>
      </c>
      <c r="T106" s="108" t="str">
        <f t="shared" si="16"/>
        <v>Southbound</v>
      </c>
      <c r="U106" s="108">
        <f>COUNTIFS(Variables!$M$2:$M$19,IF(T106="NorthBound","&gt;=","&lt;=")&amp;Y106,Variables!$M$2:$M$19,IF(T106="NorthBound","&lt;=","&gt;=")&amp;Z106)</f>
        <v>3</v>
      </c>
      <c r="V106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16:07:16-0600',mode:absolute,to:'2016-07-06 16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6" s="116" t="str">
        <f t="shared" si="18"/>
        <v>Y</v>
      </c>
      <c r="X106" s="116">
        <f t="shared" si="19"/>
        <v>1</v>
      </c>
      <c r="Y106" s="116">
        <f t="shared" si="20"/>
        <v>23.300699999999999</v>
      </c>
      <c r="Z106" s="116">
        <f t="shared" si="21"/>
        <v>6.4069000000000003</v>
      </c>
      <c r="AA106" s="116">
        <f t="shared" si="22"/>
        <v>16.893799999999999</v>
      </c>
      <c r="AB106" s="117" t="e">
        <f>VLOOKUP(A106,Enforcements!$C$7:$J$30,8,0)</f>
        <v>#N/A</v>
      </c>
      <c r="AC106" s="117" t="e">
        <f>VLOOKUP(A106,Enforcements!$C$7:$E$30,3,0)</f>
        <v>#N/A</v>
      </c>
      <c r="AD106" s="118" t="str">
        <f t="shared" si="23"/>
        <v>0194-06</v>
      </c>
      <c r="AE106" s="118" t="str">
        <f>"aws s3 cp "&amp;s3_bucket&amp;"/RTDC"&amp;B106&amp;"/"&amp;TEXT(F106,"YYYY-MM-DD")&amp;"/ "&amp;search_path&amp;"\RTDC"&amp;B106&amp;"\"&amp;TEXT(F106,"YYYY-MM-DD")&amp;" --recursive &amp; """&amp;walkandungz&amp;""" "&amp;search_path&amp;"\RTDC"&amp;B106&amp;"\"&amp;TEXT(F106,"YYYY-MM-DD")
&amp;" &amp; "&amp;"aws s3 cp "&amp;s3_bucket&amp;"/RTDC"&amp;B106&amp;"/"&amp;TEXT(F106+1,"YYYY-MM-DD")&amp;"/ "&amp;search_path&amp;"\RTDC"&amp;B106&amp;"\"&amp;TEXT(F106+1,"YYYY-MM-DD")&amp;" --recursive &amp; """&amp;walkandungz&amp;""" "&amp;search_path&amp;"\RTDC"&amp;B106&amp;"\"&amp;TEXT(F106+1,"YYYY-MM-DD")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06" s="118" t="str">
        <f>astrogrep_path&amp;" /spath="&amp;search_path&amp;" /stypes=""*"&amp;B106&amp;"*"&amp;TEXT(F106-utc_offset/24,"YYYYMMDD")&amp;"*"" /stext="" "&amp;TEXT(F106-utc_offset/24,"HH")&amp;search_regexp&amp;""" /e /r /s"</f>
        <v>"C:\Program Files (x86)\AstroGrep\AstroGrep.exe" /spath="C:\Users\stu\Documents\Analysis\2016-02-23 RTDC Observations" /stypes="*4032*20160706*" /stext=" 22:.+((prompt.+disp)|(slice.+state.+chan)|(ment ac)|(system.+state.+chan)|(\|lc)|(penalty)|(\[timeout))" /e /r /s</v>
      </c>
    </row>
    <row r="107" spans="1:32" s="1" customFormat="1" x14ac:dyDescent="0.25">
      <c r="A107" s="34" t="s">
        <v>367</v>
      </c>
      <c r="B107" s="64">
        <v>4011</v>
      </c>
      <c r="C107" s="64" t="s">
        <v>60</v>
      </c>
      <c r="D107" s="64" t="s">
        <v>72</v>
      </c>
      <c r="E107" s="70">
        <v>42557.640057870369</v>
      </c>
      <c r="F107" s="70">
        <v>42557.641261574077</v>
      </c>
      <c r="G107" s="71">
        <v>1</v>
      </c>
      <c r="H107" s="70" t="s">
        <v>590</v>
      </c>
      <c r="I107" s="70">
        <v>42557.670289351852</v>
      </c>
      <c r="J107" s="64">
        <v>1</v>
      </c>
      <c r="K107" s="34" t="str">
        <f t="shared" si="12"/>
        <v>4011/4012</v>
      </c>
      <c r="L107" s="34" t="str">
        <f>VLOOKUP(A107,'Trips&amp;Operators'!$C$1:$E$10000,3,FALSE)</f>
        <v>SPECTOR</v>
      </c>
      <c r="M107" s="6">
        <f t="shared" si="13"/>
        <v>2.9027777774899732E-2</v>
      </c>
      <c r="N107" s="7">
        <f t="shared" si="14"/>
        <v>41.799999995855615</v>
      </c>
      <c r="O107" s="7"/>
      <c r="P107" s="7"/>
      <c r="Q107" s="35"/>
      <c r="R107" s="35"/>
      <c r="S107" s="54">
        <f t="shared" si="15"/>
        <v>1</v>
      </c>
      <c r="T107" s="108" t="str">
        <f t="shared" si="16"/>
        <v>NorthBound</v>
      </c>
      <c r="U107" s="108">
        <f>COUNTIFS(Variables!$M$2:$M$19,IF(T107="NorthBound","&gt;=","&lt;=")&amp;Y107,Variables!$M$2:$M$19,IF(T107="NorthBound","&lt;=","&gt;=")&amp;Z107)</f>
        <v>12</v>
      </c>
      <c r="V107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15:20:41-0600',mode:absolute,to:'2016-07-06 16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7" s="116" t="str">
        <f t="shared" si="18"/>
        <v>N</v>
      </c>
      <c r="X107" s="116">
        <f t="shared" si="19"/>
        <v>1</v>
      </c>
      <c r="Y107" s="116">
        <f t="shared" si="20"/>
        <v>4.5699999999999998E-2</v>
      </c>
      <c r="Z107" s="116">
        <f t="shared" si="21"/>
        <v>23.319099999999999</v>
      </c>
      <c r="AA107" s="116">
        <f t="shared" si="22"/>
        <v>23.273399999999999</v>
      </c>
      <c r="AB107" s="117" t="e">
        <f>VLOOKUP(A107,Enforcements!$C$7:$J$30,8,0)</f>
        <v>#N/A</v>
      </c>
      <c r="AC107" s="117" t="e">
        <f>VLOOKUP(A107,Enforcements!$C$7:$E$30,3,0)</f>
        <v>#N/A</v>
      </c>
      <c r="AD107" s="118" t="str">
        <f t="shared" si="23"/>
        <v>0195-06</v>
      </c>
      <c r="AE107" s="118" t="str">
        <f>"aws s3 cp "&amp;s3_bucket&amp;"/RTDC"&amp;B107&amp;"/"&amp;TEXT(F107,"YYYY-MM-DD")&amp;"/ "&amp;search_path&amp;"\RTDC"&amp;B107&amp;"\"&amp;TEXT(F107,"YYYY-MM-DD")&amp;" --recursive &amp; """&amp;walkandungz&amp;""" "&amp;search_path&amp;"\RTDC"&amp;B107&amp;"\"&amp;TEXT(F107,"YYYY-MM-DD")
&amp;" &amp; "&amp;"aws s3 cp "&amp;s3_bucket&amp;"/RTDC"&amp;B107&amp;"/"&amp;TEXT(F107+1,"YYYY-MM-DD")&amp;"/ "&amp;search_path&amp;"\RTDC"&amp;B107&amp;"\"&amp;TEXT(F107+1,"YYYY-MM-DD")&amp;" --recursive &amp; """&amp;walkandungz&amp;""" "&amp;search_path&amp;"\RTDC"&amp;B107&amp;"\"&amp;TEXT(F107+1,"YYYY-MM-DD")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07" s="118" t="str">
        <f>astrogrep_path&amp;" /spath="&amp;search_path&amp;" /stypes=""*"&amp;B107&amp;"*"&amp;TEXT(F107-utc_offset/24,"YYYYMMDD")&amp;"*"" /stext="" "&amp;TEXT(F107-utc_offset/24,"HH")&amp;search_regexp&amp;""" /e /r /s"</f>
        <v>"C:\Program Files (x86)\AstroGrep\AstroGrep.exe" /spath="C:\Users\stu\Documents\Analysis\2016-02-23 RTDC Observations" /stypes="*4011*20160706*" /stext=" 21:.+((prompt.+disp)|(slice.+state.+chan)|(ment ac)|(system.+state.+chan)|(\|lc)|(penalty)|(\[timeout))" /e /r /s</v>
      </c>
    </row>
    <row r="108" spans="1:32" s="1" customFormat="1" x14ac:dyDescent="0.25">
      <c r="A108" s="34" t="s">
        <v>460</v>
      </c>
      <c r="B108" s="64">
        <v>4012</v>
      </c>
      <c r="C108" s="64" t="s">
        <v>60</v>
      </c>
      <c r="D108" s="64" t="s">
        <v>628</v>
      </c>
      <c r="E108" s="70">
        <v>42557.679652777777</v>
      </c>
      <c r="F108" s="70">
        <v>42557.758506944447</v>
      </c>
      <c r="G108" s="71">
        <v>2</v>
      </c>
      <c r="H108" s="70" t="s">
        <v>73</v>
      </c>
      <c r="I108" s="70">
        <v>42557.787835648145</v>
      </c>
      <c r="J108" s="64">
        <v>1</v>
      </c>
      <c r="K108" s="34" t="str">
        <f t="shared" si="12"/>
        <v>4011/4012</v>
      </c>
      <c r="L108" s="34" t="str">
        <f>VLOOKUP(A108,'Trips&amp;Operators'!$C$1:$E$10000,3,FALSE)</f>
        <v>SPECTOR</v>
      </c>
      <c r="M108" s="6">
        <f t="shared" si="13"/>
        <v>2.9328703698411118E-2</v>
      </c>
      <c r="N108" s="7">
        <f t="shared" si="14"/>
        <v>42.23333332571201</v>
      </c>
      <c r="O108" s="7"/>
      <c r="P108" s="7"/>
      <c r="Q108" s="35"/>
      <c r="R108" s="35"/>
      <c r="S108" s="54">
        <f t="shared" si="15"/>
        <v>1</v>
      </c>
      <c r="T108" s="108" t="str">
        <f t="shared" si="16"/>
        <v>Southbound</v>
      </c>
      <c r="U108" s="108">
        <f>COUNTIFS(Variables!$M$2:$M$19,IF(T108="NorthBound","&gt;=","&lt;=")&amp;Y108,Variables!$M$2:$M$19,IF(T108="NorthBound","&lt;=","&gt;=")&amp;Z108)</f>
        <v>12</v>
      </c>
      <c r="V108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16:17:42-0600',mode:absolute,to:'2016-07-06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8" s="116" t="str">
        <f t="shared" si="18"/>
        <v>N</v>
      </c>
      <c r="X108" s="116">
        <f t="shared" si="19"/>
        <v>1</v>
      </c>
      <c r="Y108" s="116">
        <f t="shared" si="20"/>
        <v>23.2883</v>
      </c>
      <c r="Z108" s="116">
        <f t="shared" si="21"/>
        <v>1.49E-2</v>
      </c>
      <c r="AA108" s="116">
        <f t="shared" si="22"/>
        <v>23.273399999999999</v>
      </c>
      <c r="AB108" s="117" t="e">
        <f>VLOOKUP(A108,Enforcements!$C$7:$J$30,8,0)</f>
        <v>#N/A</v>
      </c>
      <c r="AC108" s="117" t="e">
        <f>VLOOKUP(A108,Enforcements!$C$7:$E$30,3,0)</f>
        <v>#N/A</v>
      </c>
      <c r="AD108" s="118" t="str">
        <f t="shared" si="23"/>
        <v>0196-06</v>
      </c>
      <c r="AE108" s="118" t="str">
        <f>"aws s3 cp "&amp;s3_bucket&amp;"/RTDC"&amp;B108&amp;"/"&amp;TEXT(F108,"YYYY-MM-DD")&amp;"/ "&amp;search_path&amp;"\RTDC"&amp;B108&amp;"\"&amp;TEXT(F108,"YYYY-MM-DD")&amp;" --recursive &amp; """&amp;walkandungz&amp;""" "&amp;search_path&amp;"\RTDC"&amp;B108&amp;"\"&amp;TEXT(F108,"YYYY-MM-DD")
&amp;" &amp; "&amp;"aws s3 cp "&amp;s3_bucket&amp;"/RTDC"&amp;B108&amp;"/"&amp;TEXT(F108+1,"YYYY-MM-DD")&amp;"/ "&amp;search_path&amp;"\RTDC"&amp;B108&amp;"\"&amp;TEXT(F108+1,"YYYY-MM-DD")&amp;" --recursive &amp; """&amp;walkandungz&amp;""" "&amp;search_path&amp;"\RTDC"&amp;B108&amp;"\"&amp;TEXT(F108+1,"YYYY-MM-DD")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08" s="118" t="str">
        <f>astrogrep_path&amp;" /spath="&amp;search_path&amp;" /stypes=""*"&amp;B108&amp;"*"&amp;TEXT(F108-utc_offset/24,"YYYYMMDD")&amp;"*"" /stext="" "&amp;TEXT(F108-utc_offset/24,"HH")&amp;search_regexp&amp;""" /e /r /s"</f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</row>
    <row r="109" spans="1:32" x14ac:dyDescent="0.25">
      <c r="A109" s="34" t="s">
        <v>450</v>
      </c>
      <c r="B109" s="64">
        <v>4044</v>
      </c>
      <c r="C109" s="64" t="s">
        <v>60</v>
      </c>
      <c r="D109" s="64" t="s">
        <v>78</v>
      </c>
      <c r="E109" s="70">
        <v>42557.652662037035</v>
      </c>
      <c r="F109" s="70">
        <v>42557.653657407405</v>
      </c>
      <c r="G109" s="71">
        <v>1</v>
      </c>
      <c r="H109" s="70" t="s">
        <v>127</v>
      </c>
      <c r="I109" s="70">
        <v>42557.681469907409</v>
      </c>
      <c r="J109" s="64">
        <v>0</v>
      </c>
      <c r="K109" s="34" t="str">
        <f t="shared" si="12"/>
        <v>4043/4044</v>
      </c>
      <c r="L109" s="34" t="str">
        <f>VLOOKUP(A109,'Trips&amp;Operators'!$C$1:$E$10000,3,FALSE)</f>
        <v>STEWART</v>
      </c>
      <c r="M109" s="6">
        <f t="shared" si="13"/>
        <v>2.7812500004074536E-2</v>
      </c>
      <c r="N109" s="7">
        <f t="shared" si="14"/>
        <v>40.050000005867332</v>
      </c>
      <c r="O109" s="7"/>
      <c r="P109" s="7"/>
      <c r="Q109" s="35"/>
      <c r="R109" s="35"/>
      <c r="S109" s="54">
        <f t="shared" si="15"/>
        <v>1</v>
      </c>
      <c r="T109" s="108" t="str">
        <f t="shared" si="16"/>
        <v>NorthBound</v>
      </c>
      <c r="U109" s="108">
        <f>COUNTIFS(Variables!$M$2:$M$19,IF(T109="NorthBound","&gt;=","&lt;=")&amp;Y109,Variables!$M$2:$M$19,IF(T109="NorthBound","&lt;=","&gt;=")&amp;Z109)</f>
        <v>12</v>
      </c>
      <c r="V109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15:38:50-0600',mode:absolute,to:'2016-07-06 16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9" s="116" t="str">
        <f t="shared" si="18"/>
        <v>N</v>
      </c>
      <c r="X109" s="116">
        <f t="shared" si="19"/>
        <v>1</v>
      </c>
      <c r="Y109" s="116">
        <f t="shared" si="20"/>
        <v>4.6399999999999997E-2</v>
      </c>
      <c r="Z109" s="116">
        <f t="shared" si="21"/>
        <v>23.331399999999999</v>
      </c>
      <c r="AA109" s="116">
        <f t="shared" si="22"/>
        <v>23.285</v>
      </c>
      <c r="AB109" s="117" t="e">
        <f>VLOOKUP(A109,Enforcements!$C$7:$J$30,8,0)</f>
        <v>#N/A</v>
      </c>
      <c r="AC109" s="117" t="e">
        <f>VLOOKUP(A109,Enforcements!$C$7:$E$30,3,0)</f>
        <v>#N/A</v>
      </c>
      <c r="AD109" s="118" t="str">
        <f t="shared" si="23"/>
        <v>0197-06</v>
      </c>
      <c r="AE109" s="118" t="str">
        <f>"aws s3 cp "&amp;s3_bucket&amp;"/RTDC"&amp;B109&amp;"/"&amp;TEXT(F109,"YYYY-MM-DD")&amp;"/ "&amp;search_path&amp;"\RTDC"&amp;B109&amp;"\"&amp;TEXT(F109,"YYYY-MM-DD")&amp;" --recursive &amp; """&amp;walkandungz&amp;""" "&amp;search_path&amp;"\RTDC"&amp;B109&amp;"\"&amp;TEXT(F109,"YYYY-MM-DD")
&amp;" &amp; "&amp;"aws s3 cp "&amp;s3_bucket&amp;"/RTDC"&amp;B109&amp;"/"&amp;TEXT(F109+1,"YYYY-MM-DD")&amp;"/ "&amp;search_path&amp;"\RTDC"&amp;B109&amp;"\"&amp;TEXT(F109+1,"YYYY-MM-DD")&amp;" --recursive &amp; """&amp;walkandungz&amp;""" "&amp;search_path&amp;"\RTDC"&amp;B109&amp;"\"&amp;TEXT(F109+1,"YYYY-MM-DD")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109" s="118" t="str">
        <f>astrogrep_path&amp;" /spath="&amp;search_path&amp;" /stypes=""*"&amp;B109&amp;"*"&amp;TEXT(F109-utc_offset/24,"YYYYMMDD")&amp;"*"" /stext="" "&amp;TEXT(F109-utc_offset/24,"HH")&amp;search_regexp&amp;""" /e /r /s"</f>
        <v>"C:\Program Files (x86)\AstroGrep\AstroGrep.exe" /spath="C:\Users\stu\Documents\Analysis\2016-02-23 RTDC Observations" /stypes="*4044*20160706*" /stext=" 21:.+((prompt.+disp)|(slice.+state.+chan)|(ment ac)|(system.+state.+chan)|(\|lc)|(penalty)|(\[timeout))" /e /r /s</v>
      </c>
    </row>
    <row r="110" spans="1:32" x14ac:dyDescent="0.25">
      <c r="A110" s="34" t="s">
        <v>456</v>
      </c>
      <c r="B110" s="64">
        <v>4043</v>
      </c>
      <c r="C110" s="64" t="s">
        <v>60</v>
      </c>
      <c r="D110" s="64" t="s">
        <v>192</v>
      </c>
      <c r="E110" s="70">
        <v>42557.690578703703</v>
      </c>
      <c r="F110" s="70">
        <v>42557.692199074074</v>
      </c>
      <c r="G110" s="71">
        <v>2</v>
      </c>
      <c r="H110" s="70" t="s">
        <v>141</v>
      </c>
      <c r="I110" s="70">
        <v>42557.722199074073</v>
      </c>
      <c r="J110" s="64">
        <v>0</v>
      </c>
      <c r="K110" s="34" t="str">
        <f t="shared" si="12"/>
        <v>4043/4044</v>
      </c>
      <c r="L110" s="34" t="str">
        <f>VLOOKUP(A110,'Trips&amp;Operators'!$C$1:$E$10000,3,FALSE)</f>
        <v>STEWART</v>
      </c>
      <c r="M110" s="6">
        <f t="shared" si="13"/>
        <v>2.9999999998835847E-2</v>
      </c>
      <c r="N110" s="7">
        <f t="shared" si="14"/>
        <v>43.199999998323619</v>
      </c>
      <c r="O110" s="7"/>
      <c r="P110" s="7"/>
      <c r="Q110" s="35"/>
      <c r="R110" s="35"/>
      <c r="S110" s="54">
        <f t="shared" si="15"/>
        <v>1</v>
      </c>
      <c r="T110" s="108" t="str">
        <f t="shared" si="16"/>
        <v>Southbound</v>
      </c>
      <c r="U110" s="108">
        <f>COUNTIFS(Variables!$M$2:$M$19,IF(T110="NorthBound","&gt;=","&lt;=")&amp;Y110,Variables!$M$2:$M$19,IF(T110="NorthBound","&lt;=","&gt;=")&amp;Z110)</f>
        <v>12</v>
      </c>
      <c r="V110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16:33:26-0600',mode:absolute,to:'2016-07-06 17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0" s="116" t="str">
        <f t="shared" si="18"/>
        <v>N</v>
      </c>
      <c r="X110" s="116">
        <f t="shared" si="19"/>
        <v>1</v>
      </c>
      <c r="Y110" s="116">
        <f t="shared" si="20"/>
        <v>23.299399999999999</v>
      </c>
      <c r="Z110" s="116">
        <f t="shared" si="21"/>
        <v>1.5599999999999999E-2</v>
      </c>
      <c r="AA110" s="116">
        <f t="shared" si="22"/>
        <v>23.283799999999999</v>
      </c>
      <c r="AB110" s="117" t="e">
        <f>VLOOKUP(A110,Enforcements!$C$7:$J$30,8,0)</f>
        <v>#N/A</v>
      </c>
      <c r="AC110" s="117" t="e">
        <f>VLOOKUP(A110,Enforcements!$C$7:$E$30,3,0)</f>
        <v>#N/A</v>
      </c>
      <c r="AD110" s="118" t="str">
        <f t="shared" si="23"/>
        <v>0198-06</v>
      </c>
      <c r="AE110" s="118" t="str">
        <f>"aws s3 cp "&amp;s3_bucket&amp;"/RTDC"&amp;B110&amp;"/"&amp;TEXT(F110,"YYYY-MM-DD")&amp;"/ "&amp;search_path&amp;"\RTDC"&amp;B110&amp;"\"&amp;TEXT(F110,"YYYY-MM-DD")&amp;" --recursive &amp; """&amp;walkandungz&amp;""" "&amp;search_path&amp;"\RTDC"&amp;B110&amp;"\"&amp;TEXT(F110,"YYYY-MM-DD")
&amp;" &amp; "&amp;"aws s3 cp "&amp;s3_bucket&amp;"/RTDC"&amp;B110&amp;"/"&amp;TEXT(F110+1,"YYYY-MM-DD")&amp;"/ "&amp;search_path&amp;"\RTDC"&amp;B110&amp;"\"&amp;TEXT(F110+1,"YYYY-MM-DD")&amp;" --recursive &amp; """&amp;walkandungz&amp;""" "&amp;search_path&amp;"\RTDC"&amp;B110&amp;"\"&amp;TEXT(F110+1,"YYYY-MM-DD")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10" s="118" t="str">
        <f>astrogrep_path&amp;" /spath="&amp;search_path&amp;" /stypes=""*"&amp;B110&amp;"*"&amp;TEXT(F110-utc_offset/24,"YYYYMMDD")&amp;"*"" /stext="" "&amp;TEXT(F110-utc_offset/24,"HH")&amp;search_regexp&amp;""" /e /r /s"</f>
        <v>"C:\Program Files (x86)\AstroGrep\AstroGrep.exe" /spath="C:\Users\stu\Documents\Analysis\2016-02-23 RTDC Observations" /stypes="*4043*20160706*" /stext=" 22:.+((prompt.+disp)|(slice.+state.+chan)|(ment ac)|(system.+state.+chan)|(\|lc)|(penalty)|(\[timeout))" /e /r /s</v>
      </c>
    </row>
    <row r="111" spans="1:32" s="1" customFormat="1" x14ac:dyDescent="0.25">
      <c r="A111" s="34" t="s">
        <v>470</v>
      </c>
      <c r="B111" s="64">
        <v>4018</v>
      </c>
      <c r="C111" s="64" t="s">
        <v>60</v>
      </c>
      <c r="D111" s="64" t="s">
        <v>154</v>
      </c>
      <c r="E111" s="70">
        <v>42557.661435185182</v>
      </c>
      <c r="F111" s="70">
        <v>42557.662314814814</v>
      </c>
      <c r="G111" s="71">
        <v>1</v>
      </c>
      <c r="H111" s="70" t="s">
        <v>594</v>
      </c>
      <c r="I111" s="70">
        <v>42557.69158564815</v>
      </c>
      <c r="J111" s="64">
        <v>0</v>
      </c>
      <c r="K111" s="34" t="str">
        <f t="shared" si="12"/>
        <v>4017/4018</v>
      </c>
      <c r="L111" s="34" t="str">
        <f>VLOOKUP(A111,'Trips&amp;Operators'!$C$1:$E$10000,3,FALSE)</f>
        <v>HELVIE</v>
      </c>
      <c r="M111" s="6">
        <f t="shared" si="13"/>
        <v>2.9270833336340729E-2</v>
      </c>
      <c r="N111" s="7">
        <f t="shared" si="14"/>
        <v>42.15000000433065</v>
      </c>
      <c r="O111" s="7"/>
      <c r="P111" s="7"/>
      <c r="Q111" s="35"/>
      <c r="R111" s="35"/>
      <c r="S111" s="54">
        <f t="shared" si="15"/>
        <v>1</v>
      </c>
      <c r="T111" s="108" t="str">
        <f t="shared" si="16"/>
        <v>NorthBound</v>
      </c>
      <c r="U111" s="108">
        <f>COUNTIFS(Variables!$M$2:$M$19,IF(T111="NorthBound","&gt;=","&lt;=")&amp;Y111,Variables!$M$2:$M$19,IF(T111="NorthBound","&lt;=","&gt;=")&amp;Z111)</f>
        <v>12</v>
      </c>
      <c r="V111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15:51:28-0600',mode:absolute,to:'2016-07-06 16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1" s="116" t="str">
        <f t="shared" si="18"/>
        <v>N</v>
      </c>
      <c r="X111" s="116">
        <f t="shared" si="19"/>
        <v>1</v>
      </c>
      <c r="Y111" s="116">
        <f t="shared" si="20"/>
        <v>4.5499999999999999E-2</v>
      </c>
      <c r="Z111" s="116">
        <f t="shared" si="21"/>
        <v>23.330400000000001</v>
      </c>
      <c r="AA111" s="116">
        <f t="shared" si="22"/>
        <v>23.2849</v>
      </c>
      <c r="AB111" s="117" t="e">
        <f>VLOOKUP(A111,Enforcements!$C$7:$J$30,8,0)</f>
        <v>#N/A</v>
      </c>
      <c r="AC111" s="117" t="e">
        <f>VLOOKUP(A111,Enforcements!$C$7:$E$30,3,0)</f>
        <v>#N/A</v>
      </c>
      <c r="AD111" s="118" t="str">
        <f t="shared" si="23"/>
        <v>0199-06</v>
      </c>
      <c r="AE111" s="118" t="str">
        <f>"aws s3 cp "&amp;s3_bucket&amp;"/RTDC"&amp;B111&amp;"/"&amp;TEXT(F111,"YYYY-MM-DD")&amp;"/ "&amp;search_path&amp;"\RTDC"&amp;B111&amp;"\"&amp;TEXT(F111,"YYYY-MM-DD")&amp;" --recursive &amp; """&amp;walkandungz&amp;""" "&amp;search_path&amp;"\RTDC"&amp;B111&amp;"\"&amp;TEXT(F111,"YYYY-MM-DD")
&amp;" &amp; "&amp;"aws s3 cp "&amp;s3_bucket&amp;"/RTDC"&amp;B111&amp;"/"&amp;TEXT(F111+1,"YYYY-MM-DD")&amp;"/ "&amp;search_path&amp;"\RTDC"&amp;B111&amp;"\"&amp;TEXT(F111+1,"YYYY-MM-DD")&amp;" --recursive &amp; """&amp;walkandungz&amp;""" "&amp;search_path&amp;"\RTDC"&amp;B111&amp;"\"&amp;TEXT(F111+1,"YYYY-MM-DD")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11" s="118" t="str">
        <f>astrogrep_path&amp;" /spath="&amp;search_path&amp;" /stypes=""*"&amp;B111&amp;"*"&amp;TEXT(F111-utc_offset/24,"YYYYMMDD")&amp;"*"" /stext="" "&amp;TEXT(F111-utc_offset/24,"HH")&amp;search_regexp&amp;""" /e /r /s"</f>
        <v>"C:\Program Files (x86)\AstroGrep\AstroGrep.exe" /spath="C:\Users\stu\Documents\Analysis\2016-02-23 RTDC Observations" /stypes="*4018*20160706*" /stext=" 21:.+((prompt.+disp)|(slice.+state.+chan)|(ment ac)|(system.+state.+chan)|(\|lc)|(penalty)|(\[timeout))" /e /r /s</v>
      </c>
    </row>
    <row r="112" spans="1:32" x14ac:dyDescent="0.25">
      <c r="A112" s="34" t="s">
        <v>373</v>
      </c>
      <c r="B112" s="64">
        <v>4017</v>
      </c>
      <c r="C112" s="64" t="s">
        <v>60</v>
      </c>
      <c r="D112" s="64" t="s">
        <v>173</v>
      </c>
      <c r="E112" s="70">
        <v>42557.698865740742</v>
      </c>
      <c r="F112" s="70">
        <v>42557.699895833335</v>
      </c>
      <c r="G112" s="71">
        <v>1</v>
      </c>
      <c r="H112" s="70" t="s">
        <v>67</v>
      </c>
      <c r="I112" s="70">
        <v>42557.734085648146</v>
      </c>
      <c r="J112" s="64">
        <v>1</v>
      </c>
      <c r="K112" s="34" t="str">
        <f t="shared" si="12"/>
        <v>4017/4018</v>
      </c>
      <c r="L112" s="34" t="str">
        <f>VLOOKUP(A112,'Trips&amp;Operators'!$C$1:$E$10000,3,FALSE)</f>
        <v>HELVIE</v>
      </c>
      <c r="M112" s="6">
        <f t="shared" si="13"/>
        <v>3.4189814810815733E-2</v>
      </c>
      <c r="N112" s="7">
        <f t="shared" si="14"/>
        <v>49.233333327574655</v>
      </c>
      <c r="O112" s="7"/>
      <c r="P112" s="7"/>
      <c r="Q112" s="35"/>
      <c r="R112" s="35"/>
      <c r="S112" s="54">
        <f t="shared" si="15"/>
        <v>1</v>
      </c>
      <c r="T112" s="108" t="str">
        <f t="shared" si="16"/>
        <v>Southbound</v>
      </c>
      <c r="U112" s="108">
        <f>COUNTIFS(Variables!$M$2:$M$19,IF(T112="NorthBound","&gt;=","&lt;=")&amp;Y112,Variables!$M$2:$M$19,IF(T112="NorthBound","&lt;=","&gt;=")&amp;Z112)</f>
        <v>12</v>
      </c>
      <c r="V112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16:45:22-0600',mode:absolute,to:'2016-07-06 17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2" s="116" t="str">
        <f t="shared" si="18"/>
        <v>N</v>
      </c>
      <c r="X112" s="116">
        <f t="shared" si="19"/>
        <v>1</v>
      </c>
      <c r="Y112" s="116">
        <f t="shared" si="20"/>
        <v>23.2987</v>
      </c>
      <c r="Z112" s="116">
        <f t="shared" si="21"/>
        <v>1.47E-2</v>
      </c>
      <c r="AA112" s="116">
        <f t="shared" si="22"/>
        <v>23.283999999999999</v>
      </c>
      <c r="AB112" s="117" t="e">
        <f>VLOOKUP(A112,Enforcements!$C$7:$J$30,8,0)</f>
        <v>#N/A</v>
      </c>
      <c r="AC112" s="117" t="e">
        <f>VLOOKUP(A112,Enforcements!$C$7:$E$30,3,0)</f>
        <v>#N/A</v>
      </c>
      <c r="AD112" s="118" t="str">
        <f t="shared" si="23"/>
        <v>0200-06</v>
      </c>
      <c r="AE112" s="118" t="str">
        <f>"aws s3 cp "&amp;s3_bucket&amp;"/RTDC"&amp;B112&amp;"/"&amp;TEXT(F112,"YYYY-MM-DD")&amp;"/ "&amp;search_path&amp;"\RTDC"&amp;B112&amp;"\"&amp;TEXT(F112,"YYYY-MM-DD")&amp;" --recursive &amp; """&amp;walkandungz&amp;""" "&amp;search_path&amp;"\RTDC"&amp;B112&amp;"\"&amp;TEXT(F112,"YYYY-MM-DD")
&amp;" &amp; "&amp;"aws s3 cp "&amp;s3_bucket&amp;"/RTDC"&amp;B112&amp;"/"&amp;TEXT(F112+1,"YYYY-MM-DD")&amp;"/ "&amp;search_path&amp;"\RTDC"&amp;B112&amp;"\"&amp;TEXT(F112+1,"YYYY-MM-DD")&amp;" --recursive &amp; """&amp;walkandungz&amp;""" "&amp;search_path&amp;"\RTDC"&amp;B112&amp;"\"&amp;TEXT(F112+1,"YYYY-MM-DD")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12" s="118" t="str">
        <f>astrogrep_path&amp;" /spath="&amp;search_path&amp;" /stypes=""*"&amp;B112&amp;"*"&amp;TEXT(F112-utc_offset/24,"YYYYMMDD")&amp;"*"" /stext="" "&amp;TEXT(F112-utc_offset/24,"HH")&amp;search_regexp&amp;""" /e /r /s"</f>
        <v>"C:\Program Files (x86)\AstroGrep\AstroGrep.exe" /spath="C:\Users\stu\Documents\Analysis\2016-02-23 RTDC Observations" /stypes="*4017*20160706*" /stext=" 22:.+((prompt.+disp)|(slice.+state.+chan)|(ment ac)|(system.+state.+chan)|(\|lc)|(penalty)|(\[timeout))" /e /r /s</v>
      </c>
    </row>
    <row r="113" spans="1:32" x14ac:dyDescent="0.25">
      <c r="A113" s="34" t="s">
        <v>408</v>
      </c>
      <c r="B113" s="64">
        <v>4014</v>
      </c>
      <c r="C113" s="64" t="s">
        <v>60</v>
      </c>
      <c r="D113" s="64" t="s">
        <v>629</v>
      </c>
      <c r="E113" s="70">
        <v>42557.673796296294</v>
      </c>
      <c r="F113" s="70">
        <v>42557.674907407411</v>
      </c>
      <c r="G113" s="71">
        <v>1</v>
      </c>
      <c r="H113" s="70" t="s">
        <v>155</v>
      </c>
      <c r="I113" s="70">
        <v>42557.70417824074</v>
      </c>
      <c r="J113" s="64">
        <v>0</v>
      </c>
      <c r="K113" s="34" t="str">
        <f t="shared" si="12"/>
        <v>4013/4014</v>
      </c>
      <c r="L113" s="34" t="str">
        <f>VLOOKUP(A113,'Trips&amp;Operators'!$C$1:$E$10000,3,FALSE)</f>
        <v>YOUNG</v>
      </c>
      <c r="M113" s="6">
        <f t="shared" si="13"/>
        <v>2.9270833329064772E-2</v>
      </c>
      <c r="N113" s="7">
        <f t="shared" si="14"/>
        <v>42.149999993853271</v>
      </c>
      <c r="O113" s="7"/>
      <c r="P113" s="7"/>
      <c r="Q113" s="35"/>
      <c r="R113" s="35"/>
      <c r="S113" s="54">
        <f t="shared" si="15"/>
        <v>1</v>
      </c>
      <c r="T113" s="108" t="str">
        <f t="shared" si="16"/>
        <v>NorthBound</v>
      </c>
      <c r="U113" s="108">
        <f>COUNTIFS(Variables!$M$2:$M$19,IF(T113="NorthBound","&gt;=","&lt;=")&amp;Y113,Variables!$M$2:$M$19,IF(T113="NorthBound","&lt;=","&gt;=")&amp;Z113)</f>
        <v>12</v>
      </c>
      <c r="V113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16:09:16-0600',mode:absolute,to:'2016-07-06 16:55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3" s="116" t="str">
        <f t="shared" si="18"/>
        <v>N</v>
      </c>
      <c r="X113" s="116">
        <f t="shared" si="19"/>
        <v>1</v>
      </c>
      <c r="Y113" s="116">
        <f t="shared" si="20"/>
        <v>5.5300000000000002E-2</v>
      </c>
      <c r="Z113" s="116">
        <f t="shared" si="21"/>
        <v>23.3309</v>
      </c>
      <c r="AA113" s="116">
        <f t="shared" si="22"/>
        <v>23.275600000000001</v>
      </c>
      <c r="AB113" s="117" t="e">
        <f>VLOOKUP(A113,Enforcements!$C$7:$J$30,8,0)</f>
        <v>#N/A</v>
      </c>
      <c r="AC113" s="117" t="e">
        <f>VLOOKUP(A113,Enforcements!$C$7:$E$30,3,0)</f>
        <v>#N/A</v>
      </c>
      <c r="AD113" s="118" t="str">
        <f t="shared" si="23"/>
        <v>0201-06</v>
      </c>
      <c r="AE113" s="118" t="str">
        <f>"aws s3 cp "&amp;s3_bucket&amp;"/RTDC"&amp;B113&amp;"/"&amp;TEXT(F113,"YYYY-MM-DD")&amp;"/ "&amp;search_path&amp;"\RTDC"&amp;B113&amp;"\"&amp;TEXT(F113,"YYYY-MM-DD")&amp;" --recursive &amp; """&amp;walkandungz&amp;""" "&amp;search_path&amp;"\RTDC"&amp;B113&amp;"\"&amp;TEXT(F113,"YYYY-MM-DD")
&amp;" &amp; "&amp;"aws s3 cp "&amp;s3_bucket&amp;"/RTDC"&amp;B113&amp;"/"&amp;TEXT(F113+1,"YYYY-MM-DD")&amp;"/ "&amp;search_path&amp;"\RTDC"&amp;B113&amp;"\"&amp;TEXT(F113+1,"YYYY-MM-DD")&amp;" --recursive &amp; """&amp;walkandungz&amp;""" "&amp;search_path&amp;"\RTDC"&amp;B113&amp;"\"&amp;TEXT(F113+1,"YYYY-MM-DD")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113" s="118" t="str">
        <f>astrogrep_path&amp;" /spath="&amp;search_path&amp;" /stypes=""*"&amp;B113&amp;"*"&amp;TEXT(F113-utc_offset/24,"YYYYMMDD")&amp;"*"" /stext="" "&amp;TEXT(F113-utc_offset/24,"HH")&amp;search_regexp&amp;""" /e /r /s"</f>
        <v>"C:\Program Files (x86)\AstroGrep\AstroGrep.exe" /spath="C:\Users\stu\Documents\Analysis\2016-02-23 RTDC Observations" /stypes="*4014*20160706*" /stext=" 22:.+((prompt.+disp)|(slice.+state.+chan)|(ment ac)|(system.+state.+chan)|(\|lc)|(penalty)|(\[timeout))" /e /r /s</v>
      </c>
    </row>
    <row r="114" spans="1:32" x14ac:dyDescent="0.25">
      <c r="A114" s="34" t="s">
        <v>374</v>
      </c>
      <c r="B114" s="64">
        <v>4013</v>
      </c>
      <c r="C114" s="64" t="s">
        <v>60</v>
      </c>
      <c r="D114" s="64" t="s">
        <v>630</v>
      </c>
      <c r="E114" s="70">
        <v>42557.728460648148</v>
      </c>
      <c r="F114" s="70">
        <v>42557.72928240741</v>
      </c>
      <c r="G114" s="71">
        <v>1</v>
      </c>
      <c r="H114" s="70" t="s">
        <v>631</v>
      </c>
      <c r="I114" s="70">
        <v>42557.747557870367</v>
      </c>
      <c r="J114" s="64">
        <v>0</v>
      </c>
      <c r="K114" s="34" t="str">
        <f t="shared" si="12"/>
        <v>4013/4014</v>
      </c>
      <c r="L114" s="34" t="str">
        <f>VLOOKUP(A114,'Trips&amp;Operators'!$C$1:$E$10000,3,FALSE)</f>
        <v>YOUNG</v>
      </c>
      <c r="M114" s="6">
        <f t="shared" si="13"/>
        <v>1.8275462956808042E-2</v>
      </c>
      <c r="N114" s="7"/>
      <c r="O114" s="7"/>
      <c r="P114" s="7">
        <f>24*60*SUM($M114:$M115)</f>
        <v>35.799999986775219</v>
      </c>
      <c r="Q114" s="35"/>
      <c r="R114" s="35" t="s">
        <v>145</v>
      </c>
      <c r="S114" s="54">
        <f t="shared" si="15"/>
        <v>1</v>
      </c>
      <c r="T114" s="108" t="str">
        <f t="shared" si="16"/>
        <v>Southbound</v>
      </c>
      <c r="U114" s="108">
        <f>COUNTIFS(Variables!$M$2:$M$19,IF(T114="NorthBound","&gt;=","&lt;=")&amp;Y114,Variables!$M$2:$M$19,IF(T114="NorthBound","&lt;=","&gt;=")&amp;Z114)</f>
        <v>12</v>
      </c>
      <c r="V114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17:27:59-0600',mode:absolute,to:'2016-07-06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4" s="116" t="str">
        <f t="shared" si="18"/>
        <v>Y</v>
      </c>
      <c r="X114" s="116">
        <f t="shared" si="19"/>
        <v>1</v>
      </c>
      <c r="Y114" s="116">
        <f t="shared" si="20"/>
        <v>12.7857</v>
      </c>
      <c r="Z114" s="116">
        <f t="shared" si="21"/>
        <v>1.9800000000000002E-2</v>
      </c>
      <c r="AA114" s="116">
        <f t="shared" si="22"/>
        <v>12.7659</v>
      </c>
      <c r="AB114" s="117" t="e">
        <f>VLOOKUP(A114,Enforcements!$C$7:$J$30,8,0)</f>
        <v>#N/A</v>
      </c>
      <c r="AC114" s="117" t="e">
        <f>VLOOKUP(A114,Enforcements!$C$7:$E$30,3,0)</f>
        <v>#N/A</v>
      </c>
      <c r="AD114" s="118" t="str">
        <f t="shared" si="23"/>
        <v>0202-06</v>
      </c>
      <c r="AE114" s="118" t="str">
        <f>"aws s3 cp "&amp;s3_bucket&amp;"/RTDC"&amp;B114&amp;"/"&amp;TEXT(F114,"YYYY-MM-DD")&amp;"/ "&amp;search_path&amp;"\RTDC"&amp;B114&amp;"\"&amp;TEXT(F114,"YYYY-MM-DD")&amp;" --recursive &amp; """&amp;walkandungz&amp;""" "&amp;search_path&amp;"\RTDC"&amp;B114&amp;"\"&amp;TEXT(F114,"YYYY-MM-DD")
&amp;" &amp; "&amp;"aws s3 cp "&amp;s3_bucket&amp;"/RTDC"&amp;B114&amp;"/"&amp;TEXT(F114+1,"YYYY-MM-DD")&amp;"/ "&amp;search_path&amp;"\RTDC"&amp;B114&amp;"\"&amp;TEXT(F114+1,"YYYY-MM-DD")&amp;" --recursive &amp; """&amp;walkandungz&amp;""" "&amp;search_path&amp;"\RTDC"&amp;B114&amp;"\"&amp;TEXT(F114+1,"YYYY-MM-DD")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14" s="118" t="str">
        <f>astrogrep_path&amp;" /spath="&amp;search_path&amp;" /stypes=""*"&amp;B114&amp;"*"&amp;TEXT(F114-utc_offset/24,"YYYYMMDD")&amp;"*"" /stext="" "&amp;TEXT(F114-utc_offset/24,"HH")&amp;search_regexp&amp;""" /e /r /s"</f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</row>
    <row r="115" spans="1:32" x14ac:dyDescent="0.25">
      <c r="A115" s="34" t="s">
        <v>374</v>
      </c>
      <c r="B115" s="64">
        <v>4013</v>
      </c>
      <c r="C115" s="64" t="s">
        <v>60</v>
      </c>
      <c r="D115" s="64" t="s">
        <v>228</v>
      </c>
      <c r="E115" s="70">
        <v>42557.707708333335</v>
      </c>
      <c r="F115" s="70">
        <v>42557.712997685187</v>
      </c>
      <c r="G115" s="71">
        <v>7</v>
      </c>
      <c r="H115" s="70" t="s">
        <v>632</v>
      </c>
      <c r="I115" s="70">
        <v>42557.719583333332</v>
      </c>
      <c r="J115" s="64">
        <v>1</v>
      </c>
      <c r="K115" s="34" t="str">
        <f t="shared" si="12"/>
        <v>4013/4014</v>
      </c>
      <c r="L115" s="34" t="str">
        <f>VLOOKUP(A115,'Trips&amp;Operators'!$C$1:$E$10000,3,FALSE)</f>
        <v>YOUNG</v>
      </c>
      <c r="M115" s="6">
        <f t="shared" si="13"/>
        <v>6.5856481451191939E-3</v>
      </c>
      <c r="N115" s="7"/>
      <c r="O115" s="7"/>
      <c r="P115" s="7"/>
      <c r="Q115" s="35"/>
      <c r="R115" s="35"/>
      <c r="S115" s="54"/>
      <c r="T115" s="108" t="str">
        <f t="shared" si="16"/>
        <v>Southbound</v>
      </c>
      <c r="U115" s="108">
        <f>COUNTIFS(Variables!$M$2:$M$19,IF(T115="NorthBound","&gt;=","&lt;=")&amp;Y115,Variables!$M$2:$M$19,IF(T115="NorthBound","&lt;=","&gt;=")&amp;Z115)</f>
        <v>0</v>
      </c>
      <c r="V115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16:58:06-0600',mode:absolute,to:'2016-07-06 17:17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5" s="116" t="str">
        <f t="shared" si="18"/>
        <v>Y</v>
      </c>
      <c r="X115" s="116">
        <f t="shared" si="19"/>
        <v>0</v>
      </c>
      <c r="Y115" s="116">
        <f t="shared" si="20"/>
        <v>23.298200000000001</v>
      </c>
      <c r="Z115" s="116">
        <f t="shared" si="21"/>
        <v>23.123899999999999</v>
      </c>
      <c r="AA115" s="116">
        <f t="shared" si="22"/>
        <v>0.17430000000000234</v>
      </c>
      <c r="AB115" s="117" t="e">
        <f>VLOOKUP(A115,Enforcements!$C$7:$J$30,8,0)</f>
        <v>#N/A</v>
      </c>
      <c r="AC115" s="117" t="e">
        <f>VLOOKUP(A115,Enforcements!$C$7:$E$30,3,0)</f>
        <v>#N/A</v>
      </c>
      <c r="AD115" s="118" t="str">
        <f t="shared" si="23"/>
        <v>0202-06</v>
      </c>
      <c r="AE115" s="118" t="str">
        <f>"aws s3 cp "&amp;s3_bucket&amp;"/RTDC"&amp;B115&amp;"/"&amp;TEXT(F115,"YYYY-MM-DD")&amp;"/ "&amp;search_path&amp;"\RTDC"&amp;B115&amp;"\"&amp;TEXT(F115,"YYYY-MM-DD")&amp;" --recursive &amp; """&amp;walkandungz&amp;""" "&amp;search_path&amp;"\RTDC"&amp;B115&amp;"\"&amp;TEXT(F115,"YYYY-MM-DD")
&amp;" &amp; "&amp;"aws s3 cp "&amp;s3_bucket&amp;"/RTDC"&amp;B115&amp;"/"&amp;TEXT(F115+1,"YYYY-MM-DD")&amp;"/ "&amp;search_path&amp;"\RTDC"&amp;B115&amp;"\"&amp;TEXT(F115+1,"YYYY-MM-DD")&amp;" --recursive &amp; """&amp;walkandungz&amp;""" "&amp;search_path&amp;"\RTDC"&amp;B115&amp;"\"&amp;TEXT(F115+1,"YYYY-MM-DD")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15" s="118" t="str">
        <f>astrogrep_path&amp;" /spath="&amp;search_path&amp;" /stypes=""*"&amp;B115&amp;"*"&amp;TEXT(F115-utc_offset/24,"YYYYMMDD")&amp;"*"" /stext="" "&amp;TEXT(F115-utc_offset/24,"HH")&amp;search_regexp&amp;""" /e /r /s"</f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</row>
    <row r="116" spans="1:32" x14ac:dyDescent="0.25">
      <c r="A116" s="34" t="s">
        <v>404</v>
      </c>
      <c r="B116" s="64">
        <v>4025</v>
      </c>
      <c r="C116" s="64" t="s">
        <v>60</v>
      </c>
      <c r="D116" s="64" t="s">
        <v>294</v>
      </c>
      <c r="E116" s="70">
        <v>42557.68346064815</v>
      </c>
      <c r="F116" s="70">
        <v>42557.684537037036</v>
      </c>
      <c r="G116" s="71">
        <v>1</v>
      </c>
      <c r="H116" s="70" t="s">
        <v>633</v>
      </c>
      <c r="I116" s="70">
        <v>42557.712118055555</v>
      </c>
      <c r="J116" s="64">
        <v>0</v>
      </c>
      <c r="K116" s="34" t="str">
        <f t="shared" si="12"/>
        <v>4025/4026</v>
      </c>
      <c r="L116" s="34" t="str">
        <f>VLOOKUP(A116,'Trips&amp;Operators'!$C$1:$E$10000,3,FALSE)</f>
        <v>STAMBAUGH</v>
      </c>
      <c r="M116" s="6">
        <f t="shared" si="13"/>
        <v>2.7581018519413192E-2</v>
      </c>
      <c r="N116" s="7">
        <f t="shared" si="14"/>
        <v>39.716666667954996</v>
      </c>
      <c r="O116" s="7"/>
      <c r="P116" s="7"/>
      <c r="Q116" s="35"/>
      <c r="R116" s="35"/>
      <c r="S116" s="54">
        <f t="shared" si="15"/>
        <v>1</v>
      </c>
      <c r="T116" s="108" t="str">
        <f t="shared" si="16"/>
        <v>NorthBound</v>
      </c>
      <c r="U116" s="108">
        <f>COUNTIFS(Variables!$M$2:$M$19,IF(T116="NorthBound","&gt;=","&lt;=")&amp;Y116,Variables!$M$2:$M$19,IF(T116="NorthBound","&lt;=","&gt;=")&amp;Z116)</f>
        <v>12</v>
      </c>
      <c r="V116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16:23:11-0600',mode:absolute,to:'2016-07-06 17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116" t="str">
        <f t="shared" si="18"/>
        <v>N</v>
      </c>
      <c r="X116" s="116">
        <f t="shared" si="19"/>
        <v>1</v>
      </c>
      <c r="Y116" s="116">
        <f t="shared" si="20"/>
        <v>4.3799999999999999E-2</v>
      </c>
      <c r="Z116" s="116">
        <f t="shared" si="21"/>
        <v>23.329799999999999</v>
      </c>
      <c r="AA116" s="116">
        <f t="shared" si="22"/>
        <v>23.285999999999998</v>
      </c>
      <c r="AB116" s="117" t="e">
        <f>VLOOKUP(A116,Enforcements!$C$7:$J$30,8,0)</f>
        <v>#N/A</v>
      </c>
      <c r="AC116" s="117" t="e">
        <f>VLOOKUP(A116,Enforcements!$C$7:$E$30,3,0)</f>
        <v>#N/A</v>
      </c>
      <c r="AD116" s="118" t="str">
        <f t="shared" si="23"/>
        <v>0203-06</v>
      </c>
      <c r="AE116" s="118" t="str">
        <f>"aws s3 cp "&amp;s3_bucket&amp;"/RTDC"&amp;B116&amp;"/"&amp;TEXT(F116,"YYYY-MM-DD")&amp;"/ "&amp;search_path&amp;"\RTDC"&amp;B116&amp;"\"&amp;TEXT(F116,"YYYY-MM-DD")&amp;" --recursive &amp; """&amp;walkandungz&amp;""" "&amp;search_path&amp;"\RTDC"&amp;B116&amp;"\"&amp;TEXT(F116,"YYYY-MM-DD")
&amp;" &amp; "&amp;"aws s3 cp "&amp;s3_bucket&amp;"/RTDC"&amp;B116&amp;"/"&amp;TEXT(F116+1,"YYYY-MM-DD")&amp;"/ "&amp;search_path&amp;"\RTDC"&amp;B116&amp;"\"&amp;TEXT(F116+1,"YYYY-MM-DD")&amp;" --recursive &amp; """&amp;walkandungz&amp;""" "&amp;search_path&amp;"\RTDC"&amp;B116&amp;"\"&amp;TEXT(F116+1,"YYYY-MM-DD")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16" s="118" t="str">
        <f>astrogrep_path&amp;" /spath="&amp;search_path&amp;" /stypes=""*"&amp;B116&amp;"*"&amp;TEXT(F116-utc_offset/24,"YYYYMMDD")&amp;"*"" /stext="" "&amp;TEXT(F116-utc_offset/24,"HH")&amp;search_regexp&amp;""" /e /r /s"</f>
        <v>"C:\Program Files (x86)\AstroGrep\AstroGrep.exe" /spath="C:\Users\stu\Documents\Analysis\2016-02-23 RTDC Observations" /stypes="*4025*20160706*" /stext=" 22:.+((prompt.+disp)|(slice.+state.+chan)|(ment ac)|(system.+state.+chan)|(\|lc)|(penalty)|(\[timeout))" /e /r /s</v>
      </c>
    </row>
    <row r="117" spans="1:32" x14ac:dyDescent="0.25">
      <c r="A117" s="34" t="s">
        <v>438</v>
      </c>
      <c r="B117" s="64">
        <v>4026</v>
      </c>
      <c r="C117" s="64" t="s">
        <v>60</v>
      </c>
      <c r="D117" s="64" t="s">
        <v>562</v>
      </c>
      <c r="E117" s="70">
        <v>42557.724178240744</v>
      </c>
      <c r="F117" s="70">
        <v>42557.725127314814</v>
      </c>
      <c r="G117" s="71">
        <v>1</v>
      </c>
      <c r="H117" s="70" t="s">
        <v>129</v>
      </c>
      <c r="I117" s="70">
        <v>42557.751932870371</v>
      </c>
      <c r="J117" s="64">
        <v>0</v>
      </c>
      <c r="K117" s="34" t="str">
        <f t="shared" si="12"/>
        <v>4025/4026</v>
      </c>
      <c r="L117" s="34" t="str">
        <f>VLOOKUP(A117,'Trips&amp;Operators'!$C$1:$E$10000,3,FALSE)</f>
        <v>STAMBAUGH</v>
      </c>
      <c r="M117" s="6">
        <f t="shared" si="13"/>
        <v>2.6805555557075422E-2</v>
      </c>
      <c r="N117" s="7">
        <f t="shared" si="14"/>
        <v>38.600000002188608</v>
      </c>
      <c r="O117" s="7"/>
      <c r="P117" s="7"/>
      <c r="Q117" s="35"/>
      <c r="R117" s="35"/>
      <c r="S117" s="54">
        <f t="shared" si="15"/>
        <v>1</v>
      </c>
      <c r="T117" s="108" t="str">
        <f t="shared" si="16"/>
        <v>Southbound</v>
      </c>
      <c r="U117" s="108">
        <f>COUNTIFS(Variables!$M$2:$M$19,IF(T117="NorthBound","&gt;=","&lt;=")&amp;Y117,Variables!$M$2:$M$19,IF(T117="NorthBound","&lt;=","&gt;=")&amp;Z117)</f>
        <v>12</v>
      </c>
      <c r="V117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17:21:49-0600',mode:absolute,to:'2016-07-06 18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116" t="str">
        <f t="shared" si="18"/>
        <v>N</v>
      </c>
      <c r="X117" s="116">
        <f t="shared" si="19"/>
        <v>1</v>
      </c>
      <c r="Y117" s="116">
        <f t="shared" si="20"/>
        <v>23.298100000000002</v>
      </c>
      <c r="Z117" s="116">
        <f t="shared" si="21"/>
        <v>1.54E-2</v>
      </c>
      <c r="AA117" s="116">
        <f t="shared" si="22"/>
        <v>23.282700000000002</v>
      </c>
      <c r="AB117" s="117" t="e">
        <f>VLOOKUP(A117,Enforcements!$C$7:$J$30,8,0)</f>
        <v>#N/A</v>
      </c>
      <c r="AC117" s="117" t="e">
        <f>VLOOKUP(A117,Enforcements!$C$7:$E$30,3,0)</f>
        <v>#N/A</v>
      </c>
      <c r="AD117" s="118" t="str">
        <f t="shared" si="23"/>
        <v>0204-06</v>
      </c>
      <c r="AE117" s="118" t="str">
        <f>"aws s3 cp "&amp;s3_bucket&amp;"/RTDC"&amp;B117&amp;"/"&amp;TEXT(F117,"YYYY-MM-DD")&amp;"/ "&amp;search_path&amp;"\RTDC"&amp;B117&amp;"\"&amp;TEXT(F117,"YYYY-MM-DD")&amp;" --recursive &amp; """&amp;walkandungz&amp;""" "&amp;search_path&amp;"\RTDC"&amp;B117&amp;"\"&amp;TEXT(F117,"YYYY-MM-DD")
&amp;" &amp; "&amp;"aws s3 cp "&amp;s3_bucket&amp;"/RTDC"&amp;B117&amp;"/"&amp;TEXT(F117+1,"YYYY-MM-DD")&amp;"/ "&amp;search_path&amp;"\RTDC"&amp;B117&amp;"\"&amp;TEXT(F117+1,"YYYY-MM-DD")&amp;" --recursive &amp; """&amp;walkandungz&amp;""" "&amp;search_path&amp;"\RTDC"&amp;B117&amp;"\"&amp;TEXT(F117+1,"YYYY-MM-DD")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17" s="118" t="str">
        <f>astrogrep_path&amp;" /spath="&amp;search_path&amp;" /stypes=""*"&amp;B117&amp;"*"&amp;TEXT(F117-utc_offset/24,"YYYYMMDD")&amp;"*"" /stext="" "&amp;TEXT(F117-utc_offset/24,"HH")&amp;search_regexp&amp;""" /e /r /s"</f>
        <v>"C:\Program Files (x86)\AstroGrep\AstroGrep.exe" /spath="C:\Users\stu\Documents\Analysis\2016-02-23 RTDC Observations" /stypes="*4026*20160706*" /stext=" 23:.+((prompt.+disp)|(slice.+state.+chan)|(ment ac)|(system.+state.+chan)|(\|lc)|(penalty)|(\[timeout))" /e /r /s</v>
      </c>
    </row>
    <row r="118" spans="1:32" x14ac:dyDescent="0.25">
      <c r="A118" s="34" t="s">
        <v>530</v>
      </c>
      <c r="B118" s="64">
        <v>4040</v>
      </c>
      <c r="C118" s="64" t="s">
        <v>60</v>
      </c>
      <c r="D118" s="64" t="s">
        <v>293</v>
      </c>
      <c r="E118" s="70">
        <v>42557.691331018519</v>
      </c>
      <c r="F118" s="70">
        <v>42557.692499999997</v>
      </c>
      <c r="G118" s="71">
        <v>1</v>
      </c>
      <c r="H118" s="70" t="s">
        <v>634</v>
      </c>
      <c r="I118" s="70">
        <v>42557.723321759258</v>
      </c>
      <c r="J118" s="64">
        <v>0</v>
      </c>
      <c r="K118" s="34" t="str">
        <f t="shared" si="12"/>
        <v>4039/4040</v>
      </c>
      <c r="L118" s="34" t="str">
        <f>VLOOKUP(A118,'Trips&amp;Operators'!$C$1:$E$10000,3,FALSE)</f>
        <v>SHOOK</v>
      </c>
      <c r="M118" s="6">
        <f t="shared" si="13"/>
        <v>3.0821759261016268E-2</v>
      </c>
      <c r="N118" s="7">
        <f t="shared" si="14"/>
        <v>44.383333335863426</v>
      </c>
      <c r="O118" s="7"/>
      <c r="P118" s="7"/>
      <c r="Q118" s="35"/>
      <c r="R118" s="35"/>
      <c r="S118" s="54">
        <f t="shared" si="15"/>
        <v>1</v>
      </c>
      <c r="T118" s="108" t="str">
        <f t="shared" si="16"/>
        <v>NorthBound</v>
      </c>
      <c r="U118" s="108">
        <f>COUNTIFS(Variables!$M$2:$M$19,IF(T118="NorthBound","&gt;=","&lt;=")&amp;Y118,Variables!$M$2:$M$19,IF(T118="NorthBound","&lt;=","&gt;=")&amp;Z118)</f>
        <v>12</v>
      </c>
      <c r="V118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16:34:31-0600',mode:absolute,to:'2016-07-06 17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8" s="116" t="str">
        <f t="shared" si="18"/>
        <v>N</v>
      </c>
      <c r="X118" s="116">
        <f t="shared" si="19"/>
        <v>1</v>
      </c>
      <c r="Y118" s="116">
        <f t="shared" si="20"/>
        <v>4.82E-2</v>
      </c>
      <c r="Z118" s="116">
        <f t="shared" si="21"/>
        <v>23.3322</v>
      </c>
      <c r="AA118" s="116">
        <f t="shared" si="22"/>
        <v>23.283999999999999</v>
      </c>
      <c r="AB118" s="117" t="e">
        <f>VLOOKUP(A118,Enforcements!$C$7:$J$30,8,0)</f>
        <v>#N/A</v>
      </c>
      <c r="AC118" s="117" t="e">
        <f>VLOOKUP(A118,Enforcements!$C$7:$E$30,3,0)</f>
        <v>#N/A</v>
      </c>
      <c r="AD118" s="118" t="str">
        <f t="shared" si="23"/>
        <v>0205-06</v>
      </c>
      <c r="AE118" s="118" t="str">
        <f>"aws s3 cp "&amp;s3_bucket&amp;"/RTDC"&amp;B118&amp;"/"&amp;TEXT(F118,"YYYY-MM-DD")&amp;"/ "&amp;search_path&amp;"\RTDC"&amp;B118&amp;"\"&amp;TEXT(F118,"YYYY-MM-DD")&amp;" --recursive &amp; """&amp;walkandungz&amp;""" "&amp;search_path&amp;"\RTDC"&amp;B118&amp;"\"&amp;TEXT(F118,"YYYY-MM-DD")
&amp;" &amp; "&amp;"aws s3 cp "&amp;s3_bucket&amp;"/RTDC"&amp;B118&amp;"/"&amp;TEXT(F118+1,"YYYY-MM-DD")&amp;"/ "&amp;search_path&amp;"\RTDC"&amp;B118&amp;"\"&amp;TEXT(F118+1,"YYYY-MM-DD")&amp;" --recursive &amp; """&amp;walkandungz&amp;""" "&amp;search_path&amp;"\RTDC"&amp;B118&amp;"\"&amp;TEXT(F118+1,"YYYY-MM-DD")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18" s="118" t="str">
        <f>astrogrep_path&amp;" /spath="&amp;search_path&amp;" /stypes=""*"&amp;B118&amp;"*"&amp;TEXT(F118-utc_offset/24,"YYYYMMDD")&amp;"*"" /stext="" "&amp;TEXT(F118-utc_offset/24,"HH")&amp;search_regexp&amp;""" /e /r /s"</f>
        <v>"C:\Program Files (x86)\AstroGrep\AstroGrep.exe" /spath="C:\Users\stu\Documents\Analysis\2016-02-23 RTDC Observations" /stypes="*4040*20160706*" /stext=" 22:.+((prompt.+disp)|(slice.+state.+chan)|(ment ac)|(system.+state.+chan)|(\|lc)|(penalty)|(\[timeout))" /e /r /s</v>
      </c>
    </row>
    <row r="119" spans="1:32" x14ac:dyDescent="0.25">
      <c r="A119" s="34" t="s">
        <v>451</v>
      </c>
      <c r="B119" s="64">
        <v>4039</v>
      </c>
      <c r="C119" s="64" t="s">
        <v>60</v>
      </c>
      <c r="D119" s="64" t="s">
        <v>635</v>
      </c>
      <c r="E119" s="70">
        <v>42557.728958333333</v>
      </c>
      <c r="F119" s="70">
        <v>42557.729953703703</v>
      </c>
      <c r="G119" s="71">
        <v>1</v>
      </c>
      <c r="H119" s="70" t="s">
        <v>306</v>
      </c>
      <c r="I119" s="70">
        <v>42557.765185185184</v>
      </c>
      <c r="J119" s="64">
        <v>0</v>
      </c>
      <c r="K119" s="34" t="str">
        <f t="shared" si="12"/>
        <v>4039/4040</v>
      </c>
      <c r="L119" s="34" t="str">
        <f>VLOOKUP(A119,'Trips&amp;Operators'!$C$1:$E$10000,3,FALSE)</f>
        <v>SHOOK</v>
      </c>
      <c r="M119" s="6">
        <f t="shared" si="13"/>
        <v>3.5231481480877846E-2</v>
      </c>
      <c r="N119" s="7">
        <f t="shared" si="14"/>
        <v>50.733333332464099</v>
      </c>
      <c r="O119" s="7"/>
      <c r="P119" s="7"/>
      <c r="Q119" s="35"/>
      <c r="R119" s="35"/>
      <c r="S119" s="54">
        <f t="shared" si="15"/>
        <v>1</v>
      </c>
      <c r="T119" s="108" t="str">
        <f t="shared" si="16"/>
        <v>Southbound</v>
      </c>
      <c r="U119" s="108">
        <f>COUNTIFS(Variables!$M$2:$M$19,IF(T119="NorthBound","&gt;=","&lt;=")&amp;Y119,Variables!$M$2:$M$19,IF(T119="NorthBound","&lt;=","&gt;=")&amp;Z119)</f>
        <v>12</v>
      </c>
      <c r="V119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17:28:42-0600',mode:absolute,to:'2016-07-06 18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9" s="116" t="str">
        <f t="shared" si="18"/>
        <v>N</v>
      </c>
      <c r="X119" s="116">
        <f t="shared" si="19"/>
        <v>1</v>
      </c>
      <c r="Y119" s="116">
        <f t="shared" si="20"/>
        <v>23.302099999999999</v>
      </c>
      <c r="Z119" s="116">
        <f t="shared" si="21"/>
        <v>1.7399999999999999E-2</v>
      </c>
      <c r="AA119" s="116">
        <f t="shared" si="22"/>
        <v>23.284700000000001</v>
      </c>
      <c r="AB119" s="117" t="e">
        <f>VLOOKUP(A119,Enforcements!$C$7:$J$30,8,0)</f>
        <v>#N/A</v>
      </c>
      <c r="AC119" s="117" t="e">
        <f>VLOOKUP(A119,Enforcements!$C$7:$E$30,3,0)</f>
        <v>#N/A</v>
      </c>
      <c r="AD119" s="118" t="str">
        <f t="shared" si="23"/>
        <v>0206-06</v>
      </c>
      <c r="AE119" s="118" t="str">
        <f>"aws s3 cp "&amp;s3_bucket&amp;"/RTDC"&amp;B119&amp;"/"&amp;TEXT(F119,"YYYY-MM-DD")&amp;"/ "&amp;search_path&amp;"\RTDC"&amp;B119&amp;"\"&amp;TEXT(F119,"YYYY-MM-DD")&amp;" --recursive &amp; """&amp;walkandungz&amp;""" "&amp;search_path&amp;"\RTDC"&amp;B119&amp;"\"&amp;TEXT(F119,"YYYY-MM-DD")
&amp;" &amp; "&amp;"aws s3 cp "&amp;s3_bucket&amp;"/RTDC"&amp;B119&amp;"/"&amp;TEXT(F119+1,"YYYY-MM-DD")&amp;"/ "&amp;search_path&amp;"\RTDC"&amp;B119&amp;"\"&amp;TEXT(F119+1,"YYYY-MM-DD")&amp;" --recursive &amp; """&amp;walkandungz&amp;""" "&amp;search_path&amp;"\RTDC"&amp;B119&amp;"\"&amp;TEXT(F119+1,"YYYY-MM-DD")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19" s="118" t="str">
        <f>astrogrep_path&amp;" /spath="&amp;search_path&amp;" /stypes=""*"&amp;B119&amp;"*"&amp;TEXT(F119-utc_offset/24,"YYYYMMDD")&amp;"*"" /stext="" "&amp;TEXT(F119-utc_offset/24,"HH")&amp;search_regexp&amp;""" /e /r /s"</f>
        <v>"C:\Program Files (x86)\AstroGrep\AstroGrep.exe" /spath="C:\Users\stu\Documents\Analysis\2016-02-23 RTDC Observations" /stypes="*4039*20160706*" /stext=" 23:.+((prompt.+disp)|(slice.+state.+chan)|(ment ac)|(system.+state.+chan)|(\|lc)|(penalty)|(\[timeout))" /e /r /s</v>
      </c>
    </row>
    <row r="120" spans="1:32" x14ac:dyDescent="0.25">
      <c r="A120" s="34" t="s">
        <v>465</v>
      </c>
      <c r="B120" s="64">
        <v>4031</v>
      </c>
      <c r="C120" s="64" t="s">
        <v>60</v>
      </c>
      <c r="D120" s="64" t="s">
        <v>289</v>
      </c>
      <c r="E120" s="70">
        <v>42557.704421296294</v>
      </c>
      <c r="F120" s="70">
        <v>42557.705706018518</v>
      </c>
      <c r="G120" s="71">
        <v>1</v>
      </c>
      <c r="H120" s="70" t="s">
        <v>285</v>
      </c>
      <c r="I120" s="70">
        <v>42557.733773148146</v>
      </c>
      <c r="J120" s="64">
        <v>0</v>
      </c>
      <c r="K120" s="34" t="str">
        <f t="shared" si="12"/>
        <v>4031/4032</v>
      </c>
      <c r="L120" s="34" t="str">
        <f>VLOOKUP(A120,'Trips&amp;Operators'!$C$1:$E$10000,3,FALSE)</f>
        <v>COOLAHAN</v>
      </c>
      <c r="M120" s="6">
        <f t="shared" si="13"/>
        <v>2.806712962774327E-2</v>
      </c>
      <c r="N120" s="7">
        <f t="shared" si="14"/>
        <v>40.416666663950309</v>
      </c>
      <c r="O120" s="7"/>
      <c r="P120" s="7"/>
      <c r="Q120" s="35"/>
      <c r="R120" s="35"/>
      <c r="S120" s="54">
        <f t="shared" si="15"/>
        <v>1</v>
      </c>
      <c r="T120" s="108" t="str">
        <f t="shared" si="16"/>
        <v>NorthBound</v>
      </c>
      <c r="U120" s="108">
        <f>COUNTIFS(Variables!$M$2:$M$19,IF(T120="NorthBound","&gt;=","&lt;=")&amp;Y120,Variables!$M$2:$M$19,IF(T120="NorthBound","&lt;=","&gt;=")&amp;Z120)</f>
        <v>12</v>
      </c>
      <c r="V120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16:53:22-0600',mode:absolute,to:'2016-07-06 17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0" s="116" t="str">
        <f t="shared" si="18"/>
        <v>N</v>
      </c>
      <c r="X120" s="116">
        <f t="shared" si="19"/>
        <v>1</v>
      </c>
      <c r="Y120" s="116">
        <f t="shared" si="20"/>
        <v>4.3700000000000003E-2</v>
      </c>
      <c r="Z120" s="116">
        <f t="shared" si="21"/>
        <v>23.328299999999999</v>
      </c>
      <c r="AA120" s="116">
        <f t="shared" si="22"/>
        <v>23.284599999999998</v>
      </c>
      <c r="AB120" s="117" t="e">
        <f>VLOOKUP(A120,Enforcements!$C$7:$J$30,8,0)</f>
        <v>#N/A</v>
      </c>
      <c r="AC120" s="117" t="e">
        <f>VLOOKUP(A120,Enforcements!$C$7:$E$30,3,0)</f>
        <v>#N/A</v>
      </c>
      <c r="AD120" s="118" t="str">
        <f t="shared" si="23"/>
        <v>0207-06</v>
      </c>
      <c r="AE120" s="118" t="str">
        <f>"aws s3 cp "&amp;s3_bucket&amp;"/RTDC"&amp;B120&amp;"/"&amp;TEXT(F120,"YYYY-MM-DD")&amp;"/ "&amp;search_path&amp;"\RTDC"&amp;B120&amp;"\"&amp;TEXT(F120,"YYYY-MM-DD")&amp;" --recursive &amp; """&amp;walkandungz&amp;""" "&amp;search_path&amp;"\RTDC"&amp;B120&amp;"\"&amp;TEXT(F120,"YYYY-MM-DD")
&amp;" &amp; "&amp;"aws s3 cp "&amp;s3_bucket&amp;"/RTDC"&amp;B120&amp;"/"&amp;TEXT(F120+1,"YYYY-MM-DD")&amp;"/ "&amp;search_path&amp;"\RTDC"&amp;B120&amp;"\"&amp;TEXT(F120+1,"YYYY-MM-DD")&amp;" --recursive &amp; """&amp;walkandungz&amp;""" "&amp;search_path&amp;"\RTDC"&amp;B120&amp;"\"&amp;TEXT(F120+1,"YYYY-MM-DD")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20" s="118" t="str">
        <f>astrogrep_path&amp;" /spath="&amp;search_path&amp;" /stypes=""*"&amp;B120&amp;"*"&amp;TEXT(F120-utc_offset/24,"YYYYMMDD")&amp;"*"" /stext="" "&amp;TEXT(F120-utc_offset/24,"HH")&amp;search_regexp&amp;""" /e /r /s"</f>
        <v>"C:\Program Files (x86)\AstroGrep\AstroGrep.exe" /spath="C:\Users\stu\Documents\Analysis\2016-02-23 RTDC Observations" /stypes="*4031*20160706*" /stext=" 22:.+((prompt.+disp)|(slice.+state.+chan)|(ment ac)|(system.+state.+chan)|(\|lc)|(penalty)|(\[timeout))" /e /r /s</v>
      </c>
    </row>
    <row r="121" spans="1:32" x14ac:dyDescent="0.25">
      <c r="A121" s="34" t="s">
        <v>501</v>
      </c>
      <c r="B121" s="64">
        <v>4032</v>
      </c>
      <c r="C121" s="64" t="s">
        <v>60</v>
      </c>
      <c r="D121" s="64" t="s">
        <v>226</v>
      </c>
      <c r="E121" s="70">
        <v>42557.742418981485</v>
      </c>
      <c r="F121" s="70">
        <v>42557.743356481478</v>
      </c>
      <c r="G121" s="71">
        <v>1</v>
      </c>
      <c r="H121" s="70" t="s">
        <v>62</v>
      </c>
      <c r="I121" s="70">
        <v>42557.775821759256</v>
      </c>
      <c r="J121" s="64">
        <v>0</v>
      </c>
      <c r="K121" s="34" t="str">
        <f t="shared" si="12"/>
        <v>4031/4032</v>
      </c>
      <c r="L121" s="34" t="str">
        <f>VLOOKUP(A121,'Trips&amp;Operators'!$C$1:$E$10000,3,FALSE)</f>
        <v>COOLAHAN</v>
      </c>
      <c r="M121" s="6">
        <f t="shared" si="13"/>
        <v>3.2465277778101154E-2</v>
      </c>
      <c r="N121" s="7">
        <f t="shared" si="14"/>
        <v>46.750000000465661</v>
      </c>
      <c r="O121" s="7"/>
      <c r="P121" s="7"/>
      <c r="Q121" s="35"/>
      <c r="R121" s="35"/>
      <c r="S121" s="54">
        <f t="shared" si="15"/>
        <v>1</v>
      </c>
      <c r="T121" s="108" t="str">
        <f t="shared" si="16"/>
        <v>Southbound</v>
      </c>
      <c r="U121" s="108">
        <f>COUNTIFS(Variables!$M$2:$M$19,IF(T121="NorthBound","&gt;=","&lt;=")&amp;Y121,Variables!$M$2:$M$19,IF(T121="NorthBound","&lt;=","&gt;=")&amp;Z121)</f>
        <v>12</v>
      </c>
      <c r="V121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17:48:05-0600',mode:absolute,to:'2016-07-06 18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1" s="116" t="str">
        <f t="shared" si="18"/>
        <v>N</v>
      </c>
      <c r="X121" s="116">
        <f t="shared" si="19"/>
        <v>1</v>
      </c>
      <c r="Y121" s="116">
        <f t="shared" si="20"/>
        <v>23.301500000000001</v>
      </c>
      <c r="Z121" s="116">
        <f t="shared" si="21"/>
        <v>1.52E-2</v>
      </c>
      <c r="AA121" s="116">
        <f t="shared" si="22"/>
        <v>23.286300000000001</v>
      </c>
      <c r="AB121" s="117" t="e">
        <f>VLOOKUP(A121,Enforcements!$C$7:$J$30,8,0)</f>
        <v>#N/A</v>
      </c>
      <c r="AC121" s="117" t="e">
        <f>VLOOKUP(A121,Enforcements!$C$7:$E$30,3,0)</f>
        <v>#N/A</v>
      </c>
      <c r="AD121" s="118" t="str">
        <f t="shared" si="23"/>
        <v>0208-06</v>
      </c>
      <c r="AE121" s="118" t="str">
        <f>"aws s3 cp "&amp;s3_bucket&amp;"/RTDC"&amp;B121&amp;"/"&amp;TEXT(F121,"YYYY-MM-DD")&amp;"/ "&amp;search_path&amp;"\RTDC"&amp;B121&amp;"\"&amp;TEXT(F121,"YYYY-MM-DD")&amp;" --recursive &amp; """&amp;walkandungz&amp;""" "&amp;search_path&amp;"\RTDC"&amp;B121&amp;"\"&amp;TEXT(F121,"YYYY-MM-DD")
&amp;" &amp; "&amp;"aws s3 cp "&amp;s3_bucket&amp;"/RTDC"&amp;B121&amp;"/"&amp;TEXT(F121+1,"YYYY-MM-DD")&amp;"/ "&amp;search_path&amp;"\RTDC"&amp;B121&amp;"\"&amp;TEXT(F121+1,"YYYY-MM-DD")&amp;" --recursive &amp; """&amp;walkandungz&amp;""" "&amp;search_path&amp;"\RTDC"&amp;B121&amp;"\"&amp;TEXT(F121+1,"YYYY-MM-DD")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21" s="118" t="str">
        <f>astrogrep_path&amp;" /spath="&amp;search_path&amp;" /stypes=""*"&amp;B121&amp;"*"&amp;TEXT(F121-utc_offset/24,"YYYYMMDD")&amp;"*"" /stext="" "&amp;TEXT(F121-utc_offset/24,"HH")&amp;search_regexp&amp;""" /e /r /s"</f>
        <v>"C:\Program Files (x86)\AstroGrep\AstroGrep.exe" /spath="C:\Users\stu\Documents\Analysis\2016-02-23 RTDC Observations" /stypes="*4032*20160706*" /stext=" 23:.+((prompt.+disp)|(slice.+state.+chan)|(ment ac)|(system.+state.+chan)|(\|lc)|(penalty)|(\[timeout))" /e /r /s</v>
      </c>
    </row>
    <row r="122" spans="1:32" x14ac:dyDescent="0.25">
      <c r="A122" s="34" t="s">
        <v>529</v>
      </c>
      <c r="B122" s="64">
        <v>4011</v>
      </c>
      <c r="C122" s="64" t="s">
        <v>60</v>
      </c>
      <c r="D122" s="64" t="s">
        <v>282</v>
      </c>
      <c r="E122" s="70">
        <v>42557.714120370372</v>
      </c>
      <c r="F122" s="70">
        <v>42557.715601851851</v>
      </c>
      <c r="G122" s="71">
        <v>2</v>
      </c>
      <c r="H122" s="70" t="s">
        <v>297</v>
      </c>
      <c r="I122" s="70">
        <v>42557.744641203702</v>
      </c>
      <c r="J122" s="64">
        <v>0</v>
      </c>
      <c r="K122" s="34" t="str">
        <f t="shared" si="12"/>
        <v>4011/4012</v>
      </c>
      <c r="L122" s="34" t="str">
        <f>VLOOKUP(A122,'Trips&amp;Operators'!$C$1:$E$10000,3,FALSE)</f>
        <v>BARTLETT</v>
      </c>
      <c r="M122" s="6">
        <f t="shared" si="13"/>
        <v>2.9039351851679385E-2</v>
      </c>
      <c r="N122" s="7">
        <f t="shared" si="14"/>
        <v>41.816666666418314</v>
      </c>
      <c r="O122" s="7"/>
      <c r="P122" s="7"/>
      <c r="Q122" s="35"/>
      <c r="R122" s="35"/>
      <c r="S122" s="54">
        <f t="shared" si="15"/>
        <v>1</v>
      </c>
      <c r="T122" s="108" t="str">
        <f t="shared" si="16"/>
        <v>NorthBound</v>
      </c>
      <c r="U122" s="108">
        <f>COUNTIFS(Variables!$M$2:$M$19,IF(T122="NorthBound","&gt;=","&lt;=")&amp;Y122,Variables!$M$2:$M$19,IF(T122="NorthBound","&lt;=","&gt;=")&amp;Z122)</f>
        <v>12</v>
      </c>
      <c r="V122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17:07:20-0600',mode:absolute,to:'2016-07-06 17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2" s="116" t="str">
        <f t="shared" si="18"/>
        <v>N</v>
      </c>
      <c r="X122" s="116">
        <f t="shared" si="19"/>
        <v>1</v>
      </c>
      <c r="Y122" s="116">
        <f t="shared" si="20"/>
        <v>4.3999999999999997E-2</v>
      </c>
      <c r="Z122" s="116">
        <f t="shared" si="21"/>
        <v>23.330500000000001</v>
      </c>
      <c r="AA122" s="116">
        <f t="shared" si="22"/>
        <v>23.2865</v>
      </c>
      <c r="AB122" s="117" t="e">
        <f>VLOOKUP(A122,Enforcements!$C$7:$J$30,8,0)</f>
        <v>#N/A</v>
      </c>
      <c r="AC122" s="117" t="e">
        <f>VLOOKUP(A122,Enforcements!$C$7:$E$30,3,0)</f>
        <v>#N/A</v>
      </c>
      <c r="AD122" s="118" t="str">
        <f t="shared" si="23"/>
        <v>0209-06</v>
      </c>
      <c r="AE122" s="118" t="str">
        <f>"aws s3 cp "&amp;s3_bucket&amp;"/RTDC"&amp;B122&amp;"/"&amp;TEXT(F122,"YYYY-MM-DD")&amp;"/ "&amp;search_path&amp;"\RTDC"&amp;B122&amp;"\"&amp;TEXT(F122,"YYYY-MM-DD")&amp;" --recursive &amp; """&amp;walkandungz&amp;""" "&amp;search_path&amp;"\RTDC"&amp;B122&amp;"\"&amp;TEXT(F122,"YYYY-MM-DD")
&amp;" &amp; "&amp;"aws s3 cp "&amp;s3_bucket&amp;"/RTDC"&amp;B122&amp;"/"&amp;TEXT(F122+1,"YYYY-MM-DD")&amp;"/ "&amp;search_path&amp;"\RTDC"&amp;B122&amp;"\"&amp;TEXT(F122+1,"YYYY-MM-DD")&amp;" --recursive &amp; """&amp;walkandungz&amp;""" "&amp;search_path&amp;"\RTDC"&amp;B122&amp;"\"&amp;TEXT(F122+1,"YYYY-MM-DD")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22" s="118" t="str">
        <f>astrogrep_path&amp;" /spath="&amp;search_path&amp;" /stypes=""*"&amp;B122&amp;"*"&amp;TEXT(F122-utc_offset/24,"YYYYMMDD")&amp;"*"" /stext="" "&amp;TEXT(F122-utc_offset/24,"HH")&amp;search_regexp&amp;""" /e /r /s"</f>
        <v>"C:\Program Files (x86)\AstroGrep\AstroGrep.exe" /spath="C:\Users\stu\Documents\Analysis\2016-02-23 RTDC Observations" /stypes="*4011*20160706*" /stext=" 23:.+((prompt.+disp)|(slice.+state.+chan)|(ment ac)|(system.+state.+chan)|(\|lc)|(penalty)|(\[timeout))" /e /r /s</v>
      </c>
    </row>
    <row r="123" spans="1:32" x14ac:dyDescent="0.25">
      <c r="A123" s="34" t="s">
        <v>377</v>
      </c>
      <c r="B123" s="64">
        <v>4012</v>
      </c>
      <c r="C123" s="64" t="s">
        <v>60</v>
      </c>
      <c r="D123" s="64" t="s">
        <v>228</v>
      </c>
      <c r="E123" s="70">
        <v>42557.752280092594</v>
      </c>
      <c r="F123" s="70">
        <v>42557.753935185188</v>
      </c>
      <c r="G123" s="71">
        <v>2</v>
      </c>
      <c r="H123" s="70" t="s">
        <v>73</v>
      </c>
      <c r="I123" s="70">
        <v>42557.787835648145</v>
      </c>
      <c r="J123" s="64">
        <v>1</v>
      </c>
      <c r="K123" s="34" t="str">
        <f t="shared" si="12"/>
        <v>4011/4012</v>
      </c>
      <c r="L123" s="34" t="str">
        <f>VLOOKUP(A123,'Trips&amp;Operators'!$C$1:$E$10000,3,FALSE)</f>
        <v>BARTLETT</v>
      </c>
      <c r="M123" s="6">
        <f t="shared" si="13"/>
        <v>3.3900462956808042E-2</v>
      </c>
      <c r="N123" s="7">
        <f t="shared" si="14"/>
        <v>48.81666665780358</v>
      </c>
      <c r="O123" s="7"/>
      <c r="P123" s="7"/>
      <c r="Q123" s="35"/>
      <c r="R123" s="35"/>
      <c r="S123" s="54">
        <f t="shared" si="15"/>
        <v>1</v>
      </c>
      <c r="T123" s="108" t="str">
        <f t="shared" si="16"/>
        <v>Southbound</v>
      </c>
      <c r="U123" s="108">
        <f>COUNTIFS(Variables!$M$2:$M$19,IF(T123="NorthBound","&gt;=","&lt;=")&amp;Y123,Variables!$M$2:$M$19,IF(T123="NorthBound","&lt;=","&gt;=")&amp;Z123)</f>
        <v>12</v>
      </c>
      <c r="V123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18:02:17-0600',mode:absolute,to:'2016-07-06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3" s="116" t="str">
        <f t="shared" si="18"/>
        <v>N</v>
      </c>
      <c r="X123" s="116">
        <f t="shared" si="19"/>
        <v>1</v>
      </c>
      <c r="Y123" s="116">
        <f t="shared" si="20"/>
        <v>23.298200000000001</v>
      </c>
      <c r="Z123" s="116">
        <f t="shared" si="21"/>
        <v>1.49E-2</v>
      </c>
      <c r="AA123" s="116">
        <f t="shared" si="22"/>
        <v>23.283300000000001</v>
      </c>
      <c r="AB123" s="117" t="e">
        <f>VLOOKUP(A123,Enforcements!$C$7:$J$30,8,0)</f>
        <v>#N/A</v>
      </c>
      <c r="AC123" s="117" t="e">
        <f>VLOOKUP(A123,Enforcements!$C$7:$E$30,3,0)</f>
        <v>#N/A</v>
      </c>
      <c r="AD123" s="118" t="str">
        <f t="shared" si="23"/>
        <v>0210-06</v>
      </c>
      <c r="AE123" s="118" t="str">
        <f>"aws s3 cp "&amp;s3_bucket&amp;"/RTDC"&amp;B123&amp;"/"&amp;TEXT(F123,"YYYY-MM-DD")&amp;"/ "&amp;search_path&amp;"\RTDC"&amp;B123&amp;"\"&amp;TEXT(F123,"YYYY-MM-DD")&amp;" --recursive &amp; """&amp;walkandungz&amp;""" "&amp;search_path&amp;"\RTDC"&amp;B123&amp;"\"&amp;TEXT(F123,"YYYY-MM-DD")
&amp;" &amp; "&amp;"aws s3 cp "&amp;s3_bucket&amp;"/RTDC"&amp;B123&amp;"/"&amp;TEXT(F123+1,"YYYY-MM-DD")&amp;"/ "&amp;search_path&amp;"\RTDC"&amp;B123&amp;"\"&amp;TEXT(F123+1,"YYYY-MM-DD")&amp;" --recursive &amp; """&amp;walkandungz&amp;""" "&amp;search_path&amp;"\RTDC"&amp;B123&amp;"\"&amp;TEXT(F123+1,"YYYY-MM-DD")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23" s="118" t="str">
        <f>astrogrep_path&amp;" /spath="&amp;search_path&amp;" /stypes=""*"&amp;B123&amp;"*"&amp;TEXT(F123-utc_offset/24,"YYYYMMDD")&amp;"*"" /stext="" "&amp;TEXT(F123-utc_offset/24,"HH")&amp;search_regexp&amp;""" /e /r /s"</f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</row>
    <row r="124" spans="1:32" x14ac:dyDescent="0.25">
      <c r="A124" s="34" t="s">
        <v>376</v>
      </c>
      <c r="B124" s="64">
        <v>4044</v>
      </c>
      <c r="C124" s="64" t="s">
        <v>60</v>
      </c>
      <c r="D124" s="64" t="s">
        <v>221</v>
      </c>
      <c r="E124" s="70">
        <v>42557.725300925929</v>
      </c>
      <c r="F124" s="70">
        <v>42557.726319444446</v>
      </c>
      <c r="G124" s="71">
        <v>1</v>
      </c>
      <c r="H124" s="70" t="s">
        <v>636</v>
      </c>
      <c r="I124" s="70">
        <v>42557.75677083333</v>
      </c>
      <c r="J124" s="64">
        <v>1</v>
      </c>
      <c r="K124" s="34" t="str">
        <f t="shared" si="12"/>
        <v>4043/4044</v>
      </c>
      <c r="L124" s="34" t="str">
        <f>VLOOKUP(A124,'Trips&amp;Operators'!$C$1:$E$10000,3,FALSE)</f>
        <v>STEWART</v>
      </c>
      <c r="M124" s="6">
        <f t="shared" si="13"/>
        <v>3.0451388884102926E-2</v>
      </c>
      <c r="N124" s="7">
        <f t="shared" si="14"/>
        <v>43.849999993108213</v>
      </c>
      <c r="O124" s="7"/>
      <c r="P124" s="7"/>
      <c r="Q124" s="35"/>
      <c r="R124" s="35"/>
      <c r="S124" s="54">
        <f t="shared" si="15"/>
        <v>1</v>
      </c>
      <c r="T124" s="108" t="str">
        <f t="shared" si="16"/>
        <v>NorthBound</v>
      </c>
      <c r="U124" s="108">
        <f>COUNTIFS(Variables!$M$2:$M$19,IF(T124="NorthBound","&gt;=","&lt;=")&amp;Y124,Variables!$M$2:$M$19,IF(T124="NorthBound","&lt;=","&gt;=")&amp;Z124)</f>
        <v>12</v>
      </c>
      <c r="V124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17:23:26-0600',mode:absolute,to:'2016-07-06 18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116" t="str">
        <f t="shared" si="18"/>
        <v>N</v>
      </c>
      <c r="X124" s="116">
        <f t="shared" si="19"/>
        <v>1</v>
      </c>
      <c r="Y124" s="116">
        <f t="shared" si="20"/>
        <v>4.58E-2</v>
      </c>
      <c r="Z124" s="116">
        <f t="shared" si="21"/>
        <v>23.315300000000001</v>
      </c>
      <c r="AA124" s="116">
        <f t="shared" si="22"/>
        <v>23.269500000000001</v>
      </c>
      <c r="AB124" s="117" t="e">
        <f>VLOOKUP(A124,Enforcements!$C$7:$J$30,8,0)</f>
        <v>#N/A</v>
      </c>
      <c r="AC124" s="117" t="e">
        <f>VLOOKUP(A124,Enforcements!$C$7:$E$30,3,0)</f>
        <v>#N/A</v>
      </c>
      <c r="AD124" s="118" t="str">
        <f t="shared" si="23"/>
        <v>0211-06</v>
      </c>
      <c r="AE124" s="118" t="str">
        <f>"aws s3 cp "&amp;s3_bucket&amp;"/RTDC"&amp;B124&amp;"/"&amp;TEXT(F124,"YYYY-MM-DD")&amp;"/ "&amp;search_path&amp;"\RTDC"&amp;B124&amp;"\"&amp;TEXT(F124,"YYYY-MM-DD")&amp;" --recursive &amp; """&amp;walkandungz&amp;""" "&amp;search_path&amp;"\RTDC"&amp;B124&amp;"\"&amp;TEXT(F124,"YYYY-MM-DD")
&amp;" &amp; "&amp;"aws s3 cp "&amp;s3_bucket&amp;"/RTDC"&amp;B124&amp;"/"&amp;TEXT(F124+1,"YYYY-MM-DD")&amp;"/ "&amp;search_path&amp;"\RTDC"&amp;B124&amp;"\"&amp;TEXT(F124+1,"YYYY-MM-DD")&amp;" --recursive &amp; """&amp;walkandungz&amp;""" "&amp;search_path&amp;"\RTDC"&amp;B124&amp;"\"&amp;TEXT(F124+1,"YYYY-MM-DD")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124" s="118" t="str">
        <f>astrogrep_path&amp;" /spath="&amp;search_path&amp;" /stypes=""*"&amp;B124&amp;"*"&amp;TEXT(F124-utc_offset/24,"YYYYMMDD")&amp;"*"" /stext="" "&amp;TEXT(F124-utc_offset/24,"HH")&amp;search_regexp&amp;""" /e /r /s"</f>
        <v>"C:\Program Files (x86)\AstroGrep\AstroGrep.exe" /spath="C:\Users\stu\Documents\Analysis\2016-02-23 RTDC Observations" /stypes="*4044*20160706*" /stext=" 23:.+((prompt.+disp)|(slice.+state.+chan)|(ment ac)|(system.+state.+chan)|(\|lc)|(penalty)|(\[timeout))" /e /r /s</v>
      </c>
    </row>
    <row r="125" spans="1:32" x14ac:dyDescent="0.25">
      <c r="A125" s="62" t="s">
        <v>381</v>
      </c>
      <c r="B125" s="34">
        <v>4043</v>
      </c>
      <c r="C125" s="34" t="s">
        <v>60</v>
      </c>
      <c r="D125" s="34" t="s">
        <v>637</v>
      </c>
      <c r="E125" s="20">
        <v>42557.764444444445</v>
      </c>
      <c r="F125" s="20">
        <v>42557.765266203707</v>
      </c>
      <c r="G125" s="23">
        <v>1</v>
      </c>
      <c r="H125" s="20" t="s">
        <v>293</v>
      </c>
      <c r="I125" s="20">
        <v>42557.798020833332</v>
      </c>
      <c r="J125" s="34">
        <v>1</v>
      </c>
      <c r="K125" s="34" t="str">
        <f t="shared" si="12"/>
        <v>4043/4044</v>
      </c>
      <c r="L125" s="34" t="str">
        <f>VLOOKUP(A125,'Trips&amp;Operators'!$C$1:$E$10000,3,FALSE)</f>
        <v>STEWART</v>
      </c>
      <c r="M125" s="6">
        <f t="shared" si="13"/>
        <v>3.2754629624832887E-2</v>
      </c>
      <c r="N125" s="7">
        <f t="shared" si="14"/>
        <v>47.166666659759358</v>
      </c>
      <c r="O125" s="7"/>
      <c r="P125" s="7"/>
      <c r="Q125" s="35"/>
      <c r="R125" s="35"/>
      <c r="S125" s="54">
        <f t="shared" si="15"/>
        <v>1</v>
      </c>
      <c r="T125" s="108" t="str">
        <f t="shared" si="16"/>
        <v>Southbound</v>
      </c>
      <c r="U125" s="108">
        <f>COUNTIFS(Variables!$M$2:$M$19,IF(T125="NorthBound","&gt;=","&lt;=")&amp;Y125,Variables!$M$2:$M$19,IF(T125="NorthBound","&lt;=","&gt;=")&amp;Z125)</f>
        <v>12</v>
      </c>
      <c r="V125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18:19:48-0600',mode:absolute,to:'2016-07-06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116" t="str">
        <f t="shared" si="18"/>
        <v>N</v>
      </c>
      <c r="X125" s="116">
        <f t="shared" si="19"/>
        <v>1</v>
      </c>
      <c r="Y125" s="116">
        <f t="shared" si="20"/>
        <v>23.285799999999998</v>
      </c>
      <c r="Z125" s="116">
        <f t="shared" si="21"/>
        <v>4.82E-2</v>
      </c>
      <c r="AA125" s="116">
        <f t="shared" si="22"/>
        <v>23.237599999999997</v>
      </c>
      <c r="AB125" s="117" t="e">
        <f>VLOOKUP(A125,Enforcements!$C$7:$J$30,8,0)</f>
        <v>#N/A</v>
      </c>
      <c r="AC125" s="117" t="e">
        <f>VLOOKUP(A125,Enforcements!$C$7:$E$30,3,0)</f>
        <v>#N/A</v>
      </c>
      <c r="AD125" s="118" t="str">
        <f t="shared" si="23"/>
        <v>0212-06</v>
      </c>
      <c r="AE125" s="118" t="str">
        <f>"aws s3 cp "&amp;s3_bucket&amp;"/RTDC"&amp;B125&amp;"/"&amp;TEXT(F125,"YYYY-MM-DD")&amp;"/ "&amp;search_path&amp;"\RTDC"&amp;B125&amp;"\"&amp;TEXT(F125,"YYYY-MM-DD")&amp;" --recursive &amp; """&amp;walkandungz&amp;""" "&amp;search_path&amp;"\RTDC"&amp;B125&amp;"\"&amp;TEXT(F125,"YYYY-MM-DD")
&amp;" &amp; "&amp;"aws s3 cp "&amp;s3_bucket&amp;"/RTDC"&amp;B125&amp;"/"&amp;TEXT(F125+1,"YYYY-MM-DD")&amp;"/ "&amp;search_path&amp;"\RTDC"&amp;B125&amp;"\"&amp;TEXT(F125+1,"YYYY-MM-DD")&amp;" --recursive &amp; """&amp;walkandungz&amp;""" "&amp;search_path&amp;"\RTDC"&amp;B125&amp;"\"&amp;TEXT(F125+1,"YYYY-MM-DD")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25" s="118" t="str">
        <f>astrogrep_path&amp;" /spath="&amp;search_path&amp;" /stypes=""*"&amp;B125&amp;"*"&amp;TEXT(F125-utc_offset/24,"YYYYMMDD")&amp;"*"" /stext="" "&amp;TEXT(F125-utc_offset/24,"HH")&amp;search_regexp&amp;""" /e /r /s"</f>
        <v>"C:\Program Files (x86)\AstroGrep\AstroGrep.exe" /spath="C:\Users\stu\Documents\Analysis\2016-02-23 RTDC Observations" /stypes="*4043*20160707*" /stext=" 00:.+((prompt.+disp)|(slice.+state.+chan)|(ment ac)|(system.+state.+chan)|(\|lc)|(penalty)|(\[timeout))" /e /r /s</v>
      </c>
    </row>
    <row r="126" spans="1:32" x14ac:dyDescent="0.25">
      <c r="A126" s="62" t="s">
        <v>458</v>
      </c>
      <c r="B126" s="34">
        <v>4018</v>
      </c>
      <c r="C126" s="34" t="s">
        <v>60</v>
      </c>
      <c r="D126" s="34" t="s">
        <v>638</v>
      </c>
      <c r="E126" s="20">
        <v>42557.736851851849</v>
      </c>
      <c r="F126" s="20">
        <v>42557.738333333335</v>
      </c>
      <c r="G126" s="23">
        <v>2</v>
      </c>
      <c r="H126" s="20" t="s">
        <v>639</v>
      </c>
      <c r="I126" s="20">
        <v>42557.764120370368</v>
      </c>
      <c r="J126" s="34">
        <v>0</v>
      </c>
      <c r="K126" s="34" t="str">
        <f t="shared" si="12"/>
        <v>4017/4018</v>
      </c>
      <c r="L126" s="34" t="str">
        <f>VLOOKUP(A126,'Trips&amp;Operators'!$C$1:$E$10000,3,FALSE)</f>
        <v>DAVIS</v>
      </c>
      <c r="M126" s="6">
        <f t="shared" si="13"/>
        <v>2.5787037033296656E-2</v>
      </c>
      <c r="N126" s="7">
        <f t="shared" si="14"/>
        <v>37.133333327947184</v>
      </c>
      <c r="O126" s="7"/>
      <c r="P126" s="7"/>
      <c r="Q126" s="35"/>
      <c r="R126" s="35"/>
      <c r="S126" s="54">
        <f t="shared" si="15"/>
        <v>1</v>
      </c>
      <c r="T126" s="108" t="str">
        <f t="shared" si="16"/>
        <v>NorthBound</v>
      </c>
      <c r="U126" s="108">
        <f>COUNTIFS(Variables!$M$2:$M$19,IF(T126="NorthBound","&gt;=","&lt;=")&amp;Y126,Variables!$M$2:$M$19,IF(T126="NorthBound","&lt;=","&gt;=")&amp;Z126)</f>
        <v>12</v>
      </c>
      <c r="V126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17:40:04-0600',mode:absolute,to:'2016-07-06 18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116" t="str">
        <f t="shared" si="18"/>
        <v>N</v>
      </c>
      <c r="X126" s="116">
        <f t="shared" si="19"/>
        <v>1</v>
      </c>
      <c r="Y126" s="116">
        <f t="shared" si="20"/>
        <v>4.4200000000000003E-2</v>
      </c>
      <c r="Z126" s="116">
        <f t="shared" si="21"/>
        <v>23.327400000000001</v>
      </c>
      <c r="AA126" s="116">
        <f t="shared" si="22"/>
        <v>23.283200000000001</v>
      </c>
      <c r="AB126" s="117" t="e">
        <f>VLOOKUP(A126,Enforcements!$C$7:$J$30,8,0)</f>
        <v>#N/A</v>
      </c>
      <c r="AC126" s="117" t="e">
        <f>VLOOKUP(A126,Enforcements!$C$7:$E$30,3,0)</f>
        <v>#N/A</v>
      </c>
      <c r="AD126" s="118" t="str">
        <f t="shared" si="23"/>
        <v>0213-06</v>
      </c>
      <c r="AE126" s="118" t="str">
        <f>"aws s3 cp "&amp;s3_bucket&amp;"/RTDC"&amp;B126&amp;"/"&amp;TEXT(F126,"YYYY-MM-DD")&amp;"/ "&amp;search_path&amp;"\RTDC"&amp;B126&amp;"\"&amp;TEXT(F126,"YYYY-MM-DD")&amp;" --recursive &amp; """&amp;walkandungz&amp;""" "&amp;search_path&amp;"\RTDC"&amp;B126&amp;"\"&amp;TEXT(F126,"YYYY-MM-DD")
&amp;" &amp; "&amp;"aws s3 cp "&amp;s3_bucket&amp;"/RTDC"&amp;B126&amp;"/"&amp;TEXT(F126+1,"YYYY-MM-DD")&amp;"/ "&amp;search_path&amp;"\RTDC"&amp;B126&amp;"\"&amp;TEXT(F126+1,"YYYY-MM-DD")&amp;" --recursive &amp; """&amp;walkandungz&amp;""" "&amp;search_path&amp;"\RTDC"&amp;B126&amp;"\"&amp;TEXT(F126+1,"YYYY-MM-DD")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26" s="118" t="str">
        <f>astrogrep_path&amp;" /spath="&amp;search_path&amp;" /stypes=""*"&amp;B126&amp;"*"&amp;TEXT(F126-utc_offset/24,"YYYYMMDD")&amp;"*"" /stext="" "&amp;TEXT(F126-utc_offset/24,"HH")&amp;search_regexp&amp;""" /e /r /s"</f>
        <v>"C:\Program Files (x86)\AstroGrep\AstroGrep.exe" /spath="C:\Users\stu\Documents\Analysis\2016-02-23 RTDC Observations" /stypes="*4018*20160706*" /stext=" 23:.+((prompt.+disp)|(slice.+state.+chan)|(ment ac)|(system.+state.+chan)|(\|lc)|(penalty)|(\[timeout))" /e /r /s</v>
      </c>
    </row>
    <row r="127" spans="1:32" x14ac:dyDescent="0.25">
      <c r="A127" s="62" t="s">
        <v>466</v>
      </c>
      <c r="B127" s="34">
        <v>4017</v>
      </c>
      <c r="C127" s="34" t="s">
        <v>60</v>
      </c>
      <c r="D127" s="34" t="s">
        <v>640</v>
      </c>
      <c r="E127" s="20">
        <v>42557.773831018516</v>
      </c>
      <c r="F127" s="20">
        <v>42557.798784722225</v>
      </c>
      <c r="G127" s="23">
        <v>35</v>
      </c>
      <c r="H127" s="20" t="s">
        <v>641</v>
      </c>
      <c r="I127" s="20">
        <v>42557.798900462964</v>
      </c>
      <c r="J127" s="34">
        <v>0</v>
      </c>
      <c r="K127" s="34" t="str">
        <f t="shared" si="12"/>
        <v>4017/4018</v>
      </c>
      <c r="L127" s="34" t="str">
        <f>VLOOKUP(A127,'Trips&amp;Operators'!$C$1:$E$10000,3,FALSE)</f>
        <v>DAVIS</v>
      </c>
      <c r="M127" s="6">
        <f t="shared" si="13"/>
        <v>1.1574073869269341E-4</v>
      </c>
      <c r="N127" s="7"/>
      <c r="O127" s="7"/>
      <c r="P127" s="7">
        <f t="shared" si="14"/>
        <v>0.16666666371747851</v>
      </c>
      <c r="Q127" s="35"/>
      <c r="R127" s="35" t="s">
        <v>736</v>
      </c>
      <c r="S127" s="54">
        <f t="shared" si="15"/>
        <v>0</v>
      </c>
      <c r="T127" s="108" t="str">
        <f t="shared" si="16"/>
        <v>Southbound</v>
      </c>
      <c r="U127" s="108">
        <f>COUNTIFS(Variables!$M$2:$M$19,IF(T127="NorthBound","&gt;=","&lt;=")&amp;Y127,Variables!$M$2:$M$19,IF(T127="NorthBound","&lt;=","&gt;=")&amp;Z127)</f>
        <v>0</v>
      </c>
      <c r="V127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18:33:19-0600',mode:absolute,to:'2016-07-06 19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116" t="str">
        <f t="shared" si="18"/>
        <v>Y</v>
      </c>
      <c r="X127" s="116">
        <f t="shared" si="19"/>
        <v>1</v>
      </c>
      <c r="Y127" s="116">
        <f t="shared" si="20"/>
        <v>8.6353000000000009</v>
      </c>
      <c r="Z127" s="116">
        <f t="shared" si="21"/>
        <v>8.6149000000000004</v>
      </c>
      <c r="AA127" s="116">
        <f t="shared" si="22"/>
        <v>2.0400000000000418E-2</v>
      </c>
      <c r="AB127" s="117" t="e">
        <f>VLOOKUP(A127,Enforcements!$C$7:$J$30,8,0)</f>
        <v>#N/A</v>
      </c>
      <c r="AC127" s="117" t="e">
        <f>VLOOKUP(A127,Enforcements!$C$7:$E$30,3,0)</f>
        <v>#N/A</v>
      </c>
      <c r="AD127" s="118" t="str">
        <f t="shared" si="23"/>
        <v>0214-06</v>
      </c>
      <c r="AE127" s="118" t="str">
        <f>"aws s3 cp "&amp;s3_bucket&amp;"/RTDC"&amp;B127&amp;"/"&amp;TEXT(F127,"YYYY-MM-DD")&amp;"/ "&amp;search_path&amp;"\RTDC"&amp;B127&amp;"\"&amp;TEXT(F127,"YYYY-MM-DD")&amp;" --recursive &amp; """&amp;walkandungz&amp;""" "&amp;search_path&amp;"\RTDC"&amp;B127&amp;"\"&amp;TEXT(F127,"YYYY-MM-DD")
&amp;" &amp; "&amp;"aws s3 cp "&amp;s3_bucket&amp;"/RTDC"&amp;B127&amp;"/"&amp;TEXT(F127+1,"YYYY-MM-DD")&amp;"/ "&amp;search_path&amp;"\RTDC"&amp;B127&amp;"\"&amp;TEXT(F127+1,"YYYY-MM-DD")&amp;" --recursive &amp; """&amp;walkandungz&amp;""" "&amp;search_path&amp;"\RTDC"&amp;B127&amp;"\"&amp;TEXT(F127+1,"YYYY-MM-DD")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27" s="118" t="str">
        <f>astrogrep_path&amp;" /spath="&amp;search_path&amp;" /stypes=""*"&amp;B127&amp;"*"&amp;TEXT(F127-utc_offset/24,"YYYYMMDD")&amp;"*"" /stext="" "&amp;TEXT(F127-utc_offset/24,"HH")&amp;search_regexp&amp;""" /e /r /s"</f>
        <v>"C:\Program Files (x86)\AstroGrep\AstroGrep.exe" /spath="C:\Users\stu\Documents\Analysis\2016-02-23 RTDC Observations" /stypes="*4017*20160707*" /stext=" 01:.+((prompt.+disp)|(slice.+state.+chan)|(ment ac)|(system.+state.+chan)|(\|lc)|(penalty)|(\[timeout))" /e /r /s</v>
      </c>
    </row>
    <row r="128" spans="1:32" x14ac:dyDescent="0.25">
      <c r="A128" s="62" t="s">
        <v>555</v>
      </c>
      <c r="B128" s="34">
        <v>4014</v>
      </c>
      <c r="C128" s="34" t="s">
        <v>60</v>
      </c>
      <c r="D128" s="34" t="s">
        <v>605</v>
      </c>
      <c r="E128" s="20">
        <v>42557.749097222222</v>
      </c>
      <c r="F128" s="20">
        <v>42557.750150462962</v>
      </c>
      <c r="G128" s="23">
        <v>1</v>
      </c>
      <c r="H128" s="20" t="s">
        <v>587</v>
      </c>
      <c r="I128" s="20">
        <v>42557.782118055555</v>
      </c>
      <c r="J128" s="34">
        <v>0</v>
      </c>
      <c r="K128" s="34" t="str">
        <f t="shared" si="12"/>
        <v>4013/4014</v>
      </c>
      <c r="L128" s="34" t="str">
        <f>VLOOKUP(A128,'Trips&amp;Operators'!$C$1:$E$10000,3,FALSE)</f>
        <v>YOUNG</v>
      </c>
      <c r="M128" s="6">
        <f t="shared" si="13"/>
        <v>3.1967592592991423E-2</v>
      </c>
      <c r="N128" s="7">
        <f t="shared" si="14"/>
        <v>46.033333333907649</v>
      </c>
      <c r="O128" s="7"/>
      <c r="P128" s="7"/>
      <c r="Q128" s="35"/>
      <c r="R128" s="35"/>
      <c r="S128" s="54">
        <f t="shared" si="15"/>
        <v>1</v>
      </c>
      <c r="T128" s="108" t="str">
        <f t="shared" si="16"/>
        <v>NorthBound</v>
      </c>
      <c r="U128" s="108">
        <f>COUNTIFS(Variables!$M$2:$M$19,IF(T128="NorthBound","&gt;=","&lt;=")&amp;Y128,Variables!$M$2:$M$19,IF(T128="NorthBound","&lt;=","&gt;=")&amp;Z128)</f>
        <v>12</v>
      </c>
      <c r="V128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17:57:42-0600',mode:absolute,to:'2016-07-06 18:47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8" s="116" t="str">
        <f t="shared" si="18"/>
        <v>N</v>
      </c>
      <c r="X128" s="116">
        <f t="shared" si="19"/>
        <v>1</v>
      </c>
      <c r="Y128" s="116">
        <f t="shared" si="20"/>
        <v>5.04E-2</v>
      </c>
      <c r="Z128" s="116">
        <f t="shared" si="21"/>
        <v>23.331900000000001</v>
      </c>
      <c r="AA128" s="116">
        <f t="shared" si="22"/>
        <v>23.281500000000001</v>
      </c>
      <c r="AB128" s="117" t="e">
        <f>VLOOKUP(A128,Enforcements!$C$7:$J$30,8,0)</f>
        <v>#N/A</v>
      </c>
      <c r="AC128" s="117" t="e">
        <f>VLOOKUP(A128,Enforcements!$C$7:$E$30,3,0)</f>
        <v>#N/A</v>
      </c>
      <c r="AD128" s="118" t="str">
        <f t="shared" si="23"/>
        <v>0215-06</v>
      </c>
      <c r="AE128" s="118" t="str">
        <f>"aws s3 cp "&amp;s3_bucket&amp;"/RTDC"&amp;B128&amp;"/"&amp;TEXT(F128,"YYYY-MM-DD")&amp;"/ "&amp;search_path&amp;"\RTDC"&amp;B128&amp;"\"&amp;TEXT(F128,"YYYY-MM-DD")&amp;" --recursive &amp; """&amp;walkandungz&amp;""" "&amp;search_path&amp;"\RTDC"&amp;B128&amp;"\"&amp;TEXT(F128,"YYYY-MM-DD")
&amp;" &amp; "&amp;"aws s3 cp "&amp;s3_bucket&amp;"/RTDC"&amp;B128&amp;"/"&amp;TEXT(F128+1,"YYYY-MM-DD")&amp;"/ "&amp;search_path&amp;"\RTDC"&amp;B128&amp;"\"&amp;TEXT(F128+1,"YYYY-MM-DD")&amp;" --recursive &amp; """&amp;walkandungz&amp;""" "&amp;search_path&amp;"\RTDC"&amp;B128&amp;"\"&amp;TEXT(F128+1,"YYYY-MM-DD")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128" s="118" t="str">
        <f>astrogrep_path&amp;" /spath="&amp;search_path&amp;" /stypes=""*"&amp;B128&amp;"*"&amp;TEXT(F128-utc_offset/24,"YYYYMMDD")&amp;"*"" /stext="" "&amp;TEXT(F128-utc_offset/24,"HH")&amp;search_regexp&amp;""" /e /r /s"</f>
        <v>"C:\Program Files (x86)\AstroGrep\AstroGrep.exe" /spath="C:\Users\stu\Documents\Analysis\2016-02-23 RTDC Observations" /stypes="*4014*20160707*" /stext=" 00:.+((prompt.+disp)|(slice.+state.+chan)|(ment ac)|(system.+state.+chan)|(\|lc)|(penalty)|(\[timeout))" /e /r /s</v>
      </c>
    </row>
    <row r="129" spans="1:32" x14ac:dyDescent="0.25">
      <c r="A129" s="62" t="s">
        <v>383</v>
      </c>
      <c r="B129" s="34">
        <v>4013</v>
      </c>
      <c r="C129" s="34" t="s">
        <v>60</v>
      </c>
      <c r="D129" s="34" t="s">
        <v>566</v>
      </c>
      <c r="E129" s="20">
        <v>42557.78670138889</v>
      </c>
      <c r="F129" s="20">
        <v>42557.787719907406</v>
      </c>
      <c r="G129" s="23">
        <v>1</v>
      </c>
      <c r="H129" s="20" t="s">
        <v>61</v>
      </c>
      <c r="I129" s="20">
        <v>42557.823333333334</v>
      </c>
      <c r="J129" s="34">
        <v>1</v>
      </c>
      <c r="K129" s="34" t="str">
        <f t="shared" si="12"/>
        <v>4013/4014</v>
      </c>
      <c r="L129" s="34" t="str">
        <f>VLOOKUP(A129,'Trips&amp;Operators'!$C$1:$E$10000,3,FALSE)</f>
        <v>YOUNG</v>
      </c>
      <c r="M129" s="6">
        <f t="shared" si="13"/>
        <v>3.5613425927294884E-2</v>
      </c>
      <c r="N129" s="7">
        <f t="shared" si="14"/>
        <v>51.283333335304633</v>
      </c>
      <c r="O129" s="7"/>
      <c r="P129" s="7"/>
      <c r="Q129" s="35"/>
      <c r="R129" s="35"/>
      <c r="S129" s="54">
        <f t="shared" si="15"/>
        <v>1</v>
      </c>
      <c r="T129" s="108" t="str">
        <f t="shared" si="16"/>
        <v>Southbound</v>
      </c>
      <c r="U129" s="108">
        <f>COUNTIFS(Variables!$M$2:$M$19,IF(T129="NorthBound","&gt;=","&lt;=")&amp;Y129,Variables!$M$2:$M$19,IF(T129="NorthBound","&lt;=","&gt;=")&amp;Z129)</f>
        <v>12</v>
      </c>
      <c r="V129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18:51:51-0600',mode:absolute,to:'2016-07-06 19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9" s="116" t="str">
        <f t="shared" si="18"/>
        <v>N</v>
      </c>
      <c r="X129" s="116">
        <f t="shared" si="19"/>
        <v>1</v>
      </c>
      <c r="Y129" s="116">
        <f t="shared" si="20"/>
        <v>23.299099999999999</v>
      </c>
      <c r="Z129" s="116">
        <f t="shared" si="21"/>
        <v>1.4500000000000001E-2</v>
      </c>
      <c r="AA129" s="116">
        <f t="shared" si="22"/>
        <v>23.284599999999998</v>
      </c>
      <c r="AB129" s="117" t="e">
        <f>VLOOKUP(A129,Enforcements!$C$7:$J$30,8,0)</f>
        <v>#N/A</v>
      </c>
      <c r="AC129" s="117" t="e">
        <f>VLOOKUP(A129,Enforcements!$C$7:$E$30,3,0)</f>
        <v>#N/A</v>
      </c>
      <c r="AD129" s="118" t="str">
        <f t="shared" si="23"/>
        <v>0216-06</v>
      </c>
      <c r="AE129" s="118" t="str">
        <f>"aws s3 cp "&amp;s3_bucket&amp;"/RTDC"&amp;B129&amp;"/"&amp;TEXT(F129,"YYYY-MM-DD")&amp;"/ "&amp;search_path&amp;"\RTDC"&amp;B129&amp;"\"&amp;TEXT(F129,"YYYY-MM-DD")&amp;" --recursive &amp; """&amp;walkandungz&amp;""" "&amp;search_path&amp;"\RTDC"&amp;B129&amp;"\"&amp;TEXT(F129,"YYYY-MM-DD")
&amp;" &amp; "&amp;"aws s3 cp "&amp;s3_bucket&amp;"/RTDC"&amp;B129&amp;"/"&amp;TEXT(F129+1,"YYYY-MM-DD")&amp;"/ "&amp;search_path&amp;"\RTDC"&amp;B129&amp;"\"&amp;TEXT(F129+1,"YYYY-MM-DD")&amp;" --recursive &amp; """&amp;walkandungz&amp;""" "&amp;search_path&amp;"\RTDC"&amp;B129&amp;"\"&amp;TEXT(F129+1,"YYYY-MM-DD")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29" s="118" t="str">
        <f>astrogrep_path&amp;" /spath="&amp;search_path&amp;" /stypes=""*"&amp;B129&amp;"*"&amp;TEXT(F129-utc_offset/24,"YYYYMMDD")&amp;"*"" /stext="" "&amp;TEXT(F129-utc_offset/24,"HH")&amp;search_regexp&amp;""" /e /r /s"</f>
        <v>"C:\Program Files (x86)\AstroGrep\AstroGrep.exe" /spath="C:\Users\stu\Documents\Analysis\2016-02-23 RTDC Observations" /stypes="*4013*20160707*" /stext=" 00:.+((prompt.+disp)|(slice.+state.+chan)|(ment ac)|(system.+state.+chan)|(\|lc)|(penalty)|(\[timeout))" /e /r /s</v>
      </c>
    </row>
    <row r="130" spans="1:32" x14ac:dyDescent="0.25">
      <c r="A130" s="62" t="s">
        <v>378</v>
      </c>
      <c r="B130" s="34">
        <v>4025</v>
      </c>
      <c r="C130" s="34" t="s">
        <v>60</v>
      </c>
      <c r="D130" s="34" t="s">
        <v>225</v>
      </c>
      <c r="E130" s="20">
        <v>42557.755532407406</v>
      </c>
      <c r="F130" s="20">
        <v>42557.757708333331</v>
      </c>
      <c r="G130" s="20">
        <v>3</v>
      </c>
      <c r="H130" s="20" t="s">
        <v>85</v>
      </c>
      <c r="I130" s="20">
        <v>42557.791076388887</v>
      </c>
      <c r="J130" s="34">
        <v>2</v>
      </c>
      <c r="K130" s="34" t="str">
        <f t="shared" si="12"/>
        <v>4025/4026</v>
      </c>
      <c r="L130" s="34" t="str">
        <f>VLOOKUP(A130,'Trips&amp;Operators'!$C$1:$E$10000,3,FALSE)</f>
        <v>ADANE</v>
      </c>
      <c r="M130" s="6">
        <f t="shared" si="13"/>
        <v>3.3368055555911269E-2</v>
      </c>
      <c r="N130" s="7">
        <f t="shared" si="14"/>
        <v>48.050000000512227</v>
      </c>
      <c r="O130" s="7"/>
      <c r="P130" s="7"/>
      <c r="Q130" s="35"/>
      <c r="R130" s="35"/>
      <c r="S130" s="54">
        <f t="shared" si="15"/>
        <v>1</v>
      </c>
      <c r="T130" s="108" t="str">
        <f t="shared" si="16"/>
        <v>NorthBound</v>
      </c>
      <c r="U130" s="108">
        <f>COUNTIFS(Variables!$M$2:$M$19,IF(T130="NorthBound","&gt;=","&lt;=")&amp;Y130,Variables!$M$2:$M$19,IF(T130="NorthBound","&lt;=","&gt;=")&amp;Z130)</f>
        <v>12</v>
      </c>
      <c r="V130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116" t="str">
        <f t="shared" si="18"/>
        <v>N</v>
      </c>
      <c r="X130" s="116">
        <f t="shared" si="19"/>
        <v>1</v>
      </c>
      <c r="Y130" s="116">
        <f t="shared" si="20"/>
        <v>4.6199999999999998E-2</v>
      </c>
      <c r="Z130" s="116">
        <f t="shared" si="21"/>
        <v>23.329499999999999</v>
      </c>
      <c r="AA130" s="116">
        <f t="shared" si="22"/>
        <v>23.283300000000001</v>
      </c>
      <c r="AB130" s="117">
        <f>VLOOKUP(A130,Enforcements!$C$7:$J$30,8,0)</f>
        <v>27333</v>
      </c>
      <c r="AC130" s="117" t="str">
        <f>VLOOKUP(A130,Enforcements!$C$7:$E$30,3,0)</f>
        <v>PERMANENT SPEED RESTRICTION</v>
      </c>
      <c r="AD130" s="118" t="str">
        <f t="shared" si="23"/>
        <v>0217-06</v>
      </c>
      <c r="AE130" s="118" t="str">
        <f>"aws s3 cp "&amp;s3_bucket&amp;"/RTDC"&amp;B130&amp;"/"&amp;TEXT(F130,"YYYY-MM-DD")&amp;"/ "&amp;search_path&amp;"\RTDC"&amp;B130&amp;"\"&amp;TEXT(F130,"YYYY-MM-DD")&amp;" --recursive &amp; """&amp;walkandungz&amp;""" "&amp;search_path&amp;"\RTDC"&amp;B130&amp;"\"&amp;TEXT(F130,"YYYY-MM-DD")
&amp;" &amp; "&amp;"aws s3 cp "&amp;s3_bucket&amp;"/RTDC"&amp;B130&amp;"/"&amp;TEXT(F130+1,"YYYY-MM-DD")&amp;"/ "&amp;search_path&amp;"\RTDC"&amp;B130&amp;"\"&amp;TEXT(F130+1,"YYYY-MM-DD")&amp;" --recursive &amp; """&amp;walkandungz&amp;""" "&amp;search_path&amp;"\RTDC"&amp;B130&amp;"\"&amp;TEXT(F130+1,"YYYY-MM-DD")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30" s="118" t="str">
        <f>astrogrep_path&amp;" /spath="&amp;search_path&amp;" /stypes=""*"&amp;B130&amp;"*"&amp;TEXT(F130-utc_offset/24,"YYYYMMDD")&amp;"*"" /stext="" "&amp;TEXT(F130-utc_offset/24,"HH")&amp;search_regexp&amp;""" /e /r /s"</f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</row>
    <row r="131" spans="1:32" x14ac:dyDescent="0.25">
      <c r="A131" s="62" t="s">
        <v>446</v>
      </c>
      <c r="B131" s="34">
        <v>4026</v>
      </c>
      <c r="C131" s="34" t="s">
        <v>60</v>
      </c>
      <c r="D131" s="34" t="s">
        <v>572</v>
      </c>
      <c r="E131" s="20">
        <v>42557.796631944446</v>
      </c>
      <c r="F131" s="20">
        <v>42557.797743055555</v>
      </c>
      <c r="G131" s="20">
        <v>1</v>
      </c>
      <c r="H131" s="20" t="s">
        <v>67</v>
      </c>
      <c r="I131" s="20">
        <v>42557.826053240744</v>
      </c>
      <c r="J131" s="34">
        <v>0</v>
      </c>
      <c r="K131" s="34" t="str">
        <f t="shared" si="12"/>
        <v>4025/4026</v>
      </c>
      <c r="L131" s="34" t="str">
        <f>VLOOKUP(A131,'Trips&amp;Operators'!$C$1:$E$10000,3,FALSE)</f>
        <v>ADANE</v>
      </c>
      <c r="M131" s="6">
        <f t="shared" si="13"/>
        <v>2.8310185189184267E-2</v>
      </c>
      <c r="N131" s="7">
        <f t="shared" si="14"/>
        <v>40.766666672425345</v>
      </c>
      <c r="O131" s="7"/>
      <c r="P131" s="7"/>
      <c r="Q131" s="35"/>
      <c r="R131" s="35"/>
      <c r="S131" s="54">
        <f t="shared" si="15"/>
        <v>1</v>
      </c>
      <c r="T131" s="108" t="str">
        <f t="shared" si="16"/>
        <v>Southbound</v>
      </c>
      <c r="U131" s="108">
        <f>COUNTIFS(Variables!$M$2:$M$19,IF(T131="NorthBound","&gt;=","&lt;=")&amp;Y131,Variables!$M$2:$M$19,IF(T131="NorthBound","&lt;=","&gt;=")&amp;Z131)</f>
        <v>12</v>
      </c>
      <c r="V131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19:06:09-0600',mode:absolute,to:'2016-07-06 19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116" t="str">
        <f t="shared" si="18"/>
        <v>N</v>
      </c>
      <c r="X131" s="116">
        <f t="shared" si="19"/>
        <v>1</v>
      </c>
      <c r="Y131" s="116">
        <f t="shared" si="20"/>
        <v>23.296500000000002</v>
      </c>
      <c r="Z131" s="116">
        <f t="shared" si="21"/>
        <v>1.47E-2</v>
      </c>
      <c r="AA131" s="116">
        <f t="shared" si="22"/>
        <v>23.2818</v>
      </c>
      <c r="AB131" s="117" t="e">
        <f>VLOOKUP(A131,Enforcements!$C$7:$J$30,8,0)</f>
        <v>#N/A</v>
      </c>
      <c r="AC131" s="117" t="e">
        <f>VLOOKUP(A131,Enforcements!$C$7:$E$30,3,0)</f>
        <v>#N/A</v>
      </c>
      <c r="AD131" s="118" t="str">
        <f t="shared" si="23"/>
        <v>0218-06</v>
      </c>
      <c r="AE131" s="118" t="str">
        <f>"aws s3 cp "&amp;s3_bucket&amp;"/RTDC"&amp;B131&amp;"/"&amp;TEXT(F131,"YYYY-MM-DD")&amp;"/ "&amp;search_path&amp;"\RTDC"&amp;B131&amp;"\"&amp;TEXT(F131,"YYYY-MM-DD")&amp;" --recursive &amp; """&amp;walkandungz&amp;""" "&amp;search_path&amp;"\RTDC"&amp;B131&amp;"\"&amp;TEXT(F131,"YYYY-MM-DD")
&amp;" &amp; "&amp;"aws s3 cp "&amp;s3_bucket&amp;"/RTDC"&amp;B131&amp;"/"&amp;TEXT(F131+1,"YYYY-MM-DD")&amp;"/ "&amp;search_path&amp;"\RTDC"&amp;B131&amp;"\"&amp;TEXT(F131+1,"YYYY-MM-DD")&amp;" --recursive &amp; """&amp;walkandungz&amp;""" "&amp;search_path&amp;"\RTDC"&amp;B131&amp;"\"&amp;TEXT(F131+1,"YYYY-MM-DD")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31" s="118" t="str">
        <f>astrogrep_path&amp;" /spath="&amp;search_path&amp;" /stypes=""*"&amp;B131&amp;"*"&amp;TEXT(F131-utc_offset/24,"YYYYMMDD")&amp;"*"" /stext="" "&amp;TEXT(F131-utc_offset/24,"HH")&amp;search_regexp&amp;""" /e /r /s"</f>
        <v>"C:\Program Files (x86)\AstroGrep\AstroGrep.exe" /spath="C:\Users\stu\Documents\Analysis\2016-02-23 RTDC Observations" /stypes="*4026*20160707*" /stext=" 01:.+((prompt.+disp)|(slice.+state.+chan)|(ment ac)|(system.+state.+chan)|(\|lc)|(penalty)|(\[timeout))" /e /r /s</v>
      </c>
    </row>
    <row r="132" spans="1:32" x14ac:dyDescent="0.25">
      <c r="A132" s="62" t="s">
        <v>489</v>
      </c>
      <c r="B132" s="34">
        <v>4040</v>
      </c>
      <c r="C132" s="34" t="s">
        <v>60</v>
      </c>
      <c r="D132" s="34" t="s">
        <v>642</v>
      </c>
      <c r="E132" s="20">
        <v>42557.767754629633</v>
      </c>
      <c r="F132" s="20">
        <v>42557.768831018519</v>
      </c>
      <c r="G132" s="20">
        <v>1</v>
      </c>
      <c r="H132" s="20" t="s">
        <v>179</v>
      </c>
      <c r="I132" s="20">
        <v>42557.797696759262</v>
      </c>
      <c r="J132" s="34">
        <v>0</v>
      </c>
      <c r="K132" s="34" t="str">
        <f t="shared" si="12"/>
        <v>4039/4040</v>
      </c>
      <c r="L132" s="34" t="str">
        <f>VLOOKUP(A132,'Trips&amp;Operators'!$C$1:$E$10000,3,FALSE)</f>
        <v>GRASTON</v>
      </c>
      <c r="M132" s="6">
        <f t="shared" si="13"/>
        <v>2.8865740743640345E-2</v>
      </c>
      <c r="N132" s="7">
        <f t="shared" si="14"/>
        <v>41.566666670842096</v>
      </c>
      <c r="O132" s="7"/>
      <c r="P132" s="7"/>
      <c r="Q132" s="35"/>
      <c r="R132" s="35"/>
      <c r="S132" s="54">
        <f t="shared" si="15"/>
        <v>1</v>
      </c>
      <c r="T132" s="108" t="str">
        <f t="shared" si="16"/>
        <v>NorthBound</v>
      </c>
      <c r="U132" s="108">
        <f>COUNTIFS(Variables!$M$2:$M$19,IF(T132="NorthBound","&gt;=","&lt;=")&amp;Y132,Variables!$M$2:$M$19,IF(T132="NorthBound","&lt;=","&gt;=")&amp;Z132)</f>
        <v>12</v>
      </c>
      <c r="V132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18:24:34-0600',mode:absolute,to:'2016-07-06 19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2" s="116" t="str">
        <f t="shared" si="18"/>
        <v>N</v>
      </c>
      <c r="X132" s="116">
        <f t="shared" si="19"/>
        <v>1</v>
      </c>
      <c r="Y132" s="116">
        <f t="shared" si="20"/>
        <v>4.9700000000000001E-2</v>
      </c>
      <c r="Z132" s="116">
        <f t="shared" si="21"/>
        <v>23.330200000000001</v>
      </c>
      <c r="AA132" s="116">
        <f t="shared" si="22"/>
        <v>23.2805</v>
      </c>
      <c r="AB132" s="117" t="e">
        <f>VLOOKUP(A132,Enforcements!$C$7:$J$30,8,0)</f>
        <v>#N/A</v>
      </c>
      <c r="AC132" s="117" t="e">
        <f>VLOOKUP(A132,Enforcements!$C$7:$E$30,3,0)</f>
        <v>#N/A</v>
      </c>
      <c r="AD132" s="118" t="str">
        <f t="shared" si="23"/>
        <v>0219-06</v>
      </c>
      <c r="AE132" s="118" t="str">
        <f>"aws s3 cp "&amp;s3_bucket&amp;"/RTDC"&amp;B132&amp;"/"&amp;TEXT(F132,"YYYY-MM-DD")&amp;"/ "&amp;search_path&amp;"\RTDC"&amp;B132&amp;"\"&amp;TEXT(F132,"YYYY-MM-DD")&amp;" --recursive &amp; """&amp;walkandungz&amp;""" "&amp;search_path&amp;"\RTDC"&amp;B132&amp;"\"&amp;TEXT(F132,"YYYY-MM-DD")
&amp;" &amp; "&amp;"aws s3 cp "&amp;s3_bucket&amp;"/RTDC"&amp;B132&amp;"/"&amp;TEXT(F132+1,"YYYY-MM-DD")&amp;"/ "&amp;search_path&amp;"\RTDC"&amp;B132&amp;"\"&amp;TEXT(F132+1,"YYYY-MM-DD")&amp;" --recursive &amp; """&amp;walkandungz&amp;""" "&amp;search_path&amp;"\RTDC"&amp;B132&amp;"\"&amp;TEXT(F132+1,"YYYY-MM-DD")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32" s="118" t="str">
        <f>astrogrep_path&amp;" /spath="&amp;search_path&amp;" /stypes=""*"&amp;B132&amp;"*"&amp;TEXT(F132-utc_offset/24,"YYYYMMDD")&amp;"*"" /stext="" "&amp;TEXT(F132-utc_offset/24,"HH")&amp;search_regexp&amp;""" /e /r /s"</f>
        <v>"C:\Program Files (x86)\AstroGrep\AstroGrep.exe" /spath="C:\Users\stu\Documents\Analysis\2016-02-23 RTDC Observations" /stypes="*4040*20160707*" /stext=" 00:.+((prompt.+disp)|(slice.+state.+chan)|(ment ac)|(system.+state.+chan)|(\|lc)|(penalty)|(\[timeout))" /e /r /s</v>
      </c>
    </row>
    <row r="133" spans="1:32" x14ac:dyDescent="0.25">
      <c r="A133" s="62" t="s">
        <v>410</v>
      </c>
      <c r="B133" s="34">
        <v>4039</v>
      </c>
      <c r="C133" s="34" t="s">
        <v>60</v>
      </c>
      <c r="D133" s="34" t="s">
        <v>596</v>
      </c>
      <c r="E133" s="20">
        <v>42557.807546296295</v>
      </c>
      <c r="F133" s="20">
        <v>42557.808703703704</v>
      </c>
      <c r="G133" s="20">
        <v>1</v>
      </c>
      <c r="H133" s="20" t="s">
        <v>296</v>
      </c>
      <c r="I133" s="20">
        <v>42557.835925925923</v>
      </c>
      <c r="J133" s="34">
        <v>0</v>
      </c>
      <c r="K133" s="34" t="str">
        <f t="shared" si="12"/>
        <v>4039/4040</v>
      </c>
      <c r="L133" s="34" t="str">
        <f>VLOOKUP(A133,'Trips&amp;Operators'!$C$1:$E$10000,3,FALSE)</f>
        <v>GRASTON</v>
      </c>
      <c r="M133" s="6">
        <f t="shared" si="13"/>
        <v>2.7222222219279502E-2</v>
      </c>
      <c r="N133" s="7">
        <f t="shared" si="14"/>
        <v>39.199999995762482</v>
      </c>
      <c r="O133" s="7"/>
      <c r="P133" s="7"/>
      <c r="Q133" s="35"/>
      <c r="R133" s="35"/>
      <c r="S133" s="54">
        <f t="shared" si="15"/>
        <v>1</v>
      </c>
      <c r="T133" s="108" t="str">
        <f t="shared" si="16"/>
        <v>Southbound</v>
      </c>
      <c r="U133" s="108">
        <f>COUNTIFS(Variables!$M$2:$M$19,IF(T133="NorthBound","&gt;=","&lt;=")&amp;Y133,Variables!$M$2:$M$19,IF(T133="NorthBound","&lt;=","&gt;=")&amp;Z133)</f>
        <v>12</v>
      </c>
      <c r="V133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19:21:52-0600',mode:absolute,to:'2016-07-06 20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3" s="116" t="str">
        <f t="shared" si="18"/>
        <v>N</v>
      </c>
      <c r="X133" s="116">
        <f t="shared" si="19"/>
        <v>1</v>
      </c>
      <c r="Y133" s="116">
        <f t="shared" si="20"/>
        <v>23.298300000000001</v>
      </c>
      <c r="Z133" s="116">
        <f t="shared" si="21"/>
        <v>1.7600000000000001E-2</v>
      </c>
      <c r="AA133" s="116">
        <f t="shared" si="22"/>
        <v>23.2807</v>
      </c>
      <c r="AB133" s="117" t="e">
        <f>VLOOKUP(A133,Enforcements!$C$7:$J$30,8,0)</f>
        <v>#N/A</v>
      </c>
      <c r="AC133" s="117" t="e">
        <f>VLOOKUP(A133,Enforcements!$C$7:$E$30,3,0)</f>
        <v>#N/A</v>
      </c>
      <c r="AD133" s="118" t="str">
        <f t="shared" si="23"/>
        <v>0220-06</v>
      </c>
      <c r="AE133" s="118" t="str">
        <f>"aws s3 cp "&amp;s3_bucket&amp;"/RTDC"&amp;B133&amp;"/"&amp;TEXT(F133,"YYYY-MM-DD")&amp;"/ "&amp;search_path&amp;"\RTDC"&amp;B133&amp;"\"&amp;TEXT(F133,"YYYY-MM-DD")&amp;" --recursive &amp; """&amp;walkandungz&amp;""" "&amp;search_path&amp;"\RTDC"&amp;B133&amp;"\"&amp;TEXT(F133,"YYYY-MM-DD")
&amp;" &amp; "&amp;"aws s3 cp "&amp;s3_bucket&amp;"/RTDC"&amp;B133&amp;"/"&amp;TEXT(F133+1,"YYYY-MM-DD")&amp;"/ "&amp;search_path&amp;"\RTDC"&amp;B133&amp;"\"&amp;TEXT(F133+1,"YYYY-MM-DD")&amp;" --recursive &amp; """&amp;walkandungz&amp;""" "&amp;search_path&amp;"\RTDC"&amp;B133&amp;"\"&amp;TEXT(F133+1,"YYYY-MM-DD")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33" s="118" t="str">
        <f>astrogrep_path&amp;" /spath="&amp;search_path&amp;" /stypes=""*"&amp;B133&amp;"*"&amp;TEXT(F133-utc_offset/24,"YYYYMMDD")&amp;"*"" /stext="" "&amp;TEXT(F133-utc_offset/24,"HH")&amp;search_regexp&amp;""" /e /r /s"</f>
        <v>"C:\Program Files (x86)\AstroGrep\AstroGrep.exe" /spath="C:\Users\stu\Documents\Analysis\2016-02-23 RTDC Observations" /stypes="*4039*20160707*" /stext=" 01:.+((prompt.+disp)|(slice.+state.+chan)|(ment ac)|(system.+state.+chan)|(\|lc)|(penalty)|(\[timeout))" /e /r /s</v>
      </c>
    </row>
    <row r="134" spans="1:32" x14ac:dyDescent="0.25">
      <c r="A134" s="62" t="s">
        <v>400</v>
      </c>
      <c r="B134" s="34">
        <v>4011</v>
      </c>
      <c r="C134" s="34" t="s">
        <v>60</v>
      </c>
      <c r="D134" s="34" t="s">
        <v>643</v>
      </c>
      <c r="E134" s="20">
        <v>42557.794895833336</v>
      </c>
      <c r="F134" s="20">
        <v>42557.795856481483</v>
      </c>
      <c r="G134" s="20">
        <v>1</v>
      </c>
      <c r="H134" s="20" t="s">
        <v>127</v>
      </c>
      <c r="I134" s="20">
        <v>42557.818425925929</v>
      </c>
      <c r="J134" s="34">
        <v>0</v>
      </c>
      <c r="K134" s="34" t="str">
        <f t="shared" si="12"/>
        <v>4011/4012</v>
      </c>
      <c r="L134" s="34" t="str">
        <f>VLOOKUP(A134,'Trips&amp;Operators'!$C$1:$E$10000,3,FALSE)</f>
        <v>BARTLETT</v>
      </c>
      <c r="M134" s="6">
        <f t="shared" si="13"/>
        <v>2.2569444445252884E-2</v>
      </c>
      <c r="N134" s="7"/>
      <c r="O134" s="7"/>
      <c r="P134" s="7">
        <f t="shared" si="14"/>
        <v>32.500000001164153</v>
      </c>
      <c r="Q134" s="35"/>
      <c r="R134" s="35" t="s">
        <v>737</v>
      </c>
      <c r="S134" s="54">
        <f t="shared" si="15"/>
        <v>1</v>
      </c>
      <c r="T134" s="108" t="str">
        <f t="shared" si="16"/>
        <v>NorthBound</v>
      </c>
      <c r="U134" s="108">
        <f>COUNTIFS(Variables!$M$2:$M$19,IF(T134="NorthBound","&gt;=","&lt;=")&amp;Y134,Variables!$M$2:$M$19,IF(T134="NorthBound","&lt;=","&gt;=")&amp;Z134)</f>
        <v>12</v>
      </c>
      <c r="V134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19:03:39-0600',mode:absolute,to:'2016-07-06 19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4" s="116" t="str">
        <f t="shared" si="18"/>
        <v>Y</v>
      </c>
      <c r="X134" s="116">
        <f t="shared" si="19"/>
        <v>1</v>
      </c>
      <c r="Y134" s="116">
        <f t="shared" si="20"/>
        <v>1.9117</v>
      </c>
      <c r="Z134" s="116">
        <f t="shared" si="21"/>
        <v>23.331399999999999</v>
      </c>
      <c r="AA134" s="116">
        <f t="shared" si="22"/>
        <v>21.419699999999999</v>
      </c>
      <c r="AB134" s="117" t="e">
        <f>VLOOKUP(A134,Enforcements!$C$7:$J$30,8,0)</f>
        <v>#N/A</v>
      </c>
      <c r="AC134" s="117" t="e">
        <f>VLOOKUP(A134,Enforcements!$C$7:$E$30,3,0)</f>
        <v>#N/A</v>
      </c>
      <c r="AD134" s="118" t="str">
        <f t="shared" si="23"/>
        <v>0221-06</v>
      </c>
      <c r="AE134" s="118" t="str">
        <f>"aws s3 cp "&amp;s3_bucket&amp;"/RTDC"&amp;B134&amp;"/"&amp;TEXT(F134,"YYYY-MM-DD")&amp;"/ "&amp;search_path&amp;"\RTDC"&amp;B134&amp;"\"&amp;TEXT(F134,"YYYY-MM-DD")&amp;" --recursive &amp; """&amp;walkandungz&amp;""" "&amp;search_path&amp;"\RTDC"&amp;B134&amp;"\"&amp;TEXT(F134,"YYYY-MM-DD")
&amp;" &amp; "&amp;"aws s3 cp "&amp;s3_bucket&amp;"/RTDC"&amp;B134&amp;"/"&amp;TEXT(F134+1,"YYYY-MM-DD")&amp;"/ "&amp;search_path&amp;"\RTDC"&amp;B134&amp;"\"&amp;TEXT(F134+1,"YYYY-MM-DD")&amp;" --recursive &amp; """&amp;walkandungz&amp;""" "&amp;search_path&amp;"\RTDC"&amp;B134&amp;"\"&amp;TEXT(F134+1,"YYYY-MM-DD")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34" s="118" t="str">
        <f>astrogrep_path&amp;" /spath="&amp;search_path&amp;" /stypes=""*"&amp;B134&amp;"*"&amp;TEXT(F134-utc_offset/24,"YYYYMMDD")&amp;"*"" /stext="" "&amp;TEXT(F134-utc_offset/24,"HH")&amp;search_regexp&amp;""" /e /r /s"</f>
        <v>"C:\Program Files (x86)\AstroGrep\AstroGrep.exe" /spath="C:\Users\stu\Documents\Analysis\2016-02-23 RTDC Observations" /stypes="*4011*20160707*" /stext=" 01:.+((prompt.+disp)|(slice.+state.+chan)|(ment ac)|(system.+state.+chan)|(\|lc)|(penalty)|(\[timeout))" /e /r /s</v>
      </c>
    </row>
    <row r="135" spans="1:32" x14ac:dyDescent="0.25">
      <c r="A135" s="62" t="s">
        <v>499</v>
      </c>
      <c r="B135" s="34">
        <v>4012</v>
      </c>
      <c r="C135" s="34" t="s">
        <v>60</v>
      </c>
      <c r="D135" s="34" t="s">
        <v>146</v>
      </c>
      <c r="E135" s="20">
        <v>42557.821250000001</v>
      </c>
      <c r="F135" s="20">
        <v>42557.822442129633</v>
      </c>
      <c r="G135" s="20">
        <v>1</v>
      </c>
      <c r="H135" s="20" t="s">
        <v>183</v>
      </c>
      <c r="I135" s="20">
        <v>42557.857094907406</v>
      </c>
      <c r="J135" s="34">
        <v>0</v>
      </c>
      <c r="K135" s="34" t="str">
        <f t="shared" si="12"/>
        <v>4011/4012</v>
      </c>
      <c r="L135" s="34" t="str">
        <f>VLOOKUP(A135,'Trips&amp;Operators'!$C$1:$E$10000,3,FALSE)</f>
        <v>BARTLETT</v>
      </c>
      <c r="M135" s="6">
        <f t="shared" si="13"/>
        <v>3.4652777772862464E-2</v>
      </c>
      <c r="N135" s="7">
        <f t="shared" si="14"/>
        <v>49.899999992921948</v>
      </c>
      <c r="O135" s="7"/>
      <c r="P135" s="7"/>
      <c r="Q135" s="35"/>
      <c r="R135" s="35"/>
      <c r="S135" s="54">
        <f t="shared" si="15"/>
        <v>1</v>
      </c>
      <c r="T135" s="108" t="str">
        <f t="shared" si="16"/>
        <v>Southbound</v>
      </c>
      <c r="U135" s="108">
        <f>COUNTIFS(Variables!$M$2:$M$19,IF(T135="NorthBound","&gt;=","&lt;=")&amp;Y135,Variables!$M$2:$M$19,IF(T135="NorthBound","&lt;=","&gt;=")&amp;Z135)</f>
        <v>12</v>
      </c>
      <c r="V135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19:41:36-0600',mode:absolute,to:'2016-07-06 20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5" s="116" t="str">
        <f t="shared" si="18"/>
        <v>N</v>
      </c>
      <c r="X135" s="116">
        <f t="shared" si="19"/>
        <v>1</v>
      </c>
      <c r="Y135" s="116">
        <f t="shared" si="20"/>
        <v>23.297799999999999</v>
      </c>
      <c r="Z135" s="116">
        <f t="shared" si="21"/>
        <v>1.61E-2</v>
      </c>
      <c r="AA135" s="116">
        <f t="shared" si="22"/>
        <v>23.281699999999997</v>
      </c>
      <c r="AB135" s="117" t="e">
        <f>VLOOKUP(A135,Enforcements!$C$7:$J$30,8,0)</f>
        <v>#N/A</v>
      </c>
      <c r="AC135" s="117" t="e">
        <f>VLOOKUP(A135,Enforcements!$C$7:$E$30,3,0)</f>
        <v>#N/A</v>
      </c>
      <c r="AD135" s="118" t="str">
        <f t="shared" si="23"/>
        <v>0222-06</v>
      </c>
      <c r="AE135" s="118" t="str">
        <f>"aws s3 cp "&amp;s3_bucket&amp;"/RTDC"&amp;B135&amp;"/"&amp;TEXT(F135,"YYYY-MM-DD")&amp;"/ "&amp;search_path&amp;"\RTDC"&amp;B135&amp;"\"&amp;TEXT(F135,"YYYY-MM-DD")&amp;" --recursive &amp; """&amp;walkandungz&amp;""" "&amp;search_path&amp;"\RTDC"&amp;B135&amp;"\"&amp;TEXT(F135,"YYYY-MM-DD")
&amp;" &amp; "&amp;"aws s3 cp "&amp;s3_bucket&amp;"/RTDC"&amp;B135&amp;"/"&amp;TEXT(F135+1,"YYYY-MM-DD")&amp;"/ "&amp;search_path&amp;"\RTDC"&amp;B135&amp;"\"&amp;TEXT(F135+1,"YYYY-MM-DD")&amp;" --recursive &amp; """&amp;walkandungz&amp;""" "&amp;search_path&amp;"\RTDC"&amp;B135&amp;"\"&amp;TEXT(F135+1,"YYYY-MM-DD")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35" s="118" t="str">
        <f>astrogrep_path&amp;" /spath="&amp;search_path&amp;" /stypes=""*"&amp;B135&amp;"*"&amp;TEXT(F135-utc_offset/24,"YYYYMMDD")&amp;"*"" /stext="" "&amp;TEXT(F135-utc_offset/24,"HH")&amp;search_regexp&amp;""" /e /r /s"</f>
        <v>"C:\Program Files (x86)\AstroGrep\AstroGrep.exe" /spath="C:\Users\stu\Documents\Analysis\2016-02-23 RTDC Observations" /stypes="*4012*20160707*" /stext=" 01:.+((prompt.+disp)|(slice.+state.+chan)|(ment ac)|(system.+state.+chan)|(\|lc)|(penalty)|(\[timeout))" /e /r /s</v>
      </c>
    </row>
    <row r="136" spans="1:32" x14ac:dyDescent="0.25">
      <c r="A136" s="62" t="s">
        <v>414</v>
      </c>
      <c r="B136" s="34">
        <v>4031</v>
      </c>
      <c r="C136" s="34" t="s">
        <v>60</v>
      </c>
      <c r="D136" s="34" t="s">
        <v>182</v>
      </c>
      <c r="E136" s="20">
        <v>42557.805474537039</v>
      </c>
      <c r="F136" s="20">
        <v>42557.806967592594</v>
      </c>
      <c r="G136" s="20">
        <v>2</v>
      </c>
      <c r="H136" s="20" t="s">
        <v>201</v>
      </c>
      <c r="I136" s="20">
        <v>42557.83699074074</v>
      </c>
      <c r="J136" s="34">
        <v>0</v>
      </c>
      <c r="K136" s="34" t="str">
        <f t="shared" si="12"/>
        <v>4031/4032</v>
      </c>
      <c r="L136" s="34" t="str">
        <f>VLOOKUP(A136,'Trips&amp;Operators'!$C$1:$E$10000,3,FALSE)</f>
        <v>HELVIE</v>
      </c>
      <c r="M136" s="6">
        <f t="shared" si="13"/>
        <v>3.0023148145119194E-2</v>
      </c>
      <c r="N136" s="7">
        <f t="shared" si="14"/>
        <v>43.233333328971639</v>
      </c>
      <c r="O136" s="7"/>
      <c r="P136" s="7"/>
      <c r="Q136" s="35"/>
      <c r="R136" s="35"/>
      <c r="S136" s="54">
        <f t="shared" si="15"/>
        <v>1</v>
      </c>
      <c r="T136" s="108" t="str">
        <f t="shared" si="16"/>
        <v>NorthBound</v>
      </c>
      <c r="U136" s="108">
        <f>COUNTIFS(Variables!$M$2:$M$19,IF(T136="NorthBound","&gt;=","&lt;=")&amp;Y136,Variables!$M$2:$M$19,IF(T136="NorthBound","&lt;=","&gt;=")&amp;Z136)</f>
        <v>12</v>
      </c>
      <c r="V136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19:18:53-0600',mode:absolute,to:'2016-07-06 20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6" s="116" t="str">
        <f t="shared" si="18"/>
        <v>N</v>
      </c>
      <c r="X136" s="116">
        <f t="shared" si="19"/>
        <v>1</v>
      </c>
      <c r="Y136" s="116">
        <f t="shared" si="20"/>
        <v>4.7500000000000001E-2</v>
      </c>
      <c r="Z136" s="116">
        <f t="shared" si="21"/>
        <v>23.328900000000001</v>
      </c>
      <c r="AA136" s="116">
        <f t="shared" si="22"/>
        <v>23.281400000000001</v>
      </c>
      <c r="AB136" s="117" t="e">
        <f>VLOOKUP(A136,Enforcements!$C$7:$J$30,8,0)</f>
        <v>#N/A</v>
      </c>
      <c r="AC136" s="117" t="e">
        <f>VLOOKUP(A136,Enforcements!$C$7:$E$30,3,0)</f>
        <v>#N/A</v>
      </c>
      <c r="AD136" s="118" t="str">
        <f t="shared" si="23"/>
        <v>0223-06</v>
      </c>
      <c r="AE136" s="118" t="str">
        <f>"aws s3 cp "&amp;s3_bucket&amp;"/RTDC"&amp;B136&amp;"/"&amp;TEXT(F136,"YYYY-MM-DD")&amp;"/ "&amp;search_path&amp;"\RTDC"&amp;B136&amp;"\"&amp;TEXT(F136,"YYYY-MM-DD")&amp;" --recursive &amp; """&amp;walkandungz&amp;""" "&amp;search_path&amp;"\RTDC"&amp;B136&amp;"\"&amp;TEXT(F136,"YYYY-MM-DD")
&amp;" &amp; "&amp;"aws s3 cp "&amp;s3_bucket&amp;"/RTDC"&amp;B136&amp;"/"&amp;TEXT(F136+1,"YYYY-MM-DD")&amp;"/ "&amp;search_path&amp;"\RTDC"&amp;B136&amp;"\"&amp;TEXT(F136+1,"YYYY-MM-DD")&amp;" --recursive &amp; """&amp;walkandungz&amp;""" "&amp;search_path&amp;"\RTDC"&amp;B136&amp;"\"&amp;TEXT(F136+1,"YYYY-MM-DD")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36" s="118" t="str">
        <f>astrogrep_path&amp;" /spath="&amp;search_path&amp;" /stypes=""*"&amp;B136&amp;"*"&amp;TEXT(F136-utc_offset/24,"YYYYMMDD")&amp;"*"" /stext="" "&amp;TEXT(F136-utc_offset/24,"HH")&amp;search_regexp&amp;""" /e /r /s"</f>
        <v>"C:\Program Files (x86)\AstroGrep\AstroGrep.exe" /spath="C:\Users\stu\Documents\Analysis\2016-02-23 RTDC Observations" /stypes="*4031*20160707*" /stext=" 01:.+((prompt.+disp)|(slice.+state.+chan)|(ment ac)|(system.+state.+chan)|(\|lc)|(penalty)|(\[timeout))" /e /r /s</v>
      </c>
    </row>
    <row r="137" spans="1:32" x14ac:dyDescent="0.25">
      <c r="A137" s="62" t="s">
        <v>388</v>
      </c>
      <c r="B137" s="34">
        <v>4032</v>
      </c>
      <c r="C137" s="34" t="s">
        <v>60</v>
      </c>
      <c r="D137" s="34" t="s">
        <v>172</v>
      </c>
      <c r="E137" s="20">
        <v>42557.847395833334</v>
      </c>
      <c r="F137" s="20">
        <v>42557.848078703704</v>
      </c>
      <c r="G137" s="20">
        <v>0</v>
      </c>
      <c r="H137" s="20" t="s">
        <v>644</v>
      </c>
      <c r="I137" s="20">
        <v>42557.877025462964</v>
      </c>
      <c r="J137" s="34">
        <v>1</v>
      </c>
      <c r="K137" s="34" t="str">
        <f t="shared" si="12"/>
        <v>4031/4032</v>
      </c>
      <c r="L137" s="34" t="str">
        <f>VLOOKUP(A137,'Trips&amp;Operators'!$C$1:$E$10000,3,FALSE)</f>
        <v>HELVIE</v>
      </c>
      <c r="M137" s="6">
        <f t="shared" si="13"/>
        <v>2.8946759259270038E-2</v>
      </c>
      <c r="N137" s="7">
        <f t="shared" si="14"/>
        <v>41.683333333348855</v>
      </c>
      <c r="O137" s="7"/>
      <c r="P137" s="7"/>
      <c r="Q137" s="35"/>
      <c r="R137" s="35"/>
      <c r="S137" s="54">
        <f t="shared" si="15"/>
        <v>1</v>
      </c>
      <c r="T137" s="108" t="str">
        <f t="shared" si="16"/>
        <v>Southbound</v>
      </c>
      <c r="U137" s="108">
        <f>COUNTIFS(Variables!$M$2:$M$19,IF(T137="NorthBound","&gt;=","&lt;=")&amp;Y137,Variables!$M$2:$M$19,IF(T137="NorthBound","&lt;=","&gt;=")&amp;Z137)</f>
        <v>12</v>
      </c>
      <c r="V137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20:19:15-0600',mode:absolute,to:'2016-07-06 21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7" s="116" t="str">
        <f t="shared" si="18"/>
        <v>N</v>
      </c>
      <c r="X137" s="116">
        <f t="shared" si="19"/>
        <v>1</v>
      </c>
      <c r="Y137" s="116">
        <f t="shared" si="20"/>
        <v>23.2973</v>
      </c>
      <c r="Z137" s="116">
        <f t="shared" si="21"/>
        <v>1.6E-2</v>
      </c>
      <c r="AA137" s="116">
        <f t="shared" si="22"/>
        <v>23.281300000000002</v>
      </c>
      <c r="AB137" s="117" t="e">
        <f>VLOOKUP(A137,Enforcements!$C$7:$J$30,8,0)</f>
        <v>#N/A</v>
      </c>
      <c r="AC137" s="117" t="e">
        <f>VLOOKUP(A137,Enforcements!$C$7:$E$30,3,0)</f>
        <v>#N/A</v>
      </c>
      <c r="AD137" s="118" t="str">
        <f t="shared" si="23"/>
        <v>0224-06</v>
      </c>
      <c r="AE137" s="118" t="str">
        <f>"aws s3 cp "&amp;s3_bucket&amp;"/RTDC"&amp;B137&amp;"/"&amp;TEXT(F137,"YYYY-MM-DD")&amp;"/ "&amp;search_path&amp;"\RTDC"&amp;B137&amp;"\"&amp;TEXT(F137,"YYYY-MM-DD")&amp;" --recursive &amp; """&amp;walkandungz&amp;""" "&amp;search_path&amp;"\RTDC"&amp;B137&amp;"\"&amp;TEXT(F137,"YYYY-MM-DD")
&amp;" &amp; "&amp;"aws s3 cp "&amp;s3_bucket&amp;"/RTDC"&amp;B137&amp;"/"&amp;TEXT(F137+1,"YYYY-MM-DD")&amp;"/ "&amp;search_path&amp;"\RTDC"&amp;B137&amp;"\"&amp;TEXT(F137+1,"YYYY-MM-DD")&amp;" --recursive &amp; """&amp;walkandungz&amp;""" "&amp;search_path&amp;"\RTDC"&amp;B137&amp;"\"&amp;TEXT(F137+1,"YYYY-MM-DD")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37" s="118" t="str">
        <f>astrogrep_path&amp;" /spath="&amp;search_path&amp;" /stypes=""*"&amp;B137&amp;"*"&amp;TEXT(F137-utc_offset/24,"YYYYMMDD")&amp;"*"" /stext="" "&amp;TEXT(F137-utc_offset/24,"HH")&amp;search_regexp&amp;""" /e /r /s"</f>
        <v>"C:\Program Files (x86)\AstroGrep\AstroGrep.exe" /spath="C:\Users\stu\Documents\Analysis\2016-02-23 RTDC Observations" /stypes="*4032*20160707*" /stext=" 02:.+((prompt.+disp)|(slice.+state.+chan)|(ment ac)|(system.+state.+chan)|(\|lc)|(penalty)|(\[timeout))" /e /r /s</v>
      </c>
    </row>
    <row r="138" spans="1:32" x14ac:dyDescent="0.25">
      <c r="A138" s="62" t="s">
        <v>385</v>
      </c>
      <c r="B138" s="34">
        <v>4025</v>
      </c>
      <c r="C138" s="34" t="s">
        <v>60</v>
      </c>
      <c r="D138" s="34" t="s">
        <v>78</v>
      </c>
      <c r="E138" s="20">
        <v>42557.828912037039</v>
      </c>
      <c r="F138" s="20">
        <v>42557.829733796294</v>
      </c>
      <c r="G138" s="20">
        <v>1</v>
      </c>
      <c r="H138" s="20" t="s">
        <v>85</v>
      </c>
      <c r="I138" s="20">
        <v>42557.858530092592</v>
      </c>
      <c r="J138" s="34">
        <v>1</v>
      </c>
      <c r="K138" s="34" t="str">
        <f t="shared" si="12"/>
        <v>4025/4026</v>
      </c>
      <c r="L138" s="34" t="str">
        <f>VLOOKUP(A138,'Trips&amp;Operators'!$C$1:$E$10000,3,FALSE)</f>
        <v>ADANE</v>
      </c>
      <c r="M138" s="6">
        <f t="shared" si="13"/>
        <v>2.8796296297514345E-2</v>
      </c>
      <c r="N138" s="7">
        <f t="shared" si="14"/>
        <v>41.466666668420658</v>
      </c>
      <c r="O138" s="7"/>
      <c r="P138" s="7"/>
      <c r="Q138" s="35"/>
      <c r="R138" s="35"/>
      <c r="S138" s="54">
        <f t="shared" si="15"/>
        <v>1</v>
      </c>
      <c r="T138" s="108" t="str">
        <f t="shared" si="16"/>
        <v>NorthBound</v>
      </c>
      <c r="U138" s="108">
        <f>COUNTIFS(Variables!$M$2:$M$19,IF(T138="NorthBound","&gt;=","&lt;=")&amp;Y138,Variables!$M$2:$M$19,IF(T138="NorthBound","&lt;=","&gt;=")&amp;Z138)</f>
        <v>12</v>
      </c>
      <c r="V138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19:52:38-0600',mode:absolute,to:'2016-07-06 20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116" t="str">
        <f t="shared" si="18"/>
        <v>N</v>
      </c>
      <c r="X138" s="116">
        <f t="shared" si="19"/>
        <v>1</v>
      </c>
      <c r="Y138" s="116">
        <f t="shared" si="20"/>
        <v>4.6399999999999997E-2</v>
      </c>
      <c r="Z138" s="116">
        <f t="shared" si="21"/>
        <v>23.329499999999999</v>
      </c>
      <c r="AA138" s="116">
        <f t="shared" si="22"/>
        <v>23.283100000000001</v>
      </c>
      <c r="AB138" s="117">
        <f>VLOOKUP(A138,Enforcements!$C$7:$J$30,8,0)</f>
        <v>5457</v>
      </c>
      <c r="AC138" s="117" t="str">
        <f>VLOOKUP(A138,Enforcements!$C$7:$E$30,3,0)</f>
        <v>PERMANENT SPEED RESTRICTION</v>
      </c>
      <c r="AD138" s="118" t="str">
        <f t="shared" si="23"/>
        <v>0225-06</v>
      </c>
      <c r="AE138" s="118" t="str">
        <f>"aws s3 cp "&amp;s3_bucket&amp;"/RTDC"&amp;B138&amp;"/"&amp;TEXT(F138,"YYYY-MM-DD")&amp;"/ "&amp;search_path&amp;"\RTDC"&amp;B138&amp;"\"&amp;TEXT(F138,"YYYY-MM-DD")&amp;" --recursive &amp; """&amp;walkandungz&amp;""" "&amp;search_path&amp;"\RTDC"&amp;B138&amp;"\"&amp;TEXT(F138,"YYYY-MM-DD")
&amp;" &amp; "&amp;"aws s3 cp "&amp;s3_bucket&amp;"/RTDC"&amp;B138&amp;"/"&amp;TEXT(F138+1,"YYYY-MM-DD")&amp;"/ "&amp;search_path&amp;"\RTDC"&amp;B138&amp;"\"&amp;TEXT(F138+1,"YYYY-MM-DD")&amp;" --recursive &amp; """&amp;walkandungz&amp;""" "&amp;search_path&amp;"\RTDC"&amp;B138&amp;"\"&amp;TEXT(F138+1,"YYYY-MM-DD")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38" s="118" t="str">
        <f>astrogrep_path&amp;" /spath="&amp;search_path&amp;" /stypes=""*"&amp;B138&amp;"*"&amp;TEXT(F138-utc_offset/24,"YYYYMMDD")&amp;"*"" /stext="" "&amp;TEXT(F138-utc_offset/24,"HH")&amp;search_regexp&amp;""" /e /r /s"</f>
        <v>"C:\Program Files (x86)\AstroGrep\AstroGrep.exe" /spath="C:\Users\stu\Documents\Analysis\2016-02-23 RTDC Observations" /stypes="*4025*20160707*" /stext=" 01:.+((prompt.+disp)|(slice.+state.+chan)|(ment ac)|(system.+state.+chan)|(\|lc)|(penalty)|(\[timeout))" /e /r /s</v>
      </c>
    </row>
    <row r="139" spans="1:32" x14ac:dyDescent="0.25">
      <c r="A139" s="62" t="s">
        <v>417</v>
      </c>
      <c r="B139" s="34">
        <v>4026</v>
      </c>
      <c r="C139" s="34" t="s">
        <v>60</v>
      </c>
      <c r="D139" s="34" t="s">
        <v>146</v>
      </c>
      <c r="E139" s="20">
        <v>42557.867384259262</v>
      </c>
      <c r="F139" s="20">
        <v>42557.868321759262</v>
      </c>
      <c r="G139" s="20">
        <v>1</v>
      </c>
      <c r="H139" s="20" t="s">
        <v>67</v>
      </c>
      <c r="I139" s="20">
        <v>42557.897546296299</v>
      </c>
      <c r="J139" s="34">
        <v>0</v>
      </c>
      <c r="K139" s="34" t="str">
        <f t="shared" si="12"/>
        <v>4025/4026</v>
      </c>
      <c r="L139" s="34" t="str">
        <f>VLOOKUP(A139,'Trips&amp;Operators'!$C$1:$E$10000,3,FALSE)</f>
        <v>ADANE</v>
      </c>
      <c r="M139" s="6">
        <f t="shared" si="13"/>
        <v>2.9224537036498077E-2</v>
      </c>
      <c r="N139" s="7">
        <f t="shared" si="14"/>
        <v>42.083333332557231</v>
      </c>
      <c r="O139" s="7"/>
      <c r="P139" s="7"/>
      <c r="Q139" s="35"/>
      <c r="R139" s="35"/>
      <c r="S139" s="54">
        <f t="shared" si="15"/>
        <v>1</v>
      </c>
      <c r="T139" s="108" t="str">
        <f t="shared" si="16"/>
        <v>Southbound</v>
      </c>
      <c r="U139" s="108">
        <f>COUNTIFS(Variables!$M$2:$M$19,IF(T139="NorthBound","&gt;=","&lt;=")&amp;Y139,Variables!$M$2:$M$19,IF(T139="NorthBound","&lt;=","&gt;=")&amp;Z139)</f>
        <v>12</v>
      </c>
      <c r="V139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20:48:02-0600',mode:absolute,to:'2016-07-06 21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116" t="str">
        <f t="shared" si="18"/>
        <v>N</v>
      </c>
      <c r="X139" s="116">
        <f t="shared" si="19"/>
        <v>1</v>
      </c>
      <c r="Y139" s="116">
        <f t="shared" si="20"/>
        <v>23.297799999999999</v>
      </c>
      <c r="Z139" s="116">
        <f t="shared" si="21"/>
        <v>1.47E-2</v>
      </c>
      <c r="AA139" s="116">
        <f t="shared" si="22"/>
        <v>23.283099999999997</v>
      </c>
      <c r="AB139" s="117" t="e">
        <f>VLOOKUP(A139,Enforcements!$C$7:$J$30,8,0)</f>
        <v>#N/A</v>
      </c>
      <c r="AC139" s="117" t="e">
        <f>VLOOKUP(A139,Enforcements!$C$7:$E$30,3,0)</f>
        <v>#N/A</v>
      </c>
      <c r="AD139" s="118" t="str">
        <f t="shared" si="23"/>
        <v>0226-06</v>
      </c>
      <c r="AE139" s="118" t="str">
        <f>"aws s3 cp "&amp;s3_bucket&amp;"/RTDC"&amp;B139&amp;"/"&amp;TEXT(F139,"YYYY-MM-DD")&amp;"/ "&amp;search_path&amp;"\RTDC"&amp;B139&amp;"\"&amp;TEXT(F139,"YYYY-MM-DD")&amp;" --recursive &amp; """&amp;walkandungz&amp;""" "&amp;search_path&amp;"\RTDC"&amp;B139&amp;"\"&amp;TEXT(F139,"YYYY-MM-DD")
&amp;" &amp; "&amp;"aws s3 cp "&amp;s3_bucket&amp;"/RTDC"&amp;B139&amp;"/"&amp;TEXT(F139+1,"YYYY-MM-DD")&amp;"/ "&amp;search_path&amp;"\RTDC"&amp;B139&amp;"\"&amp;TEXT(F139+1,"YYYY-MM-DD")&amp;" --recursive &amp; """&amp;walkandungz&amp;""" "&amp;search_path&amp;"\RTDC"&amp;B139&amp;"\"&amp;TEXT(F139+1,"YYYY-MM-DD")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39" s="118" t="str">
        <f>astrogrep_path&amp;" /spath="&amp;search_path&amp;" /stypes=""*"&amp;B139&amp;"*"&amp;TEXT(F139-utc_offset/24,"YYYYMMDD")&amp;"*"" /stext="" "&amp;TEXT(F139-utc_offset/24,"HH")&amp;search_regexp&amp;""" /e /r /s"</f>
        <v>"C:\Program Files (x86)\AstroGrep\AstroGrep.exe" /spath="C:\Users\stu\Documents\Analysis\2016-02-23 RTDC Observations" /stypes="*4026*20160707*" /stext=" 02:.+((prompt.+disp)|(slice.+state.+chan)|(ment ac)|(system.+state.+chan)|(\|lc)|(penalty)|(\[timeout))" /e /r /s</v>
      </c>
    </row>
    <row r="140" spans="1:32" x14ac:dyDescent="0.25">
      <c r="A140" s="62" t="s">
        <v>389</v>
      </c>
      <c r="B140" s="34">
        <v>4040</v>
      </c>
      <c r="C140" s="34" t="s">
        <v>60</v>
      </c>
      <c r="D140" s="34" t="s">
        <v>225</v>
      </c>
      <c r="E140" s="20">
        <v>42557.849178240744</v>
      </c>
      <c r="F140" s="20">
        <v>42557.850208333337</v>
      </c>
      <c r="G140" s="20">
        <v>1</v>
      </c>
      <c r="H140" s="20" t="s">
        <v>290</v>
      </c>
      <c r="I140" s="20">
        <v>42557.878668981481</v>
      </c>
      <c r="J140" s="34">
        <v>1</v>
      </c>
      <c r="K140" s="34" t="str">
        <f t="shared" si="12"/>
        <v>4039/4040</v>
      </c>
      <c r="L140" s="34" t="str">
        <f>VLOOKUP(A140,'Trips&amp;Operators'!$C$1:$E$10000,3,FALSE)</f>
        <v>GRASTON</v>
      </c>
      <c r="M140" s="6">
        <f t="shared" si="13"/>
        <v>2.8460648143664002E-2</v>
      </c>
      <c r="N140" s="7">
        <f t="shared" si="14"/>
        <v>40.983333326876163</v>
      </c>
      <c r="O140" s="7"/>
      <c r="P140" s="7"/>
      <c r="Q140" s="35"/>
      <c r="R140" s="35"/>
      <c r="S140" s="54">
        <f t="shared" si="15"/>
        <v>1</v>
      </c>
      <c r="T140" s="108" t="str">
        <f t="shared" si="16"/>
        <v>NorthBound</v>
      </c>
      <c r="U140" s="108">
        <f>COUNTIFS(Variables!$M$2:$M$19,IF(T140="NorthBound","&gt;=","&lt;=")&amp;Y140,Variables!$M$2:$M$19,IF(T140="NorthBound","&lt;=","&gt;=")&amp;Z140)</f>
        <v>12</v>
      </c>
      <c r="V140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20:21:49-0600',mode:absolute,to:'2016-07-06 21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0" s="116" t="str">
        <f t="shared" si="18"/>
        <v>N</v>
      </c>
      <c r="X140" s="116">
        <f t="shared" si="19"/>
        <v>1</v>
      </c>
      <c r="Y140" s="116">
        <f t="shared" si="20"/>
        <v>4.6199999999999998E-2</v>
      </c>
      <c r="Z140" s="116">
        <f t="shared" si="21"/>
        <v>23.331199999999999</v>
      </c>
      <c r="AA140" s="116">
        <f t="shared" si="22"/>
        <v>23.285</v>
      </c>
      <c r="AB140" s="117" t="e">
        <f>VLOOKUP(A140,Enforcements!$C$7:$J$30,8,0)</f>
        <v>#N/A</v>
      </c>
      <c r="AC140" s="117" t="e">
        <f>VLOOKUP(A140,Enforcements!$C$7:$E$30,3,0)</f>
        <v>#N/A</v>
      </c>
      <c r="AD140" s="118" t="str">
        <f t="shared" si="23"/>
        <v>0227-06</v>
      </c>
      <c r="AE140" s="118" t="str">
        <f>"aws s3 cp "&amp;s3_bucket&amp;"/RTDC"&amp;B140&amp;"/"&amp;TEXT(F140,"YYYY-MM-DD")&amp;"/ "&amp;search_path&amp;"\RTDC"&amp;B140&amp;"\"&amp;TEXT(F140,"YYYY-MM-DD")&amp;" --recursive &amp; """&amp;walkandungz&amp;""" "&amp;search_path&amp;"\RTDC"&amp;B140&amp;"\"&amp;TEXT(F140,"YYYY-MM-DD")
&amp;" &amp; "&amp;"aws s3 cp "&amp;s3_bucket&amp;"/RTDC"&amp;B140&amp;"/"&amp;TEXT(F140+1,"YYYY-MM-DD")&amp;"/ "&amp;search_path&amp;"\RTDC"&amp;B140&amp;"\"&amp;TEXT(F140+1,"YYYY-MM-DD")&amp;" --recursive &amp; """&amp;walkandungz&amp;""" "&amp;search_path&amp;"\RTDC"&amp;B140&amp;"\"&amp;TEXT(F140+1,"YYYY-MM-DD")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40" s="118" t="str">
        <f>astrogrep_path&amp;" /spath="&amp;search_path&amp;" /stypes=""*"&amp;B140&amp;"*"&amp;TEXT(F140-utc_offset/24,"YYYYMMDD")&amp;"*"" /stext="" "&amp;TEXT(F140-utc_offset/24,"HH")&amp;search_regexp&amp;""" /e /r /s"</f>
        <v>"C:\Program Files (x86)\AstroGrep\AstroGrep.exe" /spath="C:\Users\stu\Documents\Analysis\2016-02-23 RTDC Observations" /stypes="*4040*20160707*" /stext=" 02:.+((prompt.+disp)|(slice.+state.+chan)|(ment ac)|(system.+state.+chan)|(\|lc)|(penalty)|(\[timeout))" /e /r /s</v>
      </c>
    </row>
    <row r="141" spans="1:32" x14ac:dyDescent="0.25">
      <c r="A141" s="62" t="s">
        <v>533</v>
      </c>
      <c r="B141" s="34">
        <v>4039</v>
      </c>
      <c r="C141" s="34" t="s">
        <v>60</v>
      </c>
      <c r="D141" s="34" t="s">
        <v>222</v>
      </c>
      <c r="E141" s="20">
        <v>42557.889074074075</v>
      </c>
      <c r="F141" s="20">
        <v>42557.89</v>
      </c>
      <c r="G141" s="20">
        <v>1</v>
      </c>
      <c r="H141" s="20" t="s">
        <v>91</v>
      </c>
      <c r="I141" s="20">
        <v>42557.919085648151</v>
      </c>
      <c r="J141" s="34">
        <v>0</v>
      </c>
      <c r="K141" s="34" t="str">
        <f t="shared" si="12"/>
        <v>4039/4040</v>
      </c>
      <c r="L141" s="34" t="str">
        <f>VLOOKUP(A141,'Trips&amp;Operators'!$C$1:$E$10000,3,FALSE)</f>
        <v>GRASTON</v>
      </c>
      <c r="M141" s="6">
        <f t="shared" si="13"/>
        <v>2.9085648151522037E-2</v>
      </c>
      <c r="N141" s="7">
        <f t="shared" si="14"/>
        <v>41.883333338191733</v>
      </c>
      <c r="O141" s="7"/>
      <c r="P141" s="7"/>
      <c r="Q141" s="35"/>
      <c r="R141" s="35"/>
      <c r="S141" s="54">
        <f t="shared" si="15"/>
        <v>1</v>
      </c>
      <c r="T141" s="108" t="str">
        <f t="shared" si="16"/>
        <v>Southbound</v>
      </c>
      <c r="U141" s="108">
        <f>COUNTIFS(Variables!$M$2:$M$19,IF(T141="NorthBound","&gt;=","&lt;=")&amp;Y141,Variables!$M$2:$M$19,IF(T141="NorthBound","&lt;=","&gt;=")&amp;Z141)</f>
        <v>12</v>
      </c>
      <c r="V141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21:19:16-0600',mode:absolute,to:'2016-07-06 22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1" s="116" t="str">
        <f t="shared" si="18"/>
        <v>N</v>
      </c>
      <c r="X141" s="116">
        <f t="shared" si="19"/>
        <v>1</v>
      </c>
      <c r="Y141" s="116">
        <f t="shared" si="20"/>
        <v>23.298400000000001</v>
      </c>
      <c r="Z141" s="116">
        <f t="shared" si="21"/>
        <v>1.4999999999999999E-2</v>
      </c>
      <c r="AA141" s="116">
        <f t="shared" si="22"/>
        <v>23.2834</v>
      </c>
      <c r="AB141" s="117" t="e">
        <f>VLOOKUP(A141,Enforcements!$C$7:$J$30,8,0)</f>
        <v>#N/A</v>
      </c>
      <c r="AC141" s="117" t="e">
        <f>VLOOKUP(A141,Enforcements!$C$7:$E$30,3,0)</f>
        <v>#N/A</v>
      </c>
      <c r="AD141" s="118" t="str">
        <f t="shared" si="23"/>
        <v>0228-06</v>
      </c>
      <c r="AE141" s="118" t="str">
        <f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41" s="118" t="str">
        <f>astrogrep_path&amp;" /spath="&amp;search_path&amp;" /stypes=""*"&amp;B141&amp;"*"&amp;TEXT(F141-utc_offset/24,"YYYYMMDD")&amp;"*"" /stext="" "&amp;TEXT(F141-utc_offset/24,"HH")&amp;search_regexp&amp;""" /e /r /s"</f>
        <v>"C:\Program Files (x86)\AstroGrep\AstroGrep.exe" /spath="C:\Users\stu\Documents\Analysis\2016-02-23 RTDC Observations" /stypes="*4039*20160707*" /stext=" 03:.+((prompt.+disp)|(slice.+state.+chan)|(ment ac)|(system.+state.+chan)|(\|lc)|(penalty)|(\[timeout))" /e /r /s</v>
      </c>
    </row>
    <row r="142" spans="1:32" x14ac:dyDescent="0.25">
      <c r="A142" s="62" t="s">
        <v>441</v>
      </c>
      <c r="B142" s="34">
        <v>4011</v>
      </c>
      <c r="C142" s="34" t="s">
        <v>60</v>
      </c>
      <c r="D142" s="34" t="s">
        <v>624</v>
      </c>
      <c r="E142" s="20">
        <v>42557.864236111112</v>
      </c>
      <c r="F142" s="20">
        <v>42557.865439814814</v>
      </c>
      <c r="G142" s="20">
        <v>1</v>
      </c>
      <c r="H142" s="20" t="s">
        <v>156</v>
      </c>
      <c r="I142" s="20">
        <v>42557.900937500002</v>
      </c>
      <c r="J142" s="34">
        <v>0</v>
      </c>
      <c r="K142" s="34" t="str">
        <f t="shared" si="12"/>
        <v>4011/4012</v>
      </c>
      <c r="L142" s="34" t="str">
        <f>VLOOKUP(A142,'Trips&amp;Operators'!$C$1:$E$10000,3,FALSE)</f>
        <v>BARTLETT</v>
      </c>
      <c r="M142" s="6">
        <f t="shared" si="13"/>
        <v>3.549768518860219E-2</v>
      </c>
      <c r="N142" s="7">
        <f t="shared" si="14"/>
        <v>51.116666671587154</v>
      </c>
      <c r="O142" s="7"/>
      <c r="P142" s="7"/>
      <c r="Q142" s="35"/>
      <c r="R142" s="35"/>
      <c r="S142" s="54">
        <f t="shared" si="15"/>
        <v>1</v>
      </c>
      <c r="T142" s="108" t="str">
        <f t="shared" si="16"/>
        <v>NorthBound</v>
      </c>
      <c r="U142" s="108">
        <f>COUNTIFS(Variables!$M$2:$M$19,IF(T142="NorthBound","&gt;=","&lt;=")&amp;Y142,Variables!$M$2:$M$19,IF(T142="NorthBound","&lt;=","&gt;=")&amp;Z142)</f>
        <v>12</v>
      </c>
      <c r="V142" s="116" t="str">
        <f t="shared" si="17"/>
        <v>https://search-rtdc-monitor-bjffxe2xuh6vdkpspy63sjmuny.us-east-1.es.amazonaws.com/_plugin/kibana/#/discover/Steve-Slow-Train-Analysis-(2080s-and-2083s)?_g=(refreshInterval:(display:Off,section:0,value:0),time:(from:'2016-07-06 20:43:30-0600',mode:absolute,to:'2016-07-06 21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2" s="116" t="str">
        <f t="shared" si="18"/>
        <v>N</v>
      </c>
      <c r="X142" s="116">
        <f t="shared" si="19"/>
        <v>1</v>
      </c>
      <c r="Y142" s="116">
        <f t="shared" si="20"/>
        <v>4.7800000000000002E-2</v>
      </c>
      <c r="Z142" s="116">
        <f t="shared" si="21"/>
        <v>23.328800000000001</v>
      </c>
      <c r="AA142" s="116">
        <f t="shared" si="22"/>
        <v>23.281000000000002</v>
      </c>
      <c r="AB142" s="117" t="e">
        <f>VLOOKUP(A142,Enforcements!$C$7:$J$30,8,0)</f>
        <v>#N/A</v>
      </c>
      <c r="AC142" s="117" t="e">
        <f>VLOOKUP(A142,Enforcements!$C$7:$E$30,3,0)</f>
        <v>#N/A</v>
      </c>
      <c r="AD142" s="118" t="str">
        <f t="shared" si="23"/>
        <v>0229-06</v>
      </c>
      <c r="AE142" s="118" t="str">
        <f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42" s="118" t="str">
        <f>astrogrep_path&amp;" /spath="&amp;search_path&amp;" /stypes=""*"&amp;B142&amp;"*"&amp;TEXT(F142-utc_offset/24,"YYYYMMDD")&amp;"*"" /stext="" "&amp;TEXT(F142-utc_offset/24,"HH")&amp;search_regexp&amp;""" /e /r /s"</f>
        <v>"C:\Program Files (x86)\AstroGrep\AstroGrep.exe" /spath="C:\Users\stu\Documents\Analysis\2016-02-23 RTDC Observations" /stypes="*4011*20160707*" /stext=" 02:.+((prompt.+disp)|(slice.+state.+chan)|(ment ac)|(system.+state.+chan)|(\|lc)|(penalty)|(\[timeout))" /e /r /s</v>
      </c>
    </row>
    <row r="143" spans="1:32" x14ac:dyDescent="0.25">
      <c r="A143" s="62" t="s">
        <v>554</v>
      </c>
      <c r="B143" s="34">
        <v>4012</v>
      </c>
      <c r="C143" s="34" t="s">
        <v>60</v>
      </c>
      <c r="D143" s="34" t="s">
        <v>645</v>
      </c>
      <c r="E143" s="20">
        <v>42557.90966435185</v>
      </c>
      <c r="F143" s="20">
        <v>42557.910474537035</v>
      </c>
      <c r="G143" s="20">
        <v>1</v>
      </c>
      <c r="H143" s="20" t="s">
        <v>646</v>
      </c>
      <c r="I143" s="20">
        <v>42557.941944444443</v>
      </c>
      <c r="J143" s="34">
        <v>0</v>
      </c>
      <c r="K143" s="34" t="str">
        <f t="shared" ref="K143:K153" si="24">IF(ISEVEN(B143),(B143-1)&amp;"/"&amp;B143,B143&amp;"/"&amp;(B143+1))</f>
        <v>4011/4012</v>
      </c>
      <c r="L143" s="34" t="str">
        <f>VLOOKUP(A143,'Trips&amp;Operators'!$C$1:$E$10000,3,FALSE)</f>
        <v>BARTLETT</v>
      </c>
      <c r="M143" s="6">
        <f t="shared" ref="M143:M153" si="25">I143-F143</f>
        <v>3.1469907407881692E-2</v>
      </c>
      <c r="N143" s="7">
        <f t="shared" ref="N143:N157" si="26">24*60*SUM($M143:$M143)</f>
        <v>45.316666667349637</v>
      </c>
      <c r="O143" s="7"/>
      <c r="P143" s="7"/>
      <c r="Q143" s="35"/>
      <c r="R143" s="35"/>
      <c r="S143" s="54">
        <f t="shared" ref="S143:S153" si="27">SUM(U143:U143)/12</f>
        <v>1</v>
      </c>
      <c r="T143" s="108" t="str">
        <f t="shared" ref="T143:T153" si="28">IF(ISEVEN(LEFT(A143,3)),"Southbound","NorthBound")</f>
        <v>Southbound</v>
      </c>
      <c r="U143" s="108">
        <f>COUNTIFS(Variables!$M$2:$M$19,IF(T143="NorthBound","&gt;=","&lt;=")&amp;Y143,Variables!$M$2:$M$19,IF(T143="NorthBound","&lt;=","&gt;=")&amp;Z143)</f>
        <v>12</v>
      </c>
      <c r="V143" s="116" t="str">
        <f t="shared" ref="V143:V153" si="29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https://search-rtdc-monitor-bjffxe2xuh6vdkpspy63sjmuny.us-east-1.es.amazonaws.com/_plugin/kibana/#/discover/Steve-Slow-Train-Analysis-(2080s-and-2083s)?_g=(refreshInterval:(display:Off,section:0,value:0),time:(from:'2016-07-06 21:48:55-0600',mode:absolute,to:'2016-07-06 22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3" s="116" t="str">
        <f t="shared" ref="W143:W153" si="30">IF(AA143&lt;23,"Y","N")</f>
        <v>N</v>
      </c>
      <c r="X143" s="116">
        <f t="shared" ref="X143:X153" si="31">VALUE(LEFT(A143,3))-VALUE(LEFT(A142,3))</f>
        <v>1</v>
      </c>
      <c r="Y143" s="116">
        <f t="shared" ref="Y143:Y153" si="32">RIGHT(D143,LEN(D143)-4)/10000</f>
        <v>23.297499999999999</v>
      </c>
      <c r="Z143" s="116">
        <f t="shared" ref="Z143:Z153" si="33">RIGHT(H143,LEN(H143)-4)/10000</f>
        <v>1.7000000000000001E-2</v>
      </c>
      <c r="AA143" s="116">
        <f t="shared" ref="AA143:AA153" si="34">ABS(Z143-Y143)</f>
        <v>23.2805</v>
      </c>
      <c r="AB143" s="117" t="e">
        <f>VLOOKUP(A143,Enforcements!$C$7:$J$30,8,0)</f>
        <v>#N/A</v>
      </c>
      <c r="AC143" s="117" t="e">
        <f>VLOOKUP(A143,Enforcements!$C$7:$E$30,3,0)</f>
        <v>#N/A</v>
      </c>
      <c r="AD143" s="118" t="str">
        <f t="shared" ref="AD143:AD153" si="35">IF(LEN(A143)=6,"0"&amp;A143,A143)</f>
        <v>0230-06</v>
      </c>
      <c r="AE143" s="118" t="str">
        <f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43" s="118" t="str">
        <f>astrogrep_path&amp;" /spath="&amp;search_path&amp;" /stypes=""*"&amp;B143&amp;"*"&amp;TEXT(F143-utc_offset/24,"YYYYMMDD")&amp;"*"" /stext="" "&amp;TEXT(F143-utc_offset/24,"HH")&amp;search_regexp&amp;""" /e /r /s"</f>
        <v>"C:\Program Files (x86)\AstroGrep\AstroGrep.exe" /spath="C:\Users\stu\Documents\Analysis\2016-02-23 RTDC Observations" /stypes="*4012*20160707*" /stext=" 03:.+((prompt.+disp)|(slice.+state.+chan)|(ment ac)|(system.+state.+chan)|(\|lc)|(penalty)|(\[timeout))" /e /r /s</v>
      </c>
    </row>
    <row r="144" spans="1:32" x14ac:dyDescent="0.25">
      <c r="A144" s="62" t="s">
        <v>391</v>
      </c>
      <c r="B144" s="34">
        <v>4031</v>
      </c>
      <c r="C144" s="34" t="s">
        <v>60</v>
      </c>
      <c r="D144" s="34" t="s">
        <v>122</v>
      </c>
      <c r="E144" s="20">
        <v>42557.886469907404</v>
      </c>
      <c r="F144" s="20">
        <v>42557.887858796297</v>
      </c>
      <c r="G144" s="20">
        <v>1</v>
      </c>
      <c r="H144" s="20" t="s">
        <v>647</v>
      </c>
      <c r="I144" s="20">
        <v>42557.922372685185</v>
      </c>
      <c r="J144" s="34">
        <v>1</v>
      </c>
      <c r="K144" s="34" t="str">
        <f t="shared" si="24"/>
        <v>4031/4032</v>
      </c>
      <c r="L144" s="34" t="str">
        <f>VLOOKUP(A144,'Trips&amp;Operators'!$C$1:$E$10000,3,FALSE)</f>
        <v>DAVIS</v>
      </c>
      <c r="M144" s="6">
        <f t="shared" si="25"/>
        <v>3.4513888887886424E-2</v>
      </c>
      <c r="N144" s="7">
        <f t="shared" si="26"/>
        <v>49.69999999855645</v>
      </c>
      <c r="O144" s="7"/>
      <c r="P144" s="7"/>
      <c r="Q144" s="35"/>
      <c r="R144" s="35"/>
      <c r="S144" s="54">
        <f t="shared" si="27"/>
        <v>1</v>
      </c>
      <c r="T144" s="108" t="str">
        <f t="shared" si="28"/>
        <v>NorthBound</v>
      </c>
      <c r="U144" s="108">
        <f>COUNTIFS(Variables!$M$2:$M$19,IF(T144="NorthBound","&gt;=","&lt;=")&amp;Y144,Variables!$M$2:$M$19,IF(T144="NorthBound","&lt;=","&gt;=")&amp;Z144)</f>
        <v>12</v>
      </c>
      <c r="V144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21:15:31-0600',mode:absolute,to:'2016-07-06 22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4" s="116" t="str">
        <f t="shared" si="30"/>
        <v>N</v>
      </c>
      <c r="X144" s="116">
        <f t="shared" si="31"/>
        <v>1</v>
      </c>
      <c r="Y144" s="116">
        <f t="shared" si="32"/>
        <v>4.5100000000000001E-2</v>
      </c>
      <c r="Z144" s="116">
        <f t="shared" si="33"/>
        <v>23.322199999999999</v>
      </c>
      <c r="AA144" s="116">
        <f t="shared" si="34"/>
        <v>23.277099999999997</v>
      </c>
      <c r="AB144" s="117" t="e">
        <f>VLOOKUP(A144,Enforcements!$C$7:$J$30,8,0)</f>
        <v>#N/A</v>
      </c>
      <c r="AC144" s="117" t="e">
        <f>VLOOKUP(A144,Enforcements!$C$7:$E$30,3,0)</f>
        <v>#N/A</v>
      </c>
      <c r="AD144" s="118" t="str">
        <f t="shared" si="35"/>
        <v>0231-06</v>
      </c>
      <c r="AE144" s="118" t="str">
        <f>"aws s3 cp "&amp;s3_bucket&amp;"/RTDC"&amp;B144&amp;"/"&amp;TEXT(F144,"YYYY-MM-DD")&amp;"/ "&amp;search_path&amp;"\RTDC"&amp;B144&amp;"\"&amp;TEXT(F144,"YYYY-MM-DD")&amp;" --recursive &amp; """&amp;walkandungz&amp;""" "&amp;search_path&amp;"\RTDC"&amp;B144&amp;"\"&amp;TEXT(F144,"YYYY-MM-DD")
&amp;" &amp; "&amp;"aws s3 cp "&amp;s3_bucket&amp;"/RTDC"&amp;B144&amp;"/"&amp;TEXT(F144+1,"YYYY-MM-DD")&amp;"/ "&amp;search_path&amp;"\RTDC"&amp;B144&amp;"\"&amp;TEXT(F144+1,"YYYY-MM-DD")&amp;" --recursive &amp; """&amp;walkandungz&amp;""" "&amp;search_path&amp;"\RTDC"&amp;B144&amp;"\"&amp;TEXT(F144+1,"YYYY-MM-DD")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44" s="118" t="str">
        <f>astrogrep_path&amp;" /spath="&amp;search_path&amp;" /stypes=""*"&amp;B144&amp;"*"&amp;TEXT(F144-utc_offset/24,"YYYYMMDD")&amp;"*"" /stext="" "&amp;TEXT(F144-utc_offset/24,"HH")&amp;search_regexp&amp;""" /e /r /s"</f>
        <v>"C:\Program Files (x86)\AstroGrep\AstroGrep.exe" /spath="C:\Users\stu\Documents\Analysis\2016-02-23 RTDC Observations" /stypes="*4031*20160707*" /stext=" 03:.+((prompt.+disp)|(slice.+state.+chan)|(ment ac)|(system.+state.+chan)|(\|lc)|(penalty)|(\[timeout))" /e /r /s</v>
      </c>
    </row>
    <row r="145" spans="1:32" x14ac:dyDescent="0.25">
      <c r="A145" s="62" t="s">
        <v>393</v>
      </c>
      <c r="B145" s="34">
        <v>4032</v>
      </c>
      <c r="C145" s="34" t="s">
        <v>60</v>
      </c>
      <c r="D145" s="34" t="s">
        <v>648</v>
      </c>
      <c r="E145" s="20">
        <v>42557.929618055554</v>
      </c>
      <c r="F145" s="20">
        <v>42557.930821759262</v>
      </c>
      <c r="G145" s="20">
        <v>1</v>
      </c>
      <c r="H145" s="20" t="s">
        <v>649</v>
      </c>
      <c r="I145" s="20">
        <v>42557.963541666664</v>
      </c>
      <c r="J145" s="34">
        <v>2</v>
      </c>
      <c r="K145" s="34" t="str">
        <f t="shared" si="24"/>
        <v>4031/4032</v>
      </c>
      <c r="L145" s="34" t="str">
        <f>VLOOKUP(A145,'Trips&amp;Operators'!$C$1:$E$10000,3,FALSE)</f>
        <v>DAVIS</v>
      </c>
      <c r="M145" s="6">
        <f t="shared" si="25"/>
        <v>3.2719907401769888E-2</v>
      </c>
      <c r="N145" s="7">
        <f t="shared" si="26"/>
        <v>47.116666658548638</v>
      </c>
      <c r="O145" s="7"/>
      <c r="P145" s="7"/>
      <c r="Q145" s="35"/>
      <c r="R145" s="35"/>
      <c r="S145" s="54">
        <f t="shared" si="27"/>
        <v>1</v>
      </c>
      <c r="T145" s="108" t="str">
        <f t="shared" si="28"/>
        <v>Southbound</v>
      </c>
      <c r="U145" s="108">
        <f>COUNTIFS(Variables!$M$2:$M$19,IF(T145="NorthBound","&gt;=","&lt;=")&amp;Y145,Variables!$M$2:$M$19,IF(T145="NorthBound","&lt;=","&gt;=")&amp;Z145)</f>
        <v>12</v>
      </c>
      <c r="V145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5" s="116" t="str">
        <f t="shared" si="30"/>
        <v>N</v>
      </c>
      <c r="X145" s="116">
        <f t="shared" si="31"/>
        <v>1</v>
      </c>
      <c r="Y145" s="116">
        <f t="shared" si="32"/>
        <v>23.290700000000001</v>
      </c>
      <c r="Z145" s="116">
        <f t="shared" si="33"/>
        <v>0.12559999999999999</v>
      </c>
      <c r="AA145" s="116">
        <f t="shared" si="34"/>
        <v>23.165100000000002</v>
      </c>
      <c r="AB145" s="117">
        <f>VLOOKUP(A145,Enforcements!$C$7:$J$30,8,0)</f>
        <v>229055</v>
      </c>
      <c r="AC145" s="117" t="str">
        <f>VLOOKUP(A145,Enforcements!$C$7:$E$30,3,0)</f>
        <v>PERMANENT SPEED RESTRICTION</v>
      </c>
      <c r="AD145" s="118" t="str">
        <f t="shared" si="35"/>
        <v>0232-06</v>
      </c>
      <c r="AE145" s="118" t="str">
        <f>"aws s3 cp "&amp;s3_bucket&amp;"/RTDC"&amp;B145&amp;"/"&amp;TEXT(F145,"YYYY-MM-DD")&amp;"/ "&amp;search_path&amp;"\RTDC"&amp;B145&amp;"\"&amp;TEXT(F145,"YYYY-MM-DD")&amp;" --recursive &amp; """&amp;walkandungz&amp;""" "&amp;search_path&amp;"\RTDC"&amp;B145&amp;"\"&amp;TEXT(F145,"YYYY-MM-DD")
&amp;" &amp; "&amp;"aws s3 cp "&amp;s3_bucket&amp;"/RTDC"&amp;B145&amp;"/"&amp;TEXT(F145+1,"YYYY-MM-DD")&amp;"/ "&amp;search_path&amp;"\RTDC"&amp;B145&amp;"\"&amp;TEXT(F145+1,"YYYY-MM-DD")&amp;" --recursive &amp; """&amp;walkandungz&amp;""" "&amp;search_path&amp;"\RTDC"&amp;B145&amp;"\"&amp;TEXT(F145+1,"YYYY-MM-DD")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45" s="118" t="str">
        <f>astrogrep_path&amp;" /spath="&amp;search_path&amp;" /stypes=""*"&amp;B145&amp;"*"&amp;TEXT(F145-utc_offset/24,"YYYYMMDD")&amp;"*"" /stext="" "&amp;TEXT(F145-utc_offset/24,"HH")&amp;search_regexp&amp;""" /e /r /s"</f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</row>
    <row r="146" spans="1:32" x14ac:dyDescent="0.25">
      <c r="A146" s="62" t="s">
        <v>394</v>
      </c>
      <c r="B146" s="34">
        <v>4025</v>
      </c>
      <c r="C146" s="34" t="s">
        <v>60</v>
      </c>
      <c r="D146" s="34" t="s">
        <v>650</v>
      </c>
      <c r="E146" s="20">
        <v>42557.912083333336</v>
      </c>
      <c r="F146" s="20">
        <v>42557.913680555554</v>
      </c>
      <c r="G146" s="20">
        <v>2</v>
      </c>
      <c r="H146" s="20" t="s">
        <v>651</v>
      </c>
      <c r="I146" s="20">
        <v>42557.941805555558</v>
      </c>
      <c r="J146" s="34">
        <v>2</v>
      </c>
      <c r="K146" s="34" t="str">
        <f t="shared" si="24"/>
        <v>4025/4026</v>
      </c>
      <c r="L146" s="34" t="str">
        <f>VLOOKUP(A146,'Trips&amp;Operators'!$C$1:$E$10000,3,FALSE)</f>
        <v>ADANE</v>
      </c>
      <c r="M146" s="6">
        <f t="shared" si="25"/>
        <v>2.8125000004365575E-2</v>
      </c>
      <c r="N146" s="7">
        <f t="shared" si="26"/>
        <v>40.500000006286427</v>
      </c>
      <c r="O146" s="7"/>
      <c r="P146" s="7"/>
      <c r="Q146" s="35"/>
      <c r="R146" s="35"/>
      <c r="S146" s="54">
        <f t="shared" si="27"/>
        <v>1</v>
      </c>
      <c r="T146" s="108" t="str">
        <f t="shared" si="28"/>
        <v>NorthBound</v>
      </c>
      <c r="U146" s="108">
        <f>COUNTIFS(Variables!$M$2:$M$19,IF(T146="NorthBound","&gt;=","&lt;=")&amp;Y146,Variables!$M$2:$M$19,IF(T146="NorthBound","&lt;=","&gt;=")&amp;Z146)</f>
        <v>12</v>
      </c>
      <c r="V146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6" s="116" t="str">
        <f t="shared" si="30"/>
        <v>N</v>
      </c>
      <c r="X146" s="116">
        <f t="shared" si="31"/>
        <v>1</v>
      </c>
      <c r="Y146" s="116">
        <f t="shared" si="32"/>
        <v>4.8899999999999999E-2</v>
      </c>
      <c r="Z146" s="116">
        <f t="shared" si="33"/>
        <v>23.324000000000002</v>
      </c>
      <c r="AA146" s="116">
        <f t="shared" si="34"/>
        <v>23.275100000000002</v>
      </c>
      <c r="AB146" s="117" t="e">
        <f>VLOOKUP(A146,Enforcements!$C$7:$J$30,8,0)</f>
        <v>#N/A</v>
      </c>
      <c r="AC146" s="117" t="e">
        <f>VLOOKUP(A146,Enforcements!$C$7:$E$30,3,0)</f>
        <v>#N/A</v>
      </c>
      <c r="AD146" s="118" t="str">
        <f t="shared" si="35"/>
        <v>0233-06</v>
      </c>
      <c r="AE146" s="118" t="str">
        <f>"aws s3 cp "&amp;s3_bucket&amp;"/RTDC"&amp;B146&amp;"/"&amp;TEXT(F146,"YYYY-MM-DD")&amp;"/ "&amp;search_path&amp;"\RTDC"&amp;B146&amp;"\"&amp;TEXT(F146,"YYYY-MM-DD")&amp;" --recursive &amp; """&amp;walkandungz&amp;""" "&amp;search_path&amp;"\RTDC"&amp;B146&amp;"\"&amp;TEXT(F146,"YYYY-MM-DD")
&amp;" &amp; "&amp;"aws s3 cp "&amp;s3_bucket&amp;"/RTDC"&amp;B146&amp;"/"&amp;TEXT(F146+1,"YYYY-MM-DD")&amp;"/ "&amp;search_path&amp;"\RTDC"&amp;B146&amp;"\"&amp;TEXT(F146+1,"YYYY-MM-DD")&amp;" --recursive &amp; """&amp;walkandungz&amp;""" "&amp;search_path&amp;"\RTDC"&amp;B146&amp;"\"&amp;TEXT(F146+1,"YYYY-MM-DD")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46" s="118" t="str">
        <f>astrogrep_path&amp;" /spath="&amp;search_path&amp;" /stypes=""*"&amp;B146&amp;"*"&amp;TEXT(F146-utc_offset/24,"YYYYMMDD")&amp;"*"" /stext="" "&amp;TEXT(F146-utc_offset/24,"HH")&amp;search_regexp&amp;""" /e /r /s"</f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</row>
    <row r="147" spans="1:32" x14ac:dyDescent="0.25">
      <c r="A147" s="62" t="s">
        <v>444</v>
      </c>
      <c r="B147" s="34">
        <v>4026</v>
      </c>
      <c r="C147" s="34" t="s">
        <v>60</v>
      </c>
      <c r="D147" s="34" t="s">
        <v>652</v>
      </c>
      <c r="E147" s="20">
        <v>42557.951990740738</v>
      </c>
      <c r="F147" s="20">
        <v>42557.953136574077</v>
      </c>
      <c r="G147" s="20">
        <v>1</v>
      </c>
      <c r="H147" s="20" t="s">
        <v>62</v>
      </c>
      <c r="I147" s="20">
        <v>42557.988402777781</v>
      </c>
      <c r="J147" s="34">
        <v>0</v>
      </c>
      <c r="K147" s="34" t="str">
        <f t="shared" si="24"/>
        <v>4025/4026</v>
      </c>
      <c r="L147" s="34" t="str">
        <f>VLOOKUP(A147,'Trips&amp;Operators'!$C$1:$E$10000,3,FALSE)</f>
        <v>ADANE</v>
      </c>
      <c r="M147" s="6">
        <f t="shared" si="25"/>
        <v>3.5266203703940846E-2</v>
      </c>
      <c r="N147" s="7">
        <f t="shared" si="26"/>
        <v>50.783333333674818</v>
      </c>
      <c r="O147" s="7"/>
      <c r="P147" s="7"/>
      <c r="Q147" s="35"/>
      <c r="R147" s="35"/>
      <c r="S147" s="54">
        <f t="shared" si="27"/>
        <v>1</v>
      </c>
      <c r="T147" s="108" t="str">
        <f t="shared" si="28"/>
        <v>Southbound</v>
      </c>
      <c r="U147" s="108">
        <f>COUNTIFS(Variables!$M$2:$M$19,IF(T147="NorthBound","&gt;=","&lt;=")&amp;Y147,Variables!$M$2:$M$19,IF(T147="NorthBound","&lt;=","&gt;=")&amp;Z147)</f>
        <v>12</v>
      </c>
      <c r="V147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22:49:52-0600',mode:absolute,to:'2016-07-06 23:44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7" s="116" t="str">
        <f t="shared" si="30"/>
        <v>N</v>
      </c>
      <c r="X147" s="116">
        <f t="shared" si="31"/>
        <v>1</v>
      </c>
      <c r="Y147" s="116">
        <f t="shared" si="32"/>
        <v>23.294799999999999</v>
      </c>
      <c r="Z147" s="116">
        <f t="shared" si="33"/>
        <v>1.52E-2</v>
      </c>
      <c r="AA147" s="116">
        <f t="shared" si="34"/>
        <v>23.279599999999999</v>
      </c>
      <c r="AB147" s="117" t="e">
        <f>VLOOKUP(A147,Enforcements!$C$7:$J$30,8,0)</f>
        <v>#N/A</v>
      </c>
      <c r="AC147" s="117" t="e">
        <f>VLOOKUP(A147,Enforcements!$C$7:$E$30,3,0)</f>
        <v>#N/A</v>
      </c>
      <c r="AD147" s="118" t="str">
        <f t="shared" si="35"/>
        <v>0234-06</v>
      </c>
      <c r="AE147" s="118" t="str">
        <f>"aws s3 cp "&amp;s3_bucket&amp;"/RTDC"&amp;B147&amp;"/"&amp;TEXT(F147,"YYYY-MM-DD")&amp;"/ "&amp;search_path&amp;"\RTDC"&amp;B147&amp;"\"&amp;TEXT(F147,"YYYY-MM-DD")&amp;" --recursive &amp; """&amp;walkandungz&amp;""" "&amp;search_path&amp;"\RTDC"&amp;B147&amp;"\"&amp;TEXT(F147,"YYYY-MM-DD")
&amp;" &amp; "&amp;"aws s3 cp "&amp;s3_bucket&amp;"/RTDC"&amp;B147&amp;"/"&amp;TEXT(F147+1,"YYYY-MM-DD")&amp;"/ "&amp;search_path&amp;"\RTDC"&amp;B147&amp;"\"&amp;TEXT(F147+1,"YYYY-MM-DD")&amp;" --recursive &amp; """&amp;walkandungz&amp;""" "&amp;search_path&amp;"\RTDC"&amp;B147&amp;"\"&amp;TEXT(F147+1,"YYYY-MM-DD")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47" s="118" t="str">
        <f>astrogrep_path&amp;" /spath="&amp;search_path&amp;" /stypes=""*"&amp;B147&amp;"*"&amp;TEXT(F147-utc_offset/24,"YYYYMMDD")&amp;"*"" /stext="" "&amp;TEXT(F147-utc_offset/24,"HH")&amp;search_regexp&amp;""" /e /r /s"</f>
        <v>"C:\Program Files (x86)\AstroGrep\AstroGrep.exe" /spath="C:\Users\stu\Documents\Analysis\2016-02-23 RTDC Observations" /stypes="*4026*20160707*" /stext=" 04:.+((prompt.+disp)|(slice.+state.+chan)|(ment ac)|(system.+state.+chan)|(\|lc)|(penalty)|(\[timeout))" /e /r /s</v>
      </c>
    </row>
    <row r="148" spans="1:32" x14ac:dyDescent="0.25">
      <c r="A148" s="62" t="s">
        <v>461</v>
      </c>
      <c r="B148" s="34">
        <v>4040</v>
      </c>
      <c r="C148" s="34" t="s">
        <v>60</v>
      </c>
      <c r="D148" s="34" t="s">
        <v>122</v>
      </c>
      <c r="E148" s="20">
        <v>42557.930196759262</v>
      </c>
      <c r="F148" s="20">
        <v>42557.93167824074</v>
      </c>
      <c r="G148" s="20">
        <v>2</v>
      </c>
      <c r="H148" s="20" t="s">
        <v>155</v>
      </c>
      <c r="I148" s="20">
        <v>42557.962060185186</v>
      </c>
      <c r="J148" s="34">
        <v>0</v>
      </c>
      <c r="K148" s="34" t="str">
        <f t="shared" si="24"/>
        <v>4039/4040</v>
      </c>
      <c r="L148" s="34" t="str">
        <f>VLOOKUP(A148,'Trips&amp;Operators'!$C$1:$E$10000,3,FALSE)</f>
        <v>GRASTON</v>
      </c>
      <c r="M148" s="6">
        <f t="shared" si="25"/>
        <v>3.0381944445252884E-2</v>
      </c>
      <c r="N148" s="7">
        <f t="shared" si="26"/>
        <v>43.750000001164153</v>
      </c>
      <c r="O148" s="7"/>
      <c r="P148" s="7"/>
      <c r="Q148" s="35"/>
      <c r="R148" s="35"/>
      <c r="S148" s="54">
        <f t="shared" si="27"/>
        <v>1</v>
      </c>
      <c r="T148" s="108" t="str">
        <f t="shared" si="28"/>
        <v>NorthBound</v>
      </c>
      <c r="U148" s="108">
        <f>COUNTIFS(Variables!$M$2:$M$19,IF(T148="NorthBound","&gt;=","&lt;=")&amp;Y148,Variables!$M$2:$M$19,IF(T148="NorthBound","&lt;=","&gt;=")&amp;Z148)</f>
        <v>12</v>
      </c>
      <c r="V148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22:18:29-0600',mode:absolute,to:'2016-07-06 23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8" s="116" t="str">
        <f t="shared" si="30"/>
        <v>N</v>
      </c>
      <c r="X148" s="116">
        <f t="shared" si="31"/>
        <v>1</v>
      </c>
      <c r="Y148" s="116">
        <f t="shared" si="32"/>
        <v>4.5100000000000001E-2</v>
      </c>
      <c r="Z148" s="116">
        <f t="shared" si="33"/>
        <v>23.3309</v>
      </c>
      <c r="AA148" s="116">
        <f t="shared" si="34"/>
        <v>23.285799999999998</v>
      </c>
      <c r="AB148" s="117" t="e">
        <f>VLOOKUP(A148,Enforcements!$C$7:$J$30,8,0)</f>
        <v>#N/A</v>
      </c>
      <c r="AC148" s="117" t="e">
        <f>VLOOKUP(A148,Enforcements!$C$7:$E$30,3,0)</f>
        <v>#N/A</v>
      </c>
      <c r="AD148" s="118" t="str">
        <f t="shared" si="35"/>
        <v>0235-06</v>
      </c>
      <c r="AE148" s="118" t="str">
        <f>"aws s3 cp "&amp;s3_bucket&amp;"/RTDC"&amp;B148&amp;"/"&amp;TEXT(F148,"YYYY-MM-DD")&amp;"/ "&amp;search_path&amp;"\RTDC"&amp;B148&amp;"\"&amp;TEXT(F148,"YYYY-MM-DD")&amp;" --recursive &amp; """&amp;walkandungz&amp;""" "&amp;search_path&amp;"\RTDC"&amp;B148&amp;"\"&amp;TEXT(F148,"YYYY-MM-DD")
&amp;" &amp; "&amp;"aws s3 cp "&amp;s3_bucket&amp;"/RTDC"&amp;B148&amp;"/"&amp;TEXT(F148+1,"YYYY-MM-DD")&amp;"/ "&amp;search_path&amp;"\RTDC"&amp;B148&amp;"\"&amp;TEXT(F148+1,"YYYY-MM-DD")&amp;" --recursive &amp; """&amp;walkandungz&amp;""" "&amp;search_path&amp;"\RTDC"&amp;B148&amp;"\"&amp;TEXT(F148+1,"YYYY-MM-DD")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48" s="118" t="str">
        <f>astrogrep_path&amp;" /spath="&amp;search_path&amp;" /stypes=""*"&amp;B148&amp;"*"&amp;TEXT(F148-utc_offset/24,"YYYYMMDD")&amp;"*"" /stext="" "&amp;TEXT(F148-utc_offset/24,"HH")&amp;search_regexp&amp;""" /e /r /s"</f>
        <v>"C:\Program Files (x86)\AstroGrep\AstroGrep.exe" /spath="C:\Users\stu\Documents\Analysis\2016-02-23 RTDC Observations" /stypes="*4040*20160707*" /stext=" 04:.+((prompt.+disp)|(slice.+state.+chan)|(ment ac)|(system.+state.+chan)|(\|lc)|(penalty)|(\[timeout))" /e /r /s</v>
      </c>
    </row>
    <row r="149" spans="1:32" x14ac:dyDescent="0.25">
      <c r="A149" s="34" t="s">
        <v>528</v>
      </c>
      <c r="B149" s="34">
        <v>4039</v>
      </c>
      <c r="C149" s="34" t="s">
        <v>60</v>
      </c>
      <c r="D149" s="34" t="s">
        <v>228</v>
      </c>
      <c r="E149" s="20">
        <v>42557.97383101852</v>
      </c>
      <c r="F149" s="20">
        <v>42557.97446759259</v>
      </c>
      <c r="G149" s="20">
        <v>0</v>
      </c>
      <c r="H149" s="20" t="s">
        <v>176</v>
      </c>
      <c r="I149" s="20">
        <v>42558.002233796295</v>
      </c>
      <c r="J149" s="34">
        <v>0</v>
      </c>
      <c r="K149" s="34" t="str">
        <f t="shared" si="24"/>
        <v>4039/4040</v>
      </c>
      <c r="L149" s="34" t="str">
        <f>VLOOKUP(A149,'Trips&amp;Operators'!$C$1:$E$10000,3,FALSE)</f>
        <v>GRASTON</v>
      </c>
      <c r="M149" s="6">
        <f t="shared" si="25"/>
        <v>2.7766203704231884E-2</v>
      </c>
      <c r="N149" s="7">
        <f t="shared" si="26"/>
        <v>39.983333334093913</v>
      </c>
      <c r="O149" s="7"/>
      <c r="P149" s="7"/>
      <c r="Q149" s="35"/>
      <c r="R149" s="35"/>
      <c r="S149" s="54">
        <f t="shared" si="27"/>
        <v>1</v>
      </c>
      <c r="T149" s="108" t="str">
        <f t="shared" si="28"/>
        <v>Southbound</v>
      </c>
      <c r="U149" s="108">
        <f>COUNTIFS(Variables!$M$2:$M$19,IF(T149="NorthBound","&gt;=","&lt;=")&amp;Y149,Variables!$M$2:$M$19,IF(T149="NorthBound","&lt;=","&gt;=")&amp;Z149)</f>
        <v>12</v>
      </c>
      <c r="V149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23:21:19-0600',mode:absolute,to:'2016-07-07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9" s="116" t="str">
        <f t="shared" si="30"/>
        <v>N</v>
      </c>
      <c r="X149" s="116">
        <f t="shared" si="31"/>
        <v>1</v>
      </c>
      <c r="Y149" s="116">
        <f t="shared" si="32"/>
        <v>23.298200000000001</v>
      </c>
      <c r="Z149" s="116">
        <f t="shared" si="33"/>
        <v>1.41E-2</v>
      </c>
      <c r="AA149" s="116">
        <f t="shared" si="34"/>
        <v>23.284100000000002</v>
      </c>
      <c r="AB149" s="117" t="e">
        <f>VLOOKUP(A149,Enforcements!$C$7:$J$30,8,0)</f>
        <v>#N/A</v>
      </c>
      <c r="AC149" s="117" t="e">
        <f>VLOOKUP(A149,Enforcements!$C$7:$E$30,3,0)</f>
        <v>#N/A</v>
      </c>
      <c r="AD149" s="118" t="str">
        <f t="shared" si="35"/>
        <v>0236-06</v>
      </c>
      <c r="AE149" s="118" t="str">
        <f>"aws s3 cp "&amp;s3_bucket&amp;"/RTDC"&amp;B149&amp;"/"&amp;TEXT(F149,"YYYY-MM-DD")&amp;"/ "&amp;search_path&amp;"\RTDC"&amp;B149&amp;"\"&amp;TEXT(F149,"YYYY-MM-DD")&amp;" --recursive &amp; """&amp;walkandungz&amp;""" "&amp;search_path&amp;"\RTDC"&amp;B149&amp;"\"&amp;TEXT(F149,"YYYY-MM-DD")
&amp;" &amp; "&amp;"aws s3 cp "&amp;s3_bucket&amp;"/RTDC"&amp;B149&amp;"/"&amp;TEXT(F149+1,"YYYY-MM-DD")&amp;"/ "&amp;search_path&amp;"\RTDC"&amp;B149&amp;"\"&amp;TEXT(F149+1,"YYYY-MM-DD")&amp;" --recursive &amp; """&amp;walkandungz&amp;""" "&amp;search_path&amp;"\RTDC"&amp;B149&amp;"\"&amp;TEXT(F149+1,"YYYY-MM-DD")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49" s="118" t="str">
        <f>astrogrep_path&amp;" /spath="&amp;search_path&amp;" /stypes=""*"&amp;B149&amp;"*"&amp;TEXT(F149-utc_offset/24,"YYYYMMDD")&amp;"*"" /stext="" "&amp;TEXT(F149-utc_offset/24,"HH")&amp;search_regexp&amp;""" /e /r /s"</f>
        <v>"C:\Program Files (x86)\AstroGrep\AstroGrep.exe" /spath="C:\Users\stu\Documents\Analysis\2016-02-23 RTDC Observations" /stypes="*4039*20160707*" /stext=" 05:.+((prompt.+disp)|(slice.+state.+chan)|(ment ac)|(system.+state.+chan)|(\|lc)|(penalty)|(\[timeout))" /e /r /s</v>
      </c>
    </row>
    <row r="150" spans="1:32" x14ac:dyDescent="0.25">
      <c r="A150" s="34" t="s">
        <v>477</v>
      </c>
      <c r="B150" s="34">
        <v>4011</v>
      </c>
      <c r="C150" s="34" t="s">
        <v>60</v>
      </c>
      <c r="D150" s="34" t="s">
        <v>128</v>
      </c>
      <c r="E150" s="20">
        <v>42557.95275462963</v>
      </c>
      <c r="F150" s="20">
        <v>42557.954259259262</v>
      </c>
      <c r="G150" s="20">
        <v>2</v>
      </c>
      <c r="H150" s="20" t="s">
        <v>171</v>
      </c>
      <c r="I150" s="20">
        <v>42557.985196759262</v>
      </c>
      <c r="J150" s="34">
        <v>0</v>
      </c>
      <c r="K150" s="34" t="str">
        <f t="shared" si="24"/>
        <v>4011/4012</v>
      </c>
      <c r="L150" s="34" t="str">
        <f>VLOOKUP(A150,'Trips&amp;Operators'!$C$1:$E$10000,3,FALSE)</f>
        <v>BARTLETT</v>
      </c>
      <c r="M150" s="6">
        <f t="shared" si="25"/>
        <v>3.0937499999708962E-2</v>
      </c>
      <c r="N150" s="7">
        <f t="shared" si="26"/>
        <v>44.549999999580905</v>
      </c>
      <c r="O150" s="7"/>
      <c r="P150" s="7"/>
      <c r="Q150" s="35"/>
      <c r="R150" s="35"/>
      <c r="S150" s="54">
        <f t="shared" si="27"/>
        <v>1</v>
      </c>
      <c r="T150" s="108" t="str">
        <f t="shared" si="28"/>
        <v>NorthBound</v>
      </c>
      <c r="U150" s="108">
        <f>COUNTIFS(Variables!$M$2:$M$19,IF(T150="NorthBound","&gt;=","&lt;=")&amp;Y150,Variables!$M$2:$M$19,IF(T150="NorthBound","&lt;=","&gt;=")&amp;Z150)</f>
        <v>12</v>
      </c>
      <c r="V150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22:50:58-0600',mode:absolute,to:'2016-07-06 23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0" s="116" t="str">
        <f t="shared" si="30"/>
        <v>N</v>
      </c>
      <c r="X150" s="116">
        <f t="shared" si="31"/>
        <v>1</v>
      </c>
      <c r="Y150" s="116">
        <f t="shared" si="32"/>
        <v>4.6600000000000003E-2</v>
      </c>
      <c r="Z150" s="116">
        <f t="shared" si="33"/>
        <v>23.328600000000002</v>
      </c>
      <c r="AA150" s="116">
        <f t="shared" si="34"/>
        <v>23.282</v>
      </c>
      <c r="AB150" s="117" t="e">
        <f>VLOOKUP(A150,Enforcements!$C$7:$J$30,8,0)</f>
        <v>#N/A</v>
      </c>
      <c r="AC150" s="117" t="e">
        <f>VLOOKUP(A150,Enforcements!$C$7:$E$30,3,0)</f>
        <v>#N/A</v>
      </c>
      <c r="AD150" s="118" t="str">
        <f t="shared" si="35"/>
        <v>0237-06</v>
      </c>
      <c r="AE150" s="118" t="str">
        <f>"aws s3 cp "&amp;s3_bucket&amp;"/RTDC"&amp;B150&amp;"/"&amp;TEXT(F150,"YYYY-MM-DD")&amp;"/ "&amp;search_path&amp;"\RTDC"&amp;B150&amp;"\"&amp;TEXT(F150,"YYYY-MM-DD")&amp;" --recursive &amp; """&amp;walkandungz&amp;""" "&amp;search_path&amp;"\RTDC"&amp;B150&amp;"\"&amp;TEXT(F150,"YYYY-MM-DD")
&amp;" &amp; "&amp;"aws s3 cp "&amp;s3_bucket&amp;"/RTDC"&amp;B150&amp;"/"&amp;TEXT(F150+1,"YYYY-MM-DD")&amp;"/ "&amp;search_path&amp;"\RTDC"&amp;B150&amp;"\"&amp;TEXT(F150+1,"YYYY-MM-DD")&amp;" --recursive &amp; """&amp;walkandungz&amp;""" "&amp;search_path&amp;"\RTDC"&amp;B150&amp;"\"&amp;TEXT(F150+1,"YYYY-MM-DD")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50" s="118" t="str">
        <f>astrogrep_path&amp;" /spath="&amp;search_path&amp;" /stypes=""*"&amp;B150&amp;"*"&amp;TEXT(F150-utc_offset/24,"YYYYMMDD")&amp;"*"" /stext="" "&amp;TEXT(F150-utc_offset/24,"HH")&amp;search_regexp&amp;""" /e /r /s"</f>
        <v>"C:\Program Files (x86)\AstroGrep\AstroGrep.exe" /spath="C:\Users\stu\Documents\Analysis\2016-02-23 RTDC Observations" /stypes="*4011*20160707*" /stext=" 04:.+((prompt.+disp)|(slice.+state.+chan)|(ment ac)|(system.+state.+chan)|(\|lc)|(penalty)|(\[timeout))" /e /r /s</v>
      </c>
    </row>
    <row r="151" spans="1:32" x14ac:dyDescent="0.25">
      <c r="A151" s="34" t="s">
        <v>449</v>
      </c>
      <c r="B151" s="34">
        <v>4012</v>
      </c>
      <c r="C151" s="34" t="s">
        <v>60</v>
      </c>
      <c r="D151" s="34" t="s">
        <v>653</v>
      </c>
      <c r="E151" s="20">
        <v>42557.994351851848</v>
      </c>
      <c r="F151" s="20">
        <v>42557.995451388888</v>
      </c>
      <c r="G151" s="20">
        <v>1</v>
      </c>
      <c r="H151" s="20" t="s">
        <v>296</v>
      </c>
      <c r="I151" s="20">
        <v>42558.024027777778</v>
      </c>
      <c r="J151" s="34">
        <v>0</v>
      </c>
      <c r="K151" s="34" t="str">
        <f t="shared" si="24"/>
        <v>4011/4012</v>
      </c>
      <c r="L151" s="34" t="str">
        <f>VLOOKUP(A151,'Trips&amp;Operators'!$C$1:$E$10000,3,FALSE)</f>
        <v>BARTLETT</v>
      </c>
      <c r="M151" s="6">
        <f t="shared" si="25"/>
        <v>2.8576388889632653E-2</v>
      </c>
      <c r="N151" s="7">
        <f t="shared" si="26"/>
        <v>41.150000001071021</v>
      </c>
      <c r="O151" s="7"/>
      <c r="P151" s="7"/>
      <c r="Q151" s="35"/>
      <c r="R151" s="35"/>
      <c r="S151" s="54">
        <f t="shared" si="27"/>
        <v>1</v>
      </c>
      <c r="T151" s="108" t="str">
        <f t="shared" si="28"/>
        <v>Southbound</v>
      </c>
      <c r="U151" s="108">
        <f>COUNTIFS(Variables!$M$2:$M$19,IF(T151="NorthBound","&gt;=","&lt;=")&amp;Y151,Variables!$M$2:$M$19,IF(T151="NorthBound","&lt;=","&gt;=")&amp;Z151)</f>
        <v>12</v>
      </c>
      <c r="V151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23:50:52-0600',mode:absolute,to:'2016-07-07 00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1" s="116" t="str">
        <f t="shared" si="30"/>
        <v>N</v>
      </c>
      <c r="X151" s="116">
        <f t="shared" si="31"/>
        <v>1</v>
      </c>
      <c r="Y151" s="116">
        <f t="shared" si="32"/>
        <v>23.296099999999999</v>
      </c>
      <c r="Z151" s="116">
        <f t="shared" si="33"/>
        <v>1.7600000000000001E-2</v>
      </c>
      <c r="AA151" s="116">
        <f t="shared" si="34"/>
        <v>23.278499999999998</v>
      </c>
      <c r="AB151" s="117" t="e">
        <f>VLOOKUP(A151,Enforcements!$C$7:$J$30,8,0)</f>
        <v>#N/A</v>
      </c>
      <c r="AC151" s="117" t="e">
        <f>VLOOKUP(A151,Enforcements!$C$7:$E$30,3,0)</f>
        <v>#N/A</v>
      </c>
      <c r="AD151" s="118" t="str">
        <f t="shared" si="35"/>
        <v>0238-06</v>
      </c>
      <c r="AE151" s="118" t="str">
        <f>"aws s3 cp "&amp;s3_bucket&amp;"/RTDC"&amp;B151&amp;"/"&amp;TEXT(F151,"YYYY-MM-DD")&amp;"/ "&amp;search_path&amp;"\RTDC"&amp;B151&amp;"\"&amp;TEXT(F151,"YYYY-MM-DD")&amp;" --recursive &amp; """&amp;walkandungz&amp;""" "&amp;search_path&amp;"\RTDC"&amp;B151&amp;"\"&amp;TEXT(F151,"YYYY-MM-DD")
&amp;" &amp; "&amp;"aws s3 cp "&amp;s3_bucket&amp;"/RTDC"&amp;B151&amp;"/"&amp;TEXT(F151+1,"YYYY-MM-DD")&amp;"/ "&amp;search_path&amp;"\RTDC"&amp;B151&amp;"\"&amp;TEXT(F151+1,"YYYY-MM-DD")&amp;" --recursive &amp; """&amp;walkandungz&amp;""" "&amp;search_path&amp;"\RTDC"&amp;B151&amp;"\"&amp;TEXT(F151+1,"YYYY-MM-DD")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51" s="118" t="str">
        <f>astrogrep_path&amp;" /spath="&amp;search_path&amp;" /stypes=""*"&amp;B151&amp;"*"&amp;TEXT(F151-utc_offset/24,"YYYYMMDD")&amp;"*"" /stext="" "&amp;TEXT(F151-utc_offset/24,"HH")&amp;search_regexp&amp;""" /e /r /s"</f>
        <v>"C:\Program Files (x86)\AstroGrep\AstroGrep.exe" /spath="C:\Users\stu\Documents\Analysis\2016-02-23 RTDC Observations" /stypes="*4012*20160707*" /stext=" 05:.+((prompt.+disp)|(slice.+state.+chan)|(ment ac)|(system.+state.+chan)|(\|lc)|(penalty)|(\[timeout))" /e /r /s</v>
      </c>
    </row>
    <row r="152" spans="1:32" x14ac:dyDescent="0.25">
      <c r="A152" s="34" t="s">
        <v>442</v>
      </c>
      <c r="B152" s="34">
        <v>4018</v>
      </c>
      <c r="C152" s="34" t="s">
        <v>60</v>
      </c>
      <c r="D152" s="34" t="s">
        <v>177</v>
      </c>
      <c r="E152" s="20">
        <v>42557.970266203702</v>
      </c>
      <c r="F152" s="20">
        <v>42557.971192129633</v>
      </c>
      <c r="G152" s="20">
        <v>1</v>
      </c>
      <c r="H152" s="20" t="s">
        <v>654</v>
      </c>
      <c r="I152" s="20">
        <v>42558.005636574075</v>
      </c>
      <c r="J152" s="34">
        <v>0</v>
      </c>
      <c r="K152" s="34" t="str">
        <f t="shared" si="24"/>
        <v>4017/4018</v>
      </c>
      <c r="L152" s="34" t="str">
        <f>VLOOKUP(A152,'Trips&amp;Operators'!$C$1:$E$10000,3,FALSE)</f>
        <v>DAVIS</v>
      </c>
      <c r="M152" s="6">
        <f t="shared" si="25"/>
        <v>3.4444444441760425E-2</v>
      </c>
      <c r="N152" s="7">
        <f t="shared" si="26"/>
        <v>49.599999996135011</v>
      </c>
      <c r="O152" s="7"/>
      <c r="P152" s="7"/>
      <c r="Q152" s="35"/>
      <c r="R152" s="35"/>
      <c r="S152" s="54">
        <f t="shared" si="27"/>
        <v>1</v>
      </c>
      <c r="T152" s="108" t="str">
        <f t="shared" si="28"/>
        <v>NorthBound</v>
      </c>
      <c r="U152" s="108">
        <f>COUNTIFS(Variables!$M$2:$M$19,IF(T152="NorthBound","&gt;=","&lt;=")&amp;Y152,Variables!$M$2:$M$19,IF(T152="NorthBound","&lt;=","&gt;=")&amp;Z152)</f>
        <v>12</v>
      </c>
      <c r="V152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https://search-rtdc-monitor-bjffxe2xuh6vdkpspy63sjmuny.us-east-1.es.amazonaws.com/_plugin/kibana/#/discover/Steve-Slow-Train-Analysis-(2080s-and-2083s)?_g=(refreshInterval:(display:Off,section:0,value:0),time:(from:'2016-07-06 23:16:11-0600',mode:absolute,to:'2016-07-07 00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2" s="116" t="str">
        <f t="shared" si="30"/>
        <v>N</v>
      </c>
      <c r="X152" s="116">
        <f t="shared" si="31"/>
        <v>1</v>
      </c>
      <c r="Y152" s="116">
        <f t="shared" si="32"/>
        <v>4.6899999999999997E-2</v>
      </c>
      <c r="Z152" s="116">
        <f t="shared" si="33"/>
        <v>23.3263</v>
      </c>
      <c r="AA152" s="116">
        <f t="shared" si="34"/>
        <v>23.279399999999999</v>
      </c>
      <c r="AB152" s="117" t="e">
        <f>VLOOKUP(A152,Enforcements!$C$7:$J$30,8,0)</f>
        <v>#N/A</v>
      </c>
      <c r="AC152" s="117" t="e">
        <f>VLOOKUP(A152,Enforcements!$C$7:$E$30,3,0)</f>
        <v>#N/A</v>
      </c>
      <c r="AD152" s="118" t="str">
        <f t="shared" si="35"/>
        <v>0239-06</v>
      </c>
      <c r="AE152" s="118" t="str">
        <f>"aws s3 cp "&amp;s3_bucket&amp;"/RTDC"&amp;B152&amp;"/"&amp;TEXT(F152,"YYYY-MM-DD")&amp;"/ "&amp;search_path&amp;"\RTDC"&amp;B152&amp;"\"&amp;TEXT(F152,"YYYY-MM-DD")&amp;" --recursive &amp; """&amp;walkandungz&amp;""" "&amp;search_path&amp;"\RTDC"&amp;B152&amp;"\"&amp;TEXT(F152,"YYYY-MM-DD")
&amp;" &amp; "&amp;"aws s3 cp "&amp;s3_bucket&amp;"/RTDC"&amp;B152&amp;"/"&amp;TEXT(F152+1,"YYYY-MM-DD")&amp;"/ "&amp;search_path&amp;"\RTDC"&amp;B152&amp;"\"&amp;TEXT(F152+1,"YYYY-MM-DD")&amp;" --recursive &amp; """&amp;walkandungz&amp;""" "&amp;search_path&amp;"\RTDC"&amp;B152&amp;"\"&amp;TEXT(F152+1,"YYYY-MM-DD")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52" s="118" t="str">
        <f>astrogrep_path&amp;" /spath="&amp;search_path&amp;" /stypes=""*"&amp;B152&amp;"*"&amp;TEXT(F152-utc_offset/24,"YYYYMMDD")&amp;"*"" /stext="" "&amp;TEXT(F152-utc_offset/24,"HH")&amp;search_regexp&amp;""" /e /r /s"</f>
        <v>"C:\Program Files (x86)\AstroGrep\AstroGrep.exe" /spath="C:\Users\stu\Documents\Analysis\2016-02-23 RTDC Observations" /stypes="*4018*20160707*" /stext=" 05:.+((prompt.+disp)|(slice.+state.+chan)|(ment ac)|(system.+state.+chan)|(\|lc)|(penalty)|(\[timeout))" /e /r /s</v>
      </c>
    </row>
    <row r="153" spans="1:32" x14ac:dyDescent="0.25">
      <c r="A153" s="34" t="s">
        <v>475</v>
      </c>
      <c r="B153" s="34">
        <v>4017</v>
      </c>
      <c r="C153" s="34" t="s">
        <v>60</v>
      </c>
      <c r="D153" s="34" t="s">
        <v>655</v>
      </c>
      <c r="E153" s="20">
        <v>42558.01253472222</v>
      </c>
      <c r="F153" s="20">
        <v>42558.01363425926</v>
      </c>
      <c r="G153" s="20">
        <v>1</v>
      </c>
      <c r="H153" s="20" t="s">
        <v>646</v>
      </c>
      <c r="I153" s="20">
        <v>42558.044745370367</v>
      </c>
      <c r="J153" s="34">
        <v>0</v>
      </c>
      <c r="K153" s="34" t="str">
        <f t="shared" si="24"/>
        <v>4017/4018</v>
      </c>
      <c r="L153" s="34" t="str">
        <f>VLOOKUP(A153,'Trips&amp;Operators'!$C$1:$E$10000,3,FALSE)</f>
        <v>DAVIS</v>
      </c>
      <c r="M153" s="6">
        <f t="shared" si="25"/>
        <v>3.1111111107748002E-2</v>
      </c>
      <c r="N153" s="7">
        <f t="shared" si="26"/>
        <v>44.799999995157123</v>
      </c>
      <c r="O153" s="7"/>
      <c r="P153" s="7"/>
      <c r="Q153" s="35"/>
      <c r="R153" s="35"/>
      <c r="S153" s="54">
        <f t="shared" si="27"/>
        <v>1</v>
      </c>
      <c r="T153" s="108" t="str">
        <f t="shared" si="28"/>
        <v>Southbound</v>
      </c>
      <c r="U153" s="108">
        <f>COUNTIFS(Variables!$M$2:$M$19,IF(T153="NorthBound","&gt;=","&lt;=")&amp;Y153,Variables!$M$2:$M$19,IF(T153="NorthBound","&lt;=","&gt;=")&amp;Z153)</f>
        <v>12</v>
      </c>
      <c r="V153" s="116" t="str">
        <f t="shared" si="29"/>
        <v>https://search-rtdc-monitor-bjffxe2xuh6vdkpspy63sjmuny.us-east-1.es.amazonaws.com/_plugin/kibana/#/discover/Steve-Slow-Train-Analysis-(2080s-and-2083s)?_g=(refreshInterval:(display:Off,section:0,value:0),time:(from:'2016-07-07 00:17:03-0600',mode:absolute,to:'2016-07-07 01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3" s="116" t="str">
        <f t="shared" si="30"/>
        <v>N</v>
      </c>
      <c r="X153" s="116">
        <f t="shared" si="31"/>
        <v>1</v>
      </c>
      <c r="Y153" s="116">
        <f t="shared" si="32"/>
        <v>23.293600000000001</v>
      </c>
      <c r="Z153" s="116">
        <f t="shared" si="33"/>
        <v>1.7000000000000001E-2</v>
      </c>
      <c r="AA153" s="116">
        <f t="shared" si="34"/>
        <v>23.276600000000002</v>
      </c>
      <c r="AB153" s="117" t="e">
        <f>VLOOKUP(A153,Enforcements!$C$7:$J$30,8,0)</f>
        <v>#N/A</v>
      </c>
      <c r="AC153" s="117" t="e">
        <f>VLOOKUP(A153,Enforcements!$C$7:$E$30,3,0)</f>
        <v>#N/A</v>
      </c>
      <c r="AD153" s="118" t="str">
        <f t="shared" si="35"/>
        <v>0240-06</v>
      </c>
      <c r="AE153" s="118" t="str">
        <f>"aws s3 cp "&amp;s3_bucket&amp;"/RTDC"&amp;B153&amp;"/"&amp;TEXT(F153,"YYYY-MM-DD")&amp;"/ "&amp;search_path&amp;"\RTDC"&amp;B153&amp;"\"&amp;TEXT(F153,"YYYY-MM-DD")&amp;" --recursive &amp; """&amp;walkandungz&amp;""" "&amp;search_path&amp;"\RTDC"&amp;B153&amp;"\"&amp;TEXT(F153,"YYYY-MM-DD")
&amp;" &amp; "&amp;"aws s3 cp "&amp;s3_bucket&amp;"/RTDC"&amp;B153&amp;"/"&amp;TEXT(F153+1,"YYYY-MM-DD")&amp;"/ "&amp;search_path&amp;"\RTDC"&amp;B153&amp;"\"&amp;TEXT(F153+1,"YYYY-MM-DD")&amp;" --recursive &amp; """&amp;walkandungz&amp;""" "&amp;search_path&amp;"\RTDC"&amp;B153&amp;"\"&amp;TEXT(F153+1,"YYYY-MM-DD")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53" s="118" t="str">
        <f>astrogrep_path&amp;" /spath="&amp;search_path&amp;" /stypes=""*"&amp;B153&amp;"*"&amp;TEXT(F153-utc_offset/24,"YYYYMMDD")&amp;"*"" /stext="" "&amp;TEXT(F153-utc_offset/24,"HH")&amp;search_regexp&amp;""" /e /r /s"</f>
        <v>"C:\Program Files (x86)\AstroGrep\AstroGrep.exe" /spath="C:\Users\stu\Documents\Analysis\2016-02-23 RTDC Observations" /stypes="*4017*20160707*" /stext=" 06:.+((prompt.+disp)|(slice.+state.+chan)|(ment ac)|(system.+state.+chan)|(\|lc)|(penalty)|(\[timeout))" /e /r /s</v>
      </c>
    </row>
    <row r="154" spans="1:32" x14ac:dyDescent="0.25">
      <c r="A154" s="34" t="s">
        <v>493</v>
      </c>
      <c r="B154" s="34">
        <v>4025</v>
      </c>
      <c r="C154" s="34" t="s">
        <v>60</v>
      </c>
      <c r="D154" s="34" t="s">
        <v>293</v>
      </c>
      <c r="E154" s="20">
        <v>42557.996863425928</v>
      </c>
      <c r="F154" s="20">
        <v>42557.997685185182</v>
      </c>
      <c r="G154" s="20">
        <v>1</v>
      </c>
      <c r="H154" s="20" t="s">
        <v>656</v>
      </c>
      <c r="I154" s="20">
        <v>42558.024710648147</v>
      </c>
      <c r="J154" s="34">
        <v>0</v>
      </c>
      <c r="K154" s="34" t="str">
        <f t="shared" ref="K154:K158" si="36">IF(ISEVEN(B154),(B154-1)&amp;"/"&amp;B154,B154&amp;"/"&amp;(B154+1))</f>
        <v>4025/4026</v>
      </c>
      <c r="L154" s="34" t="str">
        <f>VLOOKUP(A154,'Trips&amp;Operators'!$C$1:$E$10000,3,FALSE)</f>
        <v>ADANE</v>
      </c>
      <c r="M154" s="6">
        <f t="shared" ref="M154:M158" si="37">I154-F154</f>
        <v>2.7025462964957114E-2</v>
      </c>
      <c r="N154" s="7">
        <f t="shared" si="26"/>
        <v>38.916666669538245</v>
      </c>
      <c r="O154" s="7"/>
      <c r="P154" s="7"/>
      <c r="Q154" s="35"/>
      <c r="R154" s="35"/>
      <c r="S154" s="54">
        <f t="shared" ref="S154:S157" si="38">SUM(U154:U154)/12</f>
        <v>1</v>
      </c>
      <c r="T154" s="108" t="str">
        <f t="shared" ref="T154:T157" si="39">IF(ISEVEN(LEFT(A154,3)),"Southbound","NorthBound")</f>
        <v>NorthBound</v>
      </c>
      <c r="U154" s="108">
        <f>COUNTIFS(Variables!$M$2:$M$19,IF(T154="NorthBound","&gt;=","&lt;=")&amp;Y154,Variables!$M$2:$M$19,IF(T154="NorthBound","&lt;=","&gt;=")&amp;Z154)</f>
        <v>12</v>
      </c>
      <c r="V154" s="116" t="str">
        <f t="shared" ref="V154:V157" si="40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https://search-rtdc-monitor-bjffxe2xuh6vdkpspy63sjmuny.us-east-1.es.amazonaws.com/_plugin/kibana/#/discover/Steve-Slow-Train-Analysis-(2080s-and-2083s)?_g=(refreshInterval:(display:Off,section:0,value:0),time:(from:'2016-07-06 23:54:29-0600',mode:absolute,to:'2016-07-07 00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4" s="116" t="str">
        <f t="shared" ref="W154:W157" si="41">IF(AA154&lt;23,"Y","N")</f>
        <v>N</v>
      </c>
      <c r="X154" s="116">
        <f t="shared" ref="X154:X157" si="42">VALUE(LEFT(A154,3))-VALUE(LEFT(A153,3))</f>
        <v>1</v>
      </c>
      <c r="Y154" s="116">
        <f t="shared" ref="Y154:Y157" si="43">RIGHT(D154,LEN(D154)-4)/10000</f>
        <v>4.82E-2</v>
      </c>
      <c r="Z154" s="116">
        <f t="shared" ref="Z154:Z157" si="44">RIGHT(H154,LEN(H154)-4)/10000</f>
        <v>23.3293</v>
      </c>
      <c r="AA154" s="116">
        <f t="shared" ref="AA154:AA157" si="45">ABS(Z154-Y154)</f>
        <v>23.281099999999999</v>
      </c>
      <c r="AB154" s="117" t="e">
        <f>VLOOKUP(A154,Enforcements!$C$7:$J$30,8,0)</f>
        <v>#N/A</v>
      </c>
      <c r="AC154" s="117" t="e">
        <f>VLOOKUP(A154,Enforcements!$C$7:$E$30,3,0)</f>
        <v>#N/A</v>
      </c>
      <c r="AD154" s="118" t="str">
        <f t="shared" ref="AD154:AD157" si="46">IF(LEN(A154)=6,"0"&amp;A154,A154)</f>
        <v>0241-06</v>
      </c>
      <c r="AE154" s="118" t="str">
        <f>"aws s3 cp "&amp;s3_bucket&amp;"/RTDC"&amp;B154&amp;"/"&amp;TEXT(F154,"YYYY-MM-DD")&amp;"/ "&amp;search_path&amp;"\RTDC"&amp;B154&amp;"\"&amp;TEXT(F154,"YYYY-MM-DD")&amp;" --recursive &amp; """&amp;walkandungz&amp;""" "&amp;search_path&amp;"\RTDC"&amp;B154&amp;"\"&amp;TEXT(F154,"YYYY-MM-DD")
&amp;" &amp; "&amp;"aws s3 cp "&amp;s3_bucket&amp;"/RTDC"&amp;B154&amp;"/"&amp;TEXT(F154+1,"YYYY-MM-DD")&amp;"/ "&amp;search_path&amp;"\RTDC"&amp;B154&amp;"\"&amp;TEXT(F154+1,"YYYY-MM-DD")&amp;" --recursive &amp; """&amp;walkandungz&amp;""" "&amp;search_path&amp;"\RTDC"&amp;B154&amp;"\"&amp;TEXT(F154+1,"YYYY-MM-DD")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54" s="118" t="str">
        <f>astrogrep_path&amp;" /spath="&amp;search_path&amp;" /stypes=""*"&amp;B154&amp;"*"&amp;TEXT(F154-utc_offset/24,"YYYYMMDD")&amp;"*"" /stext="" "&amp;TEXT(F154-utc_offset/24,"HH")&amp;search_regexp&amp;""" /e /r /s"</f>
        <v>"C:\Program Files (x86)\AstroGrep\AstroGrep.exe" /spath="C:\Users\stu\Documents\Analysis\2016-02-23 RTDC Observations" /stypes="*4025*20160707*" /stext=" 05:.+((prompt.+disp)|(slice.+state.+chan)|(ment ac)|(system.+state.+chan)|(\|lc)|(penalty)|(\[timeout))" /e /r /s</v>
      </c>
    </row>
    <row r="155" spans="1:32" x14ac:dyDescent="0.25">
      <c r="A155" s="34" t="s">
        <v>395</v>
      </c>
      <c r="B155" s="34">
        <v>4026</v>
      </c>
      <c r="C155" s="34" t="s">
        <v>60</v>
      </c>
      <c r="D155" s="34" t="s">
        <v>602</v>
      </c>
      <c r="E155" s="20">
        <v>42558.036527777775</v>
      </c>
      <c r="F155" s="20">
        <v>42558.037592592591</v>
      </c>
      <c r="G155" s="20">
        <v>1</v>
      </c>
      <c r="H155" s="20" t="s">
        <v>73</v>
      </c>
      <c r="I155" s="20">
        <v>42558.066157407404</v>
      </c>
      <c r="J155" s="34">
        <v>2</v>
      </c>
      <c r="K155" s="34" t="str">
        <f t="shared" si="36"/>
        <v>4025/4026</v>
      </c>
      <c r="L155" s="34" t="str">
        <f>VLOOKUP(A155,'Trips&amp;Operators'!$C$1:$E$10000,3,FALSE)</f>
        <v>ADANE</v>
      </c>
      <c r="M155" s="6">
        <f t="shared" si="37"/>
        <v>2.8564814812853001E-2</v>
      </c>
      <c r="N155" s="7">
        <f t="shared" si="26"/>
        <v>41.133333330508322</v>
      </c>
      <c r="O155" s="7"/>
      <c r="P155" s="7"/>
      <c r="Q155" s="35"/>
      <c r="R155" s="35"/>
      <c r="S155" s="54">
        <f t="shared" si="38"/>
        <v>1</v>
      </c>
      <c r="T155" s="108" t="str">
        <f t="shared" si="39"/>
        <v>Southbound</v>
      </c>
      <c r="U155" s="108">
        <f>COUNTIFS(Variables!$M$2:$M$19,IF(T155="NorthBound","&gt;=","&lt;=")&amp;Y155,Variables!$M$2:$M$19,IF(T155="NorthBound","&lt;=","&gt;=")&amp;Z155)</f>
        <v>12</v>
      </c>
      <c r="V155" s="116" t="str">
        <f t="shared" si="40"/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5" s="116" t="str">
        <f t="shared" si="41"/>
        <v>N</v>
      </c>
      <c r="X155" s="116">
        <f t="shared" si="42"/>
        <v>1</v>
      </c>
      <c r="Y155" s="116">
        <f t="shared" si="43"/>
        <v>23.2986</v>
      </c>
      <c r="Z155" s="116">
        <f t="shared" si="44"/>
        <v>1.49E-2</v>
      </c>
      <c r="AA155" s="116">
        <f t="shared" si="45"/>
        <v>23.2837</v>
      </c>
      <c r="AB155" s="117" t="e">
        <f>VLOOKUP(A155,Enforcements!$C$7:$J$30,8,0)</f>
        <v>#N/A</v>
      </c>
      <c r="AC155" s="117" t="e">
        <f>VLOOKUP(A155,Enforcements!$C$7:$E$30,3,0)</f>
        <v>#N/A</v>
      </c>
      <c r="AD155" s="118" t="str">
        <f t="shared" si="46"/>
        <v>0242-06</v>
      </c>
      <c r="AE155" s="118" t="str">
        <f>"aws s3 cp "&amp;s3_bucket&amp;"/RTDC"&amp;B155&amp;"/"&amp;TEXT(F155,"YYYY-MM-DD")&amp;"/ "&amp;search_path&amp;"\RTDC"&amp;B155&amp;"\"&amp;TEXT(F155,"YYYY-MM-DD")&amp;" --recursive &amp; """&amp;walkandungz&amp;""" "&amp;search_path&amp;"\RTDC"&amp;B155&amp;"\"&amp;TEXT(F155,"YYYY-MM-DD")
&amp;" &amp; "&amp;"aws s3 cp "&amp;s3_bucket&amp;"/RTDC"&amp;B155&amp;"/"&amp;TEXT(F155+1,"YYYY-MM-DD")&amp;"/ "&amp;search_path&amp;"\RTDC"&amp;B155&amp;"\"&amp;TEXT(F155+1,"YYYY-MM-DD")&amp;" --recursive &amp; """&amp;walkandungz&amp;""" "&amp;search_path&amp;"\RTDC"&amp;B155&amp;"\"&amp;TEXT(F155+1,"YYYY-MM-DD")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55" s="118" t="str">
        <f>astrogrep_path&amp;" /spath="&amp;search_path&amp;" /stypes=""*"&amp;B155&amp;"*"&amp;TEXT(F155-utc_offset/24,"YYYYMMDD")&amp;"*"" /stext="" "&amp;TEXT(F155-utc_offset/24,"HH")&amp;search_regexp&amp;""" /e /r /s"</f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</row>
    <row r="156" spans="1:32" x14ac:dyDescent="0.25">
      <c r="A156" s="34" t="s">
        <v>419</v>
      </c>
      <c r="B156" s="34">
        <v>4040</v>
      </c>
      <c r="C156" s="34" t="s">
        <v>60</v>
      </c>
      <c r="D156" s="34" t="s">
        <v>617</v>
      </c>
      <c r="E156" s="20">
        <v>42558.015451388892</v>
      </c>
      <c r="F156" s="20">
        <v>42558.016516203701</v>
      </c>
      <c r="G156" s="20">
        <v>1</v>
      </c>
      <c r="H156" s="20" t="s">
        <v>297</v>
      </c>
      <c r="I156" s="20">
        <v>42558.045439814814</v>
      </c>
      <c r="J156" s="34">
        <v>0</v>
      </c>
      <c r="K156" s="34" t="str">
        <f t="shared" si="36"/>
        <v>4039/4040</v>
      </c>
      <c r="L156" s="34" t="str">
        <f>VLOOKUP(A156,'Trips&amp;Operators'!$C$1:$E$10000,3,FALSE)</f>
        <v>GRASTON</v>
      </c>
      <c r="M156" s="6">
        <f t="shared" si="37"/>
        <v>2.8923611112986691E-2</v>
      </c>
      <c r="N156" s="7">
        <f t="shared" si="26"/>
        <v>41.650000002700835</v>
      </c>
      <c r="O156" s="7"/>
      <c r="P156" s="7"/>
      <c r="Q156" s="35"/>
      <c r="R156" s="35"/>
      <c r="S156" s="54">
        <f t="shared" si="38"/>
        <v>1</v>
      </c>
      <c r="T156" s="108" t="str">
        <f t="shared" si="39"/>
        <v>NorthBound</v>
      </c>
      <c r="U156" s="108">
        <f>COUNTIFS(Variables!$M$2:$M$19,IF(T156="NorthBound","&gt;=","&lt;=")&amp;Y156,Variables!$M$2:$M$19,IF(T156="NorthBound","&lt;=","&gt;=")&amp;Z156)</f>
        <v>12</v>
      </c>
      <c r="V156" s="116" t="str">
        <f t="shared" si="40"/>
        <v>https://search-rtdc-monitor-bjffxe2xuh6vdkpspy63sjmuny.us-east-1.es.amazonaws.com/_plugin/kibana/#/discover/Steve-Slow-Train-Analysis-(2080s-and-2083s)?_g=(refreshInterval:(display:Off,section:0,value:0),time:(from:'2016-07-07 00:21:15-0600',mode:absolute,to:'2016-07-07 01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6" s="116" t="str">
        <f t="shared" si="41"/>
        <v>N</v>
      </c>
      <c r="X156" s="116">
        <f t="shared" si="42"/>
        <v>1</v>
      </c>
      <c r="Y156" s="116">
        <f t="shared" si="43"/>
        <v>4.7100000000000003E-2</v>
      </c>
      <c r="Z156" s="116">
        <f t="shared" si="44"/>
        <v>23.330500000000001</v>
      </c>
      <c r="AA156" s="116">
        <f t="shared" si="45"/>
        <v>23.2834</v>
      </c>
      <c r="AB156" s="117" t="e">
        <f>VLOOKUP(A156,Enforcements!$C$7:$J$30,8,0)</f>
        <v>#N/A</v>
      </c>
      <c r="AC156" s="117" t="e">
        <f>VLOOKUP(A156,Enforcements!$C$7:$E$30,3,0)</f>
        <v>#N/A</v>
      </c>
      <c r="AD156" s="118" t="str">
        <f t="shared" si="46"/>
        <v>0243-06</v>
      </c>
      <c r="AE156" s="118" t="str">
        <f>"aws s3 cp "&amp;s3_bucket&amp;"/RTDC"&amp;B156&amp;"/"&amp;TEXT(F156,"YYYY-MM-DD")&amp;"/ "&amp;search_path&amp;"\RTDC"&amp;B156&amp;"\"&amp;TEXT(F156,"YYYY-MM-DD")&amp;" --recursive &amp; """&amp;walkandungz&amp;""" "&amp;search_path&amp;"\RTDC"&amp;B156&amp;"\"&amp;TEXT(F156,"YYYY-MM-DD")
&amp;" &amp; "&amp;"aws s3 cp "&amp;s3_bucket&amp;"/RTDC"&amp;B156&amp;"/"&amp;TEXT(F156+1,"YYYY-MM-DD")&amp;"/ "&amp;search_path&amp;"\RTDC"&amp;B156&amp;"\"&amp;TEXT(F156+1,"YYYY-MM-DD")&amp;" --recursive &amp; """&amp;walkandungz&amp;""" "&amp;search_path&amp;"\RTDC"&amp;B156&amp;"\"&amp;TEXT(F156+1,"YYYY-MM-DD")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56" s="118" t="str">
        <f>astrogrep_path&amp;" /spath="&amp;search_path&amp;" /stypes=""*"&amp;B156&amp;"*"&amp;TEXT(F156-utc_offset/24,"YYYYMMDD")&amp;"*"" /stext="" "&amp;TEXT(F156-utc_offset/24,"HH")&amp;search_regexp&amp;""" /e /r /s"</f>
        <v>"C:\Program Files (x86)\AstroGrep\AstroGrep.exe" /spath="C:\Users\stu\Documents\Analysis\2016-02-23 RTDC Observations" /stypes="*4040*20160707*" /stext=" 06:.+((prompt.+disp)|(slice.+state.+chan)|(ment ac)|(system.+state.+chan)|(\|lc)|(penalty)|(\[timeout))" /e /r /s</v>
      </c>
    </row>
    <row r="157" spans="1:32" x14ac:dyDescent="0.25">
      <c r="A157" s="62" t="s">
        <v>407</v>
      </c>
      <c r="B157" s="34">
        <v>4039</v>
      </c>
      <c r="C157" s="34" t="s">
        <v>60</v>
      </c>
      <c r="D157" s="34" t="s">
        <v>146</v>
      </c>
      <c r="E157" s="20">
        <v>42558.057766203703</v>
      </c>
      <c r="F157" s="20">
        <v>42558.058518518519</v>
      </c>
      <c r="G157" s="20">
        <v>1</v>
      </c>
      <c r="H157" s="20" t="s">
        <v>623</v>
      </c>
      <c r="I157" s="20">
        <v>42558.085231481484</v>
      </c>
      <c r="J157" s="34">
        <v>0</v>
      </c>
      <c r="K157" s="34" t="str">
        <f t="shared" si="36"/>
        <v>4039/4040</v>
      </c>
      <c r="L157" s="34" t="str">
        <f>VLOOKUP(A157,'Trips&amp;Operators'!$C$1:$E$10000,3,FALSE)</f>
        <v>GRASTON</v>
      </c>
      <c r="M157" s="6">
        <f t="shared" si="37"/>
        <v>2.6712962964666076E-2</v>
      </c>
      <c r="N157" s="7">
        <f t="shared" si="26"/>
        <v>38.466666669119149</v>
      </c>
      <c r="O157" s="7"/>
      <c r="P157" s="7"/>
      <c r="Q157" s="35"/>
      <c r="R157" s="35"/>
      <c r="S157" s="54">
        <f t="shared" si="38"/>
        <v>1</v>
      </c>
      <c r="T157" s="108" t="str">
        <f t="shared" si="39"/>
        <v>Southbound</v>
      </c>
      <c r="U157" s="108">
        <f>COUNTIFS(Variables!$M$2:$M$19,IF(T157="NorthBound","&gt;=","&lt;=")&amp;Y157,Variables!$M$2:$M$19,IF(T157="NorthBound","&lt;=","&gt;=")&amp;Z157)</f>
        <v>12</v>
      </c>
      <c r="V157" s="116" t="str">
        <f t="shared" si="40"/>
        <v>https://search-rtdc-monitor-bjffxe2xuh6vdkpspy63sjmuny.us-east-1.es.amazonaws.com/_plugin/kibana/#/discover/Steve-Slow-Train-Analysis-(2080s-and-2083s)?_g=(refreshInterval:(display:Off,section:0,value:0),time:(from:'2016-07-07 01:22:11-0600',mode:absolute,to:'2016-07-07 02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7" s="116" t="str">
        <f t="shared" si="41"/>
        <v>N</v>
      </c>
      <c r="X157" s="116">
        <f t="shared" si="42"/>
        <v>1</v>
      </c>
      <c r="Y157" s="116">
        <f t="shared" si="43"/>
        <v>23.297799999999999</v>
      </c>
      <c r="Z157" s="116">
        <f t="shared" si="44"/>
        <v>1.6899999999999998E-2</v>
      </c>
      <c r="AA157" s="116">
        <f t="shared" si="45"/>
        <v>23.280899999999999</v>
      </c>
      <c r="AB157" s="117" t="e">
        <f>VLOOKUP(A157,Enforcements!$C$7:$J$30,8,0)</f>
        <v>#N/A</v>
      </c>
      <c r="AC157" s="117" t="e">
        <f>VLOOKUP(A157,Enforcements!$C$7:$E$30,3,0)</f>
        <v>#N/A</v>
      </c>
      <c r="AD157" s="118" t="str">
        <f t="shared" si="46"/>
        <v>0244-06</v>
      </c>
      <c r="AE157" s="118" t="str">
        <f>"aws s3 cp "&amp;s3_bucket&amp;"/RTDC"&amp;B157&amp;"/"&amp;TEXT(F157,"YYYY-MM-DD")&amp;"/ "&amp;search_path&amp;"\RTDC"&amp;B157&amp;"\"&amp;TEXT(F157,"YYYY-MM-DD")&amp;" --recursive &amp; """&amp;walkandungz&amp;""" "&amp;search_path&amp;"\RTDC"&amp;B157&amp;"\"&amp;TEXT(F157,"YYYY-MM-DD")
&amp;" &amp; "&amp;"aws s3 cp "&amp;s3_bucket&amp;"/RTDC"&amp;B157&amp;"/"&amp;TEXT(F157+1,"YYYY-MM-DD")&amp;"/ "&amp;search_path&amp;"\RTDC"&amp;B157&amp;"\"&amp;TEXT(F157+1,"YYYY-MM-DD")&amp;" --recursive &amp; """&amp;walkandungz&amp;""" "&amp;search_path&amp;"\RTDC"&amp;B157&amp;"\"&amp;TEXT(F157+1,"YYYY-MM-DD")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57" s="118" t="str">
        <f>astrogrep_path&amp;" /spath="&amp;search_path&amp;" /stypes=""*"&amp;B157&amp;"*"&amp;TEXT(F157-utc_offset/24,"YYYYMMDD")&amp;"*"" /stext="" "&amp;TEXT(F157-utc_offset/24,"HH")&amp;search_regexp&amp;""" /e /r /s"</f>
        <v>"C:\Program Files (x86)\AstroGrep\AstroGrep.exe" /spath="C:\Users\stu\Documents\Analysis\2016-02-23 RTDC Observations" /stypes="*4039*20160707*" /stext=" 07:.+((prompt.+disp)|(slice.+state.+chan)|(ment ac)|(system.+state.+chan)|(\|lc)|(penalty)|(\[timeout))" /e /r /s</v>
      </c>
    </row>
    <row r="158" spans="1:32" x14ac:dyDescent="0.25">
      <c r="A158" s="34" t="s">
        <v>511</v>
      </c>
      <c r="B158" s="34">
        <v>4028</v>
      </c>
      <c r="C158" s="34" t="s">
        <v>60</v>
      </c>
      <c r="D158" s="34" t="s">
        <v>657</v>
      </c>
      <c r="E158" s="20">
        <v>42557.219363425924</v>
      </c>
      <c r="F158" s="20">
        <v>42557.220706018517</v>
      </c>
      <c r="G158" s="20">
        <v>1</v>
      </c>
      <c r="H158" s="20" t="s">
        <v>658</v>
      </c>
      <c r="I158" s="20">
        <v>42557.230185185188</v>
      </c>
      <c r="J158" s="34">
        <v>0</v>
      </c>
      <c r="K158" s="34" t="str">
        <f t="shared" si="36"/>
        <v>4027/4028</v>
      </c>
      <c r="L158" s="34" t="str">
        <f>VLOOKUP(A158,'Trips&amp;Operators'!$C$1:$E$10000,3,FALSE)</f>
        <v>STURGEON</v>
      </c>
      <c r="M158" s="6">
        <f t="shared" si="37"/>
        <v>9.4791666706441902E-3</v>
      </c>
      <c r="N158" s="7"/>
      <c r="O158" s="7"/>
      <c r="P158" s="7"/>
      <c r="Q158" s="35"/>
      <c r="R158" s="35"/>
      <c r="S158" s="54"/>
      <c r="T158" s="108"/>
      <c r="U158" s="108"/>
      <c r="V158" s="116" t="str">
        <f t="shared" ref="V154:V162" si="47"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https://search-rtdc-monitor-bjffxe2xuh6vdkpspy63sjmuny.us-east-1.es.amazonaws.com/_plugin/kibana/#/discover/Steve-Slow-Train-Analysis-(2080s-and-2083s)?_g=(refreshInterval:(display:Off,section:0,value:0),time:(from:'2016-07-06 05:14:53-0600',mode:absolute,to:'2016-07-06 05:32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8" s="116"/>
      <c r="X158" s="116"/>
      <c r="Y158" s="116"/>
      <c r="Z158" s="116"/>
      <c r="AA158" s="116"/>
      <c r="AB158" s="117"/>
      <c r="AC158" s="117"/>
      <c r="AD158" s="118" t="str">
        <f t="shared" ref="AD154:AD191" si="48">IF(LEN(A158)=6,"0"&amp;A158,A158)</f>
        <v>0800-06</v>
      </c>
      <c r="AE158" s="118" t="str">
        <f>"aws s3 cp "&amp;s3_bucket&amp;"/RTDC"&amp;B158&amp;"/"&amp;TEXT(F158,"YYYY-MM-DD")&amp;"/ "&amp;search_path&amp;"\RTDC"&amp;B158&amp;"\"&amp;TEXT(F158,"YYYY-MM-DD")&amp;" --recursive &amp; """&amp;walkandungz&amp;""" "&amp;search_path&amp;"\RTDC"&amp;B158&amp;"\"&amp;TEXT(F158,"YYYY-MM-DD")
&amp;" &amp; "&amp;"aws s3 cp "&amp;s3_bucket&amp;"/RTDC"&amp;B158&amp;"/"&amp;TEXT(F158+1,"YYYY-MM-DD")&amp;"/ "&amp;search_path&amp;"\RTDC"&amp;B158&amp;"\"&amp;TEXT(F158+1,"YYYY-MM-DD")&amp;" --recursive &amp; """&amp;walkandungz&amp;""" "&amp;search_path&amp;"\RTDC"&amp;B158&amp;"\"&amp;TEXT(F158+1,"YYYY-MM-DD")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58" s="118" t="str">
        <f>astrogrep_path&amp;" /spath="&amp;search_path&amp;" /stypes=""*"&amp;B158&amp;"*"&amp;TEXT(F158-utc_offset/24,"YYYYMMDD")&amp;"*"" /stext="" "&amp;TEXT(F158-utc_offset/24,"HH")&amp;search_regexp&amp;""" /e /r /s"</f>
        <v>"C:\Program Files (x86)\AstroGrep\AstroGrep.exe" /spath="C:\Users\stu\Documents\Analysis\2016-02-23 RTDC Observations" /stypes="*4028*20160706*" /stext=" 11:.+((prompt.+disp)|(slice.+state.+chan)|(ment ac)|(system.+state.+chan)|(\|lc)|(penalty)|(\[timeout))" /e /r /s</v>
      </c>
    </row>
    <row r="159" spans="1:32" x14ac:dyDescent="0.25">
      <c r="A159" s="34" t="s">
        <v>324</v>
      </c>
      <c r="B159" s="34">
        <v>4027</v>
      </c>
      <c r="C159" s="34" t="s">
        <v>60</v>
      </c>
      <c r="D159" s="34" t="s">
        <v>659</v>
      </c>
      <c r="E159" s="20">
        <v>42557.23505787037</v>
      </c>
      <c r="F159" s="20">
        <v>42557.236550925925</v>
      </c>
      <c r="G159" s="20">
        <v>2</v>
      </c>
      <c r="H159" s="20" t="s">
        <v>660</v>
      </c>
      <c r="I159" s="20">
        <v>42557.253657407404</v>
      </c>
      <c r="J159" s="34">
        <v>1</v>
      </c>
      <c r="K159" s="34" t="str">
        <f t="shared" ref="K159:K191" si="49">IF(ISEVEN(B159),(B159-1)&amp;"/"&amp;B159,B159&amp;"/"&amp;(B159+1))</f>
        <v>4027/4028</v>
      </c>
      <c r="L159" s="34" t="str">
        <f>VLOOKUP(A159,'Trips&amp;Operators'!$C$1:$E$10000,3,FALSE)</f>
        <v>STURGEON</v>
      </c>
      <c r="M159" s="6">
        <f t="shared" ref="M159:M191" si="50">I159-F159</f>
        <v>1.710648147854954E-2</v>
      </c>
      <c r="N159" s="7"/>
      <c r="O159" s="7"/>
      <c r="P159" s="7"/>
      <c r="Q159" s="35"/>
      <c r="R159" s="35"/>
      <c r="S159" s="54"/>
      <c r="T159" s="108"/>
      <c r="U159" s="108"/>
      <c r="V159" s="116" t="str">
        <f t="shared" si="47"/>
        <v>https://search-rtdc-monitor-bjffxe2xuh6vdkpspy63sjmuny.us-east-1.es.amazonaws.com/_plugin/kibana/#/discover/Steve-Slow-Train-Analysis-(2080s-and-2083s)?_g=(refreshInterval:(display:Off,section:0,value:0),time:(from:'2016-07-06 05:37:29-0600',mode:absolute,to:'2016-07-06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9" s="116"/>
      <c r="X159" s="116"/>
      <c r="Y159" s="116"/>
      <c r="Z159" s="116"/>
      <c r="AA159" s="116"/>
      <c r="AB159" s="117"/>
      <c r="AC159" s="117"/>
      <c r="AD159" s="118" t="str">
        <f t="shared" si="48"/>
        <v>0801-06</v>
      </c>
      <c r="AE159" s="118" t="str">
        <f>"aws s3 cp "&amp;s3_bucket&amp;"/RTDC"&amp;B159&amp;"/"&amp;TEXT(F159,"YYYY-MM-DD")&amp;"/ "&amp;search_path&amp;"\RTDC"&amp;B159&amp;"\"&amp;TEXT(F159,"YYYY-MM-DD")&amp;" --recursive &amp; """&amp;walkandungz&amp;""" "&amp;search_path&amp;"\RTDC"&amp;B159&amp;"\"&amp;TEXT(F159,"YYYY-MM-DD")
&amp;" &amp; "&amp;"aws s3 cp "&amp;s3_bucket&amp;"/RTDC"&amp;B159&amp;"/"&amp;TEXT(F159+1,"YYYY-MM-DD")&amp;"/ "&amp;search_path&amp;"\RTDC"&amp;B159&amp;"\"&amp;TEXT(F159+1,"YYYY-MM-DD")&amp;" --recursive &amp; """&amp;walkandungz&amp;""" "&amp;search_path&amp;"\RTDC"&amp;B159&amp;"\"&amp;TEXT(F159+1,"YYYY-MM-DD")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59" s="118" t="str">
        <f>astrogrep_path&amp;" /spath="&amp;search_path&amp;" /stypes=""*"&amp;B159&amp;"*"&amp;TEXT(F159-utc_offset/24,"YYYYMMDD")&amp;"*"" /stext="" "&amp;TEXT(F159-utc_offset/24,"HH")&amp;search_regexp&amp;""" /e /r /s"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</row>
    <row r="160" spans="1:32" x14ac:dyDescent="0.25">
      <c r="A160" s="34" t="s">
        <v>437</v>
      </c>
      <c r="B160" s="34">
        <v>4028</v>
      </c>
      <c r="C160" s="34" t="s">
        <v>60</v>
      </c>
      <c r="D160" s="34" t="s">
        <v>310</v>
      </c>
      <c r="E160" s="20">
        <v>42557.25503472222</v>
      </c>
      <c r="F160" s="20">
        <v>42557.256064814814</v>
      </c>
      <c r="G160" s="20">
        <v>1</v>
      </c>
      <c r="H160" s="20" t="s">
        <v>661</v>
      </c>
      <c r="I160" s="20">
        <v>42557.268842592595</v>
      </c>
      <c r="J160" s="34">
        <v>0</v>
      </c>
      <c r="K160" s="34" t="str">
        <f t="shared" si="49"/>
        <v>4027/4028</v>
      </c>
      <c r="L160" s="34" t="str">
        <f>VLOOKUP(A160,'Trips&amp;Operators'!$C$1:$E$10000,3,FALSE)</f>
        <v>STURGEON</v>
      </c>
      <c r="M160" s="6">
        <f t="shared" si="50"/>
        <v>1.2777777781593613E-2</v>
      </c>
      <c r="N160" s="7"/>
      <c r="O160" s="7"/>
      <c r="P160" s="7"/>
      <c r="Q160" s="35"/>
      <c r="R160" s="35"/>
      <c r="S160" s="54"/>
      <c r="T160" s="108"/>
      <c r="U160" s="108"/>
      <c r="V160" s="116" t="str">
        <f t="shared" si="47"/>
        <v>https://search-rtdc-monitor-bjffxe2xuh6vdkpspy63sjmuny.us-east-1.es.amazonaws.com/_plugin/kibana/#/discover/Steve-Slow-Train-Analysis-(2080s-and-2083s)?_g=(refreshInterval:(display:Off,section:0,value:0),time:(from:'2016-07-06 06:06:15-0600',mode:absolute,to:'2016-07-06 06:28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0" s="116"/>
      <c r="X160" s="116"/>
      <c r="Y160" s="116"/>
      <c r="Z160" s="116"/>
      <c r="AA160" s="116"/>
      <c r="AB160" s="117"/>
      <c r="AC160" s="117"/>
      <c r="AD160" s="118" t="str">
        <f t="shared" si="48"/>
        <v>0802-06</v>
      </c>
      <c r="AE160" s="118" t="str">
        <f>"aws s3 cp "&amp;s3_bucket&amp;"/RTDC"&amp;B160&amp;"/"&amp;TEXT(F160,"YYYY-MM-DD")&amp;"/ "&amp;search_path&amp;"\RTDC"&amp;B160&amp;"\"&amp;TEXT(F160,"YYYY-MM-DD")&amp;" --recursive &amp; """&amp;walkandungz&amp;""" "&amp;search_path&amp;"\RTDC"&amp;B160&amp;"\"&amp;TEXT(F160,"YYYY-MM-DD")
&amp;" &amp; "&amp;"aws s3 cp "&amp;s3_bucket&amp;"/RTDC"&amp;B160&amp;"/"&amp;TEXT(F160+1,"YYYY-MM-DD")&amp;"/ "&amp;search_path&amp;"\RTDC"&amp;B160&amp;"\"&amp;TEXT(F160+1,"YYYY-MM-DD")&amp;" --recursive &amp; """&amp;walkandungz&amp;""" "&amp;search_path&amp;"\RTDC"&amp;B160&amp;"\"&amp;TEXT(F160+1,"YYYY-MM-DD")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0" s="118" t="str">
        <f>astrogrep_path&amp;" /spath="&amp;search_path&amp;" /stypes=""*"&amp;B160&amp;"*"&amp;TEXT(F160-utc_offset/24,"YYYYMMDD")&amp;"*"" /stext="" "&amp;TEXT(F160-utc_offset/24,"HH")&amp;search_regexp&amp;""" /e /r /s"</f>
        <v>"C:\Program Files (x86)\AstroGrep\AstroGrep.exe" /spath="C:\Users\stu\Documents\Analysis\2016-02-23 RTDC Observations" /stypes="*4028*20160706*" /stext=" 12:.+((prompt.+disp)|(slice.+state.+chan)|(ment ac)|(system.+state.+chan)|(\|lc)|(penalty)|(\[timeout))" /e /r /s</v>
      </c>
    </row>
    <row r="161" spans="1:32" x14ac:dyDescent="0.25">
      <c r="A161" s="34" t="s">
        <v>325</v>
      </c>
      <c r="B161" s="34">
        <v>4038</v>
      </c>
      <c r="C161" s="34" t="s">
        <v>60</v>
      </c>
      <c r="D161" s="34" t="s">
        <v>662</v>
      </c>
      <c r="E161" s="20">
        <v>42557.256249999999</v>
      </c>
      <c r="F161" s="20">
        <v>42557.257164351853</v>
      </c>
      <c r="G161" s="20">
        <v>1</v>
      </c>
      <c r="H161" s="20" t="s">
        <v>663</v>
      </c>
      <c r="I161" s="20">
        <v>42557.275578703702</v>
      </c>
      <c r="J161" s="34">
        <v>3</v>
      </c>
      <c r="K161" s="34" t="str">
        <f t="shared" si="49"/>
        <v>4037/4038</v>
      </c>
      <c r="L161" s="34" t="str">
        <f>VLOOKUP(A161,'Trips&amp;Operators'!$C$1:$E$10000,3,FALSE)</f>
        <v>MAYBERRY</v>
      </c>
      <c r="M161" s="6">
        <f t="shared" si="50"/>
        <v>1.841435184906004E-2</v>
      </c>
      <c r="N161" s="7"/>
      <c r="O161" s="7"/>
      <c r="P161" s="7"/>
      <c r="Q161" s="35"/>
      <c r="R161" s="35"/>
      <c r="S161" s="54"/>
      <c r="T161" s="108"/>
      <c r="U161" s="108"/>
      <c r="V161" s="116" t="str">
        <f t="shared" si="47"/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1" s="116"/>
      <c r="X161" s="116"/>
      <c r="Y161" s="116"/>
      <c r="Z161" s="116"/>
      <c r="AA161" s="116"/>
      <c r="AB161" s="117"/>
      <c r="AC161" s="117"/>
      <c r="AD161" s="118" t="str">
        <f t="shared" si="48"/>
        <v>0803-06</v>
      </c>
      <c r="AE161" s="118" t="str">
        <f>"aws s3 cp "&amp;s3_bucket&amp;"/RTDC"&amp;B161&amp;"/"&amp;TEXT(F161,"YYYY-MM-DD")&amp;"/ "&amp;search_path&amp;"\RTDC"&amp;B161&amp;"\"&amp;TEXT(F161,"YYYY-MM-DD")&amp;" --recursive &amp; """&amp;walkandungz&amp;""" "&amp;search_path&amp;"\RTDC"&amp;B161&amp;"\"&amp;TEXT(F161,"YYYY-MM-DD")
&amp;" &amp; "&amp;"aws s3 cp "&amp;s3_bucket&amp;"/RTDC"&amp;B161&amp;"/"&amp;TEXT(F161+1,"YYYY-MM-DD")&amp;"/ "&amp;search_path&amp;"\RTDC"&amp;B161&amp;"\"&amp;TEXT(F161+1,"YYYY-MM-DD")&amp;" --recursive &amp; """&amp;walkandungz&amp;""" "&amp;search_path&amp;"\RTDC"&amp;B161&amp;"\"&amp;TEXT(F161+1,"YYYY-MM-DD")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1" s="118" t="str">
        <f>astrogrep_path&amp;" /spath="&amp;search_path&amp;" /stypes=""*"&amp;B161&amp;"*"&amp;TEXT(F161-utc_offset/24,"YYYYMMDD")&amp;"*"" /stext="" "&amp;TEXT(F161-utc_offset/24,"HH")&amp;search_regexp&amp;""" /e /r /s"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</row>
    <row r="162" spans="1:32" x14ac:dyDescent="0.25">
      <c r="A162" s="34" t="s">
        <v>523</v>
      </c>
      <c r="B162" s="34">
        <v>4037</v>
      </c>
      <c r="C162" s="34" t="s">
        <v>60</v>
      </c>
      <c r="D162" s="34" t="s">
        <v>315</v>
      </c>
      <c r="E162" s="20">
        <v>42557.276377314818</v>
      </c>
      <c r="F162" s="20">
        <v>42557.277314814812</v>
      </c>
      <c r="G162" s="20">
        <v>1</v>
      </c>
      <c r="H162" s="20" t="s">
        <v>232</v>
      </c>
      <c r="I162" s="20">
        <v>42557.289224537039</v>
      </c>
      <c r="J162" s="34">
        <v>0</v>
      </c>
      <c r="K162" s="34" t="str">
        <f t="shared" si="49"/>
        <v>4037/4038</v>
      </c>
      <c r="L162" s="34" t="str">
        <f>VLOOKUP(A162,'Trips&amp;Operators'!$C$1:$E$10000,3,FALSE)</f>
        <v>MAYBERRY</v>
      </c>
      <c r="M162" s="6">
        <f t="shared" si="50"/>
        <v>1.1909722226846498E-2</v>
      </c>
      <c r="N162" s="7"/>
      <c r="O162" s="7"/>
      <c r="P162" s="7"/>
      <c r="Q162" s="35"/>
      <c r="R162" s="35"/>
      <c r="S162" s="54"/>
      <c r="T162" s="108"/>
      <c r="U162" s="108"/>
      <c r="V162" s="116" t="str">
        <f t="shared" si="47"/>
        <v>https://search-rtdc-monitor-bjffxe2xuh6vdkpspy63sjmuny.us-east-1.es.amazonaws.com/_plugin/kibana/#/discover/Steve-Slow-Train-Analysis-(2080s-and-2083s)?_g=(refreshInterval:(display:Off,section:0,value:0),time:(from:'2016-07-06 06:36:59-0600',mode:absolute,to:'2016-07-06 06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2" s="116"/>
      <c r="X162" s="116"/>
      <c r="Y162" s="116"/>
      <c r="Z162" s="116"/>
      <c r="AA162" s="116"/>
      <c r="AB162" s="117"/>
      <c r="AC162" s="117"/>
      <c r="AD162" s="118" t="str">
        <f t="shared" si="48"/>
        <v>0804-06</v>
      </c>
      <c r="AE162" s="118" t="str">
        <f>"aws s3 cp "&amp;s3_bucket&amp;"/RTDC"&amp;B162&amp;"/"&amp;TEXT(F162,"YYYY-MM-DD")&amp;"/ "&amp;search_path&amp;"\RTDC"&amp;B162&amp;"\"&amp;TEXT(F162,"YYYY-MM-DD")&amp;" --recursive &amp; """&amp;walkandungz&amp;""" "&amp;search_path&amp;"\RTDC"&amp;B162&amp;"\"&amp;TEXT(F162,"YYYY-MM-DD")
&amp;" &amp; "&amp;"aws s3 cp "&amp;s3_bucket&amp;"/RTDC"&amp;B162&amp;"/"&amp;TEXT(F162+1,"YYYY-MM-DD")&amp;"/ "&amp;search_path&amp;"\RTDC"&amp;B162&amp;"\"&amp;TEXT(F162+1,"YYYY-MM-DD")&amp;" --recursive &amp; """&amp;walkandungz&amp;""" "&amp;search_path&amp;"\RTDC"&amp;B162&amp;"\"&amp;TEXT(F162+1,"YYYY-MM-DD")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62" s="118" t="str">
        <f>astrogrep_path&amp;" /spath="&amp;search_path&amp;" /stypes=""*"&amp;B162&amp;"*"&amp;TEXT(F162-utc_offset/24,"YYYYMMDD")&amp;"*"" /stext="" "&amp;TEXT(F162-utc_offset/24,"HH")&amp;search_regexp&amp;""" /e /r /s"</f>
        <v>"C:\Program Files (x86)\AstroGrep\AstroGrep.exe" /spath="C:\Users\stu\Documents\Analysis\2016-02-23 RTDC Observations" /stypes="*4037*20160706*" /stext=" 12:.+((prompt.+disp)|(slice.+state.+chan)|(ment ac)|(system.+state.+chan)|(\|lc)|(penalty)|(\[timeout))" /e /r /s</v>
      </c>
    </row>
    <row r="163" spans="1:32" x14ac:dyDescent="0.25">
      <c r="A163" s="34" t="s">
        <v>518</v>
      </c>
      <c r="B163" s="34">
        <v>4027</v>
      </c>
      <c r="C163" s="34" t="s">
        <v>60</v>
      </c>
      <c r="D163" s="34" t="s">
        <v>664</v>
      </c>
      <c r="E163" s="20">
        <v>42557.278437499997</v>
      </c>
      <c r="F163" s="20">
        <v>42557.279872685183</v>
      </c>
      <c r="G163" s="20">
        <v>2</v>
      </c>
      <c r="H163" s="20" t="s">
        <v>665</v>
      </c>
      <c r="I163" s="20">
        <v>42557.294548611113</v>
      </c>
      <c r="J163" s="34">
        <v>0</v>
      </c>
      <c r="K163" s="34" t="str">
        <f t="shared" si="49"/>
        <v>4027/4028</v>
      </c>
      <c r="L163" s="34" t="str">
        <f>VLOOKUP(A163,'Trips&amp;Operators'!$C$1:$E$10000,3,FALSE)</f>
        <v>STURGEON</v>
      </c>
      <c r="M163" s="6">
        <f t="shared" si="50"/>
        <v>1.467592592962319E-2</v>
      </c>
      <c r="N163" s="7"/>
      <c r="O163" s="7"/>
      <c r="P163" s="7"/>
      <c r="Q163" s="35"/>
      <c r="R163" s="35"/>
      <c r="S163" s="54"/>
      <c r="T163" s="108"/>
      <c r="U163" s="108"/>
      <c r="V163" s="116" t="str">
        <f t="shared" ref="V163:V191" si="51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https://search-rtdc-monitor-bjffxe2xuh6vdkpspy63sjmuny.us-east-1.es.amazonaws.com/_plugin/kibana/#/discover/Steve-Slow-Train-Analysis-(2080s-and-2083s)?_g=(refreshInterval:(display:Off,section:0,value:0),time:(from:'2016-07-06 06:39:57-0600',mode:absolute,to:'2016-07-06 07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3" s="116"/>
      <c r="X163" s="116"/>
      <c r="Y163" s="116"/>
      <c r="Z163" s="116"/>
      <c r="AA163" s="116"/>
      <c r="AB163" s="117"/>
      <c r="AC163" s="117"/>
      <c r="AD163" s="118" t="str">
        <f t="shared" si="48"/>
        <v>0805-06</v>
      </c>
      <c r="AE163" s="118" t="str">
        <f>"aws s3 cp "&amp;s3_bucket&amp;"/RTDC"&amp;B163&amp;"/"&amp;TEXT(F163,"YYYY-MM-DD")&amp;"/ "&amp;search_path&amp;"\RTDC"&amp;B163&amp;"\"&amp;TEXT(F163,"YYYY-MM-DD")&amp;" --recursive &amp; """&amp;walkandungz&amp;""" "&amp;search_path&amp;"\RTDC"&amp;B163&amp;"\"&amp;TEXT(F163,"YYYY-MM-DD")
&amp;" &amp; "&amp;"aws s3 cp "&amp;s3_bucket&amp;"/RTDC"&amp;B163&amp;"/"&amp;TEXT(F163+1,"YYYY-MM-DD")&amp;"/ "&amp;search_path&amp;"\RTDC"&amp;B163&amp;"\"&amp;TEXT(F163+1,"YYYY-MM-DD")&amp;" --recursive &amp; """&amp;walkandungz&amp;""" "&amp;search_path&amp;"\RTDC"&amp;B163&amp;"\"&amp;TEXT(F163+1,"YYYY-MM-DD")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63" s="118" t="str">
        <f>astrogrep_path&amp;" /spath="&amp;search_path&amp;" /stypes=""*"&amp;B163&amp;"*"&amp;TEXT(F163-utc_offset/24,"YYYYMMDD")&amp;"*"" /stext="" "&amp;TEXT(F163-utc_offset/24,"HH")&amp;search_regexp&amp;""" /e /r /s"</f>
        <v>"C:\Program Files (x86)\AstroGrep\AstroGrep.exe" /spath="C:\Users\stu\Documents\Analysis\2016-02-23 RTDC Observations" /stypes="*4027*20160706*" /stext=" 12:.+((prompt.+disp)|(slice.+state.+chan)|(ment ac)|(system.+state.+chan)|(\|lc)|(penalty)|(\[timeout))" /e /r /s</v>
      </c>
    </row>
    <row r="164" spans="1:32" x14ac:dyDescent="0.25">
      <c r="A164" s="34" t="s">
        <v>420</v>
      </c>
      <c r="B164" s="34">
        <v>4028</v>
      </c>
      <c r="C164" s="34" t="s">
        <v>60</v>
      </c>
      <c r="D164" s="34" t="s">
        <v>666</v>
      </c>
      <c r="E164" s="20">
        <v>42557.295960648145</v>
      </c>
      <c r="F164" s="20">
        <v>42557.296944444446</v>
      </c>
      <c r="G164" s="20">
        <v>1</v>
      </c>
      <c r="H164" s="20" t="s">
        <v>667</v>
      </c>
      <c r="I164" s="20">
        <v>42557.309305555558</v>
      </c>
      <c r="J164" s="34">
        <v>0</v>
      </c>
      <c r="K164" s="34" t="str">
        <f t="shared" si="49"/>
        <v>4027/4028</v>
      </c>
      <c r="L164" s="34" t="str">
        <f>VLOOKUP(A164,'Trips&amp;Operators'!$C$1:$E$10000,3,FALSE)</f>
        <v>STURGEON</v>
      </c>
      <c r="M164" s="6">
        <f t="shared" si="50"/>
        <v>1.2361111112113576E-2</v>
      </c>
      <c r="N164" s="7"/>
      <c r="O164" s="7"/>
      <c r="P164" s="7"/>
      <c r="Q164" s="35"/>
      <c r="R164" s="35"/>
      <c r="S164" s="54"/>
      <c r="T164" s="108"/>
      <c r="U164" s="108"/>
      <c r="V164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07:05:11-0600',mode:absolute,to:'2016-07-06 07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4" s="116"/>
      <c r="X164" s="116"/>
      <c r="Y164" s="116"/>
      <c r="Z164" s="116"/>
      <c r="AA164" s="116"/>
      <c r="AB164" s="117"/>
      <c r="AC164" s="117"/>
      <c r="AD164" s="118" t="str">
        <f t="shared" si="48"/>
        <v>0806-06</v>
      </c>
      <c r="AE164" s="118" t="str">
        <f>"aws s3 cp "&amp;s3_bucket&amp;"/RTDC"&amp;B164&amp;"/"&amp;TEXT(F164,"YYYY-MM-DD")&amp;"/ "&amp;search_path&amp;"\RTDC"&amp;B164&amp;"\"&amp;TEXT(F164,"YYYY-MM-DD")&amp;" --recursive &amp; """&amp;walkandungz&amp;""" "&amp;search_path&amp;"\RTDC"&amp;B164&amp;"\"&amp;TEXT(F164,"YYYY-MM-DD")
&amp;" &amp; "&amp;"aws s3 cp "&amp;s3_bucket&amp;"/RTDC"&amp;B164&amp;"/"&amp;TEXT(F164+1,"YYYY-MM-DD")&amp;"/ "&amp;search_path&amp;"\RTDC"&amp;B164&amp;"\"&amp;TEXT(F164+1,"YYYY-MM-DD")&amp;" --recursive &amp; """&amp;walkandungz&amp;""" "&amp;search_path&amp;"\RTDC"&amp;B164&amp;"\"&amp;TEXT(F164+1,"YYYY-MM-DD")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4" s="118" t="str">
        <f>astrogrep_path&amp;" /spath="&amp;search_path&amp;" /stypes=""*"&amp;B164&amp;"*"&amp;TEXT(F164-utc_offset/24,"YYYYMMDD")&amp;"*"" /stext="" "&amp;TEXT(F164-utc_offset/24,"HH")&amp;search_regexp&amp;""" /e /r /s"</f>
        <v>"C:\Program Files (x86)\AstroGrep\AstroGrep.exe" /spath="C:\Users\stu\Documents\Analysis\2016-02-23 RTDC Observations" /stypes="*4028*20160706*" /stext=" 13:.+((prompt.+disp)|(slice.+state.+chan)|(ment ac)|(system.+state.+chan)|(\|lc)|(penalty)|(\[timeout))" /e /r /s</v>
      </c>
    </row>
    <row r="165" spans="1:32" x14ac:dyDescent="0.25">
      <c r="A165" s="34" t="s">
        <v>332</v>
      </c>
      <c r="B165" s="34">
        <v>4038</v>
      </c>
      <c r="C165" s="34" t="s">
        <v>60</v>
      </c>
      <c r="D165" s="34" t="s">
        <v>668</v>
      </c>
      <c r="E165" s="20">
        <v>42557.290706018517</v>
      </c>
      <c r="F165" s="20">
        <v>42557.291851851849</v>
      </c>
      <c r="G165" s="20">
        <v>1</v>
      </c>
      <c r="H165" s="20" t="s">
        <v>669</v>
      </c>
      <c r="I165" s="20">
        <v>42557.315960648149</v>
      </c>
      <c r="J165" s="34">
        <v>2</v>
      </c>
      <c r="K165" s="34" t="str">
        <f t="shared" si="49"/>
        <v>4037/4038</v>
      </c>
      <c r="L165" s="34" t="str">
        <f>VLOOKUP(A165,'Trips&amp;Operators'!$C$1:$E$10000,3,FALSE)</f>
        <v>MAYBERRY</v>
      </c>
      <c r="M165" s="6">
        <f t="shared" si="50"/>
        <v>2.4108796300424729E-2</v>
      </c>
      <c r="N165" s="7"/>
      <c r="O165" s="7"/>
      <c r="P165" s="7"/>
      <c r="Q165" s="35"/>
      <c r="R165" s="35"/>
      <c r="S165" s="54"/>
      <c r="T165" s="108"/>
      <c r="U165" s="108"/>
      <c r="V165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5" s="116"/>
      <c r="X165" s="116"/>
      <c r="Y165" s="116"/>
      <c r="Z165" s="116"/>
      <c r="AA165" s="116"/>
      <c r="AB165" s="117"/>
      <c r="AC165" s="117"/>
      <c r="AD165" s="118" t="str">
        <f t="shared" si="48"/>
        <v>0807-06</v>
      </c>
      <c r="AE165" s="118" t="str">
        <f>"aws s3 cp "&amp;s3_bucket&amp;"/RTDC"&amp;B165&amp;"/"&amp;TEXT(F165,"YYYY-MM-DD")&amp;"/ "&amp;search_path&amp;"\RTDC"&amp;B165&amp;"\"&amp;TEXT(F165,"YYYY-MM-DD")&amp;" --recursive &amp; """&amp;walkandungz&amp;""" "&amp;search_path&amp;"\RTDC"&amp;B165&amp;"\"&amp;TEXT(F165,"YYYY-MM-DD")
&amp;" &amp; "&amp;"aws s3 cp "&amp;s3_bucket&amp;"/RTDC"&amp;B165&amp;"/"&amp;TEXT(F165+1,"YYYY-MM-DD")&amp;"/ "&amp;search_path&amp;"\RTDC"&amp;B165&amp;"\"&amp;TEXT(F165+1,"YYYY-MM-DD")&amp;" --recursive &amp; """&amp;walkandungz&amp;""" "&amp;search_path&amp;"\RTDC"&amp;B165&amp;"\"&amp;TEXT(F165+1,"YYYY-MM-DD")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5" s="118" t="str">
        <f>astrogrep_path&amp;" /spath="&amp;search_path&amp;" /stypes=""*"&amp;B165&amp;"*"&amp;TEXT(F165-utc_offset/24,"YYYYMMDD")&amp;"*"" /stext="" "&amp;TEXT(F165-utc_offset/24,"HH")&amp;search_regexp&amp;""" /e /r /s"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</row>
    <row r="166" spans="1:32" x14ac:dyDescent="0.25">
      <c r="A166" s="34" t="s">
        <v>514</v>
      </c>
      <c r="B166" s="34">
        <v>4037</v>
      </c>
      <c r="C166" s="34" t="s">
        <v>60</v>
      </c>
      <c r="D166" s="34" t="s">
        <v>670</v>
      </c>
      <c r="E166" s="20">
        <v>42557.316782407404</v>
      </c>
      <c r="F166" s="20">
        <v>42557.31753472222</v>
      </c>
      <c r="G166" s="20">
        <v>1</v>
      </c>
      <c r="H166" s="20" t="s">
        <v>671</v>
      </c>
      <c r="I166" s="20">
        <v>42557.330462962964</v>
      </c>
      <c r="J166" s="34">
        <v>0</v>
      </c>
      <c r="K166" s="34" t="str">
        <f t="shared" si="49"/>
        <v>4037/4038</v>
      </c>
      <c r="L166" s="34" t="str">
        <f>VLOOKUP(A166,'Trips&amp;Operators'!$C$1:$E$10000,3,FALSE)</f>
        <v>MAYBERRY</v>
      </c>
      <c r="M166" s="6">
        <f t="shared" si="50"/>
        <v>1.2928240743349306E-2</v>
      </c>
      <c r="N166" s="7"/>
      <c r="O166" s="7"/>
      <c r="P166" s="7"/>
      <c r="Q166" s="35"/>
      <c r="R166" s="35"/>
      <c r="S166" s="54"/>
      <c r="T166" s="108"/>
      <c r="U166" s="108"/>
      <c r="V166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07:35:10-0600',mode:absolute,to:'2016-07-06 07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6" s="116"/>
      <c r="X166" s="116"/>
      <c r="Y166" s="116"/>
      <c r="Z166" s="116"/>
      <c r="AA166" s="116"/>
      <c r="AB166" s="117"/>
      <c r="AC166" s="117"/>
      <c r="AD166" s="118" t="str">
        <f t="shared" si="48"/>
        <v>0808-06</v>
      </c>
      <c r="AE166" s="118" t="str">
        <f>"aws s3 cp "&amp;s3_bucket&amp;"/RTDC"&amp;B166&amp;"/"&amp;TEXT(F166,"YYYY-MM-DD")&amp;"/ "&amp;search_path&amp;"\RTDC"&amp;B166&amp;"\"&amp;TEXT(F166,"YYYY-MM-DD")&amp;" --recursive &amp; """&amp;walkandungz&amp;""" "&amp;search_path&amp;"\RTDC"&amp;B166&amp;"\"&amp;TEXT(F166,"YYYY-MM-DD")
&amp;" &amp; "&amp;"aws s3 cp "&amp;s3_bucket&amp;"/RTDC"&amp;B166&amp;"/"&amp;TEXT(F166+1,"YYYY-MM-DD")&amp;"/ "&amp;search_path&amp;"\RTDC"&amp;B166&amp;"\"&amp;TEXT(F166+1,"YYYY-MM-DD")&amp;" --recursive &amp; """&amp;walkandungz&amp;""" "&amp;search_path&amp;"\RTDC"&amp;B166&amp;"\"&amp;TEXT(F166+1,"YYYY-MM-DD")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66" s="118" t="str">
        <f>astrogrep_path&amp;" /spath="&amp;search_path&amp;" /stypes=""*"&amp;B166&amp;"*"&amp;TEXT(F166-utc_offset/24,"YYYYMMDD")&amp;"*"" /stext="" "&amp;TEXT(F166-utc_offset/24,"HH")&amp;search_regexp&amp;""" /e /r /s"</f>
        <v>"C:\Program Files (x86)\AstroGrep\AstroGrep.exe" /spath="C:\Users\stu\Documents\Analysis\2016-02-23 RTDC Observations" /stypes="*4037*20160706*" /stext=" 13:.+((prompt.+disp)|(slice.+state.+chan)|(ment ac)|(system.+state.+chan)|(\|lc)|(penalty)|(\[timeout))" /e /r /s</v>
      </c>
    </row>
    <row r="167" spans="1:32" x14ac:dyDescent="0.25">
      <c r="A167" s="34" t="s">
        <v>335</v>
      </c>
      <c r="B167" s="34">
        <v>4027</v>
      </c>
      <c r="C167" s="34" t="s">
        <v>60</v>
      </c>
      <c r="D167" s="34" t="s">
        <v>672</v>
      </c>
      <c r="E167" s="20">
        <v>42557.321087962962</v>
      </c>
      <c r="F167" s="20">
        <v>42557.32230324074</v>
      </c>
      <c r="G167" s="20">
        <v>1</v>
      </c>
      <c r="H167" s="20" t="s">
        <v>673</v>
      </c>
      <c r="I167" s="20">
        <v>42557.33666666667</v>
      </c>
      <c r="J167" s="34">
        <v>1</v>
      </c>
      <c r="K167" s="34" t="str">
        <f t="shared" si="49"/>
        <v>4027/4028</v>
      </c>
      <c r="L167" s="34" t="str">
        <f>VLOOKUP(A167,'Trips&amp;Operators'!$C$1:$E$10000,3,FALSE)</f>
        <v>STURGEON</v>
      </c>
      <c r="M167" s="6">
        <f t="shared" si="50"/>
        <v>1.4363425929332152E-2</v>
      </c>
      <c r="N167" s="7"/>
      <c r="O167" s="7"/>
      <c r="P167" s="7"/>
      <c r="Q167" s="35"/>
      <c r="R167" s="35"/>
      <c r="S167" s="54"/>
      <c r="T167" s="108"/>
      <c r="U167" s="108"/>
      <c r="V167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07:41:22-0600',mode:absolute,to:'2016-07-06 08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7" s="116"/>
      <c r="X167" s="116"/>
      <c r="Y167" s="116"/>
      <c r="Z167" s="116"/>
      <c r="AA167" s="116"/>
      <c r="AB167" s="117"/>
      <c r="AC167" s="117"/>
      <c r="AD167" s="118" t="str">
        <f t="shared" si="48"/>
        <v>0809-06</v>
      </c>
      <c r="AE167" s="118" t="str">
        <f>"aws s3 cp "&amp;s3_bucket&amp;"/RTDC"&amp;B167&amp;"/"&amp;TEXT(F167,"YYYY-MM-DD")&amp;"/ "&amp;search_path&amp;"\RTDC"&amp;B167&amp;"\"&amp;TEXT(F167,"YYYY-MM-DD")&amp;" --recursive &amp; """&amp;walkandungz&amp;""" "&amp;search_path&amp;"\RTDC"&amp;B167&amp;"\"&amp;TEXT(F167,"YYYY-MM-DD")
&amp;" &amp; "&amp;"aws s3 cp "&amp;s3_bucket&amp;"/RTDC"&amp;B167&amp;"/"&amp;TEXT(F167+1,"YYYY-MM-DD")&amp;"/ "&amp;search_path&amp;"\RTDC"&amp;B167&amp;"\"&amp;TEXT(F167+1,"YYYY-MM-DD")&amp;" --recursive &amp; """&amp;walkandungz&amp;""" "&amp;search_path&amp;"\RTDC"&amp;B167&amp;"\"&amp;TEXT(F167+1,"YYYY-MM-DD")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67" s="118" t="str">
        <f>astrogrep_path&amp;" /spath="&amp;search_path&amp;" /stypes=""*"&amp;B167&amp;"*"&amp;TEXT(F167-utc_offset/24,"YYYYMMDD")&amp;"*"" /stext="" "&amp;TEXT(F167-utc_offset/24,"HH")&amp;search_regexp&amp;""" /e /r /s"</f>
        <v>"C:\Program Files (x86)\AstroGrep\AstroGrep.exe" /spath="C:\Users\stu\Documents\Analysis\2016-02-23 RTDC Observations" /stypes="*4027*20160706*" /stext=" 13:.+((prompt.+disp)|(slice.+state.+chan)|(ment ac)|(system.+state.+chan)|(\|lc)|(penalty)|(\[timeout))" /e /r /s</v>
      </c>
    </row>
    <row r="168" spans="1:32" x14ac:dyDescent="0.25">
      <c r="A168" s="34" t="s">
        <v>495</v>
      </c>
      <c r="B168" s="34">
        <v>4028</v>
      </c>
      <c r="C168" s="34" t="s">
        <v>60</v>
      </c>
      <c r="D168" s="34" t="s">
        <v>674</v>
      </c>
      <c r="E168" s="20">
        <v>42557.338020833333</v>
      </c>
      <c r="F168" s="20">
        <v>42557.338750000003</v>
      </c>
      <c r="G168" s="20">
        <v>1</v>
      </c>
      <c r="H168" s="20" t="s">
        <v>675</v>
      </c>
      <c r="I168" s="20">
        <v>42557.350902777776</v>
      </c>
      <c r="J168" s="34">
        <v>0</v>
      </c>
      <c r="K168" s="34" t="str">
        <f t="shared" si="49"/>
        <v>4027/4028</v>
      </c>
      <c r="L168" s="34" t="str">
        <f>VLOOKUP(A168,'Trips&amp;Operators'!$C$1:$E$10000,3,FALSE)</f>
        <v>STURGEON</v>
      </c>
      <c r="M168" s="6">
        <f t="shared" si="50"/>
        <v>1.2152777773735579E-2</v>
      </c>
      <c r="N168" s="7"/>
      <c r="O168" s="7"/>
      <c r="P168" s="7"/>
      <c r="Q168" s="35"/>
      <c r="R168" s="35"/>
      <c r="S168" s="54"/>
      <c r="T168" s="108"/>
      <c r="U168" s="108"/>
      <c r="V168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08:05:45-0600',mode:absolute,to:'2016-07-06 08:26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8" s="116"/>
      <c r="X168" s="116"/>
      <c r="Y168" s="116"/>
      <c r="Z168" s="116"/>
      <c r="AA168" s="116"/>
      <c r="AB168" s="117"/>
      <c r="AC168" s="117"/>
      <c r="AD168" s="118" t="str">
        <f t="shared" si="48"/>
        <v>0810-06</v>
      </c>
      <c r="AE168" s="118" t="str">
        <f>"aws s3 cp "&amp;s3_bucket&amp;"/RTDC"&amp;B168&amp;"/"&amp;TEXT(F168,"YYYY-MM-DD")&amp;"/ "&amp;search_path&amp;"\RTDC"&amp;B168&amp;"\"&amp;TEXT(F168,"YYYY-MM-DD")&amp;" --recursive &amp; """&amp;walkandungz&amp;""" "&amp;search_path&amp;"\RTDC"&amp;B168&amp;"\"&amp;TEXT(F168,"YYYY-MM-DD")
&amp;" &amp; "&amp;"aws s3 cp "&amp;s3_bucket&amp;"/RTDC"&amp;B168&amp;"/"&amp;TEXT(F168+1,"YYYY-MM-DD")&amp;"/ "&amp;search_path&amp;"\RTDC"&amp;B168&amp;"\"&amp;TEXT(F168+1,"YYYY-MM-DD")&amp;" --recursive &amp; """&amp;walkandungz&amp;""" "&amp;search_path&amp;"\RTDC"&amp;B168&amp;"\"&amp;TEXT(F168+1,"YYYY-MM-DD")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8" s="118" t="str">
        <f>astrogrep_path&amp;" /spath="&amp;search_path&amp;" /stypes=""*"&amp;B168&amp;"*"&amp;TEXT(F168-utc_offset/24,"YYYYMMDD")&amp;"*"" /stext="" "&amp;TEXT(F168-utc_offset/24,"HH")&amp;search_regexp&amp;""" /e /r /s"</f>
        <v>"C:\Program Files (x86)\AstroGrep\AstroGrep.exe" /spath="C:\Users\stu\Documents\Analysis\2016-02-23 RTDC Observations" /stypes="*4028*20160706*" /stext=" 14:.+((prompt.+disp)|(slice.+state.+chan)|(ment ac)|(system.+state.+chan)|(\|lc)|(penalty)|(\[timeout))" /e /r /s</v>
      </c>
    </row>
    <row r="169" spans="1:32" x14ac:dyDescent="0.25">
      <c r="A169" s="34" t="s">
        <v>337</v>
      </c>
      <c r="B169" s="34">
        <v>4038</v>
      </c>
      <c r="C169" s="34" t="s">
        <v>60</v>
      </c>
      <c r="D169" s="34" t="s">
        <v>668</v>
      </c>
      <c r="E169" s="20">
        <v>42557.331180555557</v>
      </c>
      <c r="F169" s="20">
        <v>42557.332303240742</v>
      </c>
      <c r="G169" s="20">
        <v>1</v>
      </c>
      <c r="H169" s="20" t="s">
        <v>676</v>
      </c>
      <c r="I169" s="20">
        <v>42557.357662037037</v>
      </c>
      <c r="J169" s="34">
        <v>2</v>
      </c>
      <c r="K169" s="34" t="str">
        <f t="shared" si="49"/>
        <v>4037/4038</v>
      </c>
      <c r="L169" s="34" t="str">
        <f>VLOOKUP(A169,'Trips&amp;Operators'!$C$1:$E$10000,3,FALSE)</f>
        <v>MAYBERRY</v>
      </c>
      <c r="M169" s="6">
        <f t="shared" si="50"/>
        <v>2.5358796294312924E-2</v>
      </c>
      <c r="N169" s="7"/>
      <c r="O169" s="7"/>
      <c r="P169" s="7"/>
      <c r="Q169" s="35"/>
      <c r="R169" s="35"/>
      <c r="S169" s="54"/>
      <c r="T169" s="108"/>
      <c r="U169" s="108"/>
      <c r="V169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9" s="116"/>
      <c r="X169" s="116"/>
      <c r="Y169" s="116"/>
      <c r="Z169" s="116"/>
      <c r="AA169" s="116"/>
      <c r="AB169" s="117"/>
      <c r="AC169" s="117"/>
      <c r="AD169" s="118" t="str">
        <f t="shared" si="48"/>
        <v>0811-06</v>
      </c>
      <c r="AE169" s="118" t="str">
        <f>"aws s3 cp "&amp;s3_bucket&amp;"/RTDC"&amp;B169&amp;"/"&amp;TEXT(F169,"YYYY-MM-DD")&amp;"/ "&amp;search_path&amp;"\RTDC"&amp;B169&amp;"\"&amp;TEXT(F169,"YYYY-MM-DD")&amp;" --recursive &amp; """&amp;walkandungz&amp;""" "&amp;search_path&amp;"\RTDC"&amp;B169&amp;"\"&amp;TEXT(F169,"YYYY-MM-DD")
&amp;" &amp; "&amp;"aws s3 cp "&amp;s3_bucket&amp;"/RTDC"&amp;B169&amp;"/"&amp;TEXT(F169+1,"YYYY-MM-DD")&amp;"/ "&amp;search_path&amp;"\RTDC"&amp;B169&amp;"\"&amp;TEXT(F169+1,"YYYY-MM-DD")&amp;" --recursive &amp; """&amp;walkandungz&amp;""" "&amp;search_path&amp;"\RTDC"&amp;B169&amp;"\"&amp;TEXT(F169+1,"YYYY-MM-DD")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9" s="118" t="str">
        <f>astrogrep_path&amp;" /spath="&amp;search_path&amp;" /stypes=""*"&amp;B169&amp;"*"&amp;TEXT(F169-utc_offset/24,"YYYYMMDD")&amp;"*"" /stext="" "&amp;TEXT(F169-utc_offset/24,"HH")&amp;search_regexp&amp;""" /e /r /s"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</row>
    <row r="170" spans="1:32" x14ac:dyDescent="0.25">
      <c r="A170" s="34" t="s">
        <v>338</v>
      </c>
      <c r="B170" s="34">
        <v>4037</v>
      </c>
      <c r="C170" s="34" t="s">
        <v>60</v>
      </c>
      <c r="D170" s="34" t="s">
        <v>677</v>
      </c>
      <c r="E170" s="20">
        <v>42557.359131944446</v>
      </c>
      <c r="F170" s="20">
        <v>42557.360127314816</v>
      </c>
      <c r="G170" s="20">
        <v>1</v>
      </c>
      <c r="H170" s="20" t="s">
        <v>678</v>
      </c>
      <c r="I170" s="20">
        <v>42557.37226851852</v>
      </c>
      <c r="J170" s="34">
        <v>1</v>
      </c>
      <c r="K170" s="34" t="str">
        <f t="shared" si="49"/>
        <v>4037/4038</v>
      </c>
      <c r="L170" s="34" t="str">
        <f>VLOOKUP(A170,'Trips&amp;Operators'!$C$1:$E$10000,3,FALSE)</f>
        <v>MAYBERRY</v>
      </c>
      <c r="M170" s="6">
        <f t="shared" si="50"/>
        <v>1.2141203704231884E-2</v>
      </c>
      <c r="N170" s="7"/>
      <c r="O170" s="7"/>
      <c r="P170" s="7"/>
      <c r="Q170" s="35"/>
      <c r="R170" s="35"/>
      <c r="S170" s="54"/>
      <c r="T170" s="108"/>
      <c r="U170" s="108"/>
      <c r="V170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08:36:09-0600',mode:absolute,to:'2016-07-06 08:57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0" s="116"/>
      <c r="X170" s="116"/>
      <c r="Y170" s="116"/>
      <c r="Z170" s="116"/>
      <c r="AA170" s="116"/>
      <c r="AB170" s="117"/>
      <c r="AC170" s="117"/>
      <c r="AD170" s="118" t="str">
        <f t="shared" si="48"/>
        <v>0812-06</v>
      </c>
      <c r="AE170" s="118" t="str">
        <f>"aws s3 cp "&amp;s3_bucket&amp;"/RTDC"&amp;B170&amp;"/"&amp;TEXT(F170,"YYYY-MM-DD")&amp;"/ "&amp;search_path&amp;"\RTDC"&amp;B170&amp;"\"&amp;TEXT(F170,"YYYY-MM-DD")&amp;" --recursive &amp; """&amp;walkandungz&amp;""" "&amp;search_path&amp;"\RTDC"&amp;B170&amp;"\"&amp;TEXT(F170,"YYYY-MM-DD")
&amp;" &amp; "&amp;"aws s3 cp "&amp;s3_bucket&amp;"/RTDC"&amp;B170&amp;"/"&amp;TEXT(F170+1,"YYYY-MM-DD")&amp;"/ "&amp;search_path&amp;"\RTDC"&amp;B170&amp;"\"&amp;TEXT(F170+1,"YYYY-MM-DD")&amp;" --recursive &amp; """&amp;walkandungz&amp;""" "&amp;search_path&amp;"\RTDC"&amp;B170&amp;"\"&amp;TEXT(F170+1,"YYYY-MM-DD")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0" s="118" t="str">
        <f>astrogrep_path&amp;" /spath="&amp;search_path&amp;" /stypes=""*"&amp;B170&amp;"*"&amp;TEXT(F170-utc_offset/24,"YYYYMMDD")&amp;"*"" /stext="" "&amp;TEXT(F170-utc_offset/24,"HH")&amp;search_regexp&amp;""" /e /r /s"</f>
        <v>"C:\Program Files (x86)\AstroGrep\AstroGrep.exe" /spath="C:\Users\stu\Documents\Analysis\2016-02-23 RTDC Observations" /stypes="*4037*20160706*" /stext=" 14:.+((prompt.+disp)|(slice.+state.+chan)|(ment ac)|(system.+state.+chan)|(\|lc)|(penalty)|(\[timeout))" /e /r /s</v>
      </c>
    </row>
    <row r="171" spans="1:32" x14ac:dyDescent="0.25">
      <c r="A171" s="34" t="s">
        <v>342</v>
      </c>
      <c r="B171" s="64">
        <v>4038</v>
      </c>
      <c r="C171" s="64" t="s">
        <v>60</v>
      </c>
      <c r="D171" s="64" t="s">
        <v>679</v>
      </c>
      <c r="E171" s="70">
        <v>42557.372870370367</v>
      </c>
      <c r="F171" s="70">
        <v>42557.374652777777</v>
      </c>
      <c r="G171" s="71">
        <v>2</v>
      </c>
      <c r="H171" s="70" t="s">
        <v>308</v>
      </c>
      <c r="I171" s="70">
        <v>42557.399421296293</v>
      </c>
      <c r="J171" s="64">
        <v>2</v>
      </c>
      <c r="K171" s="34" t="str">
        <f t="shared" si="49"/>
        <v>4037/4038</v>
      </c>
      <c r="L171" s="34" t="str">
        <f>VLOOKUP(A171,'Trips&amp;Operators'!$C$1:$E$10000,3,FALSE)</f>
        <v>MAYBERRY</v>
      </c>
      <c r="M171" s="6">
        <f t="shared" si="50"/>
        <v>2.4768518516793847E-2</v>
      </c>
      <c r="N171" s="7"/>
      <c r="O171" s="7"/>
      <c r="P171" s="7"/>
      <c r="Q171" s="35"/>
      <c r="R171" s="35"/>
      <c r="S171" s="54"/>
      <c r="T171" s="108"/>
      <c r="U171" s="108"/>
      <c r="V171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1" s="116"/>
      <c r="X171" s="116"/>
      <c r="Y171" s="116"/>
      <c r="Z171" s="116"/>
      <c r="AA171" s="116"/>
      <c r="AB171" s="117"/>
      <c r="AC171" s="117"/>
      <c r="AD171" s="118" t="str">
        <f t="shared" si="48"/>
        <v>0813-06</v>
      </c>
      <c r="AE171" s="118" t="str">
        <f>"aws s3 cp "&amp;s3_bucket&amp;"/RTDC"&amp;B171&amp;"/"&amp;TEXT(F171,"YYYY-MM-DD")&amp;"/ "&amp;search_path&amp;"\RTDC"&amp;B171&amp;"\"&amp;TEXT(F171,"YYYY-MM-DD")&amp;" --recursive &amp; """&amp;walkandungz&amp;""" "&amp;search_path&amp;"\RTDC"&amp;B171&amp;"\"&amp;TEXT(F171,"YYYY-MM-DD")
&amp;" &amp; "&amp;"aws s3 cp "&amp;s3_bucket&amp;"/RTDC"&amp;B171&amp;"/"&amp;TEXT(F171+1,"YYYY-MM-DD")&amp;"/ "&amp;search_path&amp;"\RTDC"&amp;B171&amp;"\"&amp;TEXT(F171+1,"YYYY-MM-DD")&amp;" --recursive &amp; """&amp;walkandungz&amp;""" "&amp;search_path&amp;"\RTDC"&amp;B171&amp;"\"&amp;TEXT(F171+1,"YYYY-MM-DD")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1" s="118" t="str">
        <f>astrogrep_path&amp;" /spath="&amp;search_path&amp;" /stypes=""*"&amp;B171&amp;"*"&amp;TEXT(F171-utc_offset/24,"YYYYMMDD")&amp;"*"" /stext="" "&amp;TEXT(F171-utc_offset/24,"HH")&amp;search_regexp&amp;""" /e /r /s"</f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</row>
    <row r="172" spans="1:32" x14ac:dyDescent="0.25">
      <c r="A172" s="62" t="s">
        <v>432</v>
      </c>
      <c r="B172" s="34">
        <v>4037</v>
      </c>
      <c r="C172" s="34" t="s">
        <v>60</v>
      </c>
      <c r="D172" s="34" t="s">
        <v>680</v>
      </c>
      <c r="E172" s="20">
        <v>42557.40011574074</v>
      </c>
      <c r="F172" s="20">
        <v>42557.400856481479</v>
      </c>
      <c r="G172" s="20">
        <v>1</v>
      </c>
      <c r="H172" s="20" t="s">
        <v>681</v>
      </c>
      <c r="I172" s="20">
        <v>42557.412268518521</v>
      </c>
      <c r="J172" s="34">
        <v>0</v>
      </c>
      <c r="K172" s="34" t="str">
        <f t="shared" si="49"/>
        <v>4037/4038</v>
      </c>
      <c r="L172" s="34" t="str">
        <f>VLOOKUP(A172,'Trips&amp;Operators'!$C$1:$E$10000,3,FALSE)</f>
        <v>MAYBERRY</v>
      </c>
      <c r="M172" s="6">
        <f t="shared" si="50"/>
        <v>1.1412037041736767E-2</v>
      </c>
      <c r="N172" s="7"/>
      <c r="O172" s="7"/>
      <c r="P172" s="7"/>
      <c r="Q172" s="35"/>
      <c r="R172" s="35"/>
      <c r="S172" s="54"/>
      <c r="T172" s="108"/>
      <c r="U172" s="108"/>
      <c r="V172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09:35:10-0600',mode:absolute,to:'2016-07-06 09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2" s="116"/>
      <c r="X172" s="116"/>
      <c r="Y172" s="116"/>
      <c r="Z172" s="116"/>
      <c r="AA172" s="116"/>
      <c r="AB172" s="117"/>
      <c r="AC172" s="117"/>
      <c r="AD172" s="118" t="str">
        <f t="shared" si="48"/>
        <v>0814-06</v>
      </c>
      <c r="AE172" s="118" t="str">
        <f>"aws s3 cp "&amp;s3_bucket&amp;"/RTDC"&amp;B172&amp;"/"&amp;TEXT(F172,"YYYY-MM-DD")&amp;"/ "&amp;search_path&amp;"\RTDC"&amp;B172&amp;"\"&amp;TEXT(F172,"YYYY-MM-DD")&amp;" --recursive &amp; """&amp;walkandungz&amp;""" "&amp;search_path&amp;"\RTDC"&amp;B172&amp;"\"&amp;TEXT(F172,"YYYY-MM-DD")
&amp;" &amp; "&amp;"aws s3 cp "&amp;s3_bucket&amp;"/RTDC"&amp;B172&amp;"/"&amp;TEXT(F172+1,"YYYY-MM-DD")&amp;"/ "&amp;search_path&amp;"\RTDC"&amp;B172&amp;"\"&amp;TEXT(F172+1,"YYYY-MM-DD")&amp;" --recursive &amp; """&amp;walkandungz&amp;""" "&amp;search_path&amp;"\RTDC"&amp;B172&amp;"\"&amp;TEXT(F172+1,"YYYY-MM-DD")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2" s="118" t="str">
        <f>astrogrep_path&amp;" /spath="&amp;search_path&amp;" /stypes=""*"&amp;B172&amp;"*"&amp;TEXT(F172-utc_offset/24,"YYYYMMDD")&amp;"*"" /stext="" "&amp;TEXT(F172-utc_offset/24,"HH")&amp;search_regexp&amp;""" /e /r /s"</f>
        <v>"C:\Program Files (x86)\AstroGrep\AstroGrep.exe" /spath="C:\Users\stu\Documents\Analysis\2016-02-23 RTDC Observations" /stypes="*4037*20160706*" /stext=" 15:.+((prompt.+disp)|(slice.+state.+chan)|(ment ac)|(system.+state.+chan)|(\|lc)|(penalty)|(\[timeout))" /e /r /s</v>
      </c>
    </row>
    <row r="173" spans="1:32" x14ac:dyDescent="0.25">
      <c r="A173" s="34" t="s">
        <v>344</v>
      </c>
      <c r="B173" s="64">
        <v>4038</v>
      </c>
      <c r="C173" s="64" t="s">
        <v>60</v>
      </c>
      <c r="D173" s="64" t="s">
        <v>682</v>
      </c>
      <c r="E173" s="70">
        <v>42557.412905092591</v>
      </c>
      <c r="F173" s="70">
        <v>42557.413946759261</v>
      </c>
      <c r="G173" s="71">
        <v>1</v>
      </c>
      <c r="H173" s="70" t="s">
        <v>683</v>
      </c>
      <c r="I173" s="70">
        <v>42557.440763888888</v>
      </c>
      <c r="J173" s="64">
        <v>2</v>
      </c>
      <c r="K173" s="34" t="str">
        <f t="shared" si="49"/>
        <v>4037/4038</v>
      </c>
      <c r="L173" s="34" t="str">
        <f>VLOOKUP(A173,'Trips&amp;Operators'!$C$1:$E$10000,3,FALSE)</f>
        <v>MAYBERRY</v>
      </c>
      <c r="M173" s="6">
        <f t="shared" si="50"/>
        <v>2.6817129626579117E-2</v>
      </c>
      <c r="N173" s="7"/>
      <c r="O173" s="7"/>
      <c r="P173" s="7"/>
      <c r="Q173" s="35"/>
      <c r="R173" s="35"/>
      <c r="S173" s="54"/>
      <c r="T173" s="108"/>
      <c r="U173" s="108"/>
      <c r="V173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3" s="116"/>
      <c r="X173" s="116"/>
      <c r="Y173" s="116"/>
      <c r="Z173" s="116"/>
      <c r="AA173" s="116"/>
      <c r="AB173" s="117"/>
      <c r="AC173" s="117"/>
      <c r="AD173" s="118" t="str">
        <f t="shared" si="48"/>
        <v>0815-06</v>
      </c>
      <c r="AE173" s="118" t="str">
        <f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3" s="118" t="str">
        <f>astrogrep_path&amp;" /spath="&amp;search_path&amp;" /stypes=""*"&amp;B173&amp;"*"&amp;TEXT(F173-utc_offset/24,"YYYYMMDD")&amp;"*"" /stext="" "&amp;TEXT(F173-utc_offset/24,"HH")&amp;search_regexp&amp;""" /e /r /s"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</row>
    <row r="174" spans="1:32" x14ac:dyDescent="0.25">
      <c r="A174" s="34" t="s">
        <v>431</v>
      </c>
      <c r="B174" s="64">
        <v>4037</v>
      </c>
      <c r="C174" s="64" t="s">
        <v>60</v>
      </c>
      <c r="D174" s="64" t="s">
        <v>684</v>
      </c>
      <c r="E174" s="70">
        <v>42557.441874999997</v>
      </c>
      <c r="F174" s="70">
        <v>42557.442754629628</v>
      </c>
      <c r="G174" s="71">
        <v>1</v>
      </c>
      <c r="H174" s="70" t="s">
        <v>685</v>
      </c>
      <c r="I174" s="70">
        <v>42557.45380787037</v>
      </c>
      <c r="J174" s="64">
        <v>0</v>
      </c>
      <c r="K174" s="34" t="str">
        <f t="shared" si="49"/>
        <v>4037/4038</v>
      </c>
      <c r="L174" s="34" t="str">
        <f>VLOOKUP(A174,'Trips&amp;Operators'!$C$1:$E$10000,3,FALSE)</f>
        <v>MAYBERRY</v>
      </c>
      <c r="M174" s="6">
        <f t="shared" si="50"/>
        <v>1.1053240741603076E-2</v>
      </c>
      <c r="N174" s="7"/>
      <c r="O174" s="7"/>
      <c r="P174" s="7"/>
      <c r="Q174" s="35"/>
      <c r="R174" s="35"/>
      <c r="S174" s="54"/>
      <c r="T174" s="108"/>
      <c r="U174" s="108"/>
      <c r="V174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10:35:18-0600',mode:absolute,to:'2016-07-06 10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4" s="116"/>
      <c r="X174" s="116"/>
      <c r="Y174" s="116"/>
      <c r="Z174" s="116"/>
      <c r="AA174" s="116"/>
      <c r="AB174" s="117"/>
      <c r="AC174" s="117"/>
      <c r="AD174" s="118" t="str">
        <f t="shared" si="48"/>
        <v>0816-06</v>
      </c>
      <c r="AE174" s="118" t="str">
        <f>"aws s3 cp "&amp;s3_bucket&amp;"/RTDC"&amp;B174&amp;"/"&amp;TEXT(F174,"YYYY-MM-DD")&amp;"/ "&amp;search_path&amp;"\RTDC"&amp;B174&amp;"\"&amp;TEXT(F174,"YYYY-MM-DD")&amp;" --recursive &amp; """&amp;walkandungz&amp;""" "&amp;search_path&amp;"\RTDC"&amp;B174&amp;"\"&amp;TEXT(F174,"YYYY-MM-DD")
&amp;" &amp; "&amp;"aws s3 cp "&amp;s3_bucket&amp;"/RTDC"&amp;B174&amp;"/"&amp;TEXT(F174+1,"YYYY-MM-DD")&amp;"/ "&amp;search_path&amp;"\RTDC"&amp;B174&amp;"\"&amp;TEXT(F174+1,"YYYY-MM-DD")&amp;" --recursive &amp; """&amp;walkandungz&amp;""" "&amp;search_path&amp;"\RTDC"&amp;B174&amp;"\"&amp;TEXT(F174+1,"YYYY-MM-DD")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4" s="118" t="str">
        <f>astrogrep_path&amp;" /spath="&amp;search_path&amp;" /stypes=""*"&amp;B174&amp;"*"&amp;TEXT(F174-utc_offset/24,"YYYYMMDD")&amp;"*"" /stext="" "&amp;TEXT(F174-utc_offset/24,"HH")&amp;search_regexp&amp;""" /e /r /s"</f>
        <v>"C:\Program Files (x86)\AstroGrep\AstroGrep.exe" /spath="C:\Users\stu\Documents\Analysis\2016-02-23 RTDC Observations" /stypes="*4037*20160706*" /stext=" 16:.+((prompt.+disp)|(slice.+state.+chan)|(ment ac)|(system.+state.+chan)|(\|lc)|(penalty)|(\[timeout))" /e /r /s</v>
      </c>
    </row>
    <row r="175" spans="1:32" x14ac:dyDescent="0.25">
      <c r="A175" s="34" t="s">
        <v>348</v>
      </c>
      <c r="B175" s="64">
        <v>4038</v>
      </c>
      <c r="C175" s="64" t="s">
        <v>60</v>
      </c>
      <c r="D175" s="64" t="s">
        <v>686</v>
      </c>
      <c r="E175" s="70">
        <v>42557.454479166663</v>
      </c>
      <c r="F175" s="70">
        <v>42557.455289351848</v>
      </c>
      <c r="G175" s="71">
        <v>1</v>
      </c>
      <c r="H175" s="70" t="s">
        <v>687</v>
      </c>
      <c r="I175" s="70">
        <v>42557.482314814813</v>
      </c>
      <c r="J175" s="64">
        <v>1</v>
      </c>
      <c r="K175" s="34" t="str">
        <f t="shared" si="49"/>
        <v>4037/4038</v>
      </c>
      <c r="L175" s="34" t="str">
        <f>VLOOKUP(A175,'Trips&amp;Operators'!$C$1:$E$10000,3,FALSE)</f>
        <v>MAYBERRY</v>
      </c>
      <c r="M175" s="6">
        <f t="shared" si="50"/>
        <v>2.7025462964957114E-2</v>
      </c>
      <c r="N175" s="7"/>
      <c r="O175" s="7"/>
      <c r="P175" s="7"/>
      <c r="Q175" s="35"/>
      <c r="R175" s="35"/>
      <c r="S175" s="54"/>
      <c r="T175" s="108"/>
      <c r="U175" s="108"/>
      <c r="V175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10:53:27-0600',mode:absolute,to:'2016-07-06 11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5" s="116"/>
      <c r="X175" s="116"/>
      <c r="Y175" s="116"/>
      <c r="Z175" s="116"/>
      <c r="AA175" s="116"/>
      <c r="AB175" s="117"/>
      <c r="AC175" s="117"/>
      <c r="AD175" s="118" t="str">
        <f t="shared" si="48"/>
        <v>0817-06</v>
      </c>
      <c r="AE175" s="118" t="str">
        <f>"aws s3 cp "&amp;s3_bucket&amp;"/RTDC"&amp;B175&amp;"/"&amp;TEXT(F175,"YYYY-MM-DD")&amp;"/ "&amp;search_path&amp;"\RTDC"&amp;B175&amp;"\"&amp;TEXT(F175,"YYYY-MM-DD")&amp;" --recursive &amp; """&amp;walkandungz&amp;""" "&amp;search_path&amp;"\RTDC"&amp;B175&amp;"\"&amp;TEXT(F175,"YYYY-MM-DD")
&amp;" &amp; "&amp;"aws s3 cp "&amp;s3_bucket&amp;"/RTDC"&amp;B175&amp;"/"&amp;TEXT(F175+1,"YYYY-MM-DD")&amp;"/ "&amp;search_path&amp;"\RTDC"&amp;B175&amp;"\"&amp;TEXT(F175+1,"YYYY-MM-DD")&amp;" --recursive &amp; """&amp;walkandungz&amp;""" "&amp;search_path&amp;"\RTDC"&amp;B175&amp;"\"&amp;TEXT(F175+1,"YYYY-MM-DD")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5" s="118" t="str">
        <f>astrogrep_path&amp;" /spath="&amp;search_path&amp;" /stypes=""*"&amp;B175&amp;"*"&amp;TEXT(F175-utc_offset/24,"YYYYMMDD")&amp;"*"" /stext="" "&amp;TEXT(F175-utc_offset/24,"HH")&amp;search_regexp&amp;""" /e /r /s"</f>
        <v>"C:\Program Files (x86)\AstroGrep\AstroGrep.exe" /spath="C:\Users\stu\Documents\Analysis\2016-02-23 RTDC Observations" /stypes="*4038*20160706*" /stext=" 16:.+((prompt.+disp)|(slice.+state.+chan)|(ment ac)|(system.+state.+chan)|(\|lc)|(penalty)|(\[timeout))" /e /r /s</v>
      </c>
    </row>
    <row r="176" spans="1:32" x14ac:dyDescent="0.25">
      <c r="A176" s="34" t="s">
        <v>350</v>
      </c>
      <c r="B176" s="64">
        <v>4037</v>
      </c>
      <c r="C176" s="64" t="s">
        <v>60</v>
      </c>
      <c r="D176" s="64" t="s">
        <v>314</v>
      </c>
      <c r="E176" s="70">
        <v>42557.484548611108</v>
      </c>
      <c r="F176" s="70">
        <v>42557.48542824074</v>
      </c>
      <c r="G176" s="71">
        <v>1</v>
      </c>
      <c r="H176" s="70" t="s">
        <v>688</v>
      </c>
      <c r="I176" s="70">
        <v>42557.497118055559</v>
      </c>
      <c r="J176" s="64">
        <v>3</v>
      </c>
      <c r="K176" s="34" t="str">
        <f t="shared" si="49"/>
        <v>4037/4038</v>
      </c>
      <c r="L176" s="34" t="str">
        <f>VLOOKUP(A176,'Trips&amp;Operators'!$C$1:$E$10000,3,FALSE)</f>
        <v>MAYBERRY</v>
      </c>
      <c r="M176" s="6">
        <f t="shared" si="50"/>
        <v>1.1689814818964805E-2</v>
      </c>
      <c r="N176" s="7"/>
      <c r="O176" s="7"/>
      <c r="P176" s="7"/>
      <c r="Q176" s="35"/>
      <c r="R176" s="35"/>
      <c r="S176" s="54"/>
      <c r="T176" s="108"/>
      <c r="U176" s="108"/>
      <c r="V176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6" s="116"/>
      <c r="X176" s="116"/>
      <c r="Y176" s="116"/>
      <c r="Z176" s="116"/>
      <c r="AA176" s="116"/>
      <c r="AB176" s="117"/>
      <c r="AC176" s="117"/>
      <c r="AD176" s="118" t="str">
        <f t="shared" si="48"/>
        <v>0818-06</v>
      </c>
      <c r="AE176" s="118" t="str">
        <f>"aws s3 cp "&amp;s3_bucket&amp;"/RTDC"&amp;B176&amp;"/"&amp;TEXT(F176,"YYYY-MM-DD")&amp;"/ "&amp;search_path&amp;"\RTDC"&amp;B176&amp;"\"&amp;TEXT(F176,"YYYY-MM-DD")&amp;" --recursive &amp; """&amp;walkandungz&amp;""" "&amp;search_path&amp;"\RTDC"&amp;B176&amp;"\"&amp;TEXT(F176,"YYYY-MM-DD")
&amp;" &amp; "&amp;"aws s3 cp "&amp;s3_bucket&amp;"/RTDC"&amp;B176&amp;"/"&amp;TEXT(F176+1,"YYYY-MM-DD")&amp;"/ "&amp;search_path&amp;"\RTDC"&amp;B176&amp;"\"&amp;TEXT(F176+1,"YYYY-MM-DD")&amp;" --recursive &amp; """&amp;walkandungz&amp;""" "&amp;search_path&amp;"\RTDC"&amp;B176&amp;"\"&amp;TEXT(F176+1,"YYYY-MM-DD")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6" s="118" t="str">
        <f>astrogrep_path&amp;" /spath="&amp;search_path&amp;" /stypes=""*"&amp;B176&amp;"*"&amp;TEXT(F176-utc_offset/24,"YYYYMMDD")&amp;"*"" /stext="" "&amp;TEXT(F176-utc_offset/24,"HH")&amp;search_regexp&amp;""" /e /r /s"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</row>
    <row r="177" spans="1:32" x14ac:dyDescent="0.25">
      <c r="A177" s="34" t="s">
        <v>351</v>
      </c>
      <c r="B177" s="64">
        <v>4038</v>
      </c>
      <c r="C177" s="64" t="s">
        <v>60</v>
      </c>
      <c r="D177" s="64" t="s">
        <v>689</v>
      </c>
      <c r="E177" s="70">
        <v>42557.500486111108</v>
      </c>
      <c r="F177" s="70">
        <v>42557.501331018517</v>
      </c>
      <c r="G177" s="71">
        <v>1</v>
      </c>
      <c r="H177" s="70" t="s">
        <v>690</v>
      </c>
      <c r="I177" s="70">
        <v>42557.523796296293</v>
      </c>
      <c r="J177" s="64">
        <v>0</v>
      </c>
      <c r="K177" s="34" t="str">
        <f t="shared" si="49"/>
        <v>4037/4038</v>
      </c>
      <c r="L177" s="34" t="str">
        <f>VLOOKUP(A177,'Trips&amp;Operators'!$C$1:$E$10000,3,FALSE)</f>
        <v>MAYBERRY</v>
      </c>
      <c r="M177" s="6">
        <f t="shared" si="50"/>
        <v>2.2465277776063886E-2</v>
      </c>
      <c r="N177" s="7"/>
      <c r="O177" s="7"/>
      <c r="P177" s="7"/>
      <c r="Q177" s="35"/>
      <c r="R177" s="35"/>
      <c r="S177" s="54"/>
      <c r="T177" s="108"/>
      <c r="U177" s="108"/>
      <c r="V177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7" s="116"/>
      <c r="X177" s="116"/>
      <c r="Y177" s="116"/>
      <c r="Z177" s="116"/>
      <c r="AA177" s="116"/>
      <c r="AB177" s="117"/>
      <c r="AC177" s="117"/>
      <c r="AD177" s="118" t="str">
        <f t="shared" si="48"/>
        <v>0819-06</v>
      </c>
      <c r="AE177" s="118" t="str">
        <f>"aws s3 cp "&amp;s3_bucket&amp;"/RTDC"&amp;B177&amp;"/"&amp;TEXT(F177,"YYYY-MM-DD")&amp;"/ "&amp;search_path&amp;"\RTDC"&amp;B177&amp;"\"&amp;TEXT(F177,"YYYY-MM-DD")&amp;" --recursive &amp; """&amp;walkandungz&amp;""" "&amp;search_path&amp;"\RTDC"&amp;B177&amp;"\"&amp;TEXT(F177,"YYYY-MM-DD")
&amp;" &amp; "&amp;"aws s3 cp "&amp;s3_bucket&amp;"/RTDC"&amp;B177&amp;"/"&amp;TEXT(F177+1,"YYYY-MM-DD")&amp;"/ "&amp;search_path&amp;"\RTDC"&amp;B177&amp;"\"&amp;TEXT(F177+1,"YYYY-MM-DD")&amp;" --recursive &amp; """&amp;walkandungz&amp;""" "&amp;search_path&amp;"\RTDC"&amp;B177&amp;"\"&amp;TEXT(F177+1,"YYYY-MM-DD")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7" s="118" t="str">
        <f>astrogrep_path&amp;" /spath="&amp;search_path&amp;" /stypes=""*"&amp;B177&amp;"*"&amp;TEXT(F177-utc_offset/24,"YYYYMMDD")&amp;"*"" /stext="" "&amp;TEXT(F177-utc_offset/24,"HH")&amp;search_regexp&amp;""" /e /r /s"</f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</row>
    <row r="178" spans="1:32" x14ac:dyDescent="0.25">
      <c r="A178" s="34" t="s">
        <v>351</v>
      </c>
      <c r="B178" s="64">
        <v>4038</v>
      </c>
      <c r="C178" s="64" t="s">
        <v>60</v>
      </c>
      <c r="D178" s="64" t="s">
        <v>691</v>
      </c>
      <c r="E178" s="70">
        <v>42557.500486111108</v>
      </c>
      <c r="F178" s="70">
        <v>42557.521724537037</v>
      </c>
      <c r="G178" s="71">
        <v>30</v>
      </c>
      <c r="H178" s="70" t="s">
        <v>690</v>
      </c>
      <c r="I178" s="70">
        <v>42557.523796296293</v>
      </c>
      <c r="J178" s="64">
        <v>0</v>
      </c>
      <c r="K178" s="34" t="str">
        <f t="shared" si="49"/>
        <v>4037/4038</v>
      </c>
      <c r="L178" s="34" t="str">
        <f>VLOOKUP(A178,'Trips&amp;Operators'!$C$1:$E$10000,3,FALSE)</f>
        <v>MAYBERRY</v>
      </c>
      <c r="M178" s="6">
        <f t="shared" si="50"/>
        <v>2.0717592560686171E-3</v>
      </c>
      <c r="N178" s="7"/>
      <c r="O178" s="7"/>
      <c r="P178" s="7"/>
      <c r="Q178" s="35"/>
      <c r="R178" s="35"/>
      <c r="S178" s="54"/>
      <c r="T178" s="108"/>
      <c r="U178" s="108"/>
      <c r="V178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8" s="116"/>
      <c r="X178" s="116"/>
      <c r="Y178" s="116"/>
      <c r="Z178" s="116"/>
      <c r="AA178" s="116"/>
      <c r="AB178" s="117"/>
      <c r="AC178" s="117"/>
      <c r="AD178" s="118" t="str">
        <f t="shared" si="48"/>
        <v>0819-06</v>
      </c>
      <c r="AE178" s="118" t="str">
        <f>"aws s3 cp "&amp;s3_bucket&amp;"/RTDC"&amp;B178&amp;"/"&amp;TEXT(F178,"YYYY-MM-DD")&amp;"/ "&amp;search_path&amp;"\RTDC"&amp;B178&amp;"\"&amp;TEXT(F178,"YYYY-MM-DD")&amp;" --recursive &amp; """&amp;walkandungz&amp;""" "&amp;search_path&amp;"\RTDC"&amp;B178&amp;"\"&amp;TEXT(F178,"YYYY-MM-DD")
&amp;" &amp; "&amp;"aws s3 cp "&amp;s3_bucket&amp;"/RTDC"&amp;B178&amp;"/"&amp;TEXT(F178+1,"YYYY-MM-DD")&amp;"/ "&amp;search_path&amp;"\RTDC"&amp;B178&amp;"\"&amp;TEXT(F178+1,"YYYY-MM-DD")&amp;" --recursive &amp; """&amp;walkandungz&amp;""" "&amp;search_path&amp;"\RTDC"&amp;B178&amp;"\"&amp;TEXT(F178+1,"YYYY-MM-DD")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8" s="118" t="str">
        <f>astrogrep_path&amp;" /spath="&amp;search_path&amp;" /stypes=""*"&amp;B178&amp;"*"&amp;TEXT(F178-utc_offset/24,"YYYYMMDD")&amp;"*"" /stext="" "&amp;TEXT(F178-utc_offset/24,"HH")&amp;search_regexp&amp;""" /e /r /s"</f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</row>
    <row r="179" spans="1:32" x14ac:dyDescent="0.25">
      <c r="A179" s="34" t="s">
        <v>535</v>
      </c>
      <c r="B179" s="64">
        <v>4037</v>
      </c>
      <c r="C179" s="64" t="s">
        <v>60</v>
      </c>
      <c r="D179" s="64" t="s">
        <v>692</v>
      </c>
      <c r="E179" s="70">
        <v>42557.524907407409</v>
      </c>
      <c r="F179" s="70">
        <v>42557.525763888887</v>
      </c>
      <c r="G179" s="71">
        <v>1</v>
      </c>
      <c r="H179" s="70" t="s">
        <v>693</v>
      </c>
      <c r="I179" s="70">
        <v>42557.537962962961</v>
      </c>
      <c r="J179" s="64">
        <v>0</v>
      </c>
      <c r="K179" s="34" t="str">
        <f t="shared" si="49"/>
        <v>4037/4038</v>
      </c>
      <c r="L179" s="34" t="str">
        <f>VLOOKUP(A179,'Trips&amp;Operators'!$C$1:$E$10000,3,FALSE)</f>
        <v>MAYBERRY</v>
      </c>
      <c r="M179" s="6">
        <f t="shared" si="50"/>
        <v>1.2199074073578231E-2</v>
      </c>
      <c r="N179" s="7"/>
      <c r="O179" s="7"/>
      <c r="P179" s="7"/>
      <c r="Q179" s="35"/>
      <c r="R179" s="35"/>
      <c r="S179" s="54"/>
      <c r="T179" s="108"/>
      <c r="U179" s="108"/>
      <c r="V179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12:34:52-0600',mode:absolute,to:'2016-07-06 12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9" s="116"/>
      <c r="X179" s="116"/>
      <c r="Y179" s="116"/>
      <c r="Z179" s="116"/>
      <c r="AA179" s="116"/>
      <c r="AB179" s="117"/>
      <c r="AC179" s="117"/>
      <c r="AD179" s="118" t="str">
        <f t="shared" si="48"/>
        <v>0820-06</v>
      </c>
      <c r="AE179" s="118" t="str">
        <f>"aws s3 cp "&amp;s3_bucket&amp;"/RTDC"&amp;B179&amp;"/"&amp;TEXT(F179,"YYYY-MM-DD")&amp;"/ "&amp;search_path&amp;"\RTDC"&amp;B179&amp;"\"&amp;TEXT(F179,"YYYY-MM-DD")&amp;" --recursive &amp; """&amp;walkandungz&amp;""" "&amp;search_path&amp;"\RTDC"&amp;B179&amp;"\"&amp;TEXT(F179,"YYYY-MM-DD")
&amp;" &amp; "&amp;"aws s3 cp "&amp;s3_bucket&amp;"/RTDC"&amp;B179&amp;"/"&amp;TEXT(F179+1,"YYYY-MM-DD")&amp;"/ "&amp;search_path&amp;"\RTDC"&amp;B179&amp;"\"&amp;TEXT(F179+1,"YYYY-MM-DD")&amp;" --recursive &amp; """&amp;walkandungz&amp;""" "&amp;search_path&amp;"\RTDC"&amp;B179&amp;"\"&amp;TEXT(F179+1,"YYYY-MM-DD")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9" s="118" t="str">
        <f>astrogrep_path&amp;" /spath="&amp;search_path&amp;" /stypes=""*"&amp;B179&amp;"*"&amp;TEXT(F179-utc_offset/24,"YYYYMMDD")&amp;"*"" /stext="" "&amp;TEXT(F179-utc_offset/24,"HH")&amp;search_regexp&amp;""" /e /r /s"</f>
        <v>"C:\Program Files (x86)\AstroGrep\AstroGrep.exe" /spath="C:\Users\stu\Documents\Analysis\2016-02-23 RTDC Observations" /stypes="*4037*20160706*" /stext=" 18:.+((prompt.+disp)|(slice.+state.+chan)|(ment ac)|(system.+state.+chan)|(\|lc)|(penalty)|(\[timeout))" /e /r /s</v>
      </c>
    </row>
    <row r="180" spans="1:32" x14ac:dyDescent="0.25">
      <c r="A180" s="34" t="s">
        <v>356</v>
      </c>
      <c r="B180" s="64">
        <v>4038</v>
      </c>
      <c r="C180" s="64" t="s">
        <v>60</v>
      </c>
      <c r="D180" s="64" t="s">
        <v>694</v>
      </c>
      <c r="E180" s="70">
        <v>42557.552268518521</v>
      </c>
      <c r="F180" s="70">
        <v>42557.553379629629</v>
      </c>
      <c r="G180" s="71">
        <v>1</v>
      </c>
      <c r="H180" s="70" t="s">
        <v>695</v>
      </c>
      <c r="I180" s="70">
        <v>42557.56591435185</v>
      </c>
      <c r="J180" s="64">
        <v>1</v>
      </c>
      <c r="K180" s="34" t="str">
        <f t="shared" si="49"/>
        <v>4037/4038</v>
      </c>
      <c r="L180" s="34" t="str">
        <f>VLOOKUP(A180,'Trips&amp;Operators'!$C$1:$E$10000,3,FALSE)</f>
        <v>MAYBERRY</v>
      </c>
      <c r="M180" s="6">
        <f t="shared" si="50"/>
        <v>1.2534722220152617E-2</v>
      </c>
      <c r="N180" s="7"/>
      <c r="O180" s="7"/>
      <c r="P180" s="7"/>
      <c r="Q180" s="35"/>
      <c r="R180" s="35"/>
      <c r="S180" s="54"/>
      <c r="T180" s="108"/>
      <c r="U180" s="108"/>
      <c r="V180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13:14:16-0600',mode:absolute,to:'2016-07-06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0" s="116"/>
      <c r="X180" s="116"/>
      <c r="Y180" s="116"/>
      <c r="Z180" s="116"/>
      <c r="AA180" s="116"/>
      <c r="AB180" s="117"/>
      <c r="AC180" s="117"/>
      <c r="AD180" s="118" t="str">
        <f t="shared" si="48"/>
        <v>0821-06</v>
      </c>
      <c r="AE180" s="118" t="str">
        <f>"aws s3 cp "&amp;s3_bucket&amp;"/RTDC"&amp;B180&amp;"/"&amp;TEXT(F180,"YYYY-MM-DD")&amp;"/ "&amp;search_path&amp;"\RTDC"&amp;B180&amp;"\"&amp;TEXT(F180,"YYYY-MM-DD")&amp;" --recursive &amp; """&amp;walkandungz&amp;""" "&amp;search_path&amp;"\RTDC"&amp;B180&amp;"\"&amp;TEXT(F180,"YYYY-MM-DD")
&amp;" &amp; "&amp;"aws s3 cp "&amp;s3_bucket&amp;"/RTDC"&amp;B180&amp;"/"&amp;TEXT(F180+1,"YYYY-MM-DD")&amp;"/ "&amp;search_path&amp;"\RTDC"&amp;B180&amp;"\"&amp;TEXT(F180+1,"YYYY-MM-DD")&amp;" --recursive &amp; """&amp;walkandungz&amp;""" "&amp;search_path&amp;"\RTDC"&amp;B180&amp;"\"&amp;TEXT(F180+1,"YYYY-MM-DD")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0" s="118" t="str">
        <f>astrogrep_path&amp;" /spath="&amp;search_path&amp;" /stypes=""*"&amp;B180&amp;"*"&amp;TEXT(F180-utc_offset/24,"YYYYMMDD")&amp;"*"" /stext="" "&amp;TEXT(F180-utc_offset/24,"HH")&amp;search_regexp&amp;""" /e /r /s"</f>
        <v>"C:\Program Files (x86)\AstroGrep\AstroGrep.exe" /spath="C:\Users\stu\Documents\Analysis\2016-02-23 RTDC Observations" /stypes="*4038*20160706*" /stext=" 19:.+((prompt.+disp)|(slice.+state.+chan)|(ment ac)|(system.+state.+chan)|(\|lc)|(penalty)|(\[timeout))" /e /r /s</v>
      </c>
    </row>
    <row r="181" spans="1:32" x14ac:dyDescent="0.25">
      <c r="A181" s="34" t="s">
        <v>453</v>
      </c>
      <c r="B181" s="64">
        <v>4037</v>
      </c>
      <c r="C181" s="64" t="s">
        <v>60</v>
      </c>
      <c r="D181" s="64" t="s">
        <v>696</v>
      </c>
      <c r="E181" s="70">
        <v>42557.567662037036</v>
      </c>
      <c r="F181" s="70">
        <v>42557.568472222221</v>
      </c>
      <c r="G181" s="71">
        <v>1</v>
      </c>
      <c r="H181" s="70" t="s">
        <v>697</v>
      </c>
      <c r="I181" s="70">
        <v>42557.579375000001</v>
      </c>
      <c r="J181" s="64">
        <v>0</v>
      </c>
      <c r="K181" s="34" t="str">
        <f t="shared" si="49"/>
        <v>4037/4038</v>
      </c>
      <c r="L181" s="34" t="str">
        <f>VLOOKUP(A181,'Trips&amp;Operators'!$C$1:$E$10000,3,FALSE)</f>
        <v>MAYBERRY</v>
      </c>
      <c r="M181" s="6">
        <f t="shared" si="50"/>
        <v>1.0902777779847383E-2</v>
      </c>
      <c r="N181" s="7"/>
      <c r="O181" s="7"/>
      <c r="P181" s="7"/>
      <c r="Q181" s="35"/>
      <c r="R181" s="35"/>
      <c r="S181" s="54"/>
      <c r="T181" s="108"/>
      <c r="U181" s="108"/>
      <c r="V181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13:36:26-0600',mode:absolute,to:'2016-07-06 13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1" s="116"/>
      <c r="X181" s="116"/>
      <c r="Y181" s="116"/>
      <c r="Z181" s="116"/>
      <c r="AA181" s="116"/>
      <c r="AB181" s="117"/>
      <c r="AC181" s="117"/>
      <c r="AD181" s="118" t="str">
        <f t="shared" si="48"/>
        <v>0822-06</v>
      </c>
      <c r="AE181" s="118" t="str">
        <f>"aws s3 cp "&amp;s3_bucket&amp;"/RTDC"&amp;B181&amp;"/"&amp;TEXT(F181,"YYYY-MM-DD")&amp;"/ "&amp;search_path&amp;"\RTDC"&amp;B181&amp;"\"&amp;TEXT(F181,"YYYY-MM-DD")&amp;" --recursive &amp; """&amp;walkandungz&amp;""" "&amp;search_path&amp;"\RTDC"&amp;B181&amp;"\"&amp;TEXT(F181,"YYYY-MM-DD")
&amp;" &amp; "&amp;"aws s3 cp "&amp;s3_bucket&amp;"/RTDC"&amp;B181&amp;"/"&amp;TEXT(F181+1,"YYYY-MM-DD")&amp;"/ "&amp;search_path&amp;"\RTDC"&amp;B181&amp;"\"&amp;TEXT(F181+1,"YYYY-MM-DD")&amp;" --recursive &amp; """&amp;walkandungz&amp;""" "&amp;search_path&amp;"\RTDC"&amp;B181&amp;"\"&amp;TEXT(F181+1,"YYYY-MM-DD")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1" s="118" t="str">
        <f>astrogrep_path&amp;" /spath="&amp;search_path&amp;" /stypes=""*"&amp;B181&amp;"*"&amp;TEXT(F181-utc_offset/24,"YYYYMMDD")&amp;"*"" /stext="" "&amp;TEXT(F181-utc_offset/24,"HH")&amp;search_regexp&amp;""" /e /r /s"</f>
        <v>"C:\Program Files (x86)\AstroGrep\AstroGrep.exe" /spath="C:\Users\stu\Documents\Analysis\2016-02-23 RTDC Observations" /stypes="*4037*20160706*" /stext=" 19:.+((prompt.+disp)|(slice.+state.+chan)|(ment ac)|(system.+state.+chan)|(\|lc)|(penalty)|(\[timeout))" /e /r /s</v>
      </c>
    </row>
    <row r="182" spans="1:32" x14ac:dyDescent="0.25">
      <c r="A182" s="34" t="s">
        <v>358</v>
      </c>
      <c r="B182" s="64">
        <v>4038</v>
      </c>
      <c r="C182" s="64" t="s">
        <v>60</v>
      </c>
      <c r="D182" s="64" t="s">
        <v>698</v>
      </c>
      <c r="E182" s="70">
        <v>42557.592569444445</v>
      </c>
      <c r="F182" s="70">
        <v>42557.5934375</v>
      </c>
      <c r="G182" s="71">
        <v>1</v>
      </c>
      <c r="H182" s="70" t="s">
        <v>699</v>
      </c>
      <c r="I182" s="70">
        <v>42557.608599537038</v>
      </c>
      <c r="J182" s="64">
        <v>3</v>
      </c>
      <c r="K182" s="34" t="str">
        <f t="shared" si="49"/>
        <v>4037/4038</v>
      </c>
      <c r="L182" s="34" t="str">
        <f>VLOOKUP(A182,'Trips&amp;Operators'!$C$1:$E$10000,3,FALSE)</f>
        <v>STORY</v>
      </c>
      <c r="M182" s="6">
        <f t="shared" si="50"/>
        <v>1.5162037037953269E-2</v>
      </c>
      <c r="N182" s="7"/>
      <c r="O182" s="7"/>
      <c r="P182" s="7"/>
      <c r="Q182" s="35"/>
      <c r="R182" s="35"/>
      <c r="S182" s="54"/>
      <c r="T182" s="108"/>
      <c r="U182" s="108"/>
      <c r="V182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2" s="116"/>
      <c r="X182" s="116"/>
      <c r="Y182" s="116"/>
      <c r="Z182" s="116"/>
      <c r="AA182" s="116"/>
      <c r="AB182" s="117"/>
      <c r="AC182" s="117"/>
      <c r="AD182" s="118" t="str">
        <f t="shared" si="48"/>
        <v>0823-06</v>
      </c>
      <c r="AE182" s="118" t="str">
        <f>"aws s3 cp "&amp;s3_bucket&amp;"/RTDC"&amp;B182&amp;"/"&amp;TEXT(F182,"YYYY-MM-DD")&amp;"/ "&amp;search_path&amp;"\RTDC"&amp;B182&amp;"\"&amp;TEXT(F182,"YYYY-MM-DD")&amp;" --recursive &amp; """&amp;walkandungz&amp;""" "&amp;search_path&amp;"\RTDC"&amp;B182&amp;"\"&amp;TEXT(F182,"YYYY-MM-DD")
&amp;" &amp; "&amp;"aws s3 cp "&amp;s3_bucket&amp;"/RTDC"&amp;B182&amp;"/"&amp;TEXT(F182+1,"YYYY-MM-DD")&amp;"/ "&amp;search_path&amp;"\RTDC"&amp;B182&amp;"\"&amp;TEXT(F182+1,"YYYY-MM-DD")&amp;" --recursive &amp; """&amp;walkandungz&amp;""" "&amp;search_path&amp;"\RTDC"&amp;B182&amp;"\"&amp;TEXT(F182+1,"YYYY-MM-DD")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2" s="118" t="str">
        <f>astrogrep_path&amp;" /spath="&amp;search_path&amp;" /stypes=""*"&amp;B182&amp;"*"&amp;TEXT(F182-utc_offset/24,"YYYYMMDD")&amp;"*"" /stext="" "&amp;TEXT(F182-utc_offset/24,"HH")&amp;search_regexp&amp;""" /e /r /s"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</row>
    <row r="183" spans="1:32" x14ac:dyDescent="0.25">
      <c r="A183" s="34" t="s">
        <v>360</v>
      </c>
      <c r="B183" s="64">
        <v>4037</v>
      </c>
      <c r="C183" s="64" t="s">
        <v>60</v>
      </c>
      <c r="D183" s="64" t="s">
        <v>311</v>
      </c>
      <c r="E183" s="70">
        <v>42557.609317129631</v>
      </c>
      <c r="F183" s="70">
        <v>42557.610405092593</v>
      </c>
      <c r="G183" s="71">
        <v>1</v>
      </c>
      <c r="H183" s="70" t="s">
        <v>312</v>
      </c>
      <c r="I183" s="70">
        <v>42557.621134259258</v>
      </c>
      <c r="J183" s="64">
        <v>1</v>
      </c>
      <c r="K183" s="34" t="str">
        <f t="shared" si="49"/>
        <v>4037/4038</v>
      </c>
      <c r="L183" s="34" t="str">
        <f>VLOOKUP(A183,'Trips&amp;Operators'!$C$1:$E$10000,3,FALSE)</f>
        <v>STORY</v>
      </c>
      <c r="M183" s="6">
        <f t="shared" si="50"/>
        <v>1.0729166664532386E-2</v>
      </c>
      <c r="N183" s="7"/>
      <c r="O183" s="7"/>
      <c r="P183" s="7"/>
      <c r="Q183" s="35"/>
      <c r="R183" s="35"/>
      <c r="S183" s="54"/>
      <c r="T183" s="108"/>
      <c r="U183" s="108"/>
      <c r="V183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14:36:25-0600',mode:absolute,to:'2016-07-06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3" s="116"/>
      <c r="X183" s="116"/>
      <c r="Y183" s="116"/>
      <c r="Z183" s="116"/>
      <c r="AA183" s="116"/>
      <c r="AB183" s="117"/>
      <c r="AC183" s="117"/>
      <c r="AD183" s="118" t="str">
        <f t="shared" si="48"/>
        <v>0824-06</v>
      </c>
      <c r="AE183" s="118" t="str">
        <f>"aws s3 cp "&amp;s3_bucket&amp;"/RTDC"&amp;B183&amp;"/"&amp;TEXT(F183,"YYYY-MM-DD")&amp;"/ "&amp;search_path&amp;"\RTDC"&amp;B183&amp;"\"&amp;TEXT(F183,"YYYY-MM-DD")&amp;" --recursive &amp; """&amp;walkandungz&amp;""" "&amp;search_path&amp;"\RTDC"&amp;B183&amp;"\"&amp;TEXT(F183,"YYYY-MM-DD")
&amp;" &amp; "&amp;"aws s3 cp "&amp;s3_bucket&amp;"/RTDC"&amp;B183&amp;"/"&amp;TEXT(F183+1,"YYYY-MM-DD")&amp;"/ "&amp;search_path&amp;"\RTDC"&amp;B183&amp;"\"&amp;TEXT(F183+1,"YYYY-MM-DD")&amp;" --recursive &amp; """&amp;walkandungz&amp;""" "&amp;search_path&amp;"\RTDC"&amp;B183&amp;"\"&amp;TEXT(F183+1,"YYYY-MM-DD")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3" s="118" t="str">
        <f>astrogrep_path&amp;" /spath="&amp;search_path&amp;" /stypes=""*"&amp;B183&amp;"*"&amp;TEXT(F183-utc_offset/24,"YYYYMMDD")&amp;"*"" /stext="" "&amp;TEXT(F183-utc_offset/24,"HH")&amp;search_regexp&amp;""" /e /r /s"</f>
        <v>"C:\Program Files (x86)\AstroGrep\AstroGrep.exe" /spath="C:\Users\stu\Documents\Analysis\2016-02-23 RTDC Observations" /stypes="*4037*20160706*" /stext=" 20:.+((prompt.+disp)|(slice.+state.+chan)|(ment ac)|(system.+state.+chan)|(\|lc)|(penalty)|(\[timeout))" /e /r /s</v>
      </c>
    </row>
    <row r="184" spans="1:32" x14ac:dyDescent="0.25">
      <c r="A184" s="34" t="s">
        <v>364</v>
      </c>
      <c r="B184" s="64">
        <v>4038</v>
      </c>
      <c r="C184" s="64" t="s">
        <v>60</v>
      </c>
      <c r="D184" s="64" t="s">
        <v>231</v>
      </c>
      <c r="E184" s="70">
        <v>42557.636516203704</v>
      </c>
      <c r="F184" s="70">
        <v>42557.63726851852</v>
      </c>
      <c r="G184" s="71">
        <v>1</v>
      </c>
      <c r="H184" s="70" t="s">
        <v>700</v>
      </c>
      <c r="I184" s="70">
        <v>42557.649583333332</v>
      </c>
      <c r="J184" s="64">
        <v>2</v>
      </c>
      <c r="K184" s="34" t="str">
        <f t="shared" si="49"/>
        <v>4037/4038</v>
      </c>
      <c r="L184" s="34" t="str">
        <f>VLOOKUP(A184,'Trips&amp;Operators'!$C$1:$E$10000,3,FALSE)</f>
        <v>STORY</v>
      </c>
      <c r="M184" s="6">
        <f t="shared" si="50"/>
        <v>1.2314814812270924E-2</v>
      </c>
      <c r="N184" s="7"/>
      <c r="O184" s="7"/>
      <c r="P184" s="7"/>
      <c r="Q184" s="35"/>
      <c r="R184" s="35"/>
      <c r="S184" s="54"/>
      <c r="T184" s="108"/>
      <c r="U184" s="108"/>
      <c r="V184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4" s="116"/>
      <c r="X184" s="116"/>
      <c r="Y184" s="116"/>
      <c r="Z184" s="116"/>
      <c r="AA184" s="116"/>
      <c r="AB184" s="117"/>
      <c r="AC184" s="117"/>
      <c r="AD184" s="118" t="str">
        <f t="shared" si="48"/>
        <v>0825-06</v>
      </c>
      <c r="AE184" s="118" t="str">
        <f>"aws s3 cp "&amp;s3_bucket&amp;"/RTDC"&amp;B184&amp;"/"&amp;TEXT(F184,"YYYY-MM-DD")&amp;"/ "&amp;search_path&amp;"\RTDC"&amp;B184&amp;"\"&amp;TEXT(F184,"YYYY-MM-DD")&amp;" --recursive &amp; """&amp;walkandungz&amp;""" "&amp;search_path&amp;"\RTDC"&amp;B184&amp;"\"&amp;TEXT(F184,"YYYY-MM-DD")
&amp;" &amp; "&amp;"aws s3 cp "&amp;s3_bucket&amp;"/RTDC"&amp;B184&amp;"/"&amp;TEXT(F184+1,"YYYY-MM-DD")&amp;"/ "&amp;search_path&amp;"\RTDC"&amp;B184&amp;"\"&amp;TEXT(F184+1,"YYYY-MM-DD")&amp;" --recursive &amp; """&amp;walkandungz&amp;""" "&amp;search_path&amp;"\RTDC"&amp;B184&amp;"\"&amp;TEXT(F184+1,"YYYY-MM-DD")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4" s="118" t="str">
        <f>astrogrep_path&amp;" /spath="&amp;search_path&amp;" /stypes=""*"&amp;B184&amp;"*"&amp;TEXT(F184-utc_offset/24,"YYYYMMDD")&amp;"*"" /stext="" "&amp;TEXT(F184-utc_offset/24,"HH")&amp;search_regexp&amp;""" /e /r /s"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</row>
    <row r="185" spans="1:32" x14ac:dyDescent="0.25">
      <c r="A185" s="34" t="s">
        <v>366</v>
      </c>
      <c r="B185" s="64">
        <v>4037</v>
      </c>
      <c r="C185" s="64" t="s">
        <v>60</v>
      </c>
      <c r="D185" s="64" t="s">
        <v>701</v>
      </c>
      <c r="E185" s="70">
        <v>42557.650277777779</v>
      </c>
      <c r="F185" s="70">
        <v>42557.651284722226</v>
      </c>
      <c r="G185" s="71">
        <v>1</v>
      </c>
      <c r="H185" s="70" t="s">
        <v>702</v>
      </c>
      <c r="I185" s="70">
        <v>42557.664201388892</v>
      </c>
      <c r="J185" s="64">
        <v>1</v>
      </c>
      <c r="K185" s="34" t="str">
        <f t="shared" si="49"/>
        <v>4037/4038</v>
      </c>
      <c r="L185" s="34" t="str">
        <f>VLOOKUP(A185,'Trips&amp;Operators'!$C$1:$E$10000,3,FALSE)</f>
        <v>STORY</v>
      </c>
      <c r="M185" s="6">
        <f t="shared" si="50"/>
        <v>1.2916666666569654E-2</v>
      </c>
      <c r="N185" s="7"/>
      <c r="O185" s="7"/>
      <c r="P185" s="7"/>
      <c r="Q185" s="35"/>
      <c r="R185" s="35"/>
      <c r="S185" s="54"/>
      <c r="T185" s="108"/>
      <c r="U185" s="108"/>
      <c r="V185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15:35:24-0600',mode:absolute,to:'2016-07-06 15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5" s="116"/>
      <c r="X185" s="116"/>
      <c r="Y185" s="116"/>
      <c r="Z185" s="116"/>
      <c r="AA185" s="116"/>
      <c r="AB185" s="117"/>
      <c r="AC185" s="117"/>
      <c r="AD185" s="118" t="str">
        <f t="shared" si="48"/>
        <v>0826-06</v>
      </c>
      <c r="AE185" s="118" t="str">
        <f>"aws s3 cp "&amp;s3_bucket&amp;"/RTDC"&amp;B185&amp;"/"&amp;TEXT(F185,"YYYY-MM-DD")&amp;"/ "&amp;search_path&amp;"\RTDC"&amp;B185&amp;"\"&amp;TEXT(F185,"YYYY-MM-DD")&amp;" --recursive &amp; """&amp;walkandungz&amp;""" "&amp;search_path&amp;"\RTDC"&amp;B185&amp;"\"&amp;TEXT(F185,"YYYY-MM-DD")
&amp;" &amp; "&amp;"aws s3 cp "&amp;s3_bucket&amp;"/RTDC"&amp;B185&amp;"/"&amp;TEXT(F185+1,"YYYY-MM-DD")&amp;"/ "&amp;search_path&amp;"\RTDC"&amp;B185&amp;"\"&amp;TEXT(F185+1,"YYYY-MM-DD")&amp;" --recursive &amp; """&amp;walkandungz&amp;""" "&amp;search_path&amp;"\RTDC"&amp;B185&amp;"\"&amp;TEXT(F185+1,"YYYY-MM-DD")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5" s="118" t="str">
        <f>astrogrep_path&amp;" /spath="&amp;search_path&amp;" /stypes=""*"&amp;B185&amp;"*"&amp;TEXT(F185-utc_offset/24,"YYYYMMDD")&amp;"*"" /stext="" "&amp;TEXT(F185-utc_offset/24,"HH")&amp;search_regexp&amp;""" /e /r /s"</f>
        <v>"C:\Program Files (x86)\AstroGrep\AstroGrep.exe" /spath="C:\Users\stu\Documents\Analysis\2016-02-23 RTDC Observations" /stypes="*4037*20160706*" /stext=" 21:.+((prompt.+disp)|(slice.+state.+chan)|(ment ac)|(system.+state.+chan)|(\|lc)|(penalty)|(\[timeout))" /e /r /s</v>
      </c>
    </row>
    <row r="186" spans="1:32" x14ac:dyDescent="0.25">
      <c r="A186" s="34" t="s">
        <v>368</v>
      </c>
      <c r="B186" s="64">
        <v>4027</v>
      </c>
      <c r="C186" s="64" t="s">
        <v>60</v>
      </c>
      <c r="D186" s="64" t="s">
        <v>703</v>
      </c>
      <c r="E186" s="70">
        <v>42557.651099537034</v>
      </c>
      <c r="F186" s="70">
        <v>42557.65421296296</v>
      </c>
      <c r="G186" s="71">
        <v>4</v>
      </c>
      <c r="H186" s="70" t="s">
        <v>233</v>
      </c>
      <c r="I186" s="70">
        <v>42557.673090277778</v>
      </c>
      <c r="J186" s="64">
        <v>1</v>
      </c>
      <c r="K186" s="34" t="str">
        <f t="shared" si="49"/>
        <v>4027/4028</v>
      </c>
      <c r="L186" s="34" t="str">
        <f>VLOOKUP(A186,'Trips&amp;Operators'!$C$1:$E$10000,3,FALSE)</f>
        <v>STRICKLAND</v>
      </c>
      <c r="M186" s="6">
        <f t="shared" si="50"/>
        <v>1.8877314818382729E-2</v>
      </c>
      <c r="N186" s="7"/>
      <c r="O186" s="7"/>
      <c r="P186" s="7"/>
      <c r="Q186" s="35"/>
      <c r="R186" s="35"/>
      <c r="S186" s="54"/>
      <c r="T186" s="108"/>
      <c r="U186" s="108"/>
      <c r="V186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15:36:35-0600',mode:absolute,to:'2016-07-06 16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6" s="116"/>
      <c r="X186" s="116"/>
      <c r="Y186" s="116"/>
      <c r="Z186" s="116"/>
      <c r="AA186" s="116"/>
      <c r="AB186" s="117"/>
      <c r="AC186" s="117"/>
      <c r="AD186" s="118" t="str">
        <f t="shared" si="48"/>
        <v>0827-06</v>
      </c>
      <c r="AE186" s="118" t="str">
        <f>"aws s3 cp "&amp;s3_bucket&amp;"/RTDC"&amp;B186&amp;"/"&amp;TEXT(F186,"YYYY-MM-DD")&amp;"/ "&amp;search_path&amp;"\RTDC"&amp;B186&amp;"\"&amp;TEXT(F186,"YYYY-MM-DD")&amp;" --recursive &amp; """&amp;walkandungz&amp;""" "&amp;search_path&amp;"\RTDC"&amp;B186&amp;"\"&amp;TEXT(F186,"YYYY-MM-DD")
&amp;" &amp; "&amp;"aws s3 cp "&amp;s3_bucket&amp;"/RTDC"&amp;B186&amp;"/"&amp;TEXT(F186+1,"YYYY-MM-DD")&amp;"/ "&amp;search_path&amp;"\RTDC"&amp;B186&amp;"\"&amp;TEXT(F186+1,"YYYY-MM-DD")&amp;" --recursive &amp; """&amp;walkandungz&amp;""" "&amp;search_path&amp;"\RTDC"&amp;B186&amp;"\"&amp;TEXT(F186+1,"YYYY-MM-DD")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86" s="118" t="str">
        <f>astrogrep_path&amp;" /spath="&amp;search_path&amp;" /stypes=""*"&amp;B186&amp;"*"&amp;TEXT(F186-utc_offset/24,"YYYYMMDD")&amp;"*"" /stext="" "&amp;TEXT(F186-utc_offset/24,"HH")&amp;search_regexp&amp;""" /e /r /s"</f>
        <v>"C:\Program Files (x86)\AstroGrep\AstroGrep.exe" /spath="C:\Users\stu\Documents\Analysis\2016-02-23 RTDC Observations" /stypes="*4027*20160706*" /stext=" 21:.+((prompt.+disp)|(slice.+state.+chan)|(ment ac)|(system.+state.+chan)|(\|lc)|(penalty)|(\[timeout))" /e /r /s</v>
      </c>
    </row>
    <row r="187" spans="1:32" x14ac:dyDescent="0.25">
      <c r="A187" s="34" t="s">
        <v>369</v>
      </c>
      <c r="B187" s="64">
        <v>4028</v>
      </c>
      <c r="C187" s="64" t="s">
        <v>60</v>
      </c>
      <c r="D187" s="64" t="s">
        <v>157</v>
      </c>
      <c r="E187" s="70">
        <v>42557.673703703702</v>
      </c>
      <c r="F187" s="70">
        <v>42557.67465277778</v>
      </c>
      <c r="G187" s="71">
        <v>1</v>
      </c>
      <c r="H187" s="70" t="s">
        <v>703</v>
      </c>
      <c r="I187" s="70">
        <v>42557.685497685183</v>
      </c>
      <c r="J187" s="64">
        <v>2</v>
      </c>
      <c r="K187" s="34" t="str">
        <f t="shared" si="49"/>
        <v>4027/4028</v>
      </c>
      <c r="L187" s="34" t="str">
        <f>VLOOKUP(A187,'Trips&amp;Operators'!$C$1:$E$10000,3,FALSE)</f>
        <v>STRICKLAND</v>
      </c>
      <c r="M187" s="6">
        <f t="shared" si="50"/>
        <v>1.0844907403225079E-2</v>
      </c>
      <c r="N187" s="7"/>
      <c r="O187" s="7"/>
      <c r="P187" s="7"/>
      <c r="Q187" s="35"/>
      <c r="R187" s="35"/>
      <c r="S187" s="54"/>
      <c r="T187" s="108"/>
      <c r="U187" s="108"/>
      <c r="V187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7" s="116"/>
      <c r="X187" s="116"/>
      <c r="Y187" s="116"/>
      <c r="Z187" s="116"/>
      <c r="AA187" s="116"/>
      <c r="AB187" s="117"/>
      <c r="AC187" s="117"/>
      <c r="AD187" s="118" t="str">
        <f t="shared" si="48"/>
        <v>0828-06</v>
      </c>
      <c r="AE187" s="118" t="str">
        <f>"aws s3 cp "&amp;s3_bucket&amp;"/RTDC"&amp;B187&amp;"/"&amp;TEXT(F187,"YYYY-MM-DD")&amp;"/ "&amp;search_path&amp;"\RTDC"&amp;B187&amp;"\"&amp;TEXT(F187,"YYYY-MM-DD")&amp;" --recursive &amp; """&amp;walkandungz&amp;""" "&amp;search_path&amp;"\RTDC"&amp;B187&amp;"\"&amp;TEXT(F187,"YYYY-MM-DD")
&amp;" &amp; "&amp;"aws s3 cp "&amp;s3_bucket&amp;"/RTDC"&amp;B187&amp;"/"&amp;TEXT(F187+1,"YYYY-MM-DD")&amp;"/ "&amp;search_path&amp;"\RTDC"&amp;B187&amp;"\"&amp;TEXT(F187+1,"YYYY-MM-DD")&amp;" --recursive &amp; """&amp;walkandungz&amp;""" "&amp;search_path&amp;"\RTDC"&amp;B187&amp;"\"&amp;TEXT(F187+1,"YYYY-MM-DD")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87" s="118" t="str">
        <f>astrogrep_path&amp;" /spath="&amp;search_path&amp;" /stypes=""*"&amp;B187&amp;"*"&amp;TEXT(F187-utc_offset/24,"YYYYMMDD")&amp;"*"" /stext="" "&amp;TEXT(F187-utc_offset/24,"HH")&amp;search_regexp&amp;""" /e /r /s"</f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</row>
    <row r="188" spans="1:32" x14ac:dyDescent="0.25">
      <c r="A188" s="34" t="s">
        <v>370</v>
      </c>
      <c r="B188" s="64">
        <v>4038</v>
      </c>
      <c r="C188" s="64" t="s">
        <v>60</v>
      </c>
      <c r="D188" s="64" t="s">
        <v>704</v>
      </c>
      <c r="E188" s="70">
        <v>42557.677152777775</v>
      </c>
      <c r="F188" s="70">
        <v>42557.678252314814</v>
      </c>
      <c r="G188" s="71">
        <v>1</v>
      </c>
      <c r="H188" s="70" t="s">
        <v>705</v>
      </c>
      <c r="I188" s="70">
        <v>42557.690925925926</v>
      </c>
      <c r="J188" s="64">
        <v>2</v>
      </c>
      <c r="K188" s="34" t="str">
        <f t="shared" si="49"/>
        <v>4037/4038</v>
      </c>
      <c r="L188" s="34" t="str">
        <f>VLOOKUP(A188,'Trips&amp;Operators'!$C$1:$E$10000,3,FALSE)</f>
        <v>STORY</v>
      </c>
      <c r="M188" s="6">
        <f t="shared" si="50"/>
        <v>1.2673611112404615E-2</v>
      </c>
      <c r="N188" s="7"/>
      <c r="O188" s="7"/>
      <c r="P188" s="7"/>
      <c r="Q188" s="35"/>
      <c r="R188" s="35"/>
      <c r="S188" s="54"/>
      <c r="T188" s="108"/>
      <c r="U188" s="108"/>
      <c r="V188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8" s="116"/>
      <c r="X188" s="116"/>
      <c r="Y188" s="116"/>
      <c r="Z188" s="116"/>
      <c r="AA188" s="116"/>
      <c r="AB188" s="117"/>
      <c r="AC188" s="117"/>
      <c r="AD188" s="118" t="str">
        <f t="shared" si="48"/>
        <v>0829-06</v>
      </c>
      <c r="AE188" s="118" t="str">
        <f>"aws s3 cp "&amp;s3_bucket&amp;"/RTDC"&amp;B188&amp;"/"&amp;TEXT(F188,"YYYY-MM-DD")&amp;"/ "&amp;search_path&amp;"\RTDC"&amp;B188&amp;"\"&amp;TEXT(F188,"YYYY-MM-DD")&amp;" --recursive &amp; """&amp;walkandungz&amp;""" "&amp;search_path&amp;"\RTDC"&amp;B188&amp;"\"&amp;TEXT(F188,"YYYY-MM-DD")
&amp;" &amp; "&amp;"aws s3 cp "&amp;s3_bucket&amp;"/RTDC"&amp;B188&amp;"/"&amp;TEXT(F188+1,"YYYY-MM-DD")&amp;"/ "&amp;search_path&amp;"\RTDC"&amp;B188&amp;"\"&amp;TEXT(F188+1,"YYYY-MM-DD")&amp;" --recursive &amp; """&amp;walkandungz&amp;""" "&amp;search_path&amp;"\RTDC"&amp;B188&amp;"\"&amp;TEXT(F188+1,"YYYY-MM-DD")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8" s="118" t="str">
        <f>astrogrep_path&amp;" /spath="&amp;search_path&amp;" /stypes=""*"&amp;B188&amp;"*"&amp;TEXT(F188-utc_offset/24,"YYYYMMDD")&amp;"*"" /stext="" "&amp;TEXT(F188-utc_offset/24,"HH")&amp;search_regexp&amp;""" /e /r /s"</f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</row>
    <row r="189" spans="1:32" x14ac:dyDescent="0.25">
      <c r="A189" s="34" t="s">
        <v>372</v>
      </c>
      <c r="B189" s="64">
        <v>4037</v>
      </c>
      <c r="C189" s="64" t="s">
        <v>60</v>
      </c>
      <c r="D189" s="64" t="s">
        <v>666</v>
      </c>
      <c r="E189" s="70">
        <v>42557.691874999997</v>
      </c>
      <c r="F189" s="70">
        <v>42557.692824074074</v>
      </c>
      <c r="G189" s="71">
        <v>1</v>
      </c>
      <c r="H189" s="70" t="s">
        <v>235</v>
      </c>
      <c r="I189" s="70">
        <v>42557.705092592594</v>
      </c>
      <c r="J189" s="64">
        <v>1</v>
      </c>
      <c r="K189" s="34" t="str">
        <f t="shared" si="49"/>
        <v>4037/4038</v>
      </c>
      <c r="L189" s="34" t="str">
        <f>VLOOKUP(A189,'Trips&amp;Operators'!$C$1:$E$10000,3,FALSE)</f>
        <v>STORY</v>
      </c>
      <c r="M189" s="6">
        <f t="shared" si="50"/>
        <v>1.226851851970423E-2</v>
      </c>
      <c r="N189" s="7"/>
      <c r="O189" s="7"/>
      <c r="P189" s="7"/>
      <c r="Q189" s="35"/>
      <c r="R189" s="35"/>
      <c r="S189" s="54"/>
      <c r="T189" s="108"/>
      <c r="U189" s="108"/>
      <c r="V189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16:35:18-0600',mode:absolute,to:'2016-07-06 16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9" s="116"/>
      <c r="X189" s="116"/>
      <c r="Y189" s="116"/>
      <c r="Z189" s="116"/>
      <c r="AA189" s="116"/>
      <c r="AB189" s="117"/>
      <c r="AC189" s="117"/>
      <c r="AD189" s="118" t="str">
        <f t="shared" si="48"/>
        <v>0830-06</v>
      </c>
      <c r="AE189" s="118" t="str">
        <f>"aws s3 cp "&amp;s3_bucket&amp;"/RTDC"&amp;B189&amp;"/"&amp;TEXT(F189,"YYYY-MM-DD")&amp;"/ "&amp;search_path&amp;"\RTDC"&amp;B189&amp;"\"&amp;TEXT(F189,"YYYY-MM-DD")&amp;" --recursive &amp; """&amp;walkandungz&amp;""" "&amp;search_path&amp;"\RTDC"&amp;B189&amp;"\"&amp;TEXT(F189,"YYYY-MM-DD")
&amp;" &amp; "&amp;"aws s3 cp "&amp;s3_bucket&amp;"/RTDC"&amp;B189&amp;"/"&amp;TEXT(F189+1,"YYYY-MM-DD")&amp;"/ "&amp;search_path&amp;"\RTDC"&amp;B189&amp;"\"&amp;TEXT(F189+1,"YYYY-MM-DD")&amp;" --recursive &amp; """&amp;walkandungz&amp;""" "&amp;search_path&amp;"\RTDC"&amp;B189&amp;"\"&amp;TEXT(F189+1,"YYYY-MM-DD")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9" s="118" t="str">
        <f>astrogrep_path&amp;" /spath="&amp;search_path&amp;" /stypes=""*"&amp;B189&amp;"*"&amp;TEXT(F189-utc_offset/24,"YYYYMMDD")&amp;"*"" /stext="" "&amp;TEXT(F189-utc_offset/24,"HH")&amp;search_regexp&amp;""" /e /r /s"</f>
        <v>"C:\Program Files (x86)\AstroGrep\AstroGrep.exe" /spath="C:\Users\stu\Documents\Analysis\2016-02-23 RTDC Observations" /stypes="*4037*20160706*" /stext=" 22:.+((prompt.+disp)|(slice.+state.+chan)|(ment ac)|(system.+state.+chan)|(\|lc)|(penalty)|(\[timeout))" /e /r /s</v>
      </c>
    </row>
    <row r="190" spans="1:32" x14ac:dyDescent="0.25">
      <c r="A190" s="34" t="s">
        <v>457</v>
      </c>
      <c r="B190" s="64">
        <v>4027</v>
      </c>
      <c r="C190" s="64" t="s">
        <v>60</v>
      </c>
      <c r="D190" s="64" t="s">
        <v>706</v>
      </c>
      <c r="E190" s="70">
        <v>42557.700624999998</v>
      </c>
      <c r="F190" s="70">
        <v>42557.701469907406</v>
      </c>
      <c r="G190" s="71">
        <v>1</v>
      </c>
      <c r="H190" s="70" t="s">
        <v>707</v>
      </c>
      <c r="I190" s="70">
        <v>42557.710636574076</v>
      </c>
      <c r="J190" s="64">
        <v>0</v>
      </c>
      <c r="K190" s="34" t="str">
        <f t="shared" si="49"/>
        <v>4027/4028</v>
      </c>
      <c r="L190" s="34" t="str">
        <f>VLOOKUP(A190,'Trips&amp;Operators'!$C$1:$E$10000,3,FALSE)</f>
        <v>STRICKLAND</v>
      </c>
      <c r="M190" s="6">
        <f t="shared" si="50"/>
        <v>9.1666666703531519E-3</v>
      </c>
      <c r="N190" s="7"/>
      <c r="O190" s="7"/>
      <c r="P190" s="7"/>
      <c r="Q190" s="35"/>
      <c r="R190" s="35"/>
      <c r="S190" s="54"/>
      <c r="T190" s="108"/>
      <c r="U190" s="108"/>
      <c r="V190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16:47:54-0600',mode:absolute,to:'2016-07-06 17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0" s="116"/>
      <c r="X190" s="116"/>
      <c r="Y190" s="116"/>
      <c r="Z190" s="116"/>
      <c r="AA190" s="116"/>
      <c r="AB190" s="117"/>
      <c r="AC190" s="117"/>
      <c r="AD190" s="118" t="str">
        <f t="shared" si="48"/>
        <v>0831-06</v>
      </c>
      <c r="AE190" s="118" t="str">
        <f>"aws s3 cp "&amp;s3_bucket&amp;"/RTDC"&amp;B190&amp;"/"&amp;TEXT(F190,"YYYY-MM-DD")&amp;"/ "&amp;search_path&amp;"\RTDC"&amp;B190&amp;"\"&amp;TEXT(F190,"YYYY-MM-DD")&amp;" --recursive &amp; """&amp;walkandungz&amp;""" "&amp;search_path&amp;"\RTDC"&amp;B190&amp;"\"&amp;TEXT(F190,"YYYY-MM-DD")
&amp;" &amp; "&amp;"aws s3 cp "&amp;s3_bucket&amp;"/RTDC"&amp;B190&amp;"/"&amp;TEXT(F190+1,"YYYY-MM-DD")&amp;"/ "&amp;search_path&amp;"\RTDC"&amp;B190&amp;"\"&amp;TEXT(F190+1,"YYYY-MM-DD")&amp;" --recursive &amp; """&amp;walkandungz&amp;""" "&amp;search_path&amp;"\RTDC"&amp;B190&amp;"\"&amp;TEXT(F190+1,"YYYY-MM-DD")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0" s="118" t="str">
        <f>astrogrep_path&amp;" /spath="&amp;search_path&amp;" /stypes=""*"&amp;B190&amp;"*"&amp;TEXT(F190-utc_offset/24,"YYYYMMDD")&amp;"*"" /stext="" "&amp;TEXT(F190-utc_offset/24,"HH")&amp;search_regexp&amp;""" /e /r /s"</f>
        <v>"C:\Program Files (x86)\AstroGrep\AstroGrep.exe" /spath="C:\Users\stu\Documents\Analysis\2016-02-23 RTDC Observations" /stypes="*4027*20160706*" /stext=" 22:.+((prompt.+disp)|(slice.+state.+chan)|(ment ac)|(system.+state.+chan)|(\|lc)|(penalty)|(\[timeout))" /e /r /s</v>
      </c>
    </row>
    <row r="191" spans="1:32" x14ac:dyDescent="0.25">
      <c r="A191" s="34" t="s">
        <v>480</v>
      </c>
      <c r="B191" s="64">
        <v>4028</v>
      </c>
      <c r="C191" s="64" t="s">
        <v>60</v>
      </c>
      <c r="D191" s="64" t="s">
        <v>708</v>
      </c>
      <c r="E191" s="70">
        <v>42557.712094907409</v>
      </c>
      <c r="F191" s="70">
        <v>42557.712893518517</v>
      </c>
      <c r="G191" s="71">
        <v>1</v>
      </c>
      <c r="H191" s="70" t="s">
        <v>709</v>
      </c>
      <c r="I191" s="70">
        <v>42557.767708333333</v>
      </c>
      <c r="J191" s="64">
        <v>0</v>
      </c>
      <c r="K191" s="34" t="str">
        <f t="shared" si="49"/>
        <v>4027/4028</v>
      </c>
      <c r="L191" s="34" t="str">
        <f>VLOOKUP(A191,'Trips&amp;Operators'!$C$1:$E$10000,3,FALSE)</f>
        <v>STRICKLAND</v>
      </c>
      <c r="M191" s="6">
        <f t="shared" si="50"/>
        <v>5.4814814815472346E-2</v>
      </c>
      <c r="N191" s="7"/>
      <c r="O191" s="7"/>
      <c r="P191" s="7"/>
      <c r="Q191" s="35"/>
      <c r="R191" s="35"/>
      <c r="S191" s="54"/>
      <c r="T191" s="108"/>
      <c r="U191" s="108"/>
      <c r="V191" s="116" t="str">
        <f t="shared" si="51"/>
        <v>https://search-rtdc-monitor-bjffxe2xuh6vdkpspy63sjmuny.us-east-1.es.amazonaws.com/_plugin/kibana/#/discover/Steve-Slow-Train-Analysis-(2080s-and-2083s)?_g=(refreshInterval:(display:Off,section:0,value:0),time:(from:'2016-07-06 17:04:25-0600',mode:absolute,to:'2016-07-06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1" s="116"/>
      <c r="X191" s="116"/>
      <c r="Y191" s="116"/>
      <c r="Z191" s="116"/>
      <c r="AA191" s="116"/>
      <c r="AB191" s="117"/>
      <c r="AC191" s="117"/>
      <c r="AD191" s="118" t="str">
        <f t="shared" si="48"/>
        <v>0832-06</v>
      </c>
      <c r="AE191" s="118" t="str">
        <f>"aws s3 cp "&amp;s3_bucket&amp;"/RTDC"&amp;B191&amp;"/"&amp;TEXT(F191,"YYYY-MM-DD")&amp;"/ "&amp;search_path&amp;"\RTDC"&amp;B191&amp;"\"&amp;TEXT(F191,"YYYY-MM-DD")&amp;" --recursive &amp; """&amp;walkandungz&amp;""" "&amp;search_path&amp;"\RTDC"&amp;B191&amp;"\"&amp;TEXT(F191,"YYYY-MM-DD")
&amp;" &amp; "&amp;"aws s3 cp "&amp;s3_bucket&amp;"/RTDC"&amp;B191&amp;"/"&amp;TEXT(F191+1,"YYYY-MM-DD")&amp;"/ "&amp;search_path&amp;"\RTDC"&amp;B191&amp;"\"&amp;TEXT(F191+1,"YYYY-MM-DD")&amp;" --recursive &amp; """&amp;walkandungz&amp;""" "&amp;search_path&amp;"\RTDC"&amp;B191&amp;"\"&amp;TEXT(F191+1,"YYYY-MM-DD")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91" s="118" t="str">
        <f>astrogrep_path&amp;" /spath="&amp;search_path&amp;" /stypes=""*"&amp;B191&amp;"*"&amp;TEXT(F191-utc_offset/24,"YYYYMMDD")&amp;"*"" /stext="" "&amp;TEXT(F191-utc_offset/24,"HH")&amp;search_regexp&amp;""" /e /r /s"</f>
        <v>"C:\Program Files (x86)\AstroGrep\AstroGrep.exe" /spath="C:\Users\stu\Documents\Analysis\2016-02-23 RTDC Observations" /stypes="*4028*20160706*" /stext=" 23:.+((prompt.+disp)|(slice.+state.+chan)|(ment ac)|(system.+state.+chan)|(\|lc)|(penalty)|(\[timeout))" /e /r /s</v>
      </c>
    </row>
    <row r="192" spans="1:32" x14ac:dyDescent="0.25">
      <c r="A192" s="34" t="s">
        <v>547</v>
      </c>
      <c r="B192" s="64">
        <v>4038</v>
      </c>
      <c r="C192" s="64" t="s">
        <v>60</v>
      </c>
      <c r="D192" s="64" t="s">
        <v>710</v>
      </c>
      <c r="E192" s="70">
        <v>42557.719976851855</v>
      </c>
      <c r="F192" s="70">
        <v>42557.720914351848</v>
      </c>
      <c r="G192" s="71">
        <v>1</v>
      </c>
      <c r="H192" s="70" t="s">
        <v>175</v>
      </c>
      <c r="I192" s="70">
        <v>42557.732187499998</v>
      </c>
      <c r="J192" s="64">
        <v>0</v>
      </c>
      <c r="K192" s="34" t="str">
        <f t="shared" ref="K192:K209" si="52">IF(ISEVEN(B192),(B192-1)&amp;"/"&amp;B192,B192&amp;"/"&amp;(B192+1))</f>
        <v>4037/4038</v>
      </c>
      <c r="L192" s="34" t="str">
        <f>VLOOKUP(A192,'Trips&amp;Operators'!$C$1:$E$10000,3,FALSE)</f>
        <v>STORY</v>
      </c>
      <c r="M192" s="6">
        <f t="shared" ref="M192:M209" si="53">I192-F192</f>
        <v>1.1273148149484769E-2</v>
      </c>
      <c r="N192" s="7"/>
      <c r="O192" s="7"/>
      <c r="P192" s="7"/>
      <c r="Q192" s="35"/>
      <c r="R192" s="35"/>
      <c r="S192" s="54"/>
      <c r="T192" s="108"/>
      <c r="U192" s="108"/>
      <c r="V192" s="116" t="str">
        <f t="shared" ref="V192:V209" si="54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https://search-rtdc-monitor-bjffxe2xuh6vdkpspy63sjmuny.us-east-1.es.amazonaws.com/_plugin/kibana/#/discover/Steve-Slow-Train-Analysis-(2080s-and-2083s)?_g=(refreshInterval:(display:Off,section:0,value:0),time:(from:'2016-07-06 17:15:46-0600',mode:absolute,to:'2016-07-06 17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2" s="116"/>
      <c r="X192" s="116"/>
      <c r="Y192" s="116"/>
      <c r="Z192" s="116"/>
      <c r="AA192" s="116"/>
      <c r="AB192" s="117"/>
      <c r="AC192" s="117"/>
      <c r="AD192" s="118" t="str">
        <f t="shared" ref="AD192:AD209" si="55">IF(LEN(A192)=6,"0"&amp;A192,A192)</f>
        <v>0833-06</v>
      </c>
      <c r="AE192" s="118" t="str">
        <f>"aws s3 cp "&amp;s3_bucket&amp;"/RTDC"&amp;B192&amp;"/"&amp;TEXT(F192,"YYYY-MM-DD")&amp;"/ "&amp;search_path&amp;"\RTDC"&amp;B192&amp;"\"&amp;TEXT(F192,"YYYY-MM-DD")&amp;" --recursive &amp; """&amp;walkandungz&amp;""" "&amp;search_path&amp;"\RTDC"&amp;B192&amp;"\"&amp;TEXT(F192,"YYYY-MM-DD")
&amp;" &amp; "&amp;"aws s3 cp "&amp;s3_bucket&amp;"/RTDC"&amp;B192&amp;"/"&amp;TEXT(F192+1,"YYYY-MM-DD")&amp;"/ "&amp;search_path&amp;"\RTDC"&amp;B192&amp;"\"&amp;TEXT(F192+1,"YYYY-MM-DD")&amp;" --recursive &amp; """&amp;walkandungz&amp;""" "&amp;search_path&amp;"\RTDC"&amp;B192&amp;"\"&amp;TEXT(F192+1,"YYYY-MM-DD")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92" s="118" t="str">
        <f>astrogrep_path&amp;" /spath="&amp;search_path&amp;" /stypes=""*"&amp;B192&amp;"*"&amp;TEXT(F192-utc_offset/24,"YYYYMMDD")&amp;"*"" /stext="" "&amp;TEXT(F192-utc_offset/24,"HH")&amp;search_regexp&amp;""" /e /r /s"</f>
        <v>"C:\Program Files (x86)\AstroGrep\AstroGrep.exe" /spath="C:\Users\stu\Documents\Analysis\2016-02-23 RTDC Observations" /stypes="*4038*20160706*" /stext=" 23:.+((prompt.+disp)|(slice.+state.+chan)|(ment ac)|(system.+state.+chan)|(\|lc)|(penalty)|(\[timeout))" /e /r /s</v>
      </c>
    </row>
    <row r="193" spans="1:32" x14ac:dyDescent="0.25">
      <c r="A193" s="34" t="s">
        <v>548</v>
      </c>
      <c r="B193" s="64">
        <v>4037</v>
      </c>
      <c r="C193" s="64" t="s">
        <v>60</v>
      </c>
      <c r="D193" s="64" t="s">
        <v>711</v>
      </c>
      <c r="E193" s="70">
        <v>42557.733124999999</v>
      </c>
      <c r="F193" s="70">
        <v>42557.733912037038</v>
      </c>
      <c r="G193" s="71">
        <v>1</v>
      </c>
      <c r="H193" s="70" t="s">
        <v>712</v>
      </c>
      <c r="I193" s="70">
        <v>42557.747534722221</v>
      </c>
      <c r="J193" s="64">
        <v>0</v>
      </c>
      <c r="K193" s="34" t="str">
        <f t="shared" si="52"/>
        <v>4037/4038</v>
      </c>
      <c r="L193" s="34" t="str">
        <f>VLOOKUP(A193,'Trips&amp;Operators'!$C$1:$E$10000,3,FALSE)</f>
        <v>STORY</v>
      </c>
      <c r="M193" s="6">
        <f t="shared" si="53"/>
        <v>1.3622685182781424E-2</v>
      </c>
      <c r="N193" s="7"/>
      <c r="O193" s="7"/>
      <c r="P193" s="7"/>
      <c r="Q193" s="35"/>
      <c r="R193" s="35"/>
      <c r="S193" s="54"/>
      <c r="T193" s="108"/>
      <c r="U193" s="108"/>
      <c r="V193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17:34:42-0600',mode:absolute,to:'2016-07-06 17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3" s="116"/>
      <c r="X193" s="116"/>
      <c r="Y193" s="116"/>
      <c r="Z193" s="116"/>
      <c r="AA193" s="116"/>
      <c r="AB193" s="117"/>
      <c r="AC193" s="117"/>
      <c r="AD193" s="118" t="str">
        <f t="shared" si="55"/>
        <v>0834-06</v>
      </c>
      <c r="AE193" s="118" t="str">
        <f>"aws s3 cp "&amp;s3_bucket&amp;"/RTDC"&amp;B193&amp;"/"&amp;TEXT(F193,"YYYY-MM-DD")&amp;"/ "&amp;search_path&amp;"\RTDC"&amp;B193&amp;"\"&amp;TEXT(F193,"YYYY-MM-DD")&amp;" --recursive &amp; """&amp;walkandungz&amp;""" "&amp;search_path&amp;"\RTDC"&amp;B193&amp;"\"&amp;TEXT(F193,"YYYY-MM-DD")
&amp;" &amp; "&amp;"aws s3 cp "&amp;s3_bucket&amp;"/RTDC"&amp;B193&amp;"/"&amp;TEXT(F193+1,"YYYY-MM-DD")&amp;"/ "&amp;search_path&amp;"\RTDC"&amp;B193&amp;"\"&amp;TEXT(F193+1,"YYYY-MM-DD")&amp;" --recursive &amp; """&amp;walkandungz&amp;""" "&amp;search_path&amp;"\RTDC"&amp;B193&amp;"\"&amp;TEXT(F193+1,"YYYY-MM-DD")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3" s="118" t="str">
        <f>astrogrep_path&amp;" /spath="&amp;search_path&amp;" /stypes=""*"&amp;B193&amp;"*"&amp;TEXT(F193-utc_offset/24,"YYYYMMDD")&amp;"*"" /stext="" "&amp;TEXT(F193-utc_offset/24,"HH")&amp;search_regexp&amp;""" /e /r /s"</f>
        <v>"C:\Program Files (x86)\AstroGrep\AstroGrep.exe" /spath="C:\Users\stu\Documents\Analysis\2016-02-23 RTDC Observations" /stypes="*4037*20160706*" /stext=" 23:.+((prompt.+disp)|(slice.+state.+chan)|(ment ac)|(system.+state.+chan)|(\|lc)|(penalty)|(\[timeout))" /e /r /s</v>
      </c>
    </row>
    <row r="194" spans="1:32" x14ac:dyDescent="0.25">
      <c r="A194" s="34" t="s">
        <v>375</v>
      </c>
      <c r="B194" s="64">
        <v>4027</v>
      </c>
      <c r="C194" s="64" t="s">
        <v>60</v>
      </c>
      <c r="D194" s="64" t="s">
        <v>713</v>
      </c>
      <c r="E194" s="70">
        <v>42557.740011574075</v>
      </c>
      <c r="F194" s="70">
        <v>42557.740972222222</v>
      </c>
      <c r="G194" s="71">
        <v>1</v>
      </c>
      <c r="H194" s="70" t="s">
        <v>319</v>
      </c>
      <c r="I194" s="70">
        <v>42557.755729166667</v>
      </c>
      <c r="J194" s="64">
        <v>2</v>
      </c>
      <c r="K194" s="34" t="str">
        <f t="shared" si="52"/>
        <v>4027/4028</v>
      </c>
      <c r="L194" s="34" t="str">
        <f>VLOOKUP(A194,'Trips&amp;Operators'!$C$1:$E$10000,3,FALSE)</f>
        <v>STRICKLAND</v>
      </c>
      <c r="M194" s="6">
        <f t="shared" si="53"/>
        <v>1.4756944445252884E-2</v>
      </c>
      <c r="N194" s="7"/>
      <c r="O194" s="7"/>
      <c r="P194" s="7"/>
      <c r="Q194" s="35"/>
      <c r="R194" s="35"/>
      <c r="S194" s="54"/>
      <c r="T194" s="108"/>
      <c r="U194" s="108"/>
      <c r="V194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4" s="116"/>
      <c r="X194" s="116"/>
      <c r="Y194" s="116"/>
      <c r="Z194" s="116"/>
      <c r="AA194" s="116"/>
      <c r="AB194" s="117"/>
      <c r="AC194" s="117"/>
      <c r="AD194" s="118" t="str">
        <f t="shared" si="55"/>
        <v>0835-06</v>
      </c>
      <c r="AE194" s="118" t="str">
        <f>"aws s3 cp "&amp;s3_bucket&amp;"/RTDC"&amp;B194&amp;"/"&amp;TEXT(F194,"YYYY-MM-DD")&amp;"/ "&amp;search_path&amp;"\RTDC"&amp;B194&amp;"\"&amp;TEXT(F194,"YYYY-MM-DD")&amp;" --recursive &amp; """&amp;walkandungz&amp;""" "&amp;search_path&amp;"\RTDC"&amp;B194&amp;"\"&amp;TEXT(F194,"YYYY-MM-DD")
&amp;" &amp; "&amp;"aws s3 cp "&amp;s3_bucket&amp;"/RTDC"&amp;B194&amp;"/"&amp;TEXT(F194+1,"YYYY-MM-DD")&amp;"/ "&amp;search_path&amp;"\RTDC"&amp;B194&amp;"\"&amp;TEXT(F194+1,"YYYY-MM-DD")&amp;" --recursive &amp; """&amp;walkandungz&amp;""" "&amp;search_path&amp;"\RTDC"&amp;B194&amp;"\"&amp;TEXT(F194+1,"YYYY-MM-DD")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4" s="118" t="str">
        <f>astrogrep_path&amp;" /spath="&amp;search_path&amp;" /stypes=""*"&amp;B194&amp;"*"&amp;TEXT(F194-utc_offset/24,"YYYYMMDD")&amp;"*"" /stext="" "&amp;TEXT(F194-utc_offset/24,"HH")&amp;search_regexp&amp;""" /e /r /s"</f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</row>
    <row r="195" spans="1:32" x14ac:dyDescent="0.25">
      <c r="A195" s="34" t="s">
        <v>459</v>
      </c>
      <c r="B195" s="64">
        <v>4028</v>
      </c>
      <c r="C195" s="64" t="s">
        <v>60</v>
      </c>
      <c r="D195" s="64" t="s">
        <v>714</v>
      </c>
      <c r="E195" s="70">
        <v>42557.756307870368</v>
      </c>
      <c r="F195" s="70">
        <v>42557.75744212963</v>
      </c>
      <c r="G195" s="71">
        <v>1</v>
      </c>
      <c r="H195" s="70" t="s">
        <v>709</v>
      </c>
      <c r="I195" s="70">
        <v>42557.767708333333</v>
      </c>
      <c r="J195" s="64">
        <v>0</v>
      </c>
      <c r="K195" s="34" t="str">
        <f t="shared" si="52"/>
        <v>4027/4028</v>
      </c>
      <c r="L195" s="34" t="str">
        <f>VLOOKUP(A195,'Trips&amp;Operators'!$C$1:$E$10000,3,FALSE)</f>
        <v>STRICKLAND</v>
      </c>
      <c r="M195" s="6">
        <f t="shared" si="53"/>
        <v>1.0266203702485655E-2</v>
      </c>
      <c r="N195" s="7"/>
      <c r="O195" s="7"/>
      <c r="P195" s="7"/>
      <c r="Q195" s="35"/>
      <c r="R195" s="35"/>
      <c r="S195" s="54"/>
      <c r="T195" s="108"/>
      <c r="U195" s="108"/>
      <c r="V195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18:08:05-0600',mode:absolute,to:'2016-07-06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5" s="116"/>
      <c r="X195" s="116"/>
      <c r="Y195" s="116"/>
      <c r="Z195" s="116"/>
      <c r="AA195" s="116"/>
      <c r="AB195" s="117"/>
      <c r="AC195" s="117"/>
      <c r="AD195" s="118" t="str">
        <f t="shared" si="55"/>
        <v>0836-06</v>
      </c>
      <c r="AE195" s="118" t="str">
        <f>"aws s3 cp "&amp;s3_bucket&amp;"/RTDC"&amp;B195&amp;"/"&amp;TEXT(F195,"YYYY-MM-DD")&amp;"/ "&amp;search_path&amp;"\RTDC"&amp;B195&amp;"\"&amp;TEXT(F195,"YYYY-MM-DD")&amp;" --recursive &amp; """&amp;walkandungz&amp;""" "&amp;search_path&amp;"\RTDC"&amp;B195&amp;"\"&amp;TEXT(F195,"YYYY-MM-DD")
&amp;" &amp; "&amp;"aws s3 cp "&amp;s3_bucket&amp;"/RTDC"&amp;B195&amp;"/"&amp;TEXT(F195+1,"YYYY-MM-DD")&amp;"/ "&amp;search_path&amp;"\RTDC"&amp;B195&amp;"\"&amp;TEXT(F195+1,"YYYY-MM-DD")&amp;" --recursive &amp; """&amp;walkandungz&amp;""" "&amp;search_path&amp;"\RTDC"&amp;B195&amp;"\"&amp;TEXT(F195+1,"YYYY-MM-DD")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95" s="118" t="str">
        <f>astrogrep_path&amp;" /spath="&amp;search_path&amp;" /stypes=""*"&amp;B195&amp;"*"&amp;TEXT(F195-utc_offset/24,"YYYYMMDD")&amp;"*"" /stext="" "&amp;TEXT(F195-utc_offset/24,"HH")&amp;search_regexp&amp;""" /e /r /s"</f>
        <v>"C:\Program Files (x86)\AstroGrep\AstroGrep.exe" /spath="C:\Users\stu\Documents\Analysis\2016-02-23 RTDC Observations" /stypes="*4028*20160707*" /stext=" 00:.+((prompt.+disp)|(slice.+state.+chan)|(ment ac)|(system.+state.+chan)|(\|lc)|(penalty)|(\[timeout))" /e /r /s</v>
      </c>
    </row>
    <row r="196" spans="1:32" x14ac:dyDescent="0.25">
      <c r="A196" s="34" t="s">
        <v>379</v>
      </c>
      <c r="B196" s="64">
        <v>4038</v>
      </c>
      <c r="C196" s="64" t="s">
        <v>60</v>
      </c>
      <c r="D196" s="64" t="s">
        <v>715</v>
      </c>
      <c r="E196" s="70">
        <v>42557.762187499997</v>
      </c>
      <c r="F196" s="70">
        <v>42557.763124999998</v>
      </c>
      <c r="G196" s="71">
        <v>1</v>
      </c>
      <c r="H196" s="70" t="s">
        <v>705</v>
      </c>
      <c r="I196" s="70">
        <v>42557.773356481484</v>
      </c>
      <c r="J196" s="64">
        <v>1</v>
      </c>
      <c r="K196" s="34" t="str">
        <f t="shared" si="52"/>
        <v>4037/4038</v>
      </c>
      <c r="L196" s="34" t="str">
        <f>VLOOKUP(A196,'Trips&amp;Operators'!$C$1:$E$10000,3,FALSE)</f>
        <v>STORY</v>
      </c>
      <c r="M196" s="6">
        <f t="shared" si="53"/>
        <v>1.0231481486698613E-2</v>
      </c>
      <c r="N196" s="7"/>
      <c r="O196" s="7"/>
      <c r="P196" s="7"/>
      <c r="Q196" s="35"/>
      <c r="R196" s="35"/>
      <c r="S196" s="54"/>
      <c r="T196" s="108"/>
      <c r="U196" s="108"/>
      <c r="V196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18:16:33-0600',mode:absolute,to:'2016-07-06 18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6" s="116"/>
      <c r="X196" s="116"/>
      <c r="Y196" s="116"/>
      <c r="Z196" s="116"/>
      <c r="AA196" s="116"/>
      <c r="AB196" s="117"/>
      <c r="AC196" s="117"/>
      <c r="AD196" s="118" t="str">
        <f t="shared" si="55"/>
        <v>0837-06</v>
      </c>
      <c r="AE196" s="118" t="str">
        <f>"aws s3 cp "&amp;s3_bucket&amp;"/RTDC"&amp;B196&amp;"/"&amp;TEXT(F196,"YYYY-MM-DD")&amp;"/ "&amp;search_path&amp;"\RTDC"&amp;B196&amp;"\"&amp;TEXT(F196,"YYYY-MM-DD")&amp;" --recursive &amp; """&amp;walkandungz&amp;""" "&amp;search_path&amp;"\RTDC"&amp;B196&amp;"\"&amp;TEXT(F196,"YYYY-MM-DD")
&amp;" &amp; "&amp;"aws s3 cp "&amp;s3_bucket&amp;"/RTDC"&amp;B196&amp;"/"&amp;TEXT(F196+1,"YYYY-MM-DD")&amp;"/ "&amp;search_path&amp;"\RTDC"&amp;B196&amp;"\"&amp;TEXT(F196+1,"YYYY-MM-DD")&amp;" --recursive &amp; """&amp;walkandungz&amp;""" "&amp;search_path&amp;"\RTDC"&amp;B196&amp;"\"&amp;TEXT(F196+1,"YYYY-MM-DD")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96" s="118" t="str">
        <f>astrogrep_path&amp;" /spath="&amp;search_path&amp;" /stypes=""*"&amp;B196&amp;"*"&amp;TEXT(F196-utc_offset/24,"YYYYMMDD")&amp;"*"" /stext="" "&amp;TEXT(F196-utc_offset/24,"HH")&amp;search_regexp&amp;""" /e /r /s"</f>
        <v>"C:\Program Files (x86)\AstroGrep\AstroGrep.exe" /spath="C:\Users\stu\Documents\Analysis\2016-02-23 RTDC Observations" /stypes="*4038*20160707*" /stext=" 00:.+((prompt.+disp)|(slice.+state.+chan)|(ment ac)|(system.+state.+chan)|(\|lc)|(penalty)|(\[timeout))" /e /r /s</v>
      </c>
    </row>
    <row r="197" spans="1:32" x14ac:dyDescent="0.25">
      <c r="A197" s="34" t="s">
        <v>405</v>
      </c>
      <c r="B197" s="64">
        <v>4037</v>
      </c>
      <c r="C197" s="64" t="s">
        <v>60</v>
      </c>
      <c r="D197" s="64" t="s">
        <v>234</v>
      </c>
      <c r="E197" s="70">
        <v>42557.774398148147</v>
      </c>
      <c r="F197" s="70">
        <v>42557.775289351855</v>
      </c>
      <c r="G197" s="71">
        <v>1</v>
      </c>
      <c r="H197" s="70" t="s">
        <v>716</v>
      </c>
      <c r="I197" s="70">
        <v>42557.787881944445</v>
      </c>
      <c r="J197" s="64">
        <v>0</v>
      </c>
      <c r="K197" s="34" t="str">
        <f t="shared" si="52"/>
        <v>4037/4038</v>
      </c>
      <c r="L197" s="34" t="str">
        <f>VLOOKUP(A197,'Trips&amp;Operators'!$C$1:$E$10000,3,FALSE)</f>
        <v>STORY</v>
      </c>
      <c r="M197" s="6">
        <f t="shared" si="53"/>
        <v>1.2592592589498963E-2</v>
      </c>
      <c r="N197" s="7"/>
      <c r="O197" s="7"/>
      <c r="P197" s="7"/>
      <c r="Q197" s="35"/>
      <c r="R197" s="35"/>
      <c r="S197" s="54"/>
      <c r="T197" s="108"/>
      <c r="U197" s="108"/>
      <c r="V197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18:34:08-0600',mode:absolute,to:'2016-07-06 18:55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7" s="116"/>
      <c r="X197" s="116"/>
      <c r="Y197" s="116"/>
      <c r="Z197" s="116"/>
      <c r="AA197" s="116"/>
      <c r="AB197" s="117"/>
      <c r="AC197" s="117"/>
      <c r="AD197" s="118" t="str">
        <f t="shared" si="55"/>
        <v>0838-06</v>
      </c>
      <c r="AE197" s="118" t="str">
        <f>"aws s3 cp "&amp;s3_bucket&amp;"/RTDC"&amp;B197&amp;"/"&amp;TEXT(F197,"YYYY-MM-DD")&amp;"/ "&amp;search_path&amp;"\RTDC"&amp;B197&amp;"\"&amp;TEXT(F197,"YYYY-MM-DD")&amp;" --recursive &amp; """&amp;walkandungz&amp;""" "&amp;search_path&amp;"\RTDC"&amp;B197&amp;"\"&amp;TEXT(F197,"YYYY-MM-DD")
&amp;" &amp; "&amp;"aws s3 cp "&amp;s3_bucket&amp;"/RTDC"&amp;B197&amp;"/"&amp;TEXT(F197+1,"YYYY-MM-DD")&amp;"/ "&amp;search_path&amp;"\RTDC"&amp;B197&amp;"\"&amp;TEXT(F197+1,"YYYY-MM-DD")&amp;" --recursive &amp; """&amp;walkandungz&amp;""" "&amp;search_path&amp;"\RTDC"&amp;B197&amp;"\"&amp;TEXT(F197+1,"YYYY-MM-DD")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7" s="118" t="str">
        <f>astrogrep_path&amp;" /spath="&amp;search_path&amp;" /stypes=""*"&amp;B197&amp;"*"&amp;TEXT(F197-utc_offset/24,"YYYYMMDD")&amp;"*"" /stext="" "&amp;TEXT(F197-utc_offset/24,"HH")&amp;search_regexp&amp;""" /e /r /s"</f>
        <v>"C:\Program Files (x86)\AstroGrep\AstroGrep.exe" /spath="C:\Users\stu\Documents\Analysis\2016-02-23 RTDC Observations" /stypes="*4037*20160707*" /stext=" 00:.+((prompt.+disp)|(slice.+state.+chan)|(ment ac)|(system.+state.+chan)|(\|lc)|(penalty)|(\[timeout))" /e /r /s</v>
      </c>
    </row>
    <row r="198" spans="1:32" x14ac:dyDescent="0.25">
      <c r="A198" s="34" t="s">
        <v>380</v>
      </c>
      <c r="B198" s="64">
        <v>4027</v>
      </c>
      <c r="C198" s="64" t="s">
        <v>60</v>
      </c>
      <c r="D198" s="64" t="s">
        <v>717</v>
      </c>
      <c r="E198" s="70">
        <v>42557.781365740739</v>
      </c>
      <c r="F198" s="70">
        <v>42557.782488425924</v>
      </c>
      <c r="G198" s="71">
        <v>1</v>
      </c>
      <c r="H198" s="70" t="s">
        <v>718</v>
      </c>
      <c r="I198" s="70">
        <v>42557.795624999999</v>
      </c>
      <c r="J198" s="64">
        <v>2</v>
      </c>
      <c r="K198" s="34" t="str">
        <f t="shared" si="52"/>
        <v>4027/4028</v>
      </c>
      <c r="L198" s="34" t="str">
        <f>VLOOKUP(A198,'Trips&amp;Operators'!$C$1:$E$10000,3,FALSE)</f>
        <v>STRICKLAND</v>
      </c>
      <c r="M198" s="6">
        <f t="shared" si="53"/>
        <v>1.3136574074451346E-2</v>
      </c>
      <c r="N198" s="7"/>
      <c r="O198" s="7"/>
      <c r="P198" s="7"/>
      <c r="Q198" s="35"/>
      <c r="R198" s="35"/>
      <c r="S198" s="54"/>
      <c r="T198" s="108"/>
      <c r="U198" s="108"/>
      <c r="V198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8" s="116"/>
      <c r="X198" s="116"/>
      <c r="Y198" s="116"/>
      <c r="Z198" s="116"/>
      <c r="AA198" s="116"/>
      <c r="AB198" s="117"/>
      <c r="AC198" s="117"/>
      <c r="AD198" s="118" t="str">
        <f t="shared" si="55"/>
        <v>0839-06</v>
      </c>
      <c r="AE198" s="118" t="str">
        <f>"aws s3 cp "&amp;s3_bucket&amp;"/RTDC"&amp;B198&amp;"/"&amp;TEXT(F198,"YYYY-MM-DD")&amp;"/ "&amp;search_path&amp;"\RTDC"&amp;B198&amp;"\"&amp;TEXT(F198,"YYYY-MM-DD")&amp;" --recursive &amp; """&amp;walkandungz&amp;""" "&amp;search_path&amp;"\RTDC"&amp;B198&amp;"\"&amp;TEXT(F198,"YYYY-MM-DD")
&amp;" &amp; "&amp;"aws s3 cp "&amp;s3_bucket&amp;"/RTDC"&amp;B198&amp;"/"&amp;TEXT(F198+1,"YYYY-MM-DD")&amp;"/ "&amp;search_path&amp;"\RTDC"&amp;B198&amp;"\"&amp;TEXT(F198+1,"YYYY-MM-DD")&amp;" --recursive &amp; """&amp;walkandungz&amp;""" "&amp;search_path&amp;"\RTDC"&amp;B198&amp;"\"&amp;TEXT(F198+1,"YYYY-MM-DD")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8" s="118" t="str">
        <f>astrogrep_path&amp;" /spath="&amp;search_path&amp;" /stypes=""*"&amp;B198&amp;"*"&amp;TEXT(F198-utc_offset/24,"YYYYMMDD")&amp;"*"" /stext="" "&amp;TEXT(F198-utc_offset/24,"HH")&amp;search_regexp&amp;""" /e /r /s"</f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</row>
    <row r="199" spans="1:32" x14ac:dyDescent="0.25">
      <c r="A199" s="34" t="s">
        <v>384</v>
      </c>
      <c r="B199" s="64">
        <v>4037</v>
      </c>
      <c r="C199" s="64" t="s">
        <v>60</v>
      </c>
      <c r="D199" s="64" t="s">
        <v>680</v>
      </c>
      <c r="E199" s="70">
        <v>42557.817094907405</v>
      </c>
      <c r="F199" s="70">
        <v>42557.817881944444</v>
      </c>
      <c r="G199" s="71">
        <v>1</v>
      </c>
      <c r="H199" s="70" t="s">
        <v>661</v>
      </c>
      <c r="I199" s="70">
        <v>42557.829722222225</v>
      </c>
      <c r="J199" s="64">
        <v>1</v>
      </c>
      <c r="K199" s="34" t="str">
        <f t="shared" si="52"/>
        <v>4037/4038</v>
      </c>
      <c r="L199" s="34" t="str">
        <f>VLOOKUP(A199,'Trips&amp;Operators'!$C$1:$E$10000,3,FALSE)</f>
        <v>STORY</v>
      </c>
      <c r="M199" s="6">
        <f t="shared" si="53"/>
        <v>1.1840277780720498E-2</v>
      </c>
      <c r="N199" s="7"/>
      <c r="O199" s="7"/>
      <c r="P199" s="7"/>
      <c r="Q199" s="35"/>
      <c r="R199" s="35"/>
      <c r="S199" s="54"/>
      <c r="T199" s="108"/>
      <c r="U199" s="108"/>
      <c r="V199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19:35:37-0600',mode:absolute,to:'2016-07-06 19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9" s="116"/>
      <c r="X199" s="116"/>
      <c r="Y199" s="116"/>
      <c r="Z199" s="116"/>
      <c r="AA199" s="116"/>
      <c r="AB199" s="117"/>
      <c r="AC199" s="117"/>
      <c r="AD199" s="118" t="str">
        <f t="shared" si="55"/>
        <v>0840-06</v>
      </c>
      <c r="AE199" s="118" t="str">
        <f>"aws s3 cp "&amp;s3_bucket&amp;"/RTDC"&amp;B199&amp;"/"&amp;TEXT(F199,"YYYY-MM-DD")&amp;"/ "&amp;search_path&amp;"\RTDC"&amp;B199&amp;"\"&amp;TEXT(F199,"YYYY-MM-DD")&amp;" --recursive &amp; """&amp;walkandungz&amp;""" "&amp;search_path&amp;"\RTDC"&amp;B199&amp;"\"&amp;TEXT(F199,"YYYY-MM-DD")
&amp;" &amp; "&amp;"aws s3 cp "&amp;s3_bucket&amp;"/RTDC"&amp;B199&amp;"/"&amp;TEXT(F199+1,"YYYY-MM-DD")&amp;"/ "&amp;search_path&amp;"\RTDC"&amp;B199&amp;"\"&amp;TEXT(F199+1,"YYYY-MM-DD")&amp;" --recursive &amp; """&amp;walkandungz&amp;""" "&amp;search_path&amp;"\RTDC"&amp;B199&amp;"\"&amp;TEXT(F199+1,"YYYY-MM-DD")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9" s="118" t="str">
        <f>astrogrep_path&amp;" /spath="&amp;search_path&amp;" /stypes=""*"&amp;B199&amp;"*"&amp;TEXT(F199-utc_offset/24,"YYYYMMDD")&amp;"*"" /stext="" "&amp;TEXT(F199-utc_offset/24,"HH")&amp;search_regexp&amp;""" /e /r /s"</f>
        <v>"C:\Program Files (x86)\AstroGrep\AstroGrep.exe" /spath="C:\Users\stu\Documents\Analysis\2016-02-23 RTDC Observations" /stypes="*4037*20160707*" /stext=" 01:.+((prompt.+disp)|(slice.+state.+chan)|(ment ac)|(system.+state.+chan)|(\|lc)|(penalty)|(\[timeout))" /e /r /s</v>
      </c>
    </row>
    <row r="200" spans="1:32" x14ac:dyDescent="0.25">
      <c r="A200" s="34" t="s">
        <v>550</v>
      </c>
      <c r="B200" s="64">
        <v>4038</v>
      </c>
      <c r="C200" s="64" t="s">
        <v>60</v>
      </c>
      <c r="D200" s="64" t="s">
        <v>686</v>
      </c>
      <c r="E200" s="70">
        <v>42557.80369212963</v>
      </c>
      <c r="F200" s="70">
        <v>42557.804629629631</v>
      </c>
      <c r="G200" s="71">
        <v>1</v>
      </c>
      <c r="H200" s="70" t="s">
        <v>719</v>
      </c>
      <c r="I200" s="70">
        <v>42557.816041666665</v>
      </c>
      <c r="J200" s="64">
        <v>0</v>
      </c>
      <c r="K200" s="34" t="str">
        <f t="shared" si="52"/>
        <v>4037/4038</v>
      </c>
      <c r="L200" s="34" t="str">
        <f>VLOOKUP(A200,'Trips&amp;Operators'!$C$1:$E$10000,3,FALSE)</f>
        <v>STORY</v>
      </c>
      <c r="M200" s="6">
        <f t="shared" si="53"/>
        <v>1.1412037034460809E-2</v>
      </c>
      <c r="N200" s="7"/>
      <c r="O200" s="7"/>
      <c r="P200" s="7"/>
      <c r="Q200" s="35"/>
      <c r="R200" s="35"/>
      <c r="S200" s="54"/>
      <c r="T200" s="108"/>
      <c r="U200" s="108"/>
      <c r="V200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19:16:19-0600',mode:absolute,to:'2016-07-06 19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0" s="116"/>
      <c r="X200" s="116"/>
      <c r="Y200" s="116"/>
      <c r="Z200" s="116"/>
      <c r="AA200" s="116"/>
      <c r="AB200" s="117"/>
      <c r="AC200" s="117"/>
      <c r="AD200" s="118" t="str">
        <f t="shared" si="55"/>
        <v>0841-06</v>
      </c>
      <c r="AE200" s="118" t="str">
        <f>"aws s3 cp "&amp;s3_bucket&amp;"/RTDC"&amp;B200&amp;"/"&amp;TEXT(F200,"YYYY-MM-DD")&amp;"/ "&amp;search_path&amp;"\RTDC"&amp;B200&amp;"\"&amp;TEXT(F200,"YYYY-MM-DD")&amp;" --recursive &amp; """&amp;walkandungz&amp;""" "&amp;search_path&amp;"\RTDC"&amp;B200&amp;"\"&amp;TEXT(F200,"YYYY-MM-DD")
&amp;" &amp; "&amp;"aws s3 cp "&amp;s3_bucket&amp;"/RTDC"&amp;B200&amp;"/"&amp;TEXT(F200+1,"YYYY-MM-DD")&amp;"/ "&amp;search_path&amp;"\RTDC"&amp;B200&amp;"\"&amp;TEXT(F200+1,"YYYY-MM-DD")&amp;" --recursive &amp; """&amp;walkandungz&amp;""" "&amp;search_path&amp;"\RTDC"&amp;B200&amp;"\"&amp;TEXT(F200+1,"YYYY-MM-DD")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0" s="118" t="str">
        <f>astrogrep_path&amp;" /spath="&amp;search_path&amp;" /stypes=""*"&amp;B200&amp;"*"&amp;TEXT(F200-utc_offset/24,"YYYYMMDD")&amp;"*"" /stext="" "&amp;TEXT(F200-utc_offset/24,"HH")&amp;search_regexp&amp;""" /e /r /s"</f>
        <v>"C:\Program Files (x86)\AstroGrep\AstroGrep.exe" /spath="C:\Users\stu\Documents\Analysis\2016-02-23 RTDC Observations" /stypes="*4038*20160707*" /stext=" 01:.+((prompt.+disp)|(slice.+state.+chan)|(ment ac)|(system.+state.+chan)|(\|lc)|(penalty)|(\[timeout))" /e /r /s</v>
      </c>
    </row>
    <row r="201" spans="1:32" x14ac:dyDescent="0.25">
      <c r="A201" s="34" t="s">
        <v>387</v>
      </c>
      <c r="B201" s="64">
        <v>4037</v>
      </c>
      <c r="C201" s="64" t="s">
        <v>60</v>
      </c>
      <c r="D201" s="64" t="s">
        <v>310</v>
      </c>
      <c r="E201" s="70">
        <v>42557.859872685185</v>
      </c>
      <c r="F201" s="70">
        <v>42557.860682870371</v>
      </c>
      <c r="G201" s="71">
        <v>1</v>
      </c>
      <c r="H201" s="70" t="s">
        <v>720</v>
      </c>
      <c r="I201" s="70">
        <v>42557.871435185189</v>
      </c>
      <c r="J201" s="64">
        <v>1</v>
      </c>
      <c r="K201" s="34" t="str">
        <f t="shared" si="52"/>
        <v>4037/4038</v>
      </c>
      <c r="L201" s="34" t="str">
        <f>VLOOKUP(A201,'Trips&amp;Operators'!$C$1:$E$10000,3,FALSE)</f>
        <v>STORY</v>
      </c>
      <c r="M201" s="6">
        <f t="shared" si="53"/>
        <v>1.0752314818091691E-2</v>
      </c>
      <c r="N201" s="7"/>
      <c r="O201" s="7"/>
      <c r="P201" s="7"/>
      <c r="Q201" s="35"/>
      <c r="R201" s="35"/>
      <c r="S201" s="54"/>
      <c r="T201" s="108"/>
      <c r="U201" s="108"/>
      <c r="V201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20:37:13-0600',mode:absolute,to:'2016-07-06 20:55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1" s="116"/>
      <c r="X201" s="116"/>
      <c r="Y201" s="116"/>
      <c r="Z201" s="116"/>
      <c r="AA201" s="116"/>
      <c r="AB201" s="117"/>
      <c r="AC201" s="117"/>
      <c r="AD201" s="118" t="str">
        <f t="shared" si="55"/>
        <v>0842-06</v>
      </c>
      <c r="AE201" s="118" t="str">
        <f>"aws s3 cp "&amp;s3_bucket&amp;"/RTDC"&amp;B201&amp;"/"&amp;TEXT(F201,"YYYY-MM-DD")&amp;"/ "&amp;search_path&amp;"\RTDC"&amp;B201&amp;"\"&amp;TEXT(F201,"YYYY-MM-DD")&amp;" --recursive &amp; """&amp;walkandungz&amp;""" "&amp;search_path&amp;"\RTDC"&amp;B201&amp;"\"&amp;TEXT(F201,"YYYY-MM-DD")
&amp;" &amp; "&amp;"aws s3 cp "&amp;s3_bucket&amp;"/RTDC"&amp;B201&amp;"/"&amp;TEXT(F201+1,"YYYY-MM-DD")&amp;"/ "&amp;search_path&amp;"\RTDC"&amp;B201&amp;"\"&amp;TEXT(F201+1,"YYYY-MM-DD")&amp;" --recursive &amp; """&amp;walkandungz&amp;""" "&amp;search_path&amp;"\RTDC"&amp;B201&amp;"\"&amp;TEXT(F201+1,"YYYY-MM-DD")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1" s="118" t="str">
        <f>astrogrep_path&amp;" /spath="&amp;search_path&amp;" /stypes=""*"&amp;B201&amp;"*"&amp;TEXT(F201-utc_offset/24,"YYYYMMDD")&amp;"*"" /stext="" "&amp;TEXT(F201-utc_offset/24,"HH")&amp;search_regexp&amp;""" /e /r /s"</f>
        <v>"C:\Program Files (x86)\AstroGrep\AstroGrep.exe" /spath="C:\Users\stu\Documents\Analysis\2016-02-23 RTDC Observations" /stypes="*4037*20160707*" /stext=" 02:.+((prompt.+disp)|(slice.+state.+chan)|(ment ac)|(system.+state.+chan)|(\|lc)|(penalty)|(\[timeout))" /e /r /s</v>
      </c>
    </row>
    <row r="202" spans="1:32" x14ac:dyDescent="0.25">
      <c r="A202" s="34" t="s">
        <v>386</v>
      </c>
      <c r="B202" s="64">
        <v>4038</v>
      </c>
      <c r="C202" s="64" t="s">
        <v>60</v>
      </c>
      <c r="D202" s="64" t="s">
        <v>721</v>
      </c>
      <c r="E202" s="70">
        <v>42557.848298611112</v>
      </c>
      <c r="F202" s="70">
        <v>42557.849293981482</v>
      </c>
      <c r="G202" s="71">
        <v>1</v>
      </c>
      <c r="H202" s="70" t="s">
        <v>309</v>
      </c>
      <c r="I202" s="70">
        <v>42557.859212962961</v>
      </c>
      <c r="J202" s="64">
        <v>2</v>
      </c>
      <c r="K202" s="34" t="str">
        <f t="shared" si="52"/>
        <v>4037/4038</v>
      </c>
      <c r="L202" s="34" t="str">
        <f>VLOOKUP(A202,'Trips&amp;Operators'!$C$1:$E$10000,3,FALSE)</f>
        <v>STORY</v>
      </c>
      <c r="M202" s="6">
        <f t="shared" si="53"/>
        <v>9.9189814791316167E-3</v>
      </c>
      <c r="N202" s="7"/>
      <c r="O202" s="7"/>
      <c r="P202" s="7"/>
      <c r="Q202" s="35"/>
      <c r="R202" s="35"/>
      <c r="S202" s="54"/>
      <c r="T202" s="108"/>
      <c r="U202" s="108"/>
      <c r="V202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2" s="116"/>
      <c r="X202" s="116"/>
      <c r="Y202" s="116"/>
      <c r="Z202" s="116"/>
      <c r="AA202" s="116"/>
      <c r="AB202" s="117"/>
      <c r="AC202" s="117"/>
      <c r="AD202" s="118" t="str">
        <f t="shared" si="55"/>
        <v>0843-06</v>
      </c>
      <c r="AE202" s="118" t="str">
        <f>"aws s3 cp "&amp;s3_bucket&amp;"/RTDC"&amp;B202&amp;"/"&amp;TEXT(F202,"YYYY-MM-DD")&amp;"/ "&amp;search_path&amp;"\RTDC"&amp;B202&amp;"\"&amp;TEXT(F202,"YYYY-MM-DD")&amp;" --recursive &amp; """&amp;walkandungz&amp;""" "&amp;search_path&amp;"\RTDC"&amp;B202&amp;"\"&amp;TEXT(F202,"YYYY-MM-DD")
&amp;" &amp; "&amp;"aws s3 cp "&amp;s3_bucket&amp;"/RTDC"&amp;B202&amp;"/"&amp;TEXT(F202+1,"YYYY-MM-DD")&amp;"/ "&amp;search_path&amp;"\RTDC"&amp;B202&amp;"\"&amp;TEXT(F202+1,"YYYY-MM-DD")&amp;" --recursive &amp; """&amp;walkandungz&amp;""" "&amp;search_path&amp;"\RTDC"&amp;B202&amp;"\"&amp;TEXT(F202+1,"YYYY-MM-DD")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2" s="118" t="str">
        <f>astrogrep_path&amp;" /spath="&amp;search_path&amp;" /stypes=""*"&amp;B202&amp;"*"&amp;TEXT(F202-utc_offset/24,"YYYYMMDD")&amp;"*"" /stext="" "&amp;TEXT(F202-utc_offset/24,"HH")&amp;search_regexp&amp;""" /e /r /s"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</row>
    <row r="203" spans="1:32" x14ac:dyDescent="0.25">
      <c r="A203" s="34" t="s">
        <v>390</v>
      </c>
      <c r="B203" s="64">
        <v>4037</v>
      </c>
      <c r="C203" s="64" t="s">
        <v>60</v>
      </c>
      <c r="D203" s="64" t="s">
        <v>722</v>
      </c>
      <c r="E203" s="70">
        <v>42557.900092592594</v>
      </c>
      <c r="F203" s="70">
        <v>42557.900856481479</v>
      </c>
      <c r="G203" s="71">
        <v>1</v>
      </c>
      <c r="H203" s="70" t="s">
        <v>723</v>
      </c>
      <c r="I203" s="70">
        <v>42557.913240740738</v>
      </c>
      <c r="J203" s="64">
        <v>1</v>
      </c>
      <c r="K203" s="34" t="str">
        <f t="shared" si="52"/>
        <v>4037/4038</v>
      </c>
      <c r="L203" s="34" t="str">
        <f>VLOOKUP(A203,'Trips&amp;Operators'!$C$1:$E$10000,3,FALSE)</f>
        <v>STORY</v>
      </c>
      <c r="M203" s="6">
        <f t="shared" si="53"/>
        <v>1.2384259258396924E-2</v>
      </c>
      <c r="N203" s="7"/>
      <c r="O203" s="7"/>
      <c r="P203" s="7"/>
      <c r="Q203" s="35"/>
      <c r="R203" s="35"/>
      <c r="S203" s="54"/>
      <c r="T203" s="108"/>
      <c r="U203" s="108"/>
      <c r="V203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21:35:08-0600',mode:absolute,to:'2016-07-06 21:56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3" s="116"/>
      <c r="X203" s="116"/>
      <c r="Y203" s="116"/>
      <c r="Z203" s="116"/>
      <c r="AA203" s="116"/>
      <c r="AB203" s="117"/>
      <c r="AC203" s="117"/>
      <c r="AD203" s="118" t="str">
        <f t="shared" si="55"/>
        <v>0844-06</v>
      </c>
      <c r="AE203" s="118" t="str">
        <f>"aws s3 cp "&amp;s3_bucket&amp;"/RTDC"&amp;B203&amp;"/"&amp;TEXT(F203,"YYYY-MM-DD")&amp;"/ "&amp;search_path&amp;"\RTDC"&amp;B203&amp;"\"&amp;TEXT(F203,"YYYY-MM-DD")&amp;" --recursive &amp; """&amp;walkandungz&amp;""" "&amp;search_path&amp;"\RTDC"&amp;B203&amp;"\"&amp;TEXT(F203,"YYYY-MM-DD")
&amp;" &amp; "&amp;"aws s3 cp "&amp;s3_bucket&amp;"/RTDC"&amp;B203&amp;"/"&amp;TEXT(F203+1,"YYYY-MM-DD")&amp;"/ "&amp;search_path&amp;"\RTDC"&amp;B203&amp;"\"&amp;TEXT(F203+1,"YYYY-MM-DD")&amp;" --recursive &amp; """&amp;walkandungz&amp;""" "&amp;search_path&amp;"\RTDC"&amp;B203&amp;"\"&amp;TEXT(F203+1,"YYYY-MM-DD")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3" s="118" t="str">
        <f>astrogrep_path&amp;" /spath="&amp;search_path&amp;" /stypes=""*"&amp;B203&amp;"*"&amp;TEXT(F203-utc_offset/24,"YYYYMMDD")&amp;"*"" /stext="" "&amp;TEXT(F203-utc_offset/24,"HH")&amp;search_regexp&amp;""" /e /r /s"</f>
        <v>"C:\Program Files (x86)\AstroGrep\AstroGrep.exe" /spath="C:\Users\stu\Documents\Analysis\2016-02-23 RTDC Observations" /stypes="*4037*20160707*" /stext=" 03:.+((prompt.+disp)|(slice.+state.+chan)|(ment ac)|(system.+state.+chan)|(\|lc)|(penalty)|(\[timeout))" /e /r /s</v>
      </c>
    </row>
    <row r="204" spans="1:32" x14ac:dyDescent="0.25">
      <c r="A204" s="34" t="s">
        <v>553</v>
      </c>
      <c r="B204" s="64">
        <v>4038</v>
      </c>
      <c r="C204" s="64" t="s">
        <v>60</v>
      </c>
      <c r="D204" s="64" t="s">
        <v>724</v>
      </c>
      <c r="E204" s="70">
        <v>42557.887662037036</v>
      </c>
      <c r="F204" s="70">
        <v>42557.888437499998</v>
      </c>
      <c r="G204" s="71">
        <v>1</v>
      </c>
      <c r="H204" s="70" t="s">
        <v>725</v>
      </c>
      <c r="I204" s="70">
        <v>42557.899270833332</v>
      </c>
      <c r="J204" s="64">
        <v>0</v>
      </c>
      <c r="K204" s="34" t="str">
        <f t="shared" si="52"/>
        <v>4037/4038</v>
      </c>
      <c r="L204" s="34" t="str">
        <f>VLOOKUP(A204,'Trips&amp;Operators'!$C$1:$E$10000,3,FALSE)</f>
        <v>STORY</v>
      </c>
      <c r="M204" s="6">
        <f t="shared" si="53"/>
        <v>1.0833333333721384E-2</v>
      </c>
      <c r="N204" s="7"/>
      <c r="O204" s="7"/>
      <c r="P204" s="7"/>
      <c r="Q204" s="35"/>
      <c r="R204" s="35"/>
      <c r="S204" s="54"/>
      <c r="T204" s="108"/>
      <c r="U204" s="108"/>
      <c r="V204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21:17:14-0600',mode:absolute,to:'2016-07-06 21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4" s="116"/>
      <c r="X204" s="116"/>
      <c r="Y204" s="116"/>
      <c r="Z204" s="116"/>
      <c r="AA204" s="116"/>
      <c r="AB204" s="117"/>
      <c r="AC204" s="117"/>
      <c r="AD204" s="118" t="str">
        <f t="shared" si="55"/>
        <v>0845-06</v>
      </c>
      <c r="AE204" s="118" t="str">
        <f>"aws s3 cp "&amp;s3_bucket&amp;"/RTDC"&amp;B204&amp;"/"&amp;TEXT(F204,"YYYY-MM-DD")&amp;"/ "&amp;search_path&amp;"\RTDC"&amp;B204&amp;"\"&amp;TEXT(F204,"YYYY-MM-DD")&amp;" --recursive &amp; """&amp;walkandungz&amp;""" "&amp;search_path&amp;"\RTDC"&amp;B204&amp;"\"&amp;TEXT(F204,"YYYY-MM-DD")
&amp;" &amp; "&amp;"aws s3 cp "&amp;s3_bucket&amp;"/RTDC"&amp;B204&amp;"/"&amp;TEXT(F204+1,"YYYY-MM-DD")&amp;"/ "&amp;search_path&amp;"\RTDC"&amp;B204&amp;"\"&amp;TEXT(F204+1,"YYYY-MM-DD")&amp;" --recursive &amp; """&amp;walkandungz&amp;""" "&amp;search_path&amp;"\RTDC"&amp;B204&amp;"\"&amp;TEXT(F204+1,"YYYY-MM-DD")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4" s="118" t="str">
        <f>astrogrep_path&amp;" /spath="&amp;search_path&amp;" /stypes=""*"&amp;B204&amp;"*"&amp;TEXT(F204-utc_offset/24,"YYYYMMDD")&amp;"*"" /stext="" "&amp;TEXT(F204-utc_offset/24,"HH")&amp;search_regexp&amp;""" /e /r /s"</f>
        <v>"C:\Program Files (x86)\AstroGrep\AstroGrep.exe" /spath="C:\Users\stu\Documents\Analysis\2016-02-23 RTDC Observations" /stypes="*4038*20160707*" /stext=" 03:.+((prompt.+disp)|(slice.+state.+chan)|(ment ac)|(system.+state.+chan)|(\|lc)|(penalty)|(\[timeout))" /e /r /s</v>
      </c>
    </row>
    <row r="205" spans="1:32" x14ac:dyDescent="0.25">
      <c r="A205" s="34" t="s">
        <v>392</v>
      </c>
      <c r="B205" s="64">
        <v>4038</v>
      </c>
      <c r="C205" s="64" t="s">
        <v>60</v>
      </c>
      <c r="D205" s="64" t="s">
        <v>672</v>
      </c>
      <c r="E205" s="70">
        <v>42557.926666666666</v>
      </c>
      <c r="F205" s="70">
        <v>42557.927858796298</v>
      </c>
      <c r="G205" s="71">
        <v>1</v>
      </c>
      <c r="H205" s="70" t="s">
        <v>309</v>
      </c>
      <c r="I205" s="70">
        <v>42557.940972222219</v>
      </c>
      <c r="J205" s="64">
        <v>1</v>
      </c>
      <c r="K205" s="34" t="str">
        <f t="shared" si="52"/>
        <v>4037/4038</v>
      </c>
      <c r="L205" s="34" t="str">
        <f>VLOOKUP(A205,'Trips&amp;Operators'!$C$1:$E$10000,3,FALSE)</f>
        <v>STORY</v>
      </c>
      <c r="M205" s="6">
        <f t="shared" si="53"/>
        <v>1.3113425920892041E-2</v>
      </c>
      <c r="N205" s="7"/>
      <c r="O205" s="7"/>
      <c r="P205" s="7"/>
      <c r="Q205" s="35"/>
      <c r="R205" s="35"/>
      <c r="S205" s="54"/>
      <c r="T205" s="108"/>
      <c r="U205" s="108"/>
      <c r="V205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22:13:24-0600',mode:absolute,to:'2016-07-06 22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5" s="116"/>
      <c r="X205" s="116"/>
      <c r="Y205" s="116"/>
      <c r="Z205" s="116"/>
      <c r="AA205" s="116"/>
      <c r="AB205" s="117"/>
      <c r="AC205" s="117"/>
      <c r="AD205" s="118" t="str">
        <f t="shared" si="55"/>
        <v>0847-06</v>
      </c>
      <c r="AE205" s="118" t="str">
        <f>"aws s3 cp "&amp;s3_bucket&amp;"/RTDC"&amp;B205&amp;"/"&amp;TEXT(F205,"YYYY-MM-DD")&amp;"/ "&amp;search_path&amp;"\RTDC"&amp;B205&amp;"\"&amp;TEXT(F205,"YYYY-MM-DD")&amp;" --recursive &amp; """&amp;walkandungz&amp;""" "&amp;search_path&amp;"\RTDC"&amp;B205&amp;"\"&amp;TEXT(F205,"YYYY-MM-DD")
&amp;" &amp; "&amp;"aws s3 cp "&amp;s3_bucket&amp;"/RTDC"&amp;B205&amp;"/"&amp;TEXT(F205+1,"YYYY-MM-DD")&amp;"/ "&amp;search_path&amp;"\RTDC"&amp;B205&amp;"\"&amp;TEXT(F205+1,"YYYY-MM-DD")&amp;" --recursive &amp; """&amp;walkandungz&amp;""" "&amp;search_path&amp;"\RTDC"&amp;B205&amp;"\"&amp;TEXT(F205+1,"YYYY-MM-DD")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5" s="118" t="str">
        <f>astrogrep_path&amp;" /spath="&amp;search_path&amp;" /stypes=""*"&amp;B205&amp;"*"&amp;TEXT(F205-utc_offset/24,"YYYYMMDD")&amp;"*"" /stext="" "&amp;TEXT(F205-utc_offset/24,"HH")&amp;search_regexp&amp;""" /e /r /s"</f>
        <v>"C:\Program Files (x86)\AstroGrep\AstroGrep.exe" /spath="C:\Users\stu\Documents\Analysis\2016-02-23 RTDC Observations" /stypes="*4038*20160707*" /stext=" 04:.+((prompt.+disp)|(slice.+state.+chan)|(ment ac)|(system.+state.+chan)|(\|lc)|(penalty)|(\[timeout))" /e /r /s</v>
      </c>
    </row>
    <row r="206" spans="1:32" x14ac:dyDescent="0.25">
      <c r="A206" s="34" t="s">
        <v>320</v>
      </c>
      <c r="B206" s="64">
        <v>4027</v>
      </c>
      <c r="C206" s="64" t="s">
        <v>60</v>
      </c>
      <c r="D206" s="64" t="s">
        <v>726</v>
      </c>
      <c r="E206" s="70">
        <v>42557.206643518519</v>
      </c>
      <c r="F206" s="70">
        <v>42557.21130787037</v>
      </c>
      <c r="G206" s="71">
        <v>6</v>
      </c>
      <c r="H206" s="70" t="s">
        <v>727</v>
      </c>
      <c r="I206" s="70">
        <v>42557.212048611109</v>
      </c>
      <c r="J206" s="64">
        <v>2</v>
      </c>
      <c r="K206" s="34" t="str">
        <f t="shared" si="52"/>
        <v>4027/4028</v>
      </c>
      <c r="L206" s="34" t="str">
        <f>VLOOKUP(A206,'Trips&amp;Operators'!$C$1:$E$10000,3,FALSE)</f>
        <v>STURGEON</v>
      </c>
      <c r="M206" s="6">
        <f t="shared" si="53"/>
        <v>7.4074073927477002E-4</v>
      </c>
      <c r="N206" s="7"/>
      <c r="O206" s="7"/>
      <c r="P206" s="7"/>
      <c r="Q206" s="35"/>
      <c r="R206" s="35"/>
      <c r="S206" s="54"/>
      <c r="T206" s="108"/>
      <c r="U206" s="108"/>
      <c r="V206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06" s="116"/>
      <c r="X206" s="116"/>
      <c r="Y206" s="116"/>
      <c r="Z206" s="116"/>
      <c r="AA206" s="116"/>
      <c r="AB206" s="117"/>
      <c r="AC206" s="117"/>
      <c r="AD206" s="118" t="str">
        <f t="shared" si="55"/>
        <v>0901-06</v>
      </c>
      <c r="AE206" s="118" t="str">
        <f>"aws s3 cp "&amp;s3_bucket&amp;"/RTDC"&amp;B206&amp;"/"&amp;TEXT(F206,"YYYY-MM-DD")&amp;"/ "&amp;search_path&amp;"\RTDC"&amp;B206&amp;"\"&amp;TEXT(F206,"YYYY-MM-DD")&amp;" --recursive &amp; """&amp;walkandungz&amp;""" "&amp;search_path&amp;"\RTDC"&amp;B206&amp;"\"&amp;TEXT(F206,"YYYY-MM-DD")
&amp;" &amp; "&amp;"aws s3 cp "&amp;s3_bucket&amp;"/RTDC"&amp;B206&amp;"/"&amp;TEXT(F206+1,"YYYY-MM-DD")&amp;"/ "&amp;search_path&amp;"\RTDC"&amp;B206&amp;"\"&amp;TEXT(F206+1,"YYYY-MM-DD")&amp;" --recursive &amp; """&amp;walkandungz&amp;""" "&amp;search_path&amp;"\RTDC"&amp;B206&amp;"\"&amp;TEXT(F206+1,"YYYY-MM-DD")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206" s="118" t="str">
        <f>astrogrep_path&amp;" /spath="&amp;search_path&amp;" /stypes=""*"&amp;B206&amp;"*"&amp;TEXT(F206-utc_offset/24,"YYYYMMDD")&amp;"*"" /stext="" "&amp;TEXT(F206-utc_offset/24,"HH")&amp;search_regexp&amp;""" /e /r /s"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</row>
    <row r="207" spans="1:32" x14ac:dyDescent="0.25">
      <c r="A207" s="34" t="s">
        <v>486</v>
      </c>
      <c r="B207" s="64">
        <v>4027</v>
      </c>
      <c r="C207" s="64" t="s">
        <v>60</v>
      </c>
      <c r="D207" s="64" t="s">
        <v>728</v>
      </c>
      <c r="E207" s="70">
        <v>42557.352164351854</v>
      </c>
      <c r="F207" s="70">
        <v>42557.353217592594</v>
      </c>
      <c r="G207" s="71">
        <v>1</v>
      </c>
      <c r="H207" s="70" t="s">
        <v>729</v>
      </c>
      <c r="I207" s="70">
        <v>42557.360648148147</v>
      </c>
      <c r="J207" s="64">
        <v>0</v>
      </c>
      <c r="K207" s="34" t="str">
        <f t="shared" si="52"/>
        <v>4027/4028</v>
      </c>
      <c r="L207" s="34" t="str">
        <f>VLOOKUP(A207,'Trips&amp;Operators'!$C$1:$E$10000,3,FALSE)</f>
        <v>STURGEON</v>
      </c>
      <c r="M207" s="6">
        <f t="shared" si="53"/>
        <v>7.4305555535829626E-3</v>
      </c>
      <c r="N207" s="7"/>
      <c r="O207" s="7"/>
      <c r="P207" s="7"/>
      <c r="Q207" s="35"/>
      <c r="R207" s="35"/>
      <c r="S207" s="54"/>
      <c r="T207" s="108"/>
      <c r="U207" s="108"/>
      <c r="V207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08:26:07-0600',mode:absolute,to:'2016-07-06 08:40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07" s="116"/>
      <c r="X207" s="116"/>
      <c r="Y207" s="116"/>
      <c r="Z207" s="116"/>
      <c r="AA207" s="116"/>
      <c r="AB207" s="117"/>
      <c r="AC207" s="117"/>
      <c r="AD207" s="118" t="str">
        <f t="shared" si="55"/>
        <v>0903-06</v>
      </c>
      <c r="AE207" s="118" t="str">
        <f>"aws s3 cp "&amp;s3_bucket&amp;"/RTDC"&amp;B207&amp;"/"&amp;TEXT(F207,"YYYY-MM-DD")&amp;"/ "&amp;search_path&amp;"\RTDC"&amp;B207&amp;"\"&amp;TEXT(F207,"YYYY-MM-DD")&amp;" --recursive &amp; """&amp;walkandungz&amp;""" "&amp;search_path&amp;"\RTDC"&amp;B207&amp;"\"&amp;TEXT(F207,"YYYY-MM-DD")
&amp;" &amp; "&amp;"aws s3 cp "&amp;s3_bucket&amp;"/RTDC"&amp;B207&amp;"/"&amp;TEXT(F207+1,"YYYY-MM-DD")&amp;"/ "&amp;search_path&amp;"\RTDC"&amp;B207&amp;"\"&amp;TEXT(F207+1,"YYYY-MM-DD")&amp;" --recursive &amp; """&amp;walkandungz&amp;""" "&amp;search_path&amp;"\RTDC"&amp;B207&amp;"\"&amp;TEXT(F207+1,"YYYY-MM-DD")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207" s="118" t="str">
        <f>astrogrep_path&amp;" /spath="&amp;search_path&amp;" /stypes=""*"&amp;B207&amp;"*"&amp;TEXT(F207-utc_offset/24,"YYYYMMDD")&amp;"*"" /stext="" "&amp;TEXT(F207-utc_offset/24,"HH")&amp;search_regexp&amp;""" /e /r /s"</f>
        <v>"C:\Program Files (x86)\AstroGrep\AstroGrep.exe" /spath="C:\Users\stu\Documents\Analysis\2016-02-23 RTDC Observations" /stypes="*4027*20160706*" /stext=" 14:.+((prompt.+disp)|(slice.+state.+chan)|(ment ac)|(system.+state.+chan)|(\|lc)|(penalty)|(\[timeout))" /e /r /s</v>
      </c>
    </row>
    <row r="208" spans="1:32" x14ac:dyDescent="0.25">
      <c r="A208" s="34" t="s">
        <v>382</v>
      </c>
      <c r="B208" s="64">
        <v>4028</v>
      </c>
      <c r="C208" s="64" t="s">
        <v>60</v>
      </c>
      <c r="D208" s="64" t="s">
        <v>317</v>
      </c>
      <c r="E208" s="70">
        <v>42557.7966087963</v>
      </c>
      <c r="F208" s="70">
        <v>42557.797314814816</v>
      </c>
      <c r="G208" s="71">
        <v>1</v>
      </c>
      <c r="H208" s="70" t="s">
        <v>730</v>
      </c>
      <c r="I208" s="70">
        <v>42557.804143518515</v>
      </c>
      <c r="J208" s="64">
        <v>1</v>
      </c>
      <c r="K208" s="34" t="str">
        <f t="shared" si="52"/>
        <v>4027/4028</v>
      </c>
      <c r="L208" s="34" t="str">
        <f>VLOOKUP(A208,'Trips&amp;Operators'!$C$1:$E$10000,3,FALSE)</f>
        <v>STRICKLAND</v>
      </c>
      <c r="M208" s="6">
        <f t="shared" si="53"/>
        <v>6.8287036992842332E-3</v>
      </c>
      <c r="N208" s="7"/>
      <c r="O208" s="7"/>
      <c r="P208" s="7"/>
      <c r="Q208" s="35"/>
      <c r="R208" s="35"/>
      <c r="S208" s="54"/>
      <c r="T208" s="108"/>
      <c r="U208" s="108"/>
      <c r="V208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19:06:07-0600',mode:absolute,to:'2016-07-06 19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08" s="116"/>
      <c r="X208" s="116"/>
      <c r="Y208" s="116"/>
      <c r="Z208" s="116"/>
      <c r="AA208" s="116"/>
      <c r="AB208" s="117"/>
      <c r="AC208" s="117"/>
      <c r="AD208" s="118" t="str">
        <f t="shared" si="55"/>
        <v>0906-06</v>
      </c>
      <c r="AE208" s="118" t="str">
        <f>"aws s3 cp "&amp;s3_bucket&amp;"/RTDC"&amp;B208&amp;"/"&amp;TEXT(F208,"YYYY-MM-DD")&amp;"/ "&amp;search_path&amp;"\RTDC"&amp;B208&amp;"\"&amp;TEXT(F208,"YYYY-MM-DD")&amp;" --recursive &amp; """&amp;walkandungz&amp;""" "&amp;search_path&amp;"\RTDC"&amp;B208&amp;"\"&amp;TEXT(F208,"YYYY-MM-DD")
&amp;" &amp; "&amp;"aws s3 cp "&amp;s3_bucket&amp;"/RTDC"&amp;B208&amp;"/"&amp;TEXT(F208+1,"YYYY-MM-DD")&amp;"/ "&amp;search_path&amp;"\RTDC"&amp;B208&amp;"\"&amp;TEXT(F208+1,"YYYY-MM-DD")&amp;" --recursive &amp; """&amp;walkandungz&amp;""" "&amp;search_path&amp;"\RTDC"&amp;B208&amp;"\"&amp;TEXT(F208+1,"YYYY-MM-DD")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208" s="118" t="str">
        <f>astrogrep_path&amp;" /spath="&amp;search_path&amp;" /stypes=""*"&amp;B208&amp;"*"&amp;TEXT(F208-utc_offset/24,"YYYYMMDD")&amp;"*"" /stext="" "&amp;TEXT(F208-utc_offset/24,"HH")&amp;search_regexp&amp;""" /e /r /s"</f>
        <v>"C:\Program Files (x86)\AstroGrep\AstroGrep.exe" /spath="C:\Users\stu\Documents\Analysis\2016-02-23 RTDC Observations" /stypes="*4028*20160707*" /stext=" 01:.+((prompt.+disp)|(slice.+state.+chan)|(ment ac)|(system.+state.+chan)|(\|lc)|(penalty)|(\[timeout))" /e /r /s</v>
      </c>
    </row>
    <row r="209" spans="1:32" x14ac:dyDescent="0.25">
      <c r="A209" s="34" t="s">
        <v>544</v>
      </c>
      <c r="B209" s="64">
        <v>4037</v>
      </c>
      <c r="C209" s="64" t="s">
        <v>60</v>
      </c>
      <c r="D209" s="64" t="s">
        <v>230</v>
      </c>
      <c r="E209" s="70">
        <v>42557.941979166666</v>
      </c>
      <c r="F209" s="70">
        <v>42557.942847222221</v>
      </c>
      <c r="G209" s="71">
        <v>1</v>
      </c>
      <c r="H209" s="70" t="s">
        <v>731</v>
      </c>
      <c r="I209" s="70">
        <v>42557.949247685188</v>
      </c>
      <c r="J209" s="64">
        <v>0</v>
      </c>
      <c r="K209" s="34" t="str">
        <f t="shared" si="52"/>
        <v>4037/4038</v>
      </c>
      <c r="L209" s="34" t="str">
        <f>VLOOKUP(A209,'Trips&amp;Operators'!$C$1:$E$10000,3,FALSE)</f>
        <v>STORY</v>
      </c>
      <c r="M209" s="6">
        <f t="shared" si="53"/>
        <v>6.4004629675764591E-3</v>
      </c>
      <c r="N209" s="7"/>
      <c r="O209" s="7"/>
      <c r="P209" s="7"/>
      <c r="Q209" s="35"/>
      <c r="R209" s="35"/>
      <c r="S209" s="54"/>
      <c r="T209" s="108"/>
      <c r="U209" s="108"/>
      <c r="V209" s="116" t="str">
        <f t="shared" si="54"/>
        <v>https://search-rtdc-monitor-bjffxe2xuh6vdkpspy63sjmuny.us-east-1.es.amazonaws.com/_plugin/kibana/#/discover/Steve-Slow-Train-Analysis-(2080s-and-2083s)?_g=(refreshInterval:(display:Off,section:0,value:0),time:(from:'2016-07-06 22:35:27-0600',mode:absolute,to:'2016-07-06 22:47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9" s="116"/>
      <c r="X209" s="116"/>
      <c r="Y209" s="116"/>
      <c r="Z209" s="116"/>
      <c r="AA209" s="116"/>
      <c r="AB209" s="117"/>
      <c r="AC209" s="117"/>
      <c r="AD209" s="118" t="str">
        <f t="shared" si="55"/>
        <v>0908-06</v>
      </c>
      <c r="AE209" s="118" t="str">
        <f>"aws s3 cp "&amp;s3_bucket&amp;"/RTDC"&amp;B209&amp;"/"&amp;TEXT(F209,"YYYY-MM-DD")&amp;"/ "&amp;search_path&amp;"\RTDC"&amp;B209&amp;"\"&amp;TEXT(F209,"YYYY-MM-DD")&amp;" --recursive &amp; """&amp;walkandungz&amp;""" "&amp;search_path&amp;"\RTDC"&amp;B209&amp;"\"&amp;TEXT(F209,"YYYY-MM-DD")
&amp;" &amp; "&amp;"aws s3 cp "&amp;s3_bucket&amp;"/RTDC"&amp;B209&amp;"/"&amp;TEXT(F209+1,"YYYY-MM-DD")&amp;"/ "&amp;search_path&amp;"\RTDC"&amp;B209&amp;"\"&amp;TEXT(F209+1,"YYYY-MM-DD")&amp;" --recursive &amp; """&amp;walkandungz&amp;""" "&amp;search_path&amp;"\RTDC"&amp;B209&amp;"\"&amp;TEXT(F209+1,"YYYY-MM-DD")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9" s="118" t="str">
        <f>astrogrep_path&amp;" /spath="&amp;search_path&amp;" /stypes=""*"&amp;B209&amp;"*"&amp;TEXT(F209-utc_offset/24,"YYYYMMDD")&amp;"*"" /stext="" "&amp;TEXT(F209-utc_offset/24,"HH")&amp;search_regexp&amp;""" /e /r /s"</f>
        <v>"C:\Program Files (x86)\AstroGrep\AstroGrep.exe" /spath="C:\Users\stu\Documents\Analysis\2016-02-23 RTDC Observations" /stypes="*4037*20160707*" /stext=" 04:.+((prompt.+disp)|(slice.+state.+chan)|(ment ac)|(system.+state.+chan)|(\|lc)|(penalty)|(\[timeout))" /e /r /s</v>
      </c>
    </row>
  </sheetData>
  <autoFilter ref="A12:AD209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5" operator="equal">
      <formula>"Y"</formula>
    </cfRule>
  </conditionalFormatting>
  <conditionalFormatting sqref="X13:X1048576">
    <cfRule type="cellIs" dxfId="10" priority="58" operator="greaterThan">
      <formula>1</formula>
    </cfRule>
  </conditionalFormatting>
  <conditionalFormatting sqref="X12:X1048576">
    <cfRule type="cellIs" dxfId="9" priority="55" operator="equal">
      <formula>0</formula>
    </cfRule>
  </conditionalFormatting>
  <conditionalFormatting sqref="A14:S14 A13:J13 L13:S13 A15:J139 A141:J156 K15:S209">
    <cfRule type="expression" dxfId="8" priority="51">
      <formula>$O13&gt;0</formula>
    </cfRule>
  </conditionalFormatting>
  <conditionalFormatting sqref="A14:S14 A13:J13 L13:S13 A15:J139 A141:J156 K15:S209">
    <cfRule type="expression" dxfId="7" priority="50">
      <formula>$P13&gt;0</formula>
    </cfRule>
  </conditionalFormatting>
  <conditionalFormatting sqref="K13">
    <cfRule type="expression" dxfId="6" priority="6">
      <formula>$O13&gt;0</formula>
    </cfRule>
  </conditionalFormatting>
  <conditionalFormatting sqref="K13">
    <cfRule type="expression" dxfId="5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A15:J139 A141:J156 K15:S209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showGridLines="0" topLeftCell="B1" zoomScale="85" zoomScaleNormal="85" workbookViewId="0">
      <selection activeCell="P6" sqref="P6"/>
    </sheetView>
    <sheetView topLeftCell="B28" zoomScale="85" zoomScaleNormal="85" workbookViewId="1">
      <selection activeCell="R20" sqref="R20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33"/>
    <col min="17" max="17" width="9.140625" style="40"/>
    <col min="18" max="18" width="7.5703125" customWidth="1"/>
    <col min="19" max="19" width="6.85546875" customWidth="1"/>
    <col min="20" max="20" width="18.42578125" style="105" bestFit="1" customWidth="1"/>
  </cols>
  <sheetData>
    <row r="1" spans="1:20" s="33" customFormat="1" ht="15.75" thickBot="1" x14ac:dyDescent="0.3">
      <c r="A1" s="8"/>
      <c r="F1" s="2"/>
      <c r="Q1" s="40"/>
      <c r="T1" s="105"/>
    </row>
    <row r="2" spans="1:20" s="33" customFormat="1" ht="30" x14ac:dyDescent="0.25">
      <c r="A2" s="8"/>
      <c r="F2" s="2"/>
      <c r="K2" s="55" t="s">
        <v>115</v>
      </c>
      <c r="L2" s="56"/>
      <c r="M2" s="57">
        <f>COUNTIF($M$7:$M$822,"=Y")</f>
        <v>16</v>
      </c>
      <c r="Q2" s="40"/>
      <c r="T2" s="105"/>
    </row>
    <row r="3" spans="1:20" s="33" customFormat="1" ht="15.75" thickBot="1" x14ac:dyDescent="0.3">
      <c r="A3" s="8"/>
      <c r="F3" s="2"/>
      <c r="K3" s="58" t="s">
        <v>116</v>
      </c>
      <c r="L3" s="59"/>
      <c r="M3" s="60">
        <f>COUNTA($M$7:$M$822)-M2</f>
        <v>87</v>
      </c>
      <c r="Q3" s="40"/>
      <c r="T3" s="105"/>
    </row>
    <row r="4" spans="1:20" s="33" customFormat="1" x14ac:dyDescent="0.25">
      <c r="A4" s="8"/>
      <c r="F4" s="2"/>
      <c r="Q4" s="40"/>
      <c r="T4" s="105"/>
    </row>
    <row r="5" spans="1:20" s="16" customFormat="1" ht="15" customHeight="1" x14ac:dyDescent="0.25">
      <c r="A5" s="103" t="str">
        <f>"Eagle P3 Braking Events - "&amp;TEXT(Variables!$A$2,"YYYY-mm-dd")</f>
        <v>Eagle P3 Braking Events - 2016-07-06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7"/>
      <c r="Q5" s="38"/>
      <c r="T5" s="106"/>
    </row>
    <row r="6" spans="1:20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85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109" t="s">
        <v>751</v>
      </c>
      <c r="Q6" s="109" t="s">
        <v>71</v>
      </c>
      <c r="R6" s="110" t="s">
        <v>749</v>
      </c>
      <c r="S6" s="14" t="s">
        <v>738</v>
      </c>
      <c r="T6" s="107" t="s">
        <v>739</v>
      </c>
    </row>
    <row r="7" spans="1:20" s="1" customFormat="1" x14ac:dyDescent="0.25">
      <c r="A7" s="61">
        <v>42557.495000000003</v>
      </c>
      <c r="B7" s="50" t="s">
        <v>135</v>
      </c>
      <c r="C7" s="50" t="s">
        <v>350</v>
      </c>
      <c r="D7" s="50" t="s">
        <v>50</v>
      </c>
      <c r="E7" s="83" t="s">
        <v>58</v>
      </c>
      <c r="F7" s="86">
        <v>150</v>
      </c>
      <c r="G7" s="50">
        <v>160</v>
      </c>
      <c r="H7" s="50">
        <v>5946</v>
      </c>
      <c r="I7" s="83" t="s">
        <v>59</v>
      </c>
      <c r="J7" s="50">
        <v>5315</v>
      </c>
      <c r="K7" s="50" t="s">
        <v>54</v>
      </c>
      <c r="L7" s="11" t="str">
        <f>VLOOKUP(C7,'Trips&amp;Operators'!$C$1:$E$10000,3,FALSE)</f>
        <v>MAYBERRY</v>
      </c>
      <c r="M7" s="10" t="s">
        <v>114</v>
      </c>
      <c r="N7" s="11"/>
      <c r="O7" s="33"/>
      <c r="P7" s="113" t="str">
        <f>VLOOKUP(C7,'Train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" s="111" t="str">
        <f>VLOOKUP(C7,'Train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" s="112" t="str">
        <f>VLOOKUP(C7,'Train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7" s="10" t="str">
        <f>MID(B7,13,4)</f>
        <v>4037</v>
      </c>
      <c r="T7" s="61">
        <f>A7+6/24</f>
        <v>42557.745000000003</v>
      </c>
    </row>
    <row r="8" spans="1:20" s="1" customFormat="1" x14ac:dyDescent="0.25">
      <c r="A8" s="61">
        <v>42557.835497685184</v>
      </c>
      <c r="B8" s="50" t="s">
        <v>133</v>
      </c>
      <c r="C8" s="50" t="s">
        <v>385</v>
      </c>
      <c r="D8" s="50" t="s">
        <v>55</v>
      </c>
      <c r="E8" s="83" t="s">
        <v>58</v>
      </c>
      <c r="F8" s="86">
        <v>400</v>
      </c>
      <c r="G8" s="50">
        <v>455</v>
      </c>
      <c r="H8" s="50">
        <v>7158</v>
      </c>
      <c r="I8" s="83" t="s">
        <v>59</v>
      </c>
      <c r="J8" s="50">
        <v>5457</v>
      </c>
      <c r="K8" s="50" t="s">
        <v>53</v>
      </c>
      <c r="L8" s="11" t="str">
        <f>VLOOKUP(C8,'Trips&amp;Operators'!$C$1:$E$10000,3,FALSE)</f>
        <v>ADANE</v>
      </c>
      <c r="M8" s="10" t="s">
        <v>114</v>
      </c>
      <c r="N8" s="11"/>
      <c r="P8" s="113" t="str">
        <f>VLOOKUP(C8,'Train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8" s="111" t="str">
        <f>VLOOKUP(C8,'Train Runs'!$A$13:$AE$954,22,0)</f>
        <v>https://search-rtdc-monitor-bjffxe2xuh6vdkpspy63sjmuny.us-east-1.es.amazonaws.com/_plugin/kibana/#/discover/Steve-Slow-Train-Analysis-(2080s-and-2083s)?_g=(refreshInterval:(display:Off,section:0,value:0),time:(from:'2016-07-06 19:52:38-0600',mode:absolute,to:'2016-07-06 20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" s="112" t="str">
        <f>VLOOKUP(C8,'Train Runs'!$A$13:$AF$954,32,0)</f>
        <v>"C:\Program Files (x86)\AstroGrep\AstroGrep.exe" /spath="C:\Users\stu\Documents\Analysis\2016-02-23 RTDC Observations" /stypes="*4025*20160707*" /stext=" 01:.+((prompt.+disp)|(slice.+state.+chan)|(ment ac)|(system.+state.+chan)|(\|lc)|(penalty)|(\[timeout))" /e /r /s</v>
      </c>
      <c r="S8" s="10" t="str">
        <f>MID(B8,13,4)</f>
        <v>4025</v>
      </c>
      <c r="T8" s="61">
        <f t="shared" ref="T8:T74" si="0">A8+6/24</f>
        <v>42558.085497685184</v>
      </c>
    </row>
    <row r="9" spans="1:20" s="1" customFormat="1" x14ac:dyDescent="0.25">
      <c r="A9" s="61">
        <v>42557.494386574072</v>
      </c>
      <c r="B9" s="50" t="s">
        <v>135</v>
      </c>
      <c r="C9" s="50" t="s">
        <v>350</v>
      </c>
      <c r="D9" s="50" t="s">
        <v>50</v>
      </c>
      <c r="E9" s="83" t="s">
        <v>58</v>
      </c>
      <c r="F9" s="86">
        <v>200</v>
      </c>
      <c r="G9" s="50">
        <v>146</v>
      </c>
      <c r="H9" s="50">
        <v>6790</v>
      </c>
      <c r="I9" s="83" t="s">
        <v>59</v>
      </c>
      <c r="J9" s="50">
        <v>5990</v>
      </c>
      <c r="K9" s="50" t="s">
        <v>54</v>
      </c>
      <c r="L9" s="11" t="str">
        <f>VLOOKUP(C9,'Trips&amp;Operators'!$C$1:$E$10000,3,FALSE)</f>
        <v>MAYBERRY</v>
      </c>
      <c r="M9" s="10" t="s">
        <v>114</v>
      </c>
      <c r="N9" s="11"/>
      <c r="P9" s="113" t="str">
        <f>VLOOKUP(C9,'Train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9" s="111" t="str">
        <f>VLOOKUP(C9,'Train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9" s="112" t="str">
        <f>VLOOKUP(C9,'Train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9" s="10" t="str">
        <f>MID(B9,13,4)</f>
        <v>4037</v>
      </c>
      <c r="T9" s="61">
        <f t="shared" si="0"/>
        <v>42557.744386574072</v>
      </c>
    </row>
    <row r="10" spans="1:20" s="1" customFormat="1" x14ac:dyDescent="0.25">
      <c r="A10" s="61">
        <v>42557.440949074073</v>
      </c>
      <c r="B10" s="50" t="s">
        <v>159</v>
      </c>
      <c r="C10" s="50" t="s">
        <v>345</v>
      </c>
      <c r="D10" s="50" t="s">
        <v>50</v>
      </c>
      <c r="E10" s="83" t="s">
        <v>58</v>
      </c>
      <c r="F10" s="86">
        <v>300</v>
      </c>
      <c r="G10" s="50">
        <v>253</v>
      </c>
      <c r="H10" s="50">
        <v>19767</v>
      </c>
      <c r="I10" s="83" t="s">
        <v>59</v>
      </c>
      <c r="J10" s="50">
        <v>20338</v>
      </c>
      <c r="K10" s="50" t="s">
        <v>53</v>
      </c>
      <c r="L10" s="11" t="str">
        <f>VLOOKUP(C10,'Trips&amp;Operators'!$C$1:$E$10000,3,FALSE)</f>
        <v>BEAM</v>
      </c>
      <c r="M10" s="10" t="s">
        <v>114</v>
      </c>
      <c r="N10" s="11"/>
      <c r="P10" s="113" t="str">
        <f>VLOOKUP(C10,'Train Runs'!$A$13:$AE$954,31,0)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Q10" s="111" t="str">
        <f>VLOOKUP(C10,'Train Runs'!$A$13:$AE$954,22,0)</f>
        <v>https://search-rtdc-monitor-bjffxe2xuh6vdkpspy63sjmuny.us-east-1.es.amazonaws.com/_plugin/kibana/#/discover/Steve-Slow-Train-Analysis-(2080s-and-2083s)?_g=(refreshInterval:(display:Off,section:0,value:0),time:(from:'2016-07-06 10:25:01-0600',mode:absolute,to:'2016-07-06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0" s="112" t="str">
        <f>VLOOKUP(C10,'Train Runs'!$A$13:$AF$954,32,0)</f>
        <v>"C:\Program Files (x86)\AstroGrep\AstroGrep.exe" /spath="C:\Users\stu\Documents\Analysis\2016-02-23 RTDC Observations" /stypes="*4044*20160706*" /stext=" 16:.+((prompt.+disp)|(slice.+state.+chan)|(ment ac)|(system.+state.+chan)|(\|lc)|(penalty)|(\[timeout))" /e /r /s</v>
      </c>
      <c r="S10" s="10" t="str">
        <f>MID(B10,13,4)</f>
        <v>4044</v>
      </c>
      <c r="T10" s="61">
        <f t="shared" si="0"/>
        <v>42557.690949074073</v>
      </c>
    </row>
    <row r="11" spans="1:20" s="1" customFormat="1" x14ac:dyDescent="0.25">
      <c r="A11" s="61">
        <v>42557.4768287037</v>
      </c>
      <c r="B11" s="50" t="s">
        <v>118</v>
      </c>
      <c r="C11" s="50" t="s">
        <v>348</v>
      </c>
      <c r="D11" s="50" t="s">
        <v>55</v>
      </c>
      <c r="E11" s="50" t="s">
        <v>58</v>
      </c>
      <c r="F11" s="86">
        <v>300</v>
      </c>
      <c r="G11" s="50">
        <v>364</v>
      </c>
      <c r="H11" s="50">
        <v>23798</v>
      </c>
      <c r="I11" s="50" t="s">
        <v>59</v>
      </c>
      <c r="J11" s="50">
        <v>21299</v>
      </c>
      <c r="K11" s="50" t="s">
        <v>53</v>
      </c>
      <c r="L11" s="11" t="str">
        <f>VLOOKUP(C11,'Trips&amp;Operators'!$C$1:$E$10000,3,FALSE)</f>
        <v>MAYBERRY</v>
      </c>
      <c r="M11" s="10" t="s">
        <v>114</v>
      </c>
      <c r="N11" s="11"/>
      <c r="O11" s="33"/>
      <c r="P11" s="113" t="str">
        <f>VLOOKUP(C11,'Train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1" s="111" t="str">
        <f>VLOOKUP(C11,'Train Runs'!$A$13:$AE$954,22,0)</f>
        <v>https://search-rtdc-monitor-bjffxe2xuh6vdkpspy63sjmuny.us-east-1.es.amazonaws.com/_plugin/kibana/#/discover/Steve-Slow-Train-Analysis-(2080s-and-2083s)?_g=(refreshInterval:(display:Off,section:0,value:0),time:(from:'2016-07-06 10:53:27-0600',mode:absolute,to:'2016-07-06 11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1" s="112" t="str">
        <f>VLOOKUP(C11,'Train Runs'!$A$13:$AF$954,32,0)</f>
        <v>"C:\Program Files (x86)\AstroGrep\AstroGrep.exe" /spath="C:\Users\stu\Documents\Analysis\2016-02-23 RTDC Observations" /stypes="*4038*20160706*" /stext=" 16:.+((prompt.+disp)|(slice.+state.+chan)|(ment ac)|(system.+state.+chan)|(\|lc)|(penalty)|(\[timeout))" /e /r /s</v>
      </c>
      <c r="S11" s="10" t="str">
        <f>MID(B11,13,4)</f>
        <v>4038</v>
      </c>
      <c r="T11" s="61">
        <f t="shared" si="0"/>
        <v>42557.7268287037</v>
      </c>
    </row>
    <row r="12" spans="1:20" s="1" customFormat="1" x14ac:dyDescent="0.25">
      <c r="A12" s="61">
        <v>42557.269201388888</v>
      </c>
      <c r="B12" s="50" t="s">
        <v>118</v>
      </c>
      <c r="C12" s="50" t="s">
        <v>325</v>
      </c>
      <c r="D12" s="50" t="s">
        <v>50</v>
      </c>
      <c r="E12" s="83" t="s">
        <v>58</v>
      </c>
      <c r="F12" s="86">
        <v>300</v>
      </c>
      <c r="G12" s="50">
        <v>313</v>
      </c>
      <c r="H12" s="50">
        <v>20788</v>
      </c>
      <c r="I12" s="83" t="s">
        <v>59</v>
      </c>
      <c r="J12" s="50">
        <v>21314</v>
      </c>
      <c r="K12" s="50" t="s">
        <v>53</v>
      </c>
      <c r="L12" s="11" t="str">
        <f>VLOOKUP(C12,'Trips&amp;Operators'!$C$1:$E$10000,3,FALSE)</f>
        <v>MAYBERRY</v>
      </c>
      <c r="M12" s="10" t="s">
        <v>114</v>
      </c>
      <c r="N12" s="11"/>
      <c r="P12" s="113" t="str">
        <f>VLOOKUP(C12,'Train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2" s="111" t="str">
        <f>VLOOKUP(C12,'Train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2" s="112" t="str">
        <f>VLOOKUP(C12,'Train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12" s="10" t="str">
        <f>MID(B12,13,4)</f>
        <v>4038</v>
      </c>
      <c r="T12" s="61">
        <f t="shared" si="0"/>
        <v>42557.519201388888</v>
      </c>
    </row>
    <row r="13" spans="1:20" s="1" customFormat="1" x14ac:dyDescent="0.25">
      <c r="A13" s="61">
        <v>42557.434513888889</v>
      </c>
      <c r="B13" s="50" t="s">
        <v>118</v>
      </c>
      <c r="C13" s="50" t="s">
        <v>344</v>
      </c>
      <c r="D13" s="50" t="s">
        <v>50</v>
      </c>
      <c r="E13" s="83" t="s">
        <v>58</v>
      </c>
      <c r="F13" s="86">
        <v>300</v>
      </c>
      <c r="G13" s="50">
        <v>374</v>
      </c>
      <c r="H13" s="50">
        <v>19603</v>
      </c>
      <c r="I13" s="83" t="s">
        <v>59</v>
      </c>
      <c r="J13" s="50">
        <v>21314</v>
      </c>
      <c r="K13" s="50" t="s">
        <v>53</v>
      </c>
      <c r="L13" s="11" t="str">
        <f>VLOOKUP(C13,'Trips&amp;Operators'!$C$1:$E$10000,3,FALSE)</f>
        <v>MAYBERRY</v>
      </c>
      <c r="M13" s="10" t="s">
        <v>114</v>
      </c>
      <c r="N13" s="11"/>
      <c r="P13" s="113" t="str">
        <f>VLOOKUP(C13,'Train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3" s="111" t="str">
        <f>VLOOKUP(C13,'Train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3" s="112" t="str">
        <f>VLOOKUP(C13,'Train Runs'!$A$13:$AF$954,32,0)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  <c r="S13" s="10" t="str">
        <f>MID(B13,13,4)</f>
        <v>4038</v>
      </c>
      <c r="T13" s="61">
        <f t="shared" si="0"/>
        <v>42557.684513888889</v>
      </c>
    </row>
    <row r="14" spans="1:20" s="1" customFormat="1" x14ac:dyDescent="0.25">
      <c r="A14" s="61">
        <v>42557.934918981482</v>
      </c>
      <c r="B14" s="50" t="s">
        <v>118</v>
      </c>
      <c r="C14" s="50" t="s">
        <v>392</v>
      </c>
      <c r="D14" s="50" t="s">
        <v>50</v>
      </c>
      <c r="E14" s="50" t="s">
        <v>58</v>
      </c>
      <c r="F14" s="86">
        <v>300</v>
      </c>
      <c r="G14" s="50">
        <v>344</v>
      </c>
      <c r="H14" s="50">
        <v>20615</v>
      </c>
      <c r="I14" s="50" t="s">
        <v>59</v>
      </c>
      <c r="J14" s="50">
        <v>21314</v>
      </c>
      <c r="K14" s="50" t="s">
        <v>53</v>
      </c>
      <c r="L14" s="11" t="str">
        <f>VLOOKUP(C14,'Trips&amp;Operators'!$C$1:$E$10000,3,FALSE)</f>
        <v>STORY</v>
      </c>
      <c r="M14" s="10" t="s">
        <v>114</v>
      </c>
      <c r="N14" s="11"/>
      <c r="P14" s="113" t="str">
        <f>VLOOKUP(C14,'Train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4" s="111" t="str">
        <f>VLOOKUP(C14,'Train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22:13:24-0600',mode:absolute,to:'2016-07-06 22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4" s="112" t="str">
        <f>VLOOKUP(C14,'Train Runs'!$A$13:$AF$954,32,0)</f>
        <v>"C:\Program Files (x86)\AstroGrep\AstroGrep.exe" /spath="C:\Users\stu\Documents\Analysis\2016-02-23 RTDC Observations" /stypes="*4038*20160707*" /stext=" 04:.+((prompt.+disp)|(slice.+state.+chan)|(ment ac)|(system.+state.+chan)|(\|lc)|(penalty)|(\[timeout))" /e /r /s</v>
      </c>
      <c r="S14" s="10" t="str">
        <f>MID(B14,13,4)</f>
        <v>4038</v>
      </c>
      <c r="T14" s="61">
        <f t="shared" si="0"/>
        <v>42558.184918981482</v>
      </c>
    </row>
    <row r="15" spans="1:20" s="1" customFormat="1" x14ac:dyDescent="0.25">
      <c r="A15" s="61">
        <v>42557.766481481478</v>
      </c>
      <c r="B15" s="50" t="s">
        <v>133</v>
      </c>
      <c r="C15" s="50" t="s">
        <v>378</v>
      </c>
      <c r="D15" s="50" t="s">
        <v>50</v>
      </c>
      <c r="E15" s="83" t="s">
        <v>58</v>
      </c>
      <c r="F15" s="86">
        <v>200</v>
      </c>
      <c r="G15" s="50">
        <v>182</v>
      </c>
      <c r="H15" s="50">
        <v>27240</v>
      </c>
      <c r="I15" s="83" t="s">
        <v>59</v>
      </c>
      <c r="J15" s="50">
        <v>27333</v>
      </c>
      <c r="K15" s="50" t="s">
        <v>53</v>
      </c>
      <c r="L15" s="11" t="str">
        <f>VLOOKUP(C15,'Trips&amp;Operators'!$C$1:$E$10000,3,FALSE)</f>
        <v>ADANE</v>
      </c>
      <c r="M15" s="10" t="s">
        <v>114</v>
      </c>
      <c r="N15" s="11"/>
      <c r="P15" s="113" t="str">
        <f>VLOOKUP(C15,'Train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5" s="111" t="str">
        <f>VLOOKUP(C15,'Train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5" s="112" t="str">
        <f>VLOOKUP(C15,'Train Runs'!$A$13:$AF$954,32,0)</f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  <c r="S15" s="10" t="str">
        <f>MID(B15,13,4)</f>
        <v>4025</v>
      </c>
      <c r="T15" s="61">
        <f t="shared" si="0"/>
        <v>42558.016481481478</v>
      </c>
    </row>
    <row r="16" spans="1:20" s="1" customFormat="1" x14ac:dyDescent="0.25">
      <c r="A16" s="61">
        <v>42557.341331018521</v>
      </c>
      <c r="B16" s="50" t="s">
        <v>87</v>
      </c>
      <c r="C16" s="50" t="s">
        <v>336</v>
      </c>
      <c r="D16" s="50" t="s">
        <v>50</v>
      </c>
      <c r="E16" s="83" t="s">
        <v>58</v>
      </c>
      <c r="F16" s="86">
        <v>200</v>
      </c>
      <c r="G16" s="50">
        <v>197</v>
      </c>
      <c r="H16" s="50">
        <v>30633</v>
      </c>
      <c r="I16" s="83" t="s">
        <v>59</v>
      </c>
      <c r="J16" s="50">
        <v>30562</v>
      </c>
      <c r="K16" s="50" t="s">
        <v>54</v>
      </c>
      <c r="L16" s="11" t="str">
        <f>VLOOKUP(C16,'Trips&amp;Operators'!$C$1:$E$10000,3,FALSE)</f>
        <v>BEAM</v>
      </c>
      <c r="M16" s="10" t="s">
        <v>114</v>
      </c>
      <c r="N16" s="11"/>
      <c r="P16" s="113" t="str">
        <f>VLOOKUP(C16,'Train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16" s="111" t="str">
        <f>VLOOKUP(C16,'Train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07:35:04-0600',mode:absolute,to:'2016-07-06 08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112" t="str">
        <f>VLOOKUP(C16,'Train Runs'!$A$13:$AF$954,32,0)</f>
        <v>"C:\Program Files (x86)\AstroGrep\AstroGrep.exe" /spath="C:\Users\stu\Documents\Analysis\2016-02-23 RTDC Observations" /stypes="*4041*20160706*" /stext=" 13:.+((prompt.+disp)|(slice.+state.+chan)|(ment ac)|(system.+state.+chan)|(\|lc)|(penalty)|(\[timeout))" /e /r /s</v>
      </c>
      <c r="S16" s="10" t="str">
        <f>MID(B16,13,4)</f>
        <v>4041</v>
      </c>
      <c r="T16" s="61">
        <f t="shared" si="0"/>
        <v>42557.591331018521</v>
      </c>
    </row>
    <row r="17" spans="1:20" s="1" customFormat="1" x14ac:dyDescent="0.25">
      <c r="A17" s="61">
        <v>42557.750555555554</v>
      </c>
      <c r="B17" s="50" t="s">
        <v>139</v>
      </c>
      <c r="C17" s="50" t="s">
        <v>375</v>
      </c>
      <c r="D17" s="50" t="s">
        <v>50</v>
      </c>
      <c r="E17" s="50" t="s">
        <v>58</v>
      </c>
      <c r="F17" s="86">
        <v>600</v>
      </c>
      <c r="G17" s="50">
        <v>650</v>
      </c>
      <c r="H17" s="50">
        <v>29410</v>
      </c>
      <c r="I17" s="50" t="s">
        <v>59</v>
      </c>
      <c r="J17" s="50">
        <v>30784</v>
      </c>
      <c r="K17" s="50" t="s">
        <v>53</v>
      </c>
      <c r="L17" s="11" t="str">
        <f>VLOOKUP(C17,'Trips&amp;Operators'!$C$1:$E$10000,3,FALSE)</f>
        <v>STRICKLAND</v>
      </c>
      <c r="M17" s="10" t="s">
        <v>114</v>
      </c>
      <c r="N17" s="11"/>
      <c r="O17" s="33"/>
      <c r="P17" s="113" t="str">
        <f>VLOOKUP(C17,'Train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17" s="111" t="str">
        <f>VLOOKUP(C17,'Train Runs'!$A$13:$AE$954,22,0)</f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7" s="112" t="str">
        <f>VLOOKUP(C17,'Train Runs'!$A$13:$AF$954,32,0)</f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  <c r="S17" s="10" t="str">
        <f>MID(B17,13,4)</f>
        <v>4027</v>
      </c>
      <c r="T17" s="61">
        <f t="shared" si="0"/>
        <v>42558.000555555554</v>
      </c>
    </row>
    <row r="18" spans="1:20" s="1" customFormat="1" x14ac:dyDescent="0.25">
      <c r="A18" s="13">
        <v>42557.271770833337</v>
      </c>
      <c r="B18" s="12" t="s">
        <v>118</v>
      </c>
      <c r="C18" s="12" t="s">
        <v>325</v>
      </c>
      <c r="D18" s="12" t="s">
        <v>50</v>
      </c>
      <c r="E18" s="84" t="s">
        <v>58</v>
      </c>
      <c r="F18" s="87">
        <v>300</v>
      </c>
      <c r="G18" s="12">
        <v>315</v>
      </c>
      <c r="H18" s="12">
        <v>40727</v>
      </c>
      <c r="I18" s="84" t="s">
        <v>59</v>
      </c>
      <c r="J18" s="12">
        <v>40977</v>
      </c>
      <c r="K18" s="11" t="s">
        <v>53</v>
      </c>
      <c r="L18" s="11" t="str">
        <f>VLOOKUP(C18,'Trips&amp;Operators'!$C$1:$E$10000,3,FALSE)</f>
        <v>MAYBERRY</v>
      </c>
      <c r="M18" s="10" t="s">
        <v>114</v>
      </c>
      <c r="N18" s="11"/>
      <c r="P18" s="113" t="str">
        <f>VLOOKUP(C18,'Train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8" s="111" t="str">
        <f>VLOOKUP(C18,'Train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8" s="112" t="str">
        <f>VLOOKUP(C18,'Train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18" s="10" t="str">
        <f>MID(B18,13,4)</f>
        <v>4038</v>
      </c>
      <c r="T18" s="61">
        <f t="shared" si="0"/>
        <v>42557.521770833337</v>
      </c>
    </row>
    <row r="19" spans="1:20" s="1" customFormat="1" x14ac:dyDescent="0.25">
      <c r="A19" s="13">
        <v>42557.855115740742</v>
      </c>
      <c r="B19" s="12" t="s">
        <v>118</v>
      </c>
      <c r="C19" s="12" t="s">
        <v>386</v>
      </c>
      <c r="D19" s="12" t="s">
        <v>50</v>
      </c>
      <c r="E19" s="84" t="s">
        <v>58</v>
      </c>
      <c r="F19" s="87">
        <v>300</v>
      </c>
      <c r="G19" s="12">
        <v>335</v>
      </c>
      <c r="H19" s="12">
        <v>40167</v>
      </c>
      <c r="I19" s="84" t="s">
        <v>59</v>
      </c>
      <c r="J19" s="12">
        <v>40977</v>
      </c>
      <c r="K19" s="11" t="s">
        <v>53</v>
      </c>
      <c r="L19" s="11" t="str">
        <f>VLOOKUP(C19,'Trips&amp;Operators'!$C$1:$E$10000,3,FALSE)</f>
        <v>STORY</v>
      </c>
      <c r="M19" s="10" t="s">
        <v>114</v>
      </c>
      <c r="N19" s="11"/>
      <c r="P19" s="113" t="str">
        <f>VLOOKUP(C19,'Train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9" s="111" t="str">
        <f>VLOOKUP(C19,'Train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9" s="112" t="str">
        <f>VLOOKUP(C19,'Train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19" s="10" t="str">
        <f>MID(B19,13,4)</f>
        <v>4038</v>
      </c>
      <c r="T19" s="61">
        <f t="shared" si="0"/>
        <v>42558.105115740742</v>
      </c>
    </row>
    <row r="20" spans="1:20" s="1" customFormat="1" x14ac:dyDescent="0.25">
      <c r="A20" s="13">
        <v>42557.604270833333</v>
      </c>
      <c r="B20" s="12" t="s">
        <v>118</v>
      </c>
      <c r="C20" s="12" t="s">
        <v>358</v>
      </c>
      <c r="D20" s="12" t="s">
        <v>55</v>
      </c>
      <c r="E20" s="84" t="s">
        <v>58</v>
      </c>
      <c r="F20" s="87">
        <v>400</v>
      </c>
      <c r="G20" s="12">
        <v>452</v>
      </c>
      <c r="H20" s="12">
        <v>43979</v>
      </c>
      <c r="I20" s="84" t="s">
        <v>59</v>
      </c>
      <c r="J20" s="12">
        <v>41797</v>
      </c>
      <c r="K20" s="11" t="s">
        <v>53</v>
      </c>
      <c r="L20" s="11" t="str">
        <f>VLOOKUP(C20,'Trips&amp;Operators'!$C$1:$E$10000,3,FALSE)</f>
        <v>STORY</v>
      </c>
      <c r="M20" s="10" t="s">
        <v>114</v>
      </c>
      <c r="N20" s="11"/>
      <c r="P20" s="113" t="str">
        <f>VLOOKUP(C20,'Train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0" s="111" t="str">
        <f>VLOOKUP(C20,'Train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0" s="112" t="str">
        <f>VLOOKUP(C20,'Train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20" s="10" t="str">
        <f>MID(B20,13,4)</f>
        <v>4038</v>
      </c>
      <c r="T20" s="61">
        <f t="shared" si="0"/>
        <v>42557.854270833333</v>
      </c>
    </row>
    <row r="21" spans="1:20" s="1" customFormat="1" x14ac:dyDescent="0.25">
      <c r="A21" s="13">
        <v>42557.604988425926</v>
      </c>
      <c r="B21" s="12" t="s">
        <v>118</v>
      </c>
      <c r="C21" s="12" t="s">
        <v>358</v>
      </c>
      <c r="D21" s="12" t="s">
        <v>50</v>
      </c>
      <c r="E21" s="84" t="s">
        <v>58</v>
      </c>
      <c r="F21" s="87">
        <v>400</v>
      </c>
      <c r="G21" s="12">
        <v>417</v>
      </c>
      <c r="H21" s="12">
        <v>46621</v>
      </c>
      <c r="I21" s="84" t="s">
        <v>59</v>
      </c>
      <c r="J21" s="12">
        <v>47808</v>
      </c>
      <c r="K21" s="11" t="s">
        <v>53</v>
      </c>
      <c r="L21" s="11" t="str">
        <f>VLOOKUP(C21,'Trips&amp;Operators'!$C$1:$E$10000,3,FALSE)</f>
        <v>STORY</v>
      </c>
      <c r="M21" s="10" t="s">
        <v>114</v>
      </c>
      <c r="N21" s="11"/>
      <c r="P21" s="113" t="str">
        <f>VLOOKUP(C21,'Train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1" s="111" t="str">
        <f>VLOOKUP(C21,'Train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1" s="112" t="str">
        <f>VLOOKUP(C21,'Train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21" s="10" t="str">
        <f>MID(B21,13,4)</f>
        <v>4038</v>
      </c>
      <c r="T21" s="61">
        <f t="shared" si="0"/>
        <v>42557.854988425926</v>
      </c>
    </row>
    <row r="22" spans="1:20" s="1" customFormat="1" x14ac:dyDescent="0.25">
      <c r="A22" s="61">
        <v>42557.313923611109</v>
      </c>
      <c r="B22" s="50" t="s">
        <v>118</v>
      </c>
      <c r="C22" s="50" t="s">
        <v>332</v>
      </c>
      <c r="D22" s="50" t="s">
        <v>50</v>
      </c>
      <c r="E22" s="50" t="s">
        <v>58</v>
      </c>
      <c r="F22" s="86">
        <v>150</v>
      </c>
      <c r="G22" s="50">
        <v>115</v>
      </c>
      <c r="H22" s="50">
        <v>56792</v>
      </c>
      <c r="I22" s="50" t="s">
        <v>59</v>
      </c>
      <c r="J22" s="50">
        <v>57008</v>
      </c>
      <c r="K22" s="50" t="s">
        <v>53</v>
      </c>
      <c r="L22" s="11" t="str">
        <f>VLOOKUP(C22,'Trips&amp;Operators'!$C$1:$E$10000,3,FALSE)</f>
        <v>MAYBERRY</v>
      </c>
      <c r="M22" s="10" t="s">
        <v>114</v>
      </c>
      <c r="N22" s="11"/>
      <c r="O22" s="33"/>
      <c r="P22" s="113" t="str">
        <f>VLOOKUP(C22,'Train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2" s="111" t="str">
        <f>VLOOKUP(C22,'Train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2" s="112" t="str">
        <f>VLOOKUP(C22,'Train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22" s="10" t="str">
        <f>MID(B22,13,4)</f>
        <v>4038</v>
      </c>
      <c r="T22" s="61">
        <f t="shared" si="0"/>
        <v>42557.563923611109</v>
      </c>
    </row>
    <row r="23" spans="1:20" s="1" customFormat="1" x14ac:dyDescent="0.25">
      <c r="A23" s="61">
        <v>42557.647233796299</v>
      </c>
      <c r="B23" s="50" t="s">
        <v>118</v>
      </c>
      <c r="C23" s="50" t="s">
        <v>364</v>
      </c>
      <c r="D23" s="50" t="s">
        <v>50</v>
      </c>
      <c r="E23" s="50" t="s">
        <v>58</v>
      </c>
      <c r="F23" s="86">
        <v>150</v>
      </c>
      <c r="G23" s="50">
        <v>132</v>
      </c>
      <c r="H23" s="50">
        <v>56948</v>
      </c>
      <c r="I23" s="50" t="s">
        <v>59</v>
      </c>
      <c r="J23" s="50">
        <v>57008</v>
      </c>
      <c r="K23" s="50" t="s">
        <v>53</v>
      </c>
      <c r="L23" s="11" t="str">
        <f>VLOOKUP(C23,'Trips&amp;Operators'!$C$1:$E$10000,3,FALSE)</f>
        <v>STORY</v>
      </c>
      <c r="M23" s="10" t="s">
        <v>114</v>
      </c>
      <c r="N23" s="11"/>
      <c r="O23" s="33"/>
      <c r="P23" s="113" t="str">
        <f>VLOOKUP(C23,'Train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3" s="111" t="str">
        <f>VLOOKUP(C23,'Train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3" s="112" t="str">
        <f>VLOOKUP(C23,'Train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23" s="10" t="str">
        <f>MID(B23,13,4)</f>
        <v>4038</v>
      </c>
      <c r="T23" s="61">
        <f t="shared" si="0"/>
        <v>42557.897233796299</v>
      </c>
    </row>
    <row r="24" spans="1:20" s="1" customFormat="1" x14ac:dyDescent="0.25">
      <c r="A24" s="61">
        <v>42557.688761574071</v>
      </c>
      <c r="B24" s="50" t="s">
        <v>118</v>
      </c>
      <c r="C24" s="50" t="s">
        <v>370</v>
      </c>
      <c r="D24" s="50" t="s">
        <v>50</v>
      </c>
      <c r="E24" s="83" t="s">
        <v>58</v>
      </c>
      <c r="F24" s="86">
        <v>150</v>
      </c>
      <c r="G24" s="50">
        <v>422</v>
      </c>
      <c r="H24" s="50">
        <v>54465</v>
      </c>
      <c r="I24" s="83" t="s">
        <v>59</v>
      </c>
      <c r="J24" s="50">
        <v>57008</v>
      </c>
      <c r="K24" s="50" t="s">
        <v>53</v>
      </c>
      <c r="L24" s="11" t="str">
        <f>VLOOKUP(C24,'Trips&amp;Operators'!$C$1:$E$10000,3,FALSE)</f>
        <v>STORY</v>
      </c>
      <c r="M24" s="10" t="s">
        <v>114</v>
      </c>
      <c r="N24" s="11"/>
      <c r="P24" s="113" t="str">
        <f>VLOOKUP(C24,'Train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4" s="111" t="str">
        <f>VLOOKUP(C24,'Train Runs'!$A$13:$AE$954,22,0)</f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4" s="112" t="str">
        <f>VLOOKUP(C24,'Train Runs'!$A$13:$AF$954,32,0)</f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  <c r="S24" s="10" t="str">
        <f>MID(B24,13,4)</f>
        <v>4038</v>
      </c>
      <c r="T24" s="61">
        <f t="shared" si="0"/>
        <v>42557.938761574071</v>
      </c>
    </row>
    <row r="25" spans="1:20" s="1" customFormat="1" x14ac:dyDescent="0.25">
      <c r="A25" s="61">
        <v>42557.67627314815</v>
      </c>
      <c r="B25" s="50" t="s">
        <v>134</v>
      </c>
      <c r="C25" s="50" t="s">
        <v>369</v>
      </c>
      <c r="D25" s="50" t="s">
        <v>55</v>
      </c>
      <c r="E25" s="83" t="s">
        <v>58</v>
      </c>
      <c r="F25" s="86">
        <v>150</v>
      </c>
      <c r="G25" s="50">
        <v>200</v>
      </c>
      <c r="H25" s="50">
        <v>56902</v>
      </c>
      <c r="I25" s="83" t="s">
        <v>59</v>
      </c>
      <c r="J25" s="50">
        <v>59050</v>
      </c>
      <c r="K25" s="50" t="s">
        <v>54</v>
      </c>
      <c r="L25" s="11" t="str">
        <f>VLOOKUP(C25,'Trips&amp;Operators'!$C$1:$E$10000,3,FALSE)</f>
        <v>STRICKLAND</v>
      </c>
      <c r="M25" s="10" t="s">
        <v>114</v>
      </c>
      <c r="N25" s="11"/>
      <c r="O25" s="33"/>
      <c r="P25" s="113" t="str">
        <f>VLOOKUP(C25,'Train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25" s="111" t="str">
        <f>VLOOKUP(C25,'Train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5" s="112" t="str">
        <f>VLOOKUP(C25,'Train Runs'!$A$13:$AF$954,32,0)</f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  <c r="S25" s="10" t="str">
        <f>MID(B25,13,4)</f>
        <v>4028</v>
      </c>
      <c r="T25" s="61">
        <f t="shared" si="0"/>
        <v>42557.92627314815</v>
      </c>
    </row>
    <row r="26" spans="1:20" s="1" customFormat="1" x14ac:dyDescent="0.25">
      <c r="A26" s="13">
        <v>42557.799016203702</v>
      </c>
      <c r="B26" s="12" t="s">
        <v>134</v>
      </c>
      <c r="C26" s="12" t="s">
        <v>382</v>
      </c>
      <c r="D26" s="12" t="s">
        <v>55</v>
      </c>
      <c r="E26" s="84" t="s">
        <v>58</v>
      </c>
      <c r="F26" s="87">
        <v>150</v>
      </c>
      <c r="G26" s="12">
        <v>200</v>
      </c>
      <c r="H26" s="12">
        <v>56955</v>
      </c>
      <c r="I26" s="84" t="s">
        <v>59</v>
      </c>
      <c r="J26" s="12">
        <v>59050</v>
      </c>
      <c r="K26" s="11" t="s">
        <v>54</v>
      </c>
      <c r="L26" s="11" t="str">
        <f>VLOOKUP(C26,'Trips&amp;Operators'!$C$1:$E$10000,3,FALSE)</f>
        <v>STRICKLAND</v>
      </c>
      <c r="M26" s="10" t="s">
        <v>114</v>
      </c>
      <c r="N26" s="11"/>
      <c r="P26" s="113" t="str">
        <f>VLOOKUP(C26,'Train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26" s="111" t="str">
        <f>VLOOKUP(C26,'Train Runs'!$A$13:$AE$954,22,0)</f>
        <v>https://search-rtdc-monitor-bjffxe2xuh6vdkpspy63sjmuny.us-east-1.es.amazonaws.com/_plugin/kibana/#/discover/Steve-Slow-Train-Analysis-(2080s-and-2083s)?_g=(refreshInterval:(display:Off,section:0,value:0),time:(from:'2016-07-06 19:06:07-0600',mode:absolute,to:'2016-07-06 19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6" s="112" t="str">
        <f>VLOOKUP(C26,'Train Runs'!$A$13:$AF$954,32,0)</f>
        <v>"C:\Program Files (x86)\AstroGrep\AstroGrep.exe" /spath="C:\Users\stu\Documents\Analysis\2016-02-23 RTDC Observations" /stypes="*4028*20160707*" /stext=" 01:.+((prompt.+disp)|(slice.+state.+chan)|(ment ac)|(system.+state.+chan)|(\|lc)|(penalty)|(\[timeout))" /e /r /s</v>
      </c>
      <c r="S26" s="10" t="str">
        <f>MID(B26,13,4)</f>
        <v>4028</v>
      </c>
      <c r="T26" s="61">
        <f t="shared" si="0"/>
        <v>42558.049016203702</v>
      </c>
    </row>
    <row r="27" spans="1:20" s="1" customFormat="1" x14ac:dyDescent="0.25">
      <c r="A27" s="61">
        <v>42557.457476851851</v>
      </c>
      <c r="B27" s="50" t="s">
        <v>69</v>
      </c>
      <c r="C27" s="50" t="s">
        <v>346</v>
      </c>
      <c r="D27" s="50" t="s">
        <v>55</v>
      </c>
      <c r="E27" s="50" t="s">
        <v>58</v>
      </c>
      <c r="F27" s="86">
        <v>550</v>
      </c>
      <c r="G27" s="50">
        <v>604</v>
      </c>
      <c r="H27" s="50">
        <v>222083</v>
      </c>
      <c r="I27" s="50" t="s">
        <v>59</v>
      </c>
      <c r="J27" s="50">
        <v>224581</v>
      </c>
      <c r="K27" s="50" t="s">
        <v>54</v>
      </c>
      <c r="L27" s="11" t="str">
        <f>VLOOKUP(C27,'Trips&amp;Operators'!$C$1:$E$10000,3,FALSE)</f>
        <v>NEWELL</v>
      </c>
      <c r="M27" s="10" t="s">
        <v>114</v>
      </c>
      <c r="N27" s="11"/>
      <c r="O27" s="33"/>
      <c r="P27" s="113" t="str">
        <f>VLOOKUP(C27,'Train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7" s="111" t="str">
        <f>VLOOKUP(C27,'Train Runs'!$A$13:$AE$954,22,0)</f>
        <v>https://search-rtdc-monitor-bjffxe2xuh6vdkpspy63sjmuny.us-east-1.es.amazonaws.com/_plugin/kibana/#/discover/Steve-Slow-Train-Analysis-(2080s-and-2083s)?_g=(refreshInterval:(display:Off,section:0,value:0),time:(from:'2016-07-06 10:48:46-0600',mode:absolute,to:'2016-07-06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7" s="112" t="str">
        <f>VLOOKUP(C27,'Train Runs'!$A$13:$AF$954,32,0)</f>
        <v>"C:\Program Files (x86)\AstroGrep\AstroGrep.exe" /spath="C:\Users\stu\Documents\Analysis\2016-02-23 RTDC Observations" /stypes="*4032*20160706*" /stext=" 16:.+((prompt.+disp)|(slice.+state.+chan)|(ment ac)|(system.+state.+chan)|(\|lc)|(penalty)|(\[timeout))" /e /r /s</v>
      </c>
      <c r="S27" s="10" t="str">
        <f>MID(B27,13,4)</f>
        <v>4032</v>
      </c>
      <c r="T27" s="61">
        <f t="shared" si="0"/>
        <v>42557.707476851851</v>
      </c>
    </row>
    <row r="28" spans="1:20" s="1" customFormat="1" x14ac:dyDescent="0.25">
      <c r="A28" s="13">
        <v>42557.530578703707</v>
      </c>
      <c r="B28" s="12" t="s">
        <v>69</v>
      </c>
      <c r="C28" s="12" t="s">
        <v>352</v>
      </c>
      <c r="D28" s="12" t="s">
        <v>55</v>
      </c>
      <c r="E28" s="84" t="s">
        <v>58</v>
      </c>
      <c r="F28" s="87">
        <v>350</v>
      </c>
      <c r="G28" s="12">
        <v>401</v>
      </c>
      <c r="H28" s="12">
        <v>225596</v>
      </c>
      <c r="I28" s="84" t="s">
        <v>59</v>
      </c>
      <c r="J28" s="12">
        <v>228668</v>
      </c>
      <c r="K28" s="11" t="s">
        <v>54</v>
      </c>
      <c r="L28" s="11" t="str">
        <f>VLOOKUP(C28,'Trips&amp;Operators'!$C$1:$E$10000,3,FALSE)</f>
        <v>COOLAHAN</v>
      </c>
      <c r="M28" s="10" t="s">
        <v>114</v>
      </c>
      <c r="N28" s="11"/>
      <c r="O28" s="33"/>
      <c r="P28" s="113" t="str">
        <f>VLOOKUP(C28,'Train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8" s="111" t="str">
        <f>VLOOKUP(C28,'Train Runs'!$A$13:$AE$954,22,0)</f>
        <v>https://search-rtdc-monitor-bjffxe2xuh6vdkpspy63sjmuny.us-east-1.es.amazonaws.com/_plugin/kibana/#/discover/Steve-Slow-Train-Analysis-(2080s-and-2083s)?_g=(refreshInterval:(display:Off,section:0,value:0),time:(from:'2016-07-06 12:34:27-0600',mode:absolute,to:'2016-07-06 13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8" s="112" t="str">
        <f>VLOOKUP(C28,'Train Runs'!$A$13:$AF$954,32,0)</f>
        <v>"C:\Program Files (x86)\AstroGrep\AstroGrep.exe" /spath="C:\Users\stu\Documents\Analysis\2016-02-23 RTDC Observations" /stypes="*4032*20160706*" /stext=" 18:.+((prompt.+disp)|(slice.+state.+chan)|(ment ac)|(system.+state.+chan)|(\|lc)|(penalty)|(\[timeout))" /e /r /s</v>
      </c>
      <c r="S28" s="10" t="str">
        <f>MID(B28,13,4)</f>
        <v>4032</v>
      </c>
      <c r="T28" s="61">
        <f t="shared" si="0"/>
        <v>42557.780578703707</v>
      </c>
    </row>
    <row r="29" spans="1:20" s="1" customFormat="1" x14ac:dyDescent="0.25">
      <c r="A29" s="61">
        <v>42557.93645833333</v>
      </c>
      <c r="B29" s="50" t="s">
        <v>69</v>
      </c>
      <c r="C29" s="50" t="s">
        <v>393</v>
      </c>
      <c r="D29" s="50" t="s">
        <v>50</v>
      </c>
      <c r="E29" s="50" t="s">
        <v>58</v>
      </c>
      <c r="F29" s="86">
        <v>150</v>
      </c>
      <c r="G29" s="50">
        <v>184</v>
      </c>
      <c r="H29" s="50">
        <v>229496</v>
      </c>
      <c r="I29" s="50" t="s">
        <v>59</v>
      </c>
      <c r="J29" s="50">
        <v>229055</v>
      </c>
      <c r="K29" s="50" t="s">
        <v>54</v>
      </c>
      <c r="L29" s="11" t="str">
        <f>VLOOKUP(C29,'Trips&amp;Operators'!$C$1:$E$10000,3,FALSE)</f>
        <v>DAVIS</v>
      </c>
      <c r="M29" s="10" t="s">
        <v>114</v>
      </c>
      <c r="N29" s="11"/>
      <c r="P29" s="113" t="str">
        <f>VLOOKUP(C29,'Train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9" s="111" t="str">
        <f>VLOOKUP(C29,'Train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9" s="112" t="str">
        <f>VLOOKUP(C29,'Train Runs'!$A$13:$AF$954,32,0)</f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  <c r="S29" s="10" t="str">
        <f>MID(B29,13,4)</f>
        <v>4032</v>
      </c>
      <c r="T29" s="61">
        <f t="shared" si="0"/>
        <v>42558.18645833333</v>
      </c>
    </row>
    <row r="30" spans="1:20" s="1" customFormat="1" x14ac:dyDescent="0.25">
      <c r="A30" s="61">
        <v>42557.232546296298</v>
      </c>
      <c r="B30" s="50" t="s">
        <v>88</v>
      </c>
      <c r="C30" s="50" t="s">
        <v>322</v>
      </c>
      <c r="D30" s="50" t="s">
        <v>50</v>
      </c>
      <c r="E30" s="50" t="s">
        <v>58</v>
      </c>
      <c r="F30" s="86">
        <v>150</v>
      </c>
      <c r="G30" s="50">
        <v>134</v>
      </c>
      <c r="H30" s="50">
        <v>231564</v>
      </c>
      <c r="I30" s="50" t="s">
        <v>59</v>
      </c>
      <c r="J30" s="50">
        <v>232107</v>
      </c>
      <c r="K30" s="50" t="s">
        <v>53</v>
      </c>
      <c r="L30" s="11" t="str">
        <f>VLOOKUP(C30,'Trips&amp;Operators'!$C$1:$E$10000,3,FALSE)</f>
        <v>BEAM</v>
      </c>
      <c r="M30" s="10" t="s">
        <v>114</v>
      </c>
      <c r="N30" s="11"/>
      <c r="O30" s="33"/>
      <c r="P30" s="113" t="str">
        <f>VLOOKUP(C30,'Train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30" s="111" t="str">
        <f>VLOOKUP(C30,'Train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04:54:23-0600',mode:absolute,to:'2016-07-06 05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30" s="112" t="str">
        <f>VLOOKUP(C30,'Train Runs'!$A$13:$AF$954,32,0)</f>
        <v>"C:\Program Files (x86)\AstroGrep\AstroGrep.exe" /spath="C:\Users\stu\Documents\Analysis\2016-02-23 RTDC Observations" /stypes="*4042*20160706*" /stext=" 10:.+((prompt.+disp)|(slice.+state.+chan)|(ment ac)|(system.+state.+chan)|(\|lc)|(penalty)|(\[timeout))" /e /r /s</v>
      </c>
      <c r="S30" s="10" t="str">
        <f>MID(B30,13,4)</f>
        <v>4042</v>
      </c>
      <c r="T30" s="61">
        <f t="shared" si="0"/>
        <v>42557.482546296298</v>
      </c>
    </row>
    <row r="31" spans="1:20" x14ac:dyDescent="0.25">
      <c r="A31" s="61">
        <v>42557.493923611109</v>
      </c>
      <c r="B31" s="50" t="s">
        <v>135</v>
      </c>
      <c r="C31" s="50" t="s">
        <v>350</v>
      </c>
      <c r="D31" s="50" t="s">
        <v>50</v>
      </c>
      <c r="E31" s="83" t="s">
        <v>56</v>
      </c>
      <c r="F31" s="86">
        <v>0</v>
      </c>
      <c r="G31" s="50">
        <v>347</v>
      </c>
      <c r="H31" s="50">
        <v>7758</v>
      </c>
      <c r="I31" s="83" t="s">
        <v>57</v>
      </c>
      <c r="J31" s="50">
        <v>6799</v>
      </c>
      <c r="K31" s="50" t="s">
        <v>54</v>
      </c>
      <c r="L31" s="11" t="str">
        <f>VLOOKUP(C31,'Trips&amp;Operators'!$C$1:$E$10000,3,FALSE)</f>
        <v>MAYBERRY</v>
      </c>
      <c r="M31" s="10" t="s">
        <v>113</v>
      </c>
      <c r="N31" s="11" t="s">
        <v>145</v>
      </c>
      <c r="O31" s="1"/>
      <c r="P31" s="113" t="str">
        <f>VLOOKUP(C31,'Train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31" s="111" t="str">
        <f>VLOOKUP(C31,'Train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1" s="112" t="str">
        <f>VLOOKUP(C31,'Train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31" s="10" t="str">
        <f>MID(B31,13,4)</f>
        <v>4037</v>
      </c>
      <c r="T31" s="61">
        <f t="shared" si="0"/>
        <v>42557.743923611109</v>
      </c>
    </row>
    <row r="32" spans="1:20" x14ac:dyDescent="0.25">
      <c r="A32" s="61">
        <v>42557.211539351854</v>
      </c>
      <c r="B32" s="50" t="s">
        <v>139</v>
      </c>
      <c r="C32" s="50" t="s">
        <v>320</v>
      </c>
      <c r="D32" s="50" t="s">
        <v>50</v>
      </c>
      <c r="E32" s="83" t="s">
        <v>56</v>
      </c>
      <c r="F32" s="86">
        <v>0</v>
      </c>
      <c r="G32" s="50">
        <v>57</v>
      </c>
      <c r="H32" s="50">
        <v>28816</v>
      </c>
      <c r="I32" s="83" t="s">
        <v>57</v>
      </c>
      <c r="J32" s="50">
        <v>28990</v>
      </c>
      <c r="K32" s="50" t="s">
        <v>53</v>
      </c>
      <c r="L32" s="11" t="str">
        <f>VLOOKUP(C32,'Trips&amp;Operators'!$C$1:$E$10000,3,FALSE)</f>
        <v>STURGEON</v>
      </c>
      <c r="M32" s="10" t="s">
        <v>114</v>
      </c>
      <c r="N32" s="11" t="s">
        <v>740</v>
      </c>
      <c r="O32" s="33"/>
      <c r="P32" s="113" t="str">
        <f>VLOOKUP(C32,'Train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32" s="111" t="str">
        <f>VLOOKUP(C32,'Train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2" s="112" t="str">
        <f>VLOOKUP(C32,'Train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32" s="10" t="str">
        <f>MID(B32,13,4)</f>
        <v>4027</v>
      </c>
      <c r="T32" s="61">
        <f t="shared" si="0"/>
        <v>42557.461539351854</v>
      </c>
    </row>
    <row r="33" spans="1:20" x14ac:dyDescent="0.25">
      <c r="A33" s="61">
        <v>42557.211956018517</v>
      </c>
      <c r="B33" s="50" t="s">
        <v>139</v>
      </c>
      <c r="C33" s="50" t="s">
        <v>320</v>
      </c>
      <c r="D33" s="50" t="s">
        <v>50</v>
      </c>
      <c r="E33" s="83" t="s">
        <v>56</v>
      </c>
      <c r="F33" s="86">
        <v>0</v>
      </c>
      <c r="G33" s="50">
        <v>46</v>
      </c>
      <c r="H33" s="50">
        <v>28911</v>
      </c>
      <c r="I33" s="83" t="s">
        <v>57</v>
      </c>
      <c r="J33" s="50">
        <v>28990</v>
      </c>
      <c r="K33" s="50" t="s">
        <v>53</v>
      </c>
      <c r="L33" s="11" t="str">
        <f>VLOOKUP(C33,'Trips&amp;Operators'!$C$1:$E$10000,3,FALSE)</f>
        <v>STURGEON</v>
      </c>
      <c r="M33" s="10" t="s">
        <v>114</v>
      </c>
      <c r="N33" s="11" t="s">
        <v>740</v>
      </c>
      <c r="O33" s="1"/>
      <c r="P33" s="113" t="str">
        <f>VLOOKUP(C33,'Train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33" s="111" t="str">
        <f>VLOOKUP(C33,'Train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3" s="112" t="str">
        <f>VLOOKUP(C33,'Train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33" s="10" t="str">
        <f>MID(B33,13,4)</f>
        <v>4027</v>
      </c>
      <c r="T33" s="61">
        <f t="shared" si="0"/>
        <v>42557.461956018517</v>
      </c>
    </row>
    <row r="34" spans="1:20" x14ac:dyDescent="0.25">
      <c r="A34" s="61">
        <v>42557.690752314818</v>
      </c>
      <c r="B34" s="50" t="s">
        <v>69</v>
      </c>
      <c r="C34" s="50" t="s">
        <v>371</v>
      </c>
      <c r="D34" s="50" t="s">
        <v>50</v>
      </c>
      <c r="E34" s="83" t="s">
        <v>56</v>
      </c>
      <c r="F34" s="86">
        <v>0</v>
      </c>
      <c r="G34" s="50">
        <v>36</v>
      </c>
      <c r="H34" s="50">
        <v>64113</v>
      </c>
      <c r="I34" s="83" t="s">
        <v>57</v>
      </c>
      <c r="J34" s="50">
        <v>64008</v>
      </c>
      <c r="K34" s="50" t="s">
        <v>54</v>
      </c>
      <c r="L34" s="11" t="str">
        <f>VLOOKUP(C34,'Trips&amp;Operators'!$C$1:$E$10000,3,FALSE)</f>
        <v>COOLAHAN</v>
      </c>
      <c r="M34" s="10" t="s">
        <v>113</v>
      </c>
      <c r="N34" s="11" t="s">
        <v>741</v>
      </c>
      <c r="O34" s="1"/>
      <c r="P34" s="113" t="str">
        <f>VLOOKUP(C34,'Train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34" s="111" t="str">
        <f>VLOOKUP(C34,'Train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16:07:16-0600',mode:absolute,to:'2016-07-06 16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4" s="112" t="str">
        <f>VLOOKUP(C34,'Train Runs'!$A$13:$AF$954,32,0)</f>
        <v>"C:\Program Files (x86)\AstroGrep\AstroGrep.exe" /spath="C:\Users\stu\Documents\Analysis\2016-02-23 RTDC Observations" /stypes="*4032*20160706*" /stext=" 22:.+((prompt.+disp)|(slice.+state.+chan)|(ment ac)|(system.+state.+chan)|(\|lc)|(penalty)|(\[timeout))" /e /r /s</v>
      </c>
      <c r="S34" s="10" t="str">
        <f>MID(B34,13,4)</f>
        <v>4032</v>
      </c>
      <c r="T34" s="61">
        <f t="shared" si="0"/>
        <v>42557.940752314818</v>
      </c>
    </row>
    <row r="35" spans="1:20" x14ac:dyDescent="0.25">
      <c r="A35" s="61">
        <v>42557.56422453704</v>
      </c>
      <c r="B35" s="50" t="s">
        <v>170</v>
      </c>
      <c r="C35" s="50" t="s">
        <v>355</v>
      </c>
      <c r="D35" s="50" t="s">
        <v>50</v>
      </c>
      <c r="E35" s="83" t="s">
        <v>56</v>
      </c>
      <c r="F35" s="86">
        <v>0</v>
      </c>
      <c r="G35" s="50">
        <v>697</v>
      </c>
      <c r="H35" s="50">
        <v>81355</v>
      </c>
      <c r="I35" s="83" t="s">
        <v>57</v>
      </c>
      <c r="J35" s="50">
        <v>81738</v>
      </c>
      <c r="K35" s="50" t="s">
        <v>53</v>
      </c>
      <c r="L35" s="11" t="str">
        <f>VLOOKUP(C35,'Trips&amp;Operators'!$C$1:$E$10000,3,FALSE)</f>
        <v>SHOOK</v>
      </c>
      <c r="M35" s="10" t="s">
        <v>113</v>
      </c>
      <c r="N35" s="11" t="s">
        <v>145</v>
      </c>
      <c r="O35" s="1"/>
      <c r="P35" s="113" t="str">
        <f>VLOOKUP(C35,'Train Runs'!$A$13:$AE$954,31,0)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Q35" s="111" t="str">
        <f>VLOOKUP(C35,'Train Runs'!$A$13:$AE$954,22,0)</f>
        <v>https://search-rtdc-monitor-bjffxe2xuh6vdkpspy63sjmuny.us-east-1.es.amazonaws.com/_plugin/kibana/#/discover/Steve-Slow-Train-Analysis-(2080s-and-2083s)?_g=(refreshInterval:(display:Off,section:0,value:0),time:(from:'2016-07-06 13:07:12-0600',mode:absolute,to:'2016-07-06 13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35" s="112" t="str">
        <f>VLOOKUP(C35,'Train Runs'!$A$13:$AF$954,32,0)</f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  <c r="S35" s="10" t="str">
        <f>MID(B35,13,4)</f>
        <v>4040</v>
      </c>
      <c r="T35" s="61">
        <f t="shared" si="0"/>
        <v>42557.81422453704</v>
      </c>
    </row>
    <row r="36" spans="1:20" x14ac:dyDescent="0.25">
      <c r="A36" s="61">
        <v>42557.492800925924</v>
      </c>
      <c r="B36" s="50" t="s">
        <v>87</v>
      </c>
      <c r="C36" s="50" t="s">
        <v>349</v>
      </c>
      <c r="D36" s="50" t="s">
        <v>50</v>
      </c>
      <c r="E36" s="50" t="s">
        <v>56</v>
      </c>
      <c r="F36" s="86">
        <v>0</v>
      </c>
      <c r="G36" s="50">
        <v>43</v>
      </c>
      <c r="H36" s="50">
        <v>106692</v>
      </c>
      <c r="I36" s="50" t="s">
        <v>57</v>
      </c>
      <c r="J36" s="50">
        <v>106479</v>
      </c>
      <c r="K36" s="50" t="s">
        <v>54</v>
      </c>
      <c r="L36" s="11" t="str">
        <f>VLOOKUP(C36,'Trips&amp;Operators'!$C$1:$E$10000,3,FALSE)</f>
        <v>SPECTOR</v>
      </c>
      <c r="M36" s="10" t="s">
        <v>114</v>
      </c>
      <c r="N36" s="11" t="s">
        <v>742</v>
      </c>
      <c r="O36" s="33"/>
      <c r="P36" s="113" t="str">
        <f>VLOOKUP(C36,'Train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36" s="111" t="str">
        <f>VLOOKUP(C36,'Train Runs'!$A$13:$AE$954,22,0)</f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6" s="112" t="str">
        <f>VLOOKUP(C36,'Train Runs'!$A$13:$AF$954,32,0)</f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  <c r="S36" s="10" t="str">
        <f>MID(B36,13,4)</f>
        <v>4041</v>
      </c>
      <c r="T36" s="61">
        <f t="shared" si="0"/>
        <v>42557.742800925924</v>
      </c>
    </row>
    <row r="37" spans="1:20" x14ac:dyDescent="0.25">
      <c r="A37" s="61">
        <v>42557.482256944444</v>
      </c>
      <c r="B37" s="50" t="s">
        <v>87</v>
      </c>
      <c r="C37" s="50" t="s">
        <v>349</v>
      </c>
      <c r="D37" s="50" t="s">
        <v>50</v>
      </c>
      <c r="E37" s="50" t="s">
        <v>56</v>
      </c>
      <c r="F37" s="86">
        <v>0</v>
      </c>
      <c r="G37" s="50">
        <v>408</v>
      </c>
      <c r="H37" s="50">
        <v>129974</v>
      </c>
      <c r="I37" s="50" t="s">
        <v>57</v>
      </c>
      <c r="J37" s="50">
        <v>127587</v>
      </c>
      <c r="K37" s="50" t="s">
        <v>54</v>
      </c>
      <c r="L37" s="11" t="str">
        <f>VLOOKUP(C37,'Trips&amp;Operators'!$C$1:$E$10000,3,FALSE)</f>
        <v>SPECTOR</v>
      </c>
      <c r="M37" s="10" t="s">
        <v>114</v>
      </c>
      <c r="N37" s="11" t="s">
        <v>743</v>
      </c>
      <c r="O37" s="33"/>
      <c r="P37" s="113" t="str">
        <f>VLOOKUP(C37,'Train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37" s="111" t="str">
        <f>VLOOKUP(C37,'Train Runs'!$A$13:$AE$954,22,0)</f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7" s="112" t="str">
        <f>VLOOKUP(C37,'Train Runs'!$A$13:$AF$954,32,0)</f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  <c r="S37" s="10" t="str">
        <f>MID(B37,13,4)</f>
        <v>4041</v>
      </c>
      <c r="T37" s="61">
        <f t="shared" si="0"/>
        <v>42557.732256944444</v>
      </c>
    </row>
    <row r="38" spans="1:20" x14ac:dyDescent="0.25">
      <c r="A38" s="13">
        <v>42557.78402777778</v>
      </c>
      <c r="B38" s="12" t="s">
        <v>133</v>
      </c>
      <c r="C38" s="12" t="s">
        <v>378</v>
      </c>
      <c r="D38" s="12" t="s">
        <v>55</v>
      </c>
      <c r="E38" s="84" t="s">
        <v>56</v>
      </c>
      <c r="F38" s="87">
        <v>200</v>
      </c>
      <c r="G38" s="12">
        <v>258</v>
      </c>
      <c r="H38" s="12">
        <v>155180</v>
      </c>
      <c r="I38" s="84" t="s">
        <v>57</v>
      </c>
      <c r="J38" s="12">
        <v>149694</v>
      </c>
      <c r="K38" s="11" t="s">
        <v>53</v>
      </c>
      <c r="L38" s="11" t="str">
        <f>VLOOKUP(C38,'Trips&amp;Operators'!$C$1:$E$10000,3,FALSE)</f>
        <v>ADANE</v>
      </c>
      <c r="M38" s="10" t="s">
        <v>114</v>
      </c>
      <c r="N38" s="11" t="s">
        <v>744</v>
      </c>
      <c r="O38" s="1"/>
      <c r="P38" s="113" t="str">
        <f>VLOOKUP(C38,'Train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38" s="111" t="str">
        <f>VLOOKUP(C38,'Train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8" s="112" t="str">
        <f>VLOOKUP(C38,'Train Runs'!$A$13:$AF$954,32,0)</f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  <c r="S38" s="10" t="str">
        <f>MID(B38,13,4)</f>
        <v>4025</v>
      </c>
      <c r="T38" s="61">
        <f t="shared" si="0"/>
        <v>42558.03402777778</v>
      </c>
    </row>
    <row r="39" spans="1:20" x14ac:dyDescent="0.25">
      <c r="A39" s="61">
        <v>42557.637974537036</v>
      </c>
      <c r="B39" s="50" t="s">
        <v>77</v>
      </c>
      <c r="C39" s="50" t="s">
        <v>361</v>
      </c>
      <c r="D39" s="50" t="s">
        <v>50</v>
      </c>
      <c r="E39" s="83" t="s">
        <v>56</v>
      </c>
      <c r="F39" s="86">
        <v>0</v>
      </c>
      <c r="G39" s="50">
        <v>657</v>
      </c>
      <c r="H39" s="50">
        <v>181614</v>
      </c>
      <c r="I39" s="83" t="s">
        <v>57</v>
      </c>
      <c r="J39" s="50">
        <v>175398</v>
      </c>
      <c r="K39" s="50" t="s">
        <v>54</v>
      </c>
      <c r="L39" s="11" t="str">
        <f>VLOOKUP(C39,'Trips&amp;Operators'!$C$1:$E$10000,3,FALSE)</f>
        <v>BRANNON</v>
      </c>
      <c r="M39" s="10" t="s">
        <v>113</v>
      </c>
      <c r="N39" s="11" t="s">
        <v>750</v>
      </c>
      <c r="O39" s="1"/>
      <c r="P39" s="113" t="str">
        <f>VLOOKUP(C39,'Train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39" s="111" t="str">
        <f>VLOOKUP(C39,'Train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9" s="112" t="str">
        <f>VLOOKUP(C39,'Train Runs'!$A$13:$AF$954,32,0)</f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  <c r="S39" s="10" t="str">
        <f>MID(B39,13,4)</f>
        <v>4017</v>
      </c>
      <c r="T39" s="61">
        <f t="shared" si="0"/>
        <v>42557.887974537036</v>
      </c>
    </row>
    <row r="40" spans="1:20" x14ac:dyDescent="0.25">
      <c r="A40" s="61">
        <v>42557.718217592592</v>
      </c>
      <c r="B40" s="50" t="s">
        <v>132</v>
      </c>
      <c r="C40" s="50" t="s">
        <v>374</v>
      </c>
      <c r="D40" s="50" t="s">
        <v>50</v>
      </c>
      <c r="E40" s="83" t="s">
        <v>56</v>
      </c>
      <c r="F40" s="86">
        <v>0</v>
      </c>
      <c r="G40" s="50">
        <v>35</v>
      </c>
      <c r="H40" s="50">
        <v>231253</v>
      </c>
      <c r="I40" s="83" t="s">
        <v>57</v>
      </c>
      <c r="J40" s="50">
        <v>231147</v>
      </c>
      <c r="K40" s="50" t="s">
        <v>54</v>
      </c>
      <c r="L40" s="11" t="str">
        <f>VLOOKUP(C40,'Trips&amp;Operators'!$C$1:$E$10000,3,FALSE)</f>
        <v>YOUNG</v>
      </c>
      <c r="M40" s="10" t="s">
        <v>113</v>
      </c>
      <c r="N40" s="11" t="s">
        <v>145</v>
      </c>
      <c r="O40" s="1"/>
      <c r="P40" s="113" t="str">
        <f>VLOOKUP(C40,'Train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40" s="111" t="str">
        <f>VLOOKUP(C40,'Train Runs'!$A$13:$AE$954,22,0)</f>
        <v>https://search-rtdc-monitor-bjffxe2xuh6vdkpspy63sjmuny.us-east-1.es.amazonaws.com/_plugin/kibana/#/discover/Steve-Slow-Train-Analysis-(2080s-and-2083s)?_g=(refreshInterval:(display:Off,section:0,value:0),time:(from:'2016-07-06 17:27:59-0600',mode:absolute,to:'2016-07-06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0" s="112" t="str">
        <f>VLOOKUP(C40,'Train Runs'!$A$13:$AF$954,32,0)</f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  <c r="S40" s="10" t="str">
        <f>MID(B40,13,4)</f>
        <v>4013</v>
      </c>
      <c r="T40" s="61">
        <f t="shared" si="0"/>
        <v>42557.968217592592</v>
      </c>
    </row>
    <row r="41" spans="1:20" x14ac:dyDescent="0.25">
      <c r="A41" s="13">
        <v>42557.419062499997</v>
      </c>
      <c r="B41" s="12" t="s">
        <v>79</v>
      </c>
      <c r="C41" s="12" t="s">
        <v>343</v>
      </c>
      <c r="D41" s="12" t="s">
        <v>55</v>
      </c>
      <c r="E41" s="84" t="s">
        <v>111</v>
      </c>
      <c r="F41" s="87">
        <v>0</v>
      </c>
      <c r="G41" s="12">
        <v>567</v>
      </c>
      <c r="H41" s="12">
        <v>11483</v>
      </c>
      <c r="I41" s="84" t="s">
        <v>112</v>
      </c>
      <c r="J41" s="12">
        <v>10800</v>
      </c>
      <c r="K41" s="11" t="s">
        <v>53</v>
      </c>
      <c r="L41" s="11" t="str">
        <f>VLOOKUP(C41,'Trips&amp;Operators'!$C$1:$E$10000,3,FALSE)</f>
        <v>NEWELL</v>
      </c>
      <c r="M41" s="10" t="s">
        <v>113</v>
      </c>
      <c r="N41" s="11" t="s">
        <v>145</v>
      </c>
      <c r="O41" s="1"/>
      <c r="P41" s="113" t="str">
        <f>VLOOKUP(C41,'Train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41" s="111" t="str">
        <f>VLOOKUP(C41,'Train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1" s="112" t="str">
        <f>VLOOKUP(C41,'Train Runs'!$A$13:$AF$954,32,0)</f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  <c r="S41" s="10" t="str">
        <f>MID(B41,13,4)</f>
        <v>4031</v>
      </c>
      <c r="T41" s="61">
        <f t="shared" si="0"/>
        <v>42557.669062499997</v>
      </c>
    </row>
    <row r="42" spans="1:20" x14ac:dyDescent="0.25">
      <c r="A42" s="61">
        <v>42557.247662037036</v>
      </c>
      <c r="B42" s="50" t="s">
        <v>139</v>
      </c>
      <c r="C42" s="50" t="s">
        <v>324</v>
      </c>
      <c r="D42" s="50" t="s">
        <v>50</v>
      </c>
      <c r="E42" s="83" t="s">
        <v>111</v>
      </c>
      <c r="F42" s="86">
        <v>0</v>
      </c>
      <c r="G42" s="50">
        <v>314</v>
      </c>
      <c r="H42" s="50">
        <v>20987</v>
      </c>
      <c r="I42" s="83" t="s">
        <v>112</v>
      </c>
      <c r="J42" s="50">
        <v>22314</v>
      </c>
      <c r="K42" s="50" t="s">
        <v>53</v>
      </c>
      <c r="L42" s="11" t="str">
        <f>VLOOKUP(C42,'Trips&amp;Operators'!$C$1:$E$10000,3,FALSE)</f>
        <v>STURGEON</v>
      </c>
      <c r="M42" s="10" t="s">
        <v>113</v>
      </c>
      <c r="N42" s="11" t="s">
        <v>145</v>
      </c>
      <c r="O42" s="1"/>
      <c r="P42" s="113" t="str">
        <f>VLOOKUP(C42,'Train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42" s="111" t="str">
        <f>VLOOKUP(C42,'Train Runs'!$A$13:$AE$954,22,0)</f>
        <v>https://search-rtdc-monitor-bjffxe2xuh6vdkpspy63sjmuny.us-east-1.es.amazonaws.com/_plugin/kibana/#/discover/Steve-Slow-Train-Analysis-(2080s-and-2083s)?_g=(refreshInterval:(display:Off,section:0,value:0),time:(from:'2016-07-06 05:37:29-0600',mode:absolute,to:'2016-07-06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2" s="112" t="str">
        <f>VLOOKUP(C42,'Train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42" s="10" t="str">
        <f>MID(B42,13,4)</f>
        <v>4027</v>
      </c>
      <c r="T42" s="61">
        <f t="shared" si="0"/>
        <v>42557.497662037036</v>
      </c>
    </row>
    <row r="43" spans="1:20" x14ac:dyDescent="0.25">
      <c r="A43" s="61">
        <v>42557.330914351849</v>
      </c>
      <c r="B43" s="50" t="s">
        <v>139</v>
      </c>
      <c r="C43" s="50" t="s">
        <v>335</v>
      </c>
      <c r="D43" s="50" t="s">
        <v>50</v>
      </c>
      <c r="E43" s="83" t="s">
        <v>111</v>
      </c>
      <c r="F43" s="86">
        <v>0</v>
      </c>
      <c r="G43" s="50">
        <v>298</v>
      </c>
      <c r="H43" s="50">
        <v>20629</v>
      </c>
      <c r="I43" s="83" t="s">
        <v>112</v>
      </c>
      <c r="J43" s="50">
        <v>22314</v>
      </c>
      <c r="K43" s="50" t="s">
        <v>53</v>
      </c>
      <c r="L43" s="11" t="str">
        <f>VLOOKUP(C43,'Trips&amp;Operators'!$C$1:$E$10000,3,FALSE)</f>
        <v>STURGEON</v>
      </c>
      <c r="M43" s="10" t="s">
        <v>113</v>
      </c>
      <c r="N43" s="11" t="s">
        <v>145</v>
      </c>
      <c r="O43" s="1"/>
      <c r="P43" s="113" t="str">
        <f>VLOOKUP(C43,'Train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43" s="111" t="str">
        <f>VLOOKUP(C43,'Train Runs'!$A$13:$AE$954,22,0)</f>
        <v>https://search-rtdc-monitor-bjffxe2xuh6vdkpspy63sjmuny.us-east-1.es.amazonaws.com/_plugin/kibana/#/discover/Steve-Slow-Train-Analysis-(2080s-and-2083s)?_g=(refreshInterval:(display:Off,section:0,value:0),time:(from:'2016-07-06 07:41:22-0600',mode:absolute,to:'2016-07-06 08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3" s="112" t="str">
        <f>VLOOKUP(C43,'Train Runs'!$A$13:$AF$954,32,0)</f>
        <v>"C:\Program Files (x86)\AstroGrep\AstroGrep.exe" /spath="C:\Users\stu\Documents\Analysis\2016-02-23 RTDC Observations" /stypes="*4027*20160706*" /stext=" 13:.+((prompt.+disp)|(slice.+state.+chan)|(ment ac)|(system.+state.+chan)|(\|lc)|(penalty)|(\[timeout))" /e /r /s</v>
      </c>
      <c r="S43" s="10" t="str">
        <f>MID(B43,13,4)</f>
        <v>4027</v>
      </c>
      <c r="T43" s="61">
        <f t="shared" si="0"/>
        <v>42557.580914351849</v>
      </c>
    </row>
    <row r="44" spans="1:20" x14ac:dyDescent="0.25">
      <c r="A44" s="61">
        <v>42557.3671412037</v>
      </c>
      <c r="B44" s="50" t="s">
        <v>135</v>
      </c>
      <c r="C44" s="50" t="s">
        <v>338</v>
      </c>
      <c r="D44" s="50" t="s">
        <v>55</v>
      </c>
      <c r="E44" s="50" t="s">
        <v>111</v>
      </c>
      <c r="F44" s="86">
        <v>0</v>
      </c>
      <c r="G44" s="50">
        <v>27</v>
      </c>
      <c r="H44" s="50">
        <v>23201</v>
      </c>
      <c r="I44" s="50" t="s">
        <v>112</v>
      </c>
      <c r="J44" s="50">
        <v>24193</v>
      </c>
      <c r="K44" s="50" t="s">
        <v>54</v>
      </c>
      <c r="L44" s="11" t="str">
        <f>VLOOKUP(C44,'Trips&amp;Operators'!$C$1:$E$10000,3,FALSE)</f>
        <v>MAYBERRY</v>
      </c>
      <c r="M44" s="10" t="s">
        <v>113</v>
      </c>
      <c r="N44" s="11" t="s">
        <v>145</v>
      </c>
      <c r="O44" s="33"/>
      <c r="P44" s="113" t="str">
        <f>VLOOKUP(C44,'Train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44" s="111" t="str">
        <f>VLOOKUP(C44,'Train Runs'!$A$13:$AE$954,22,0)</f>
        <v>https://search-rtdc-monitor-bjffxe2xuh6vdkpspy63sjmuny.us-east-1.es.amazonaws.com/_plugin/kibana/#/discover/Steve-Slow-Train-Analysis-(2080s-and-2083s)?_g=(refreshInterval:(display:Off,section:0,value:0),time:(from:'2016-07-06 08:36:09-0600',mode:absolute,to:'2016-07-06 08:57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4" s="112" t="str">
        <f>VLOOKUP(C44,'Train Runs'!$A$13:$AF$954,32,0)</f>
        <v>"C:\Program Files (x86)\AstroGrep\AstroGrep.exe" /spath="C:\Users\stu\Documents\Analysis\2016-02-23 RTDC Observations" /stypes="*4037*20160706*" /stext=" 14:.+((prompt.+disp)|(slice.+state.+chan)|(ment ac)|(system.+state.+chan)|(\|lc)|(penalty)|(\[timeout))" /e /r /s</v>
      </c>
      <c r="S44" s="10" t="str">
        <f>MID(B44,13,4)</f>
        <v>4037</v>
      </c>
      <c r="T44" s="61">
        <f t="shared" si="0"/>
        <v>42557.6171412037</v>
      </c>
    </row>
    <row r="45" spans="1:20" x14ac:dyDescent="0.25">
      <c r="A45" s="61">
        <v>42557.237638888888</v>
      </c>
      <c r="B45" s="50" t="s">
        <v>69</v>
      </c>
      <c r="C45" s="50" t="s">
        <v>323</v>
      </c>
      <c r="D45" s="50" t="s">
        <v>50</v>
      </c>
      <c r="E45" s="83" t="s">
        <v>111</v>
      </c>
      <c r="F45" s="86">
        <v>0</v>
      </c>
      <c r="G45" s="50">
        <v>138</v>
      </c>
      <c r="H45" s="50">
        <v>231468</v>
      </c>
      <c r="I45" s="83" t="s">
        <v>112</v>
      </c>
      <c r="J45" s="50">
        <v>231147</v>
      </c>
      <c r="K45" s="50" t="s">
        <v>54</v>
      </c>
      <c r="L45" s="11" t="str">
        <f>VLOOKUP(C45,'Trips&amp;Operators'!$C$1:$E$10000,3,FALSE)</f>
        <v>NEWELL</v>
      </c>
      <c r="M45" s="10" t="s">
        <v>113</v>
      </c>
      <c r="N45" s="11" t="s">
        <v>145</v>
      </c>
      <c r="O45" s="1"/>
      <c r="P45" s="113" t="str">
        <f>VLOOKUP(C45,'Train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45" s="111" t="str">
        <f>VLOOKUP(C45,'Train Runs'!$A$13:$AE$954,22,0)</f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5" s="112" t="str">
        <f>VLOOKUP(C45,'Train Runs'!$A$13:$AF$954,32,0)</f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  <c r="S45" s="10" t="str">
        <f>MID(B45,13,4)</f>
        <v>4032</v>
      </c>
      <c r="T45" s="61">
        <f t="shared" si="0"/>
        <v>42557.487638888888</v>
      </c>
    </row>
    <row r="46" spans="1:20" x14ac:dyDescent="0.25">
      <c r="A46" s="61">
        <v>42557.758506944447</v>
      </c>
      <c r="B46" s="50" t="s">
        <v>125</v>
      </c>
      <c r="C46" s="50" t="s">
        <v>377</v>
      </c>
      <c r="D46" s="50" t="s">
        <v>50</v>
      </c>
      <c r="E46" s="50" t="s">
        <v>111</v>
      </c>
      <c r="F46" s="86">
        <v>0</v>
      </c>
      <c r="G46" s="50">
        <v>149</v>
      </c>
      <c r="H46" s="50">
        <v>232057</v>
      </c>
      <c r="I46" s="50" t="s">
        <v>112</v>
      </c>
      <c r="J46" s="50">
        <v>231147</v>
      </c>
      <c r="K46" s="50" t="s">
        <v>54</v>
      </c>
      <c r="L46" s="11" t="str">
        <f>VLOOKUP(C46,'Trips&amp;Operators'!$C$1:$E$10000,3,FALSE)</f>
        <v>BARTLETT</v>
      </c>
      <c r="M46" s="10" t="s">
        <v>113</v>
      </c>
      <c r="N46" s="11" t="s">
        <v>145</v>
      </c>
      <c r="O46" s="33"/>
      <c r="P46" s="113" t="str">
        <f>VLOOKUP(C46,'Train Runs'!$A$13:$AE$954,31,0)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Q46" s="111" t="str">
        <f>VLOOKUP(C46,'Train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18:02:17-0600',mode:absolute,to:'2016-07-06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6" s="112" t="str">
        <f>VLOOKUP(C46,'Train Runs'!$A$13:$AF$954,32,0)</f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  <c r="S46" s="10" t="str">
        <f>MID(B46,13,4)</f>
        <v>4012</v>
      </c>
      <c r="T46" s="61">
        <f t="shared" si="0"/>
        <v>42558.008506944447</v>
      </c>
    </row>
    <row r="47" spans="1:20" x14ac:dyDescent="0.25">
      <c r="A47" s="13">
        <v>42557.643865740742</v>
      </c>
      <c r="B47" s="12" t="s">
        <v>132</v>
      </c>
      <c r="C47" s="12" t="s">
        <v>363</v>
      </c>
      <c r="D47" s="12" t="s">
        <v>55</v>
      </c>
      <c r="E47" s="84" t="s">
        <v>111</v>
      </c>
      <c r="F47" s="87">
        <v>0</v>
      </c>
      <c r="G47" s="12">
        <v>164</v>
      </c>
      <c r="H47" s="12">
        <v>231167</v>
      </c>
      <c r="I47" s="84" t="s">
        <v>112</v>
      </c>
      <c r="J47" s="12">
        <v>231650</v>
      </c>
      <c r="K47" s="11" t="s">
        <v>54</v>
      </c>
      <c r="L47" s="11" t="str">
        <f>VLOOKUP(C47,'Trips&amp;Operators'!$C$1:$E$10000,3,FALSE)</f>
        <v>YOUNG</v>
      </c>
      <c r="M47" s="10" t="s">
        <v>113</v>
      </c>
      <c r="N47" s="11" t="s">
        <v>145</v>
      </c>
      <c r="O47" s="33"/>
      <c r="P47" s="113" t="str">
        <f>VLOOKUP(C47,'Train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47" s="111" t="str">
        <f>VLOOKUP(C47,'Train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15:19:35-0600',mode:absolute,to:'2016-07-06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7" s="112" t="str">
        <f>VLOOKUP(C47,'Train Runs'!$A$13:$AF$954,32,0)</f>
        <v>"C:\Program Files (x86)\AstroGrep\AstroGrep.exe" /spath="C:\Users\stu\Documents\Analysis\2016-02-23 RTDC Observations" /stypes="*4013*20160706*" /stext=" 21:.+((prompt.+disp)|(slice.+state.+chan)|(ment ac)|(system.+state.+chan)|(\|lc)|(penalty)|(\[timeout))" /e /r /s</v>
      </c>
      <c r="S47" s="10" t="str">
        <f>MID(B47,13,4)</f>
        <v>4013</v>
      </c>
      <c r="T47" s="61">
        <f t="shared" si="0"/>
        <v>42557.893865740742</v>
      </c>
    </row>
    <row r="48" spans="1:20" x14ac:dyDescent="0.25">
      <c r="A48" s="61">
        <v>42557.706203703703</v>
      </c>
      <c r="B48" s="50" t="s">
        <v>77</v>
      </c>
      <c r="C48" s="50" t="s">
        <v>373</v>
      </c>
      <c r="D48" s="50" t="s">
        <v>55</v>
      </c>
      <c r="E48" s="83" t="s">
        <v>111</v>
      </c>
      <c r="F48" s="86">
        <v>0</v>
      </c>
      <c r="G48" s="50">
        <v>146</v>
      </c>
      <c r="H48" s="50">
        <v>231437</v>
      </c>
      <c r="I48" s="83" t="s">
        <v>112</v>
      </c>
      <c r="J48" s="50">
        <v>231650</v>
      </c>
      <c r="K48" s="50" t="s">
        <v>54</v>
      </c>
      <c r="L48" s="11" t="str">
        <f>VLOOKUP(C48,'Trips&amp;Operators'!$C$1:$E$10000,3,FALSE)</f>
        <v>HELVIE</v>
      </c>
      <c r="M48" s="10" t="s">
        <v>113</v>
      </c>
      <c r="N48" s="11" t="s">
        <v>145</v>
      </c>
      <c r="O48" s="1"/>
      <c r="P48" s="113" t="str">
        <f>VLOOKUP(C48,'Train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48" s="111" t="str">
        <f>VLOOKUP(C48,'Train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16:45:22-0600',mode:absolute,to:'2016-07-06 17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8" s="112" t="str">
        <f>VLOOKUP(C48,'Train Runs'!$A$13:$AF$954,32,0)</f>
        <v>"C:\Program Files (x86)\AstroGrep\AstroGrep.exe" /spath="C:\Users\stu\Documents\Analysis\2016-02-23 RTDC Observations" /stypes="*4017*20160706*" /stext=" 22:.+((prompt.+disp)|(slice.+state.+chan)|(ment ac)|(system.+state.+chan)|(\|lc)|(penalty)|(\[timeout))" /e /r /s</v>
      </c>
      <c r="S48" s="10" t="str">
        <f>MID(B48,13,4)</f>
        <v>4017</v>
      </c>
      <c r="T48" s="61">
        <f t="shared" si="0"/>
        <v>42557.956203703703</v>
      </c>
    </row>
    <row r="49" spans="1:20" x14ac:dyDescent="0.25">
      <c r="A49" s="61">
        <v>42557.267407407409</v>
      </c>
      <c r="B49" s="50" t="s">
        <v>118</v>
      </c>
      <c r="C49" s="50" t="s">
        <v>325</v>
      </c>
      <c r="D49" s="50" t="s">
        <v>50</v>
      </c>
      <c r="E49" s="83" t="s">
        <v>326</v>
      </c>
      <c r="F49" s="86">
        <v>470</v>
      </c>
      <c r="G49" s="50">
        <v>481</v>
      </c>
      <c r="H49" s="50">
        <v>10504</v>
      </c>
      <c r="I49" s="83" t="s">
        <v>327</v>
      </c>
      <c r="J49" s="50">
        <v>10716</v>
      </c>
      <c r="K49" s="50" t="s">
        <v>53</v>
      </c>
      <c r="L49" s="11" t="str">
        <f>VLOOKUP(C49,'Trips&amp;Operators'!$C$1:$E$10000,3,FALSE)</f>
        <v>MAYBERRY</v>
      </c>
      <c r="M49" s="10" t="s">
        <v>113</v>
      </c>
      <c r="N49" s="11" t="s">
        <v>396</v>
      </c>
      <c r="O49" s="33"/>
      <c r="P49" s="113" t="str">
        <f>VLOOKUP(C49,'Train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49" s="111" t="str">
        <f>VLOOKUP(C49,'Train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9" s="112" t="str">
        <f>VLOOKUP(C49,'Train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49" s="10" t="str">
        <f>MID(B49,13,4)</f>
        <v>4038</v>
      </c>
      <c r="T49" s="61">
        <f>A49+6/24</f>
        <v>42557.517407407409</v>
      </c>
    </row>
    <row r="50" spans="1:20" x14ac:dyDescent="0.25">
      <c r="A50" s="61">
        <v>42557.350416666668</v>
      </c>
      <c r="B50" s="50" t="s">
        <v>118</v>
      </c>
      <c r="C50" s="50" t="s">
        <v>337</v>
      </c>
      <c r="D50" s="50" t="s">
        <v>50</v>
      </c>
      <c r="E50" s="83" t="s">
        <v>326</v>
      </c>
      <c r="F50" s="86">
        <v>470</v>
      </c>
      <c r="G50" s="50">
        <v>467</v>
      </c>
      <c r="H50" s="50">
        <v>8531</v>
      </c>
      <c r="I50" s="83" t="s">
        <v>327</v>
      </c>
      <c r="J50" s="50">
        <v>10716</v>
      </c>
      <c r="K50" s="50" t="s">
        <v>53</v>
      </c>
      <c r="L50" s="11" t="str">
        <f>VLOOKUP(C50,'Trips&amp;Operators'!$C$1:$E$10000,3,FALSE)</f>
        <v>MAYBERRY</v>
      </c>
      <c r="M50" s="10" t="s">
        <v>113</v>
      </c>
      <c r="N50" s="11" t="s">
        <v>396</v>
      </c>
      <c r="O50" s="33"/>
      <c r="P50" s="113" t="str">
        <f>VLOOKUP(C50,'Train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50" s="111" t="str">
        <f>VLOOKUP(C50,'Train Runs'!$A$13:$AE$954,22,0)</f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0" s="112" t="str">
        <f>VLOOKUP(C50,'Train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50" s="10" t="str">
        <f>MID(B50,13,4)</f>
        <v>4038</v>
      </c>
      <c r="T50" s="61">
        <f>A50+6/24</f>
        <v>42557.600416666668</v>
      </c>
    </row>
    <row r="51" spans="1:20" x14ac:dyDescent="0.25">
      <c r="A51" s="61">
        <v>42557.747789351852</v>
      </c>
      <c r="B51" s="50" t="s">
        <v>139</v>
      </c>
      <c r="C51" s="50" t="s">
        <v>375</v>
      </c>
      <c r="D51" s="50" t="s">
        <v>50</v>
      </c>
      <c r="E51" s="83" t="s">
        <v>326</v>
      </c>
      <c r="F51" s="86">
        <v>470</v>
      </c>
      <c r="G51" s="50">
        <v>498</v>
      </c>
      <c r="H51" s="50">
        <v>9331</v>
      </c>
      <c r="I51" s="83" t="s">
        <v>327</v>
      </c>
      <c r="J51" s="50">
        <v>10716</v>
      </c>
      <c r="K51" s="50" t="s">
        <v>53</v>
      </c>
      <c r="L51" s="11" t="str">
        <f>VLOOKUP(C51,'Trips&amp;Operators'!$C$1:$E$10000,3,FALSE)</f>
        <v>STRICKLAND</v>
      </c>
      <c r="M51" s="10" t="s">
        <v>113</v>
      </c>
      <c r="N51" s="11" t="s">
        <v>396</v>
      </c>
      <c r="O51" s="1"/>
      <c r="P51" s="113" t="str">
        <f>VLOOKUP(C51,'Train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51" s="111" t="str">
        <f>VLOOKUP(C51,'Train Runs'!$A$13:$AE$954,22,0)</f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1" s="112" t="str">
        <f>VLOOKUP(C51,'Train Runs'!$A$13:$AF$954,32,0)</f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  <c r="S51" s="10" t="str">
        <f>MID(B51,13,4)</f>
        <v>4027</v>
      </c>
      <c r="T51" s="61">
        <f>A51+6/24</f>
        <v>42557.997789351852</v>
      </c>
    </row>
    <row r="52" spans="1:20" x14ac:dyDescent="0.25">
      <c r="A52" s="61">
        <v>42557.226770833331</v>
      </c>
      <c r="B52" s="50" t="s">
        <v>132</v>
      </c>
      <c r="C52" s="50" t="s">
        <v>321</v>
      </c>
      <c r="D52" s="50" t="s">
        <v>50</v>
      </c>
      <c r="E52" s="83" t="s">
        <v>51</v>
      </c>
      <c r="F52" s="86">
        <v>0</v>
      </c>
      <c r="G52" s="50">
        <v>45</v>
      </c>
      <c r="H52" s="50">
        <v>231</v>
      </c>
      <c r="I52" s="83" t="s">
        <v>52</v>
      </c>
      <c r="J52" s="50">
        <v>1</v>
      </c>
      <c r="K52" s="50" t="s">
        <v>54</v>
      </c>
      <c r="L52" s="11" t="str">
        <f>VLOOKUP(C52,'Trips&amp;Operators'!$C$1:$E$10000,3,FALSE)</f>
        <v>STARKS</v>
      </c>
      <c r="M52" s="10" t="s">
        <v>114</v>
      </c>
      <c r="N52" s="11"/>
      <c r="O52" s="1"/>
      <c r="P52" s="113" t="str">
        <f>VLOOKUP(C52,'Train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52" s="111" t="str">
        <f>VLOOKUP(C52,'Train Runs'!$A$13:$AE$954,22,0)</f>
        <v>https://search-rtdc-monitor-bjffxe2xuh6vdkpspy63sjmuny.us-east-1.es.amazonaws.com/_plugin/kibana/#/discover/Steve-Slow-Train-Analysis-(2080s-and-2083s)?_g=(refreshInterval:(display:Off,section:0,value:0),time:(from:'2016-07-06 04:35:54-0600',mode:absolute,to:'2016-07-06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2" s="112" t="str">
        <f>VLOOKUP(C52,'Train Runs'!$A$13:$AF$954,32,0)</f>
        <v>"C:\Program Files (x86)\AstroGrep\AstroGrep.exe" /spath="C:\Users\stu\Documents\Analysis\2016-02-23 RTDC Observations" /stypes="*4013*20160706*" /stext=" 10:.+((prompt.+disp)|(slice.+state.+chan)|(ment ac)|(system.+state.+chan)|(\|lc)|(penalty)|(\[timeout))" /e /r /s</v>
      </c>
      <c r="S52" s="10" t="str">
        <f>MID(B52,13,4)</f>
        <v>4013</v>
      </c>
      <c r="T52" s="61">
        <f t="shared" si="0"/>
        <v>42557.476770833331</v>
      </c>
    </row>
    <row r="53" spans="1:20" x14ac:dyDescent="0.25">
      <c r="A53" s="61">
        <v>42557.263506944444</v>
      </c>
      <c r="B53" s="50" t="s">
        <v>69</v>
      </c>
      <c r="C53" s="50" t="s">
        <v>323</v>
      </c>
      <c r="D53" s="50" t="s">
        <v>50</v>
      </c>
      <c r="E53" s="83" t="s">
        <v>51</v>
      </c>
      <c r="F53" s="86">
        <v>0</v>
      </c>
      <c r="G53" s="50">
        <v>5</v>
      </c>
      <c r="H53" s="50">
        <v>101</v>
      </c>
      <c r="I53" s="83" t="s">
        <v>52</v>
      </c>
      <c r="J53" s="50">
        <v>1</v>
      </c>
      <c r="K53" s="50" t="s">
        <v>54</v>
      </c>
      <c r="L53" s="11" t="str">
        <f>VLOOKUP(C53,'Trips&amp;Operators'!$C$1:$E$10000,3,FALSE)</f>
        <v>NEWELL</v>
      </c>
      <c r="M53" s="10" t="s">
        <v>114</v>
      </c>
      <c r="N53" s="11"/>
      <c r="O53" s="33"/>
      <c r="P53" s="113" t="str">
        <f>VLOOKUP(C53,'Train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53" s="111" t="str">
        <f>VLOOKUP(C53,'Train Runs'!$A$13:$AE$954,22,0)</f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53" s="112" t="str">
        <f>VLOOKUP(C53,'Train Runs'!$A$13:$AF$954,32,0)</f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  <c r="S53" s="10" t="str">
        <f>MID(B53,13,4)</f>
        <v>4032</v>
      </c>
      <c r="T53" s="61">
        <f t="shared" si="0"/>
        <v>42557.513506944444</v>
      </c>
    </row>
    <row r="54" spans="1:20" x14ac:dyDescent="0.25">
      <c r="A54" s="61">
        <v>42557.283368055556</v>
      </c>
      <c r="B54" s="50" t="s">
        <v>163</v>
      </c>
      <c r="C54" s="50" t="s">
        <v>328</v>
      </c>
      <c r="D54" s="50" t="s">
        <v>50</v>
      </c>
      <c r="E54" s="83" t="s">
        <v>51</v>
      </c>
      <c r="F54" s="86">
        <v>0</v>
      </c>
      <c r="G54" s="50">
        <v>4</v>
      </c>
      <c r="H54" s="50">
        <v>121</v>
      </c>
      <c r="I54" s="83" t="s">
        <v>52</v>
      </c>
      <c r="J54" s="50">
        <v>1</v>
      </c>
      <c r="K54" s="50" t="s">
        <v>54</v>
      </c>
      <c r="L54" s="11" t="str">
        <f>VLOOKUP(C54,'Trips&amp;Operators'!$C$1:$E$10000,3,FALSE)</f>
        <v>YORK</v>
      </c>
      <c r="M54" s="10" t="s">
        <v>114</v>
      </c>
      <c r="N54" s="11"/>
      <c r="O54" s="33"/>
      <c r="P54" s="113" t="str">
        <f>VLOOKUP(C54,'Train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54" s="111" t="str">
        <f>VLOOKUP(C54,'Train Runs'!$A$13:$AE$954,22,0)</f>
        <v>https://search-rtdc-monitor-bjffxe2xuh6vdkpspy63sjmuny.us-east-1.es.amazonaws.com/_plugin/kibana/#/discover/Steve-Slow-Train-Analysis-(2080s-and-2083s)?_g=(refreshInterval:(display:Off,section:0,value:0),time:(from:'2016-07-06 05:51:11-0600',mode:absolute,to:'2016-07-06 06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4" s="112" t="str">
        <f>VLOOKUP(C54,'Train Runs'!$A$13:$AF$954,32,0)</f>
        <v>"C:\Program Files (x86)\AstroGrep\AstroGrep.exe" /spath="C:\Users\stu\Documents\Analysis\2016-02-23 RTDC Observations" /stypes="*4043*20160706*" /stext=" 11:.+((prompt.+disp)|(slice.+state.+chan)|(ment ac)|(system.+state.+chan)|(\|lc)|(penalty)|(\[timeout))" /e /r /s</v>
      </c>
      <c r="S54" s="10" t="str">
        <f>MID(B54,13,4)</f>
        <v>4043</v>
      </c>
      <c r="T54" s="61">
        <f t="shared" si="0"/>
        <v>42557.533368055556</v>
      </c>
    </row>
    <row r="55" spans="1:20" x14ac:dyDescent="0.25">
      <c r="A55" s="61">
        <v>42557.305196759262</v>
      </c>
      <c r="B55" s="50" t="s">
        <v>132</v>
      </c>
      <c r="C55" s="50" t="s">
        <v>330</v>
      </c>
      <c r="D55" s="50" t="s">
        <v>50</v>
      </c>
      <c r="E55" s="83" t="s">
        <v>51</v>
      </c>
      <c r="F55" s="86">
        <v>0</v>
      </c>
      <c r="G55" s="50">
        <v>8</v>
      </c>
      <c r="H55" s="50">
        <v>309</v>
      </c>
      <c r="I55" s="83" t="s">
        <v>52</v>
      </c>
      <c r="J55" s="50">
        <v>1</v>
      </c>
      <c r="K55" s="50" t="s">
        <v>54</v>
      </c>
      <c r="L55" s="11" t="str">
        <f>VLOOKUP(C55,'Trips&amp;Operators'!$C$1:$E$10000,3,FALSE)</f>
        <v>STARKS</v>
      </c>
      <c r="M55" s="10" t="s">
        <v>114</v>
      </c>
      <c r="N55" s="11"/>
      <c r="O55" s="33"/>
      <c r="P55" s="113" t="str">
        <f>VLOOKUP(C55,'Train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55" s="111" t="str">
        <f>VLOOKUP(C55,'Train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06:37:30-0600',mode:absolute,to:'2016-07-06 07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5" s="112" t="str">
        <f>VLOOKUP(C55,'Train Runs'!$A$13:$AF$954,32,0)</f>
        <v>"C:\Program Files (x86)\AstroGrep\AstroGrep.exe" /spath="C:\Users\stu\Documents\Analysis\2016-02-23 RTDC Observations" /stypes="*4013*20160706*" /stext=" 12:.+((prompt.+disp)|(slice.+state.+chan)|(ment ac)|(system.+state.+chan)|(\|lc)|(penalty)|(\[timeout))" /e /r /s</v>
      </c>
      <c r="S55" s="10" t="str">
        <f>MID(B55,13,4)</f>
        <v>4013</v>
      </c>
      <c r="T55" s="61">
        <f t="shared" si="0"/>
        <v>42557.555196759262</v>
      </c>
    </row>
    <row r="56" spans="1:20" x14ac:dyDescent="0.25">
      <c r="A56" s="61">
        <v>42557.325486111113</v>
      </c>
      <c r="B56" s="50" t="s">
        <v>202</v>
      </c>
      <c r="C56" s="50" t="s">
        <v>333</v>
      </c>
      <c r="D56" s="50" t="s">
        <v>50</v>
      </c>
      <c r="E56" s="83" t="s">
        <v>51</v>
      </c>
      <c r="F56" s="86">
        <v>0</v>
      </c>
      <c r="G56" s="50">
        <v>4</v>
      </c>
      <c r="H56" s="50">
        <v>342</v>
      </c>
      <c r="I56" s="83" t="s">
        <v>52</v>
      </c>
      <c r="J56" s="50">
        <v>1</v>
      </c>
      <c r="K56" s="50" t="s">
        <v>54</v>
      </c>
      <c r="L56" s="11" t="str">
        <f>VLOOKUP(C56,'Trips&amp;Operators'!$C$1:$E$10000,3,FALSE)</f>
        <v>MAELZER</v>
      </c>
      <c r="M56" s="10" t="s">
        <v>114</v>
      </c>
      <c r="N56" s="11"/>
      <c r="O56" s="1"/>
      <c r="P56" s="113" t="str">
        <f>VLOOKUP(C56,'Train Runs'!$A$13:$AE$954,31,0)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Q56" s="111" t="str">
        <f>VLOOKUP(C56,'Train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07:02:01-0600',mode:absolute,to:'2016-07-06 07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6" s="112" t="str">
        <f>VLOOKUP(C56,'Train Runs'!$A$13:$AF$954,32,0)</f>
        <v>"C:\Program Files (x86)\AstroGrep\AstroGrep.exe" /spath="C:\Users\stu\Documents\Analysis\2016-02-23 RTDC Observations" /stypes="*4039*20160706*" /stext=" 13:.+((prompt.+disp)|(slice.+state.+chan)|(ment ac)|(system.+state.+chan)|(\|lc)|(penalty)|(\[timeout))" /e /r /s</v>
      </c>
      <c r="S56" s="10" t="str">
        <f>MID(B56,13,4)</f>
        <v>4039</v>
      </c>
      <c r="T56" s="61">
        <f t="shared" si="0"/>
        <v>42557.575486111113</v>
      </c>
    </row>
    <row r="57" spans="1:20" x14ac:dyDescent="0.25">
      <c r="A57" s="61">
        <v>42557.388333333336</v>
      </c>
      <c r="B57" s="50" t="s">
        <v>130</v>
      </c>
      <c r="C57" s="50" t="s">
        <v>341</v>
      </c>
      <c r="D57" s="50" t="s">
        <v>50</v>
      </c>
      <c r="E57" s="83" t="s">
        <v>51</v>
      </c>
      <c r="F57" s="86">
        <v>0</v>
      </c>
      <c r="G57" s="50">
        <v>7</v>
      </c>
      <c r="H57" s="50">
        <v>313</v>
      </c>
      <c r="I57" s="83" t="s">
        <v>52</v>
      </c>
      <c r="J57" s="50">
        <v>1</v>
      </c>
      <c r="K57" s="50" t="s">
        <v>54</v>
      </c>
      <c r="L57" s="11" t="str">
        <f>VLOOKUP(C57,'Trips&amp;Operators'!$C$1:$E$10000,3,FALSE)</f>
        <v>MOSES</v>
      </c>
      <c r="M57" s="10" t="s">
        <v>114</v>
      </c>
      <c r="N57" s="11"/>
      <c r="O57" s="1"/>
      <c r="P57" s="113" t="str">
        <f>VLOOKUP(C57,'Train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7" s="111" t="str">
        <f>VLOOKUP(C57,'Train Runs'!$A$13:$AE$954,22,0)</f>
        <v>https://search-rtdc-monitor-bjffxe2xuh6vdkpspy63sjmuny.us-east-1.es.amazonaws.com/_plugin/kibana/#/discover/Steve-Slow-Train-Analysis-(2080s-and-2083s)?_g=(refreshInterval:(display:Off,section:0,value:0),time:(from:'2016-07-06 08:31:19-0600',mode:absolute,to:'2016-07-06 09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7" s="112" t="str">
        <f>VLOOKUP(C57,'Train Runs'!$A$13:$AF$954,32,0)</f>
        <v>"C:\Program Files (x86)\AstroGrep\AstroGrep.exe" /spath="C:\Users\stu\Documents\Analysis\2016-02-23 RTDC Observations" /stypes="*4026*20160706*" /stext=" 14:.+((prompt.+disp)|(slice.+state.+chan)|(ment ac)|(system.+state.+chan)|(\|lc)|(penalty)|(\[timeout))" /e /r /s</v>
      </c>
      <c r="S57" s="10" t="str">
        <f>MID(B57,13,4)</f>
        <v>4026</v>
      </c>
      <c r="T57" s="61">
        <f t="shared" si="0"/>
        <v>42557.638333333336</v>
      </c>
    </row>
    <row r="58" spans="1:20" x14ac:dyDescent="0.25">
      <c r="A58" s="61">
        <v>42557.460312499999</v>
      </c>
      <c r="B58" s="50" t="s">
        <v>130</v>
      </c>
      <c r="C58" s="50" t="s">
        <v>347</v>
      </c>
      <c r="D58" s="50" t="s">
        <v>50</v>
      </c>
      <c r="E58" s="83" t="s">
        <v>51</v>
      </c>
      <c r="F58" s="86">
        <v>0</v>
      </c>
      <c r="G58" s="50">
        <v>57</v>
      </c>
      <c r="H58" s="50">
        <v>214</v>
      </c>
      <c r="I58" s="83" t="s">
        <v>52</v>
      </c>
      <c r="J58" s="50">
        <v>1</v>
      </c>
      <c r="K58" s="50" t="s">
        <v>54</v>
      </c>
      <c r="L58" s="11" t="str">
        <f>VLOOKUP(C58,'Trips&amp;Operators'!$C$1:$E$10000,3,FALSE)</f>
        <v>MOSES</v>
      </c>
      <c r="M58" s="10" t="s">
        <v>114</v>
      </c>
      <c r="N58" s="11"/>
      <c r="O58" s="1"/>
      <c r="P58" s="113" t="str">
        <f>VLOOKUP(C58,'Train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8" s="111" t="str">
        <f>VLOOKUP(C58,'Train Runs'!$A$13:$AE$954,22,0)</f>
        <v>https://search-rtdc-monitor-bjffxe2xuh6vdkpspy63sjmuny.us-east-1.es.amazonaws.com/_plugin/kibana/#/discover/Steve-Slow-Train-Analysis-(2080s-and-2083s)?_g=(refreshInterval:(display:Off,section:0,value:0),time:(from:'2016-07-06 10:16:57-0600',mode:absolute,to:'2016-07-06 11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8" s="112" t="str">
        <f>VLOOKUP(C58,'Train Runs'!$A$13:$AF$954,32,0)</f>
        <v>"C:\Program Files (x86)\AstroGrep\AstroGrep.exe" /spath="C:\Users\stu\Documents\Analysis\2016-02-23 RTDC Observations" /stypes="*4026*20160706*" /stext=" 16:.+((prompt.+disp)|(slice.+state.+chan)|(ment ac)|(system.+state.+chan)|(\|lc)|(penalty)|(\[timeout))" /e /r /s</v>
      </c>
      <c r="S58" s="10" t="str">
        <f>MID(B58,13,4)</f>
        <v>4026</v>
      </c>
      <c r="T58" s="61">
        <f t="shared" si="0"/>
        <v>42557.710312499999</v>
      </c>
    </row>
    <row r="59" spans="1:20" x14ac:dyDescent="0.25">
      <c r="A59" s="61">
        <v>42557.532905092594</v>
      </c>
      <c r="B59" s="50" t="s">
        <v>130</v>
      </c>
      <c r="C59" s="50" t="s">
        <v>353</v>
      </c>
      <c r="D59" s="50" t="s">
        <v>50</v>
      </c>
      <c r="E59" s="83" t="s">
        <v>51</v>
      </c>
      <c r="F59" s="86">
        <v>0</v>
      </c>
      <c r="G59" s="50">
        <v>56</v>
      </c>
      <c r="H59" s="50">
        <v>201</v>
      </c>
      <c r="I59" s="83" t="s">
        <v>52</v>
      </c>
      <c r="J59" s="50">
        <v>1</v>
      </c>
      <c r="K59" s="50" t="s">
        <v>54</v>
      </c>
      <c r="L59" s="11" t="str">
        <f>VLOOKUP(C59,'Trips&amp;Operators'!$C$1:$E$10000,3,FALSE)</f>
        <v>STAMBAUGH</v>
      </c>
      <c r="M59" s="10" t="s">
        <v>114</v>
      </c>
      <c r="N59" s="11"/>
      <c r="O59" s="1"/>
      <c r="P59" s="113" t="str">
        <f>VLOOKUP(C59,'Train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9" s="111" t="str">
        <f>VLOOKUP(C59,'Train Runs'!$A$13:$AE$954,22,0)</f>
        <v>https://search-rtdc-monitor-bjffxe2xuh6vdkpspy63sjmuny.us-east-1.es.amazonaws.com/_plugin/kibana/#/discover/Steve-Slow-Train-Analysis-(2080s-and-2083s)?_g=(refreshInterval:(display:Off,section:0,value:0),time:(from:'2016-07-06 12:05:36-0600',mode:absolute,to:'2016-07-06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9" s="112" t="str">
        <f>VLOOKUP(C59,'Train Runs'!$A$13:$AF$954,32,0)</f>
        <v>"C:\Program Files (x86)\AstroGrep\AstroGrep.exe" /spath="C:\Users\stu\Documents\Analysis\2016-02-23 RTDC Observations" /stypes="*4026*20160706*" /stext=" 18:.+((prompt.+disp)|(slice.+state.+chan)|(ment ac)|(system.+state.+chan)|(\|lc)|(penalty)|(\[timeout))" /e /r /s</v>
      </c>
      <c r="S59" s="10" t="str">
        <f>MID(B59,13,4)</f>
        <v>4026</v>
      </c>
      <c r="T59" s="61">
        <f t="shared" si="0"/>
        <v>42557.782905092594</v>
      </c>
    </row>
    <row r="60" spans="1:20" x14ac:dyDescent="0.25">
      <c r="A60" s="61">
        <v>42557.64916666667</v>
      </c>
      <c r="B60" s="50" t="s">
        <v>163</v>
      </c>
      <c r="C60" s="50" t="s">
        <v>365</v>
      </c>
      <c r="D60" s="50" t="s">
        <v>50</v>
      </c>
      <c r="E60" s="83" t="s">
        <v>51</v>
      </c>
      <c r="F60" s="86">
        <v>0</v>
      </c>
      <c r="G60" s="50">
        <v>58</v>
      </c>
      <c r="H60" s="50">
        <v>178</v>
      </c>
      <c r="I60" s="83" t="s">
        <v>52</v>
      </c>
      <c r="J60" s="50">
        <v>1</v>
      </c>
      <c r="K60" s="50" t="s">
        <v>54</v>
      </c>
      <c r="L60" s="11" t="str">
        <f>VLOOKUP(C60,'Trips&amp;Operators'!$C$1:$E$10000,3,FALSE)</f>
        <v>STEWART</v>
      </c>
      <c r="M60" s="10" t="s">
        <v>114</v>
      </c>
      <c r="N60" s="11"/>
      <c r="O60" s="1"/>
      <c r="P60" s="113" t="str">
        <f>VLOOKUP(C60,'Train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60" s="111" t="str">
        <f>VLOOKUP(C60,'Train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14:50:14-0600',mode:absolute,to:'2016-07-06 15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0" s="112" t="str">
        <f>VLOOKUP(C60,'Train Runs'!$A$13:$AF$954,32,0)</f>
        <v>"C:\Program Files (x86)\AstroGrep\AstroGrep.exe" /spath="C:\Users\stu\Documents\Analysis\2016-02-23 RTDC Observations" /stypes="*4043*20160706*" /stext=" 20:.+((prompt.+disp)|(slice.+state.+chan)|(ment ac)|(system.+state.+chan)|(\|lc)|(penalty)|(\[timeout))" /e /r /s</v>
      </c>
      <c r="S60" s="10" t="str">
        <f>MID(B60,13,4)</f>
        <v>4043</v>
      </c>
      <c r="T60" s="61">
        <f t="shared" si="0"/>
        <v>42557.89916666667</v>
      </c>
    </row>
    <row r="61" spans="1:20" x14ac:dyDescent="0.25">
      <c r="A61" s="61">
        <v>42557.658414351848</v>
      </c>
      <c r="B61" s="50" t="s">
        <v>77</v>
      </c>
      <c r="C61" s="50" t="s">
        <v>361</v>
      </c>
      <c r="D61" s="50" t="s">
        <v>50</v>
      </c>
      <c r="E61" s="83" t="s">
        <v>51</v>
      </c>
      <c r="F61" s="86">
        <v>0</v>
      </c>
      <c r="G61" s="50">
        <v>6</v>
      </c>
      <c r="H61" s="50">
        <v>112</v>
      </c>
      <c r="I61" s="83" t="s">
        <v>52</v>
      </c>
      <c r="J61" s="50">
        <v>1</v>
      </c>
      <c r="K61" s="50" t="s">
        <v>54</v>
      </c>
      <c r="L61" s="11" t="str">
        <f>VLOOKUP(C61,'Trips&amp;Operators'!$C$1:$E$10000,3,FALSE)</f>
        <v>BRANNON</v>
      </c>
      <c r="M61" s="10" t="s">
        <v>114</v>
      </c>
      <c r="N61" s="11"/>
      <c r="O61" s="1"/>
      <c r="P61" s="113" t="str">
        <f>VLOOKUP(C61,'Train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61" s="111" t="str">
        <f>VLOOKUP(C61,'Train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1" s="112" t="str">
        <f>VLOOKUP(C61,'Train Runs'!$A$13:$AF$954,32,0)</f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  <c r="S61" s="10" t="str">
        <f>MID(B61,13,4)</f>
        <v>4017</v>
      </c>
      <c r="T61" s="61">
        <f t="shared" si="0"/>
        <v>42557.908414351848</v>
      </c>
    </row>
    <row r="62" spans="1:20" x14ac:dyDescent="0.25">
      <c r="A62" s="61">
        <v>42557.796331018515</v>
      </c>
      <c r="B62" s="50" t="s">
        <v>163</v>
      </c>
      <c r="C62" s="50" t="s">
        <v>381</v>
      </c>
      <c r="D62" s="50" t="s">
        <v>50</v>
      </c>
      <c r="E62" s="83" t="s">
        <v>51</v>
      </c>
      <c r="F62" s="86">
        <v>0</v>
      </c>
      <c r="G62" s="50">
        <v>9</v>
      </c>
      <c r="H62" s="50">
        <v>444</v>
      </c>
      <c r="I62" s="83" t="s">
        <v>52</v>
      </c>
      <c r="J62" s="50">
        <v>1</v>
      </c>
      <c r="K62" s="50" t="s">
        <v>54</v>
      </c>
      <c r="L62" s="11" t="str">
        <f>VLOOKUP(C62,'Trips&amp;Operators'!$C$1:$E$10000,3,FALSE)</f>
        <v>STEWART</v>
      </c>
      <c r="M62" s="10" t="s">
        <v>114</v>
      </c>
      <c r="N62" s="11"/>
      <c r="O62" s="1"/>
      <c r="P62" s="113" t="str">
        <f>VLOOKUP(C62,'Train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62" s="111" t="str">
        <f>VLOOKUP(C62,'Train Runs'!$A$13:$AE$954,22,0)</f>
        <v>https://search-rtdc-monitor-bjffxe2xuh6vdkpspy63sjmuny.us-east-1.es.amazonaws.com/_plugin/kibana/#/discover/Steve-Slow-Train-Analysis-(2080s-and-2083s)?_g=(refreshInterval:(display:Off,section:0,value:0),time:(from:'2016-07-06 18:19:48-0600',mode:absolute,to:'2016-07-06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2" s="112" t="str">
        <f>VLOOKUP(C62,'Train Runs'!$A$13:$AF$954,32,0)</f>
        <v>"C:\Program Files (x86)\AstroGrep\AstroGrep.exe" /spath="C:\Users\stu\Documents\Analysis\2016-02-23 RTDC Observations" /stypes="*4043*20160707*" /stext=" 00:.+((prompt.+disp)|(slice.+state.+chan)|(ment ac)|(system.+state.+chan)|(\|lc)|(penalty)|(\[timeout))" /e /r /s</v>
      </c>
      <c r="S62" s="10" t="str">
        <f>MID(B62,13,4)</f>
        <v>4043</v>
      </c>
      <c r="T62" s="61">
        <f t="shared" si="0"/>
        <v>42558.046331018515</v>
      </c>
    </row>
    <row r="63" spans="1:20" x14ac:dyDescent="0.25">
      <c r="A63" s="61">
        <v>42557.823217592595</v>
      </c>
      <c r="B63" s="50" t="s">
        <v>132</v>
      </c>
      <c r="C63" s="50" t="s">
        <v>383</v>
      </c>
      <c r="D63" s="50" t="s">
        <v>50</v>
      </c>
      <c r="E63" s="83" t="s">
        <v>51</v>
      </c>
      <c r="F63" s="86">
        <v>0</v>
      </c>
      <c r="G63" s="50">
        <v>6</v>
      </c>
      <c r="H63" s="50">
        <v>112</v>
      </c>
      <c r="I63" s="83" t="s">
        <v>52</v>
      </c>
      <c r="J63" s="50">
        <v>1</v>
      </c>
      <c r="K63" s="50" t="s">
        <v>54</v>
      </c>
      <c r="L63" s="11" t="str">
        <f>VLOOKUP(C63,'Trips&amp;Operators'!$C$1:$E$10000,3,FALSE)</f>
        <v>YOUNG</v>
      </c>
      <c r="M63" s="10" t="s">
        <v>114</v>
      </c>
      <c r="N63" s="11"/>
      <c r="O63" s="1"/>
      <c r="P63" s="113" t="str">
        <f>VLOOKUP(C63,'Train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63" s="111" t="str">
        <f>VLOOKUP(C63,'Train Runs'!$A$13:$AE$954,22,0)</f>
        <v>https://search-rtdc-monitor-bjffxe2xuh6vdkpspy63sjmuny.us-east-1.es.amazonaws.com/_plugin/kibana/#/discover/Steve-Slow-Train-Analysis-(2080s-and-2083s)?_g=(refreshInterval:(display:Off,section:0,value:0),time:(from:'2016-07-06 18:51:51-0600',mode:absolute,to:'2016-07-06 19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63" s="112" t="str">
        <f>VLOOKUP(C63,'Train Runs'!$A$13:$AF$954,32,0)</f>
        <v>"C:\Program Files (x86)\AstroGrep\AstroGrep.exe" /spath="C:\Users\stu\Documents\Analysis\2016-02-23 RTDC Observations" /stypes="*4013*20160707*" /stext=" 00:.+((prompt.+disp)|(slice.+state.+chan)|(ment ac)|(system.+state.+chan)|(\|lc)|(penalty)|(\[timeout))" /e /r /s</v>
      </c>
      <c r="S63" s="10" t="str">
        <f>MID(B63,13,4)</f>
        <v>4013</v>
      </c>
      <c r="T63" s="61">
        <f t="shared" si="0"/>
        <v>42558.073217592595</v>
      </c>
    </row>
    <row r="64" spans="1:20" x14ac:dyDescent="0.25">
      <c r="A64" s="61">
        <v>42557.876921296294</v>
      </c>
      <c r="B64" s="50" t="s">
        <v>69</v>
      </c>
      <c r="C64" s="50" t="s">
        <v>388</v>
      </c>
      <c r="D64" s="50" t="s">
        <v>50</v>
      </c>
      <c r="E64" s="83" t="s">
        <v>51</v>
      </c>
      <c r="F64" s="86">
        <v>0</v>
      </c>
      <c r="G64" s="50">
        <v>6</v>
      </c>
      <c r="H64" s="50">
        <v>141</v>
      </c>
      <c r="I64" s="83" t="s">
        <v>52</v>
      </c>
      <c r="J64" s="50">
        <v>1</v>
      </c>
      <c r="K64" s="50" t="s">
        <v>54</v>
      </c>
      <c r="L64" s="11" t="str">
        <f>VLOOKUP(C64,'Trips&amp;Operators'!$C$1:$E$10000,3,FALSE)</f>
        <v>HELVIE</v>
      </c>
      <c r="M64" s="10" t="s">
        <v>114</v>
      </c>
      <c r="N64" s="11"/>
      <c r="O64" s="1"/>
      <c r="P64" s="113" t="str">
        <f>VLOOKUP(C64,'Train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64" s="111" t="str">
        <f>VLOOKUP(C64,'Train Runs'!$A$13:$AE$954,22,0)</f>
        <v>https://search-rtdc-monitor-bjffxe2xuh6vdkpspy63sjmuny.us-east-1.es.amazonaws.com/_plugin/kibana/#/discover/Steve-Slow-Train-Analysis-(2080s-and-2083s)?_g=(refreshInterval:(display:Off,section:0,value:0),time:(from:'2016-07-06 20:19:15-0600',mode:absolute,to:'2016-07-06 21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4" s="112" t="str">
        <f>VLOOKUP(C64,'Train Runs'!$A$13:$AF$954,32,0)</f>
        <v>"C:\Program Files (x86)\AstroGrep\AstroGrep.exe" /spath="C:\Users\stu\Documents\Analysis\2016-02-23 RTDC Observations" /stypes="*4032*20160707*" /stext=" 02:.+((prompt.+disp)|(slice.+state.+chan)|(ment ac)|(system.+state.+chan)|(\|lc)|(penalty)|(\[timeout))" /e /r /s</v>
      </c>
      <c r="S64" s="10" t="str">
        <f>MID(B64,13,4)</f>
        <v>4032</v>
      </c>
      <c r="T64" s="61">
        <f t="shared" si="0"/>
        <v>42558.126921296294</v>
      </c>
    </row>
    <row r="65" spans="1:20" x14ac:dyDescent="0.25">
      <c r="A65" s="61">
        <v>42558.064560185187</v>
      </c>
      <c r="B65" s="50" t="s">
        <v>130</v>
      </c>
      <c r="C65" s="50" t="s">
        <v>395</v>
      </c>
      <c r="D65" s="50" t="s">
        <v>50</v>
      </c>
      <c r="E65" s="83" t="s">
        <v>51</v>
      </c>
      <c r="F65" s="86">
        <v>0</v>
      </c>
      <c r="G65" s="50">
        <v>5</v>
      </c>
      <c r="H65" s="50">
        <v>1034</v>
      </c>
      <c r="I65" s="83" t="s">
        <v>52</v>
      </c>
      <c r="J65" s="50">
        <v>1</v>
      </c>
      <c r="K65" s="50" t="s">
        <v>54</v>
      </c>
      <c r="L65" s="11" t="str">
        <f>VLOOKUP(C65,'Trips&amp;Operators'!$C$1:$E$10000,3,FALSE)</f>
        <v>ADANE</v>
      </c>
      <c r="M65" s="10" t="s">
        <v>114</v>
      </c>
      <c r="N65" s="11"/>
      <c r="O65" s="1"/>
      <c r="P65" s="113" t="str">
        <f>VLOOKUP(C65,'Train Runs'!$A$13:$AE$954,31,0)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65" s="111" t="str">
        <f>VLOOKUP(C65,'Train Runs'!$A$13:$AE$954,22,0)</f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5" s="112" t="str">
        <f>VLOOKUP(C65,'Train Runs'!$A$13:$AF$954,32,0)</f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  <c r="S65" s="10" t="str">
        <f>MID(B65,13,4)</f>
        <v>4026</v>
      </c>
      <c r="T65" s="61">
        <f t="shared" si="0"/>
        <v>42558.314560185187</v>
      </c>
    </row>
    <row r="66" spans="1:20" x14ac:dyDescent="0.25">
      <c r="A66" s="61">
        <v>42558.065717592595</v>
      </c>
      <c r="B66" s="50" t="s">
        <v>130</v>
      </c>
      <c r="C66" s="50" t="s">
        <v>395</v>
      </c>
      <c r="D66" s="50" t="s">
        <v>50</v>
      </c>
      <c r="E66" s="83" t="s">
        <v>51</v>
      </c>
      <c r="F66" s="86">
        <v>0</v>
      </c>
      <c r="G66" s="50">
        <v>55</v>
      </c>
      <c r="H66" s="50">
        <v>160</v>
      </c>
      <c r="I66" s="83" t="s">
        <v>52</v>
      </c>
      <c r="J66" s="50">
        <v>1</v>
      </c>
      <c r="K66" s="50" t="s">
        <v>54</v>
      </c>
      <c r="L66" s="11" t="str">
        <f>VLOOKUP(C66,'Trips&amp;Operators'!$C$1:$E$10000,3,FALSE)</f>
        <v>ADANE</v>
      </c>
      <c r="M66" s="10" t="s">
        <v>114</v>
      </c>
      <c r="N66" s="11"/>
      <c r="O66" s="1"/>
      <c r="P66" s="113" t="str">
        <f>VLOOKUP(C66,'Train Runs'!$A$13:$AE$954,31,0)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66" s="111" t="str">
        <f>VLOOKUP(C66,'Train Runs'!$A$13:$AE$954,22,0)</f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6" s="112" t="str">
        <f>VLOOKUP(C66,'Train Runs'!$A$13:$AF$954,32,0)</f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  <c r="S66" s="10" t="str">
        <f>MID(B66,13,4)</f>
        <v>4026</v>
      </c>
      <c r="T66" s="61">
        <f t="shared" si="0"/>
        <v>42558.315717592595</v>
      </c>
    </row>
    <row r="67" spans="1:20" x14ac:dyDescent="0.25">
      <c r="A67" s="61">
        <v>42557.621041666665</v>
      </c>
      <c r="B67" s="50" t="s">
        <v>135</v>
      </c>
      <c r="C67" s="50" t="s">
        <v>360</v>
      </c>
      <c r="D67" s="50" t="s">
        <v>50</v>
      </c>
      <c r="E67" s="83" t="s">
        <v>51</v>
      </c>
      <c r="F67" s="86">
        <v>0</v>
      </c>
      <c r="G67" s="50">
        <v>27</v>
      </c>
      <c r="H67" s="50">
        <v>631</v>
      </c>
      <c r="I67" s="83" t="s">
        <v>52</v>
      </c>
      <c r="J67" s="50">
        <v>575</v>
      </c>
      <c r="K67" s="50" t="s">
        <v>54</v>
      </c>
      <c r="L67" s="11" t="str">
        <f>VLOOKUP(C67,'Trips&amp;Operators'!$C$1:$E$10000,3,FALSE)</f>
        <v>STORY</v>
      </c>
      <c r="M67" s="10" t="s">
        <v>114</v>
      </c>
      <c r="N67" s="11"/>
      <c r="O67" s="1"/>
      <c r="P67" s="113" t="str">
        <f>VLOOKUP(C67,'Train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7" s="111" t="str">
        <f>VLOOKUP(C67,'Train Runs'!$A$13:$AE$954,22,0)</f>
        <v>https://search-rtdc-monitor-bjffxe2xuh6vdkpspy63sjmuny.us-east-1.es.amazonaws.com/_plugin/kibana/#/discover/Steve-Slow-Train-Analysis-(2080s-and-2083s)?_g=(refreshInterval:(display:Off,section:0,value:0),time:(from:'2016-07-06 14:36:25-0600',mode:absolute,to:'2016-07-06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7" s="112" t="str">
        <f>VLOOKUP(C67,'Train Runs'!$A$13:$AF$954,32,0)</f>
        <v>"C:\Program Files (x86)\AstroGrep\AstroGrep.exe" /spath="C:\Users\stu\Documents\Analysis\2016-02-23 RTDC Observations" /stypes="*4037*20160706*" /stext=" 20:.+((prompt.+disp)|(slice.+state.+chan)|(ment ac)|(system.+state.+chan)|(\|lc)|(penalty)|(\[timeout))" /e /r /s</v>
      </c>
      <c r="S67" s="10" t="str">
        <f>MID(B67,13,4)</f>
        <v>4037</v>
      </c>
      <c r="T67" s="61">
        <f t="shared" si="0"/>
        <v>42557.871041666665</v>
      </c>
    </row>
    <row r="68" spans="1:20" x14ac:dyDescent="0.25">
      <c r="A68" s="61">
        <v>42557.704965277779</v>
      </c>
      <c r="B68" s="50" t="s">
        <v>135</v>
      </c>
      <c r="C68" s="50" t="s">
        <v>372</v>
      </c>
      <c r="D68" s="50" t="s">
        <v>50</v>
      </c>
      <c r="E68" s="83" t="s">
        <v>51</v>
      </c>
      <c r="F68" s="86">
        <v>0</v>
      </c>
      <c r="G68" s="50">
        <v>2</v>
      </c>
      <c r="H68" s="50">
        <v>593</v>
      </c>
      <c r="I68" s="83" t="s">
        <v>52</v>
      </c>
      <c r="J68" s="50">
        <v>575</v>
      </c>
      <c r="K68" s="50" t="s">
        <v>54</v>
      </c>
      <c r="L68" s="11" t="str">
        <f>VLOOKUP(C68,'Trips&amp;Operators'!$C$1:$E$10000,3,FALSE)</f>
        <v>STORY</v>
      </c>
      <c r="M68" s="10" t="s">
        <v>114</v>
      </c>
      <c r="N68" s="11"/>
      <c r="O68" s="1"/>
      <c r="P68" s="113" t="str">
        <f>VLOOKUP(C68,'Train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8" s="111" t="str">
        <f>VLOOKUP(C68,'Train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16:35:18-0600',mode:absolute,to:'2016-07-06 16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8" s="112" t="str">
        <f>VLOOKUP(C68,'Train Runs'!$A$13:$AF$954,32,0)</f>
        <v>"C:\Program Files (x86)\AstroGrep\AstroGrep.exe" /spath="C:\Users\stu\Documents\Analysis\2016-02-23 RTDC Observations" /stypes="*4037*20160706*" /stext=" 22:.+((prompt.+disp)|(slice.+state.+chan)|(ment ac)|(system.+state.+chan)|(\|lc)|(penalty)|(\[timeout))" /e /r /s</v>
      </c>
      <c r="S68" s="10" t="str">
        <f>MID(B68,13,4)</f>
        <v>4037</v>
      </c>
      <c r="T68" s="61">
        <f t="shared" si="0"/>
        <v>42557.954965277779</v>
      </c>
    </row>
    <row r="69" spans="1:20" x14ac:dyDescent="0.25">
      <c r="A69" s="61">
        <v>42557.829594907409</v>
      </c>
      <c r="B69" s="50" t="s">
        <v>135</v>
      </c>
      <c r="C69" s="50" t="s">
        <v>384</v>
      </c>
      <c r="D69" s="50" t="s">
        <v>50</v>
      </c>
      <c r="E69" s="83" t="s">
        <v>51</v>
      </c>
      <c r="F69" s="86">
        <v>0</v>
      </c>
      <c r="G69" s="50">
        <v>47</v>
      </c>
      <c r="H69" s="50">
        <v>703</v>
      </c>
      <c r="I69" s="83" t="s">
        <v>52</v>
      </c>
      <c r="J69" s="50">
        <v>575</v>
      </c>
      <c r="K69" s="50" t="s">
        <v>54</v>
      </c>
      <c r="L69" s="11" t="str">
        <f>VLOOKUP(C69,'Trips&amp;Operators'!$C$1:$E$10000,3,FALSE)</f>
        <v>STORY</v>
      </c>
      <c r="M69" s="10" t="s">
        <v>114</v>
      </c>
      <c r="N69" s="11"/>
      <c r="O69" s="1"/>
      <c r="P69" s="113" t="str">
        <f>VLOOKUP(C69,'Train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9" s="111" t="str">
        <f>VLOOKUP(C69,'Train Runs'!$A$13:$AE$954,22,0)</f>
        <v>https://search-rtdc-monitor-bjffxe2xuh6vdkpspy63sjmuny.us-east-1.es.amazonaws.com/_plugin/kibana/#/discover/Steve-Slow-Train-Analysis-(2080s-and-2083s)?_g=(refreshInterval:(display:Off,section:0,value:0),time:(from:'2016-07-06 19:35:37-0600',mode:absolute,to:'2016-07-06 19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9" s="112" t="str">
        <f>VLOOKUP(C69,'Train Runs'!$A$13:$AF$954,32,0)</f>
        <v>"C:\Program Files (x86)\AstroGrep\AstroGrep.exe" /spath="C:\Users\stu\Documents\Analysis\2016-02-23 RTDC Observations" /stypes="*4037*20160707*" /stext=" 01:.+((prompt.+disp)|(slice.+state.+chan)|(ment ac)|(system.+state.+chan)|(\|lc)|(penalty)|(\[timeout))" /e /r /s</v>
      </c>
      <c r="S69" s="10" t="str">
        <f>MID(B69,13,4)</f>
        <v>4037</v>
      </c>
      <c r="T69" s="61">
        <f t="shared" si="0"/>
        <v>42558.079594907409</v>
      </c>
    </row>
    <row r="70" spans="1:20" x14ac:dyDescent="0.25">
      <c r="A70" s="61">
        <v>42557.871342592596</v>
      </c>
      <c r="B70" s="50" t="s">
        <v>135</v>
      </c>
      <c r="C70" s="50" t="s">
        <v>387</v>
      </c>
      <c r="D70" s="50" t="s">
        <v>50</v>
      </c>
      <c r="E70" s="83" t="s">
        <v>51</v>
      </c>
      <c r="F70" s="86">
        <v>0</v>
      </c>
      <c r="G70" s="50">
        <v>9</v>
      </c>
      <c r="H70" s="50">
        <v>587</v>
      </c>
      <c r="I70" s="83" t="s">
        <v>52</v>
      </c>
      <c r="J70" s="50">
        <v>575</v>
      </c>
      <c r="K70" s="50" t="s">
        <v>54</v>
      </c>
      <c r="L70" s="11" t="str">
        <f>VLOOKUP(C70,'Trips&amp;Operators'!$C$1:$E$10000,3,FALSE)</f>
        <v>STORY</v>
      </c>
      <c r="M70" s="10" t="s">
        <v>114</v>
      </c>
      <c r="N70" s="11"/>
      <c r="O70" s="1"/>
      <c r="P70" s="113" t="str">
        <f>VLOOKUP(C70,'Train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0" s="111" t="str">
        <f>VLOOKUP(C70,'Train Runs'!$A$13:$AE$954,22,0)</f>
        <v>https://search-rtdc-monitor-bjffxe2xuh6vdkpspy63sjmuny.us-east-1.es.amazonaws.com/_plugin/kibana/#/discover/Steve-Slow-Train-Analysis-(2080s-and-2083s)?_g=(refreshInterval:(display:Off,section:0,value:0),time:(from:'2016-07-06 20:37:13-0600',mode:absolute,to:'2016-07-06 20:55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0" s="112" t="str">
        <f>VLOOKUP(C70,'Train Runs'!$A$13:$AF$954,32,0)</f>
        <v>"C:\Program Files (x86)\AstroGrep\AstroGrep.exe" /spath="C:\Users\stu\Documents\Analysis\2016-02-23 RTDC Observations" /stypes="*4037*20160707*" /stext=" 02:.+((prompt.+disp)|(slice.+state.+chan)|(ment ac)|(system.+state.+chan)|(\|lc)|(penalty)|(\[timeout))" /e /r /s</v>
      </c>
      <c r="S70" s="10" t="str">
        <f>MID(B70,13,4)</f>
        <v>4037</v>
      </c>
      <c r="T70" s="61">
        <f t="shared" si="0"/>
        <v>42558.121342592596</v>
      </c>
    </row>
    <row r="71" spans="1:20" x14ac:dyDescent="0.25">
      <c r="A71" s="61">
        <v>42557.913101851853</v>
      </c>
      <c r="B71" s="50" t="s">
        <v>135</v>
      </c>
      <c r="C71" s="50" t="s">
        <v>390</v>
      </c>
      <c r="D71" s="50" t="s">
        <v>50</v>
      </c>
      <c r="E71" s="83" t="s">
        <v>51</v>
      </c>
      <c r="F71" s="86">
        <v>0</v>
      </c>
      <c r="G71" s="50">
        <v>45</v>
      </c>
      <c r="H71" s="50">
        <v>719</v>
      </c>
      <c r="I71" s="83" t="s">
        <v>52</v>
      </c>
      <c r="J71" s="50">
        <v>575</v>
      </c>
      <c r="K71" s="50" t="s">
        <v>54</v>
      </c>
      <c r="L71" s="11" t="str">
        <f>VLOOKUP(C71,'Trips&amp;Operators'!$C$1:$E$10000,3,FALSE)</f>
        <v>STORY</v>
      </c>
      <c r="M71" s="10" t="s">
        <v>114</v>
      </c>
      <c r="N71" s="11"/>
      <c r="O71" s="1"/>
      <c r="P71" s="113" t="str">
        <f>VLOOKUP(C71,'Train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1" s="111" t="str">
        <f>VLOOKUP(C71,'Train Runs'!$A$13:$AE$954,22,0)</f>
        <v>https://search-rtdc-monitor-bjffxe2xuh6vdkpspy63sjmuny.us-east-1.es.amazonaws.com/_plugin/kibana/#/discover/Steve-Slow-Train-Analysis-(2080s-and-2083s)?_g=(refreshInterval:(display:Off,section:0,value:0),time:(from:'2016-07-06 21:35:08-0600',mode:absolute,to:'2016-07-06 21:56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1" s="112" t="str">
        <f>VLOOKUP(C71,'Train Runs'!$A$13:$AF$954,32,0)</f>
        <v>"C:\Program Files (x86)\AstroGrep\AstroGrep.exe" /spath="C:\Users\stu\Documents\Analysis\2016-02-23 RTDC Observations" /stypes="*4037*20160707*" /stext=" 03:.+((prompt.+disp)|(slice.+state.+chan)|(ment ac)|(system.+state.+chan)|(\|lc)|(penalty)|(\[timeout))" /e /r /s</v>
      </c>
      <c r="S71" s="10" t="str">
        <f>MID(B71,13,4)</f>
        <v>4037</v>
      </c>
      <c r="T71" s="61">
        <f t="shared" si="0"/>
        <v>42558.163101851853</v>
      </c>
    </row>
    <row r="72" spans="1:20" x14ac:dyDescent="0.25">
      <c r="A72" s="61">
        <v>42557.664131944446</v>
      </c>
      <c r="B72" s="50" t="s">
        <v>135</v>
      </c>
      <c r="C72" s="50" t="s">
        <v>366</v>
      </c>
      <c r="D72" s="50" t="s">
        <v>50</v>
      </c>
      <c r="E72" s="83" t="s">
        <v>51</v>
      </c>
      <c r="F72" s="86">
        <v>0</v>
      </c>
      <c r="G72" s="50">
        <v>17</v>
      </c>
      <c r="H72" s="50">
        <v>846</v>
      </c>
      <c r="I72" s="83" t="s">
        <v>52</v>
      </c>
      <c r="J72" s="50">
        <v>826</v>
      </c>
      <c r="K72" s="50" t="s">
        <v>54</v>
      </c>
      <c r="L72" s="11" t="str">
        <f>VLOOKUP(C72,'Trips&amp;Operators'!$C$1:$E$10000,3,FALSE)</f>
        <v>STORY</v>
      </c>
      <c r="M72" s="10" t="s">
        <v>114</v>
      </c>
      <c r="N72" s="11"/>
      <c r="O72" s="1"/>
      <c r="P72" s="113" t="str">
        <f>VLOOKUP(C72,'Train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2" s="111" t="str">
        <f>VLOOKUP(C72,'Train Runs'!$A$13:$AE$954,22,0)</f>
        <v>https://search-rtdc-monitor-bjffxe2xuh6vdkpspy63sjmuny.us-east-1.es.amazonaws.com/_plugin/kibana/#/discover/Steve-Slow-Train-Analysis-(2080s-and-2083s)?_g=(refreshInterval:(display:Off,section:0,value:0),time:(from:'2016-07-06 15:35:24-0600',mode:absolute,to:'2016-07-06 15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2" s="112" t="str">
        <f>VLOOKUP(C72,'Train Runs'!$A$13:$AF$954,32,0)</f>
        <v>"C:\Program Files (x86)\AstroGrep\AstroGrep.exe" /spath="C:\Users\stu\Documents\Analysis\2016-02-23 RTDC Observations" /stypes="*4037*20160706*" /stext=" 21:.+((prompt.+disp)|(slice.+state.+chan)|(ment ac)|(system.+state.+chan)|(\|lc)|(penalty)|(\[timeout))" /e /r /s</v>
      </c>
      <c r="S72" s="10" t="str">
        <f>MID(B72,13,4)</f>
        <v>4037</v>
      </c>
      <c r="T72" s="61">
        <f t="shared" si="0"/>
        <v>42557.914131944446</v>
      </c>
    </row>
    <row r="73" spans="1:20" x14ac:dyDescent="0.25">
      <c r="A73" s="61">
        <v>42557.68540509259</v>
      </c>
      <c r="B73" s="50" t="s">
        <v>134</v>
      </c>
      <c r="C73" s="50" t="s">
        <v>369</v>
      </c>
      <c r="D73" s="50" t="s">
        <v>50</v>
      </c>
      <c r="E73" s="83" t="s">
        <v>51</v>
      </c>
      <c r="F73" s="86">
        <v>0</v>
      </c>
      <c r="G73" s="50">
        <v>51</v>
      </c>
      <c r="H73" s="50">
        <v>991</v>
      </c>
      <c r="I73" s="83" t="s">
        <v>52</v>
      </c>
      <c r="J73" s="50">
        <v>826</v>
      </c>
      <c r="K73" s="50" t="s">
        <v>54</v>
      </c>
      <c r="L73" s="11" t="str">
        <f>VLOOKUP(C73,'Trips&amp;Operators'!$C$1:$E$10000,3,FALSE)</f>
        <v>STRICKLAND</v>
      </c>
      <c r="M73" s="10" t="s">
        <v>114</v>
      </c>
      <c r="N73" s="11"/>
      <c r="O73" s="1"/>
      <c r="P73" s="113" t="str">
        <f>VLOOKUP(C73,'Train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73" s="111" t="str">
        <f>VLOOKUP(C73,'Train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73" s="112" t="str">
        <f>VLOOKUP(C73,'Train Runs'!$A$13:$AF$954,32,0)</f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  <c r="S73" s="10" t="str">
        <f>MID(B73,13,4)</f>
        <v>4028</v>
      </c>
      <c r="T73" s="61">
        <f t="shared" si="0"/>
        <v>42557.93540509259</v>
      </c>
    </row>
    <row r="74" spans="1:20" x14ac:dyDescent="0.25">
      <c r="A74" s="61">
        <v>42557.963437500002</v>
      </c>
      <c r="B74" s="50" t="s">
        <v>69</v>
      </c>
      <c r="C74" s="50" t="s">
        <v>393</v>
      </c>
      <c r="D74" s="50" t="s">
        <v>50</v>
      </c>
      <c r="E74" s="83" t="s">
        <v>51</v>
      </c>
      <c r="F74" s="86">
        <v>0</v>
      </c>
      <c r="G74" s="50">
        <v>8</v>
      </c>
      <c r="H74" s="50">
        <v>1233</v>
      </c>
      <c r="I74" s="83" t="s">
        <v>52</v>
      </c>
      <c r="J74" s="50">
        <v>839</v>
      </c>
      <c r="K74" s="50" t="s">
        <v>54</v>
      </c>
      <c r="L74" s="11" t="str">
        <f>VLOOKUP(C74,'Trips&amp;Operators'!$C$1:$E$10000,3,FALSE)</f>
        <v>DAVIS</v>
      </c>
      <c r="M74" s="10" t="s">
        <v>114</v>
      </c>
      <c r="N74" s="11"/>
      <c r="O74" s="1"/>
      <c r="P74" s="113" t="str">
        <f>VLOOKUP(C74,'Train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74" s="111" t="str">
        <f>VLOOKUP(C74,'Train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4" s="112" t="str">
        <f>VLOOKUP(C74,'Train Runs'!$A$13:$AF$954,32,0)</f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  <c r="S74" s="10" t="str">
        <f>MID(B74,13,4)</f>
        <v>4032</v>
      </c>
      <c r="T74" s="61">
        <f t="shared" si="0"/>
        <v>42558.213437500002</v>
      </c>
    </row>
    <row r="75" spans="1:20" x14ac:dyDescent="0.25">
      <c r="A75" s="61">
        <v>42557.315335648149</v>
      </c>
      <c r="B75" s="50" t="s">
        <v>118</v>
      </c>
      <c r="C75" s="50" t="s">
        <v>332</v>
      </c>
      <c r="D75" s="50" t="s">
        <v>50</v>
      </c>
      <c r="E75" s="83" t="s">
        <v>51</v>
      </c>
      <c r="F75" s="86">
        <v>0</v>
      </c>
      <c r="G75" s="50">
        <v>75</v>
      </c>
      <c r="H75" s="50">
        <v>58766</v>
      </c>
      <c r="I75" s="83" t="s">
        <v>52</v>
      </c>
      <c r="J75" s="50">
        <v>59048</v>
      </c>
      <c r="K75" s="50" t="s">
        <v>53</v>
      </c>
      <c r="L75" s="11" t="str">
        <f>VLOOKUP(C75,'Trips&amp;Operators'!$C$1:$E$10000,3,FALSE)</f>
        <v>MAYBERRY</v>
      </c>
      <c r="M75" s="10" t="s">
        <v>114</v>
      </c>
      <c r="N75" s="11"/>
      <c r="O75" s="33"/>
      <c r="P75" s="113" t="str">
        <f>VLOOKUP(C75,'Train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5" s="111" t="str">
        <f>VLOOKUP(C75,'Train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5" s="112" t="str">
        <f>VLOOKUP(C75,'Train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5" s="10" t="str">
        <f>MID(B75,13,4)</f>
        <v>4038</v>
      </c>
      <c r="T75" s="61">
        <f t="shared" ref="T75:T109" si="1">A75+6/24</f>
        <v>42557.565335648149</v>
      </c>
    </row>
    <row r="76" spans="1:20" x14ac:dyDescent="0.25">
      <c r="A76" s="61">
        <v>42557.31591435185</v>
      </c>
      <c r="B76" s="50" t="s">
        <v>118</v>
      </c>
      <c r="C76" s="50" t="s">
        <v>332</v>
      </c>
      <c r="D76" s="50" t="s">
        <v>50</v>
      </c>
      <c r="E76" s="83" t="s">
        <v>51</v>
      </c>
      <c r="F76" s="86">
        <v>0</v>
      </c>
      <c r="G76" s="50">
        <v>7</v>
      </c>
      <c r="H76" s="50">
        <v>58858</v>
      </c>
      <c r="I76" s="83" t="s">
        <v>52</v>
      </c>
      <c r="J76" s="50">
        <v>59048</v>
      </c>
      <c r="K76" s="50" t="s">
        <v>53</v>
      </c>
      <c r="L76" s="11" t="str">
        <f>VLOOKUP(C76,'Trips&amp;Operators'!$C$1:$E$10000,3,FALSE)</f>
        <v>MAYBERRY</v>
      </c>
      <c r="M76" s="10" t="s">
        <v>114</v>
      </c>
      <c r="N76" s="11"/>
      <c r="O76" s="33"/>
      <c r="P76" s="113" t="str">
        <f>VLOOKUP(C76,'Train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6" s="111" t="str">
        <f>VLOOKUP(C76,'Train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6" s="112" t="str">
        <f>VLOOKUP(C76,'Train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6" s="10" t="str">
        <f>MID(B76,13,4)</f>
        <v>4038</v>
      </c>
      <c r="T76" s="61">
        <f t="shared" si="1"/>
        <v>42557.56591435185</v>
      </c>
    </row>
    <row r="77" spans="1:20" x14ac:dyDescent="0.25">
      <c r="A77" s="61">
        <v>42557.357418981483</v>
      </c>
      <c r="B77" s="50" t="s">
        <v>118</v>
      </c>
      <c r="C77" s="50" t="s">
        <v>337</v>
      </c>
      <c r="D77" s="50" t="s">
        <v>50</v>
      </c>
      <c r="E77" s="83" t="s">
        <v>51</v>
      </c>
      <c r="F77" s="86">
        <v>0</v>
      </c>
      <c r="G77" s="50">
        <v>85</v>
      </c>
      <c r="H77" s="50">
        <v>58715</v>
      </c>
      <c r="I77" s="83" t="s">
        <v>52</v>
      </c>
      <c r="J77" s="50">
        <v>59048</v>
      </c>
      <c r="K77" s="50" t="s">
        <v>53</v>
      </c>
      <c r="L77" s="11" t="str">
        <f>VLOOKUP(C77,'Trips&amp;Operators'!$C$1:$E$10000,3,FALSE)</f>
        <v>MAYBERRY</v>
      </c>
      <c r="M77" s="10" t="s">
        <v>114</v>
      </c>
      <c r="N77" s="11"/>
      <c r="O77" s="33"/>
      <c r="P77" s="113" t="str">
        <f>VLOOKUP(C77,'Train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7" s="111" t="str">
        <f>VLOOKUP(C77,'Train Runs'!$A$13:$AE$954,22,0)</f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7" s="112" t="str">
        <f>VLOOKUP(C77,'Train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7" s="10" t="str">
        <f>MID(B77,13,4)</f>
        <v>4038</v>
      </c>
      <c r="T77" s="61">
        <f t="shared" si="1"/>
        <v>42557.607418981483</v>
      </c>
    </row>
    <row r="78" spans="1:20" x14ac:dyDescent="0.25">
      <c r="A78" s="61">
        <v>42557.397581018522</v>
      </c>
      <c r="B78" s="50" t="s">
        <v>118</v>
      </c>
      <c r="C78" s="50" t="s">
        <v>342</v>
      </c>
      <c r="D78" s="50" t="s">
        <v>50</v>
      </c>
      <c r="E78" s="83" t="s">
        <v>51</v>
      </c>
      <c r="F78" s="86">
        <v>0</v>
      </c>
      <c r="G78" s="50">
        <v>7</v>
      </c>
      <c r="H78" s="50">
        <v>56784</v>
      </c>
      <c r="I78" s="83" t="s">
        <v>52</v>
      </c>
      <c r="J78" s="50">
        <v>59048</v>
      </c>
      <c r="K78" s="50" t="s">
        <v>53</v>
      </c>
      <c r="L78" s="11" t="str">
        <f>VLOOKUP(C78,'Trips&amp;Operators'!$C$1:$E$10000,3,FALSE)</f>
        <v>MAYBERRY</v>
      </c>
      <c r="M78" s="10" t="s">
        <v>114</v>
      </c>
      <c r="N78" s="11"/>
      <c r="O78" s="1"/>
      <c r="P78" s="113" t="str">
        <f>VLOOKUP(C78,'Train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8" s="111" t="str">
        <f>VLOOKUP(C78,'Train Runs'!$A$13:$AE$954,22,0)</f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8" s="112" t="str">
        <f>VLOOKUP(C78,'Train Runs'!$A$13:$AF$954,32,0)</f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  <c r="S78" s="10" t="str">
        <f>MID(B78,13,4)</f>
        <v>4038</v>
      </c>
      <c r="T78" s="61">
        <f t="shared" si="1"/>
        <v>42557.647581018522</v>
      </c>
    </row>
    <row r="79" spans="1:20" x14ac:dyDescent="0.25">
      <c r="A79" s="61">
        <v>42557.399282407408</v>
      </c>
      <c r="B79" s="50" t="s">
        <v>118</v>
      </c>
      <c r="C79" s="50" t="s">
        <v>342</v>
      </c>
      <c r="D79" s="50" t="s">
        <v>50</v>
      </c>
      <c r="E79" s="83" t="s">
        <v>51</v>
      </c>
      <c r="F79" s="86">
        <v>0</v>
      </c>
      <c r="G79" s="50">
        <v>7</v>
      </c>
      <c r="H79" s="50">
        <v>58976</v>
      </c>
      <c r="I79" s="83" t="s">
        <v>52</v>
      </c>
      <c r="J79" s="50">
        <v>59048</v>
      </c>
      <c r="K79" s="50" t="s">
        <v>53</v>
      </c>
      <c r="L79" s="11" t="str">
        <f>VLOOKUP(C79,'Trips&amp;Operators'!$C$1:$E$10000,3,FALSE)</f>
        <v>MAYBERRY</v>
      </c>
      <c r="M79" s="10" t="s">
        <v>114</v>
      </c>
      <c r="N79" s="11"/>
      <c r="O79" s="1"/>
      <c r="P79" s="113" t="str">
        <f>VLOOKUP(C79,'Train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9" s="111" t="str">
        <f>VLOOKUP(C79,'Train Runs'!$A$13:$AE$954,22,0)</f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9" s="112" t="str">
        <f>VLOOKUP(C79,'Train Runs'!$A$13:$AF$954,32,0)</f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  <c r="S79" s="10" t="str">
        <f>MID(B79,13,4)</f>
        <v>4038</v>
      </c>
      <c r="T79" s="61">
        <f t="shared" si="1"/>
        <v>42557.649282407408</v>
      </c>
    </row>
    <row r="80" spans="1:20" x14ac:dyDescent="0.25">
      <c r="A80" s="61">
        <v>42557.44023148148</v>
      </c>
      <c r="B80" s="50" t="s">
        <v>118</v>
      </c>
      <c r="C80" s="50" t="s">
        <v>344</v>
      </c>
      <c r="D80" s="50" t="s">
        <v>50</v>
      </c>
      <c r="E80" s="83" t="s">
        <v>51</v>
      </c>
      <c r="F80" s="86">
        <v>0</v>
      </c>
      <c r="G80" s="50">
        <v>62</v>
      </c>
      <c r="H80" s="50">
        <v>58850</v>
      </c>
      <c r="I80" s="83" t="s">
        <v>52</v>
      </c>
      <c r="J80" s="50">
        <v>59048</v>
      </c>
      <c r="K80" s="50" t="s">
        <v>53</v>
      </c>
      <c r="L80" s="11" t="str">
        <f>VLOOKUP(C80,'Trips&amp;Operators'!$C$1:$E$10000,3,FALSE)</f>
        <v>MAYBERRY</v>
      </c>
      <c r="M80" s="10" t="s">
        <v>114</v>
      </c>
      <c r="N80" s="11"/>
      <c r="O80" s="33"/>
      <c r="P80" s="113" t="str">
        <f>VLOOKUP(C80,'Train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0" s="111" t="str">
        <f>VLOOKUP(C80,'Train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0" s="112" t="str">
        <f>VLOOKUP(C80,'Train Runs'!$A$13:$AF$954,32,0)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  <c r="S80" s="10" t="str">
        <f>MID(B80,13,4)</f>
        <v>4038</v>
      </c>
      <c r="T80" s="61">
        <f t="shared" si="1"/>
        <v>42557.69023148148</v>
      </c>
    </row>
    <row r="81" spans="1:20" x14ac:dyDescent="0.25">
      <c r="A81" s="61">
        <v>42557.523738425924</v>
      </c>
      <c r="B81" s="50" t="s">
        <v>118</v>
      </c>
      <c r="C81" s="50" t="s">
        <v>351</v>
      </c>
      <c r="D81" s="50" t="s">
        <v>50</v>
      </c>
      <c r="E81" s="83" t="s">
        <v>51</v>
      </c>
      <c r="F81" s="86">
        <v>0</v>
      </c>
      <c r="G81" s="50">
        <v>6</v>
      </c>
      <c r="H81" s="50">
        <v>59042</v>
      </c>
      <c r="I81" s="83" t="s">
        <v>52</v>
      </c>
      <c r="J81" s="50">
        <v>59048</v>
      </c>
      <c r="K81" s="50" t="s">
        <v>53</v>
      </c>
      <c r="L81" s="11" t="str">
        <f>VLOOKUP(C81,'Trips&amp;Operators'!$C$1:$E$10000,3,FALSE)</f>
        <v>MAYBERRY</v>
      </c>
      <c r="M81" s="10" t="s">
        <v>114</v>
      </c>
      <c r="N81" s="11"/>
      <c r="O81" s="1"/>
      <c r="P81" s="113" t="str">
        <f>VLOOKUP(C81,'Train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1" s="111" t="str">
        <f>VLOOKUP(C81,'Train Runs'!$A$13:$AE$954,22,0)</f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1" s="112" t="str">
        <f>VLOOKUP(C81,'Train Runs'!$A$13:$AF$954,32,0)</f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  <c r="S81" s="10" t="str">
        <f>MID(B81,13,4)</f>
        <v>4038</v>
      </c>
      <c r="T81" s="61">
        <f t="shared" si="1"/>
        <v>42557.773738425924</v>
      </c>
    </row>
    <row r="82" spans="1:20" x14ac:dyDescent="0.25">
      <c r="A82" s="61">
        <v>42557.565798611111</v>
      </c>
      <c r="B82" s="50" t="s">
        <v>118</v>
      </c>
      <c r="C82" s="50" t="s">
        <v>356</v>
      </c>
      <c r="D82" s="50" t="s">
        <v>50</v>
      </c>
      <c r="E82" s="83" t="s">
        <v>51</v>
      </c>
      <c r="F82" s="86">
        <v>0</v>
      </c>
      <c r="G82" s="50">
        <v>92</v>
      </c>
      <c r="H82" s="50">
        <v>58649</v>
      </c>
      <c r="I82" s="83" t="s">
        <v>52</v>
      </c>
      <c r="J82" s="50">
        <v>59048</v>
      </c>
      <c r="K82" s="50" t="s">
        <v>53</v>
      </c>
      <c r="L82" s="11" t="str">
        <f>VLOOKUP(C82,'Trips&amp;Operators'!$C$1:$E$10000,3,FALSE)</f>
        <v>MAYBERRY</v>
      </c>
      <c r="M82" s="10" t="s">
        <v>114</v>
      </c>
      <c r="N82" s="11"/>
      <c r="O82" s="33"/>
      <c r="P82" s="113" t="str">
        <f>VLOOKUP(C82,'Train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2" s="111" t="str">
        <f>VLOOKUP(C82,'Train Runs'!$A$13:$AE$954,22,0)</f>
        <v>https://search-rtdc-monitor-bjffxe2xuh6vdkpspy63sjmuny.us-east-1.es.amazonaws.com/_plugin/kibana/#/discover/Steve-Slow-Train-Analysis-(2080s-and-2083s)?_g=(refreshInterval:(display:Off,section:0,value:0),time:(from:'2016-07-06 13:14:16-0600',mode:absolute,to:'2016-07-06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2" s="112" t="str">
        <f>VLOOKUP(C82,'Train Runs'!$A$13:$AF$954,32,0)</f>
        <v>"C:\Program Files (x86)\AstroGrep\AstroGrep.exe" /spath="C:\Users\stu\Documents\Analysis\2016-02-23 RTDC Observations" /stypes="*4038*20160706*" /stext=" 19:.+((prompt.+disp)|(slice.+state.+chan)|(ment ac)|(system.+state.+chan)|(\|lc)|(penalty)|(\[timeout))" /e /r /s</v>
      </c>
      <c r="S82" s="10" t="str">
        <f>MID(B82,13,4)</f>
        <v>4038</v>
      </c>
      <c r="T82" s="61">
        <f t="shared" si="1"/>
        <v>42557.815798611111</v>
      </c>
    </row>
    <row r="83" spans="1:20" x14ac:dyDescent="0.25">
      <c r="A83" s="61">
        <v>42557.607916666668</v>
      </c>
      <c r="B83" s="50" t="s">
        <v>118</v>
      </c>
      <c r="C83" s="50" t="s">
        <v>358</v>
      </c>
      <c r="D83" s="50" t="s">
        <v>50</v>
      </c>
      <c r="E83" s="83" t="s">
        <v>51</v>
      </c>
      <c r="F83" s="86">
        <v>0</v>
      </c>
      <c r="G83" s="50">
        <v>92</v>
      </c>
      <c r="H83" s="50">
        <v>58688</v>
      </c>
      <c r="I83" s="83" t="s">
        <v>52</v>
      </c>
      <c r="J83" s="50">
        <v>59048</v>
      </c>
      <c r="K83" s="50" t="s">
        <v>53</v>
      </c>
      <c r="L83" s="11" t="str">
        <f>VLOOKUP(C83,'Trips&amp;Operators'!$C$1:$E$10000,3,FALSE)</f>
        <v>STORY</v>
      </c>
      <c r="M83" s="10" t="s">
        <v>114</v>
      </c>
      <c r="N83" s="11"/>
      <c r="O83" s="33"/>
      <c r="P83" s="113" t="str">
        <f>VLOOKUP(C83,'Train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3" s="111" t="str">
        <f>VLOOKUP(C83,'Train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3" s="112" t="str">
        <f>VLOOKUP(C83,'Train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83" s="10" t="str">
        <f>MID(B83,13,4)</f>
        <v>4038</v>
      </c>
      <c r="T83" s="61">
        <f t="shared" si="1"/>
        <v>42557.857916666668</v>
      </c>
    </row>
    <row r="84" spans="1:20" x14ac:dyDescent="0.25">
      <c r="A84" s="61">
        <v>42557.608541666668</v>
      </c>
      <c r="B84" s="50" t="s">
        <v>118</v>
      </c>
      <c r="C84" s="50" t="s">
        <v>358</v>
      </c>
      <c r="D84" s="50" t="s">
        <v>50</v>
      </c>
      <c r="E84" s="83" t="s">
        <v>51</v>
      </c>
      <c r="F84" s="86">
        <v>0</v>
      </c>
      <c r="G84" s="50">
        <v>9</v>
      </c>
      <c r="H84" s="50">
        <v>58943</v>
      </c>
      <c r="I84" s="83" t="s">
        <v>52</v>
      </c>
      <c r="J84" s="50">
        <v>59048</v>
      </c>
      <c r="K84" s="50" t="s">
        <v>53</v>
      </c>
      <c r="L84" s="11" t="str">
        <f>VLOOKUP(C84,'Trips&amp;Operators'!$C$1:$E$10000,3,FALSE)</f>
        <v>STORY</v>
      </c>
      <c r="M84" s="10" t="s">
        <v>114</v>
      </c>
      <c r="N84" s="11"/>
      <c r="O84" s="1"/>
      <c r="P84" s="113" t="str">
        <f>VLOOKUP(C84,'Train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4" s="111" t="str">
        <f>VLOOKUP(C84,'Train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4" s="112" t="str">
        <f>VLOOKUP(C84,'Train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84" s="10" t="str">
        <f>MID(B84,13,4)</f>
        <v>4038</v>
      </c>
      <c r="T84" s="61">
        <f t="shared" si="1"/>
        <v>42557.858541666668</v>
      </c>
    </row>
    <row r="85" spans="1:20" x14ac:dyDescent="0.25">
      <c r="A85" s="61">
        <v>42557.648321759261</v>
      </c>
      <c r="B85" s="50" t="s">
        <v>118</v>
      </c>
      <c r="C85" s="50" t="s">
        <v>364</v>
      </c>
      <c r="D85" s="50" t="s">
        <v>50</v>
      </c>
      <c r="E85" s="83" t="s">
        <v>51</v>
      </c>
      <c r="F85" s="86">
        <v>0</v>
      </c>
      <c r="G85" s="50">
        <v>143</v>
      </c>
      <c r="H85" s="50">
        <v>58267</v>
      </c>
      <c r="I85" s="83" t="s">
        <v>52</v>
      </c>
      <c r="J85" s="50">
        <v>59048</v>
      </c>
      <c r="K85" s="50" t="s">
        <v>53</v>
      </c>
      <c r="L85" s="11" t="str">
        <f>VLOOKUP(C85,'Trips&amp;Operators'!$C$1:$E$10000,3,FALSE)</f>
        <v>STORY</v>
      </c>
      <c r="M85" s="10" t="s">
        <v>114</v>
      </c>
      <c r="N85" s="11"/>
      <c r="O85" s="33"/>
      <c r="P85" s="113" t="str">
        <f>VLOOKUP(C85,'Train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5" s="111" t="str">
        <f>VLOOKUP(C85,'Train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5" s="112" t="str">
        <f>VLOOKUP(C85,'Train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85" s="10" t="str">
        <f>MID(B85,13,4)</f>
        <v>4038</v>
      </c>
      <c r="T85" s="61">
        <f t="shared" si="1"/>
        <v>42557.898321759261</v>
      </c>
    </row>
    <row r="86" spans="1:20" x14ac:dyDescent="0.25">
      <c r="A86" s="61">
        <v>42557.649525462963</v>
      </c>
      <c r="B86" s="50" t="s">
        <v>118</v>
      </c>
      <c r="C86" s="50" t="s">
        <v>364</v>
      </c>
      <c r="D86" s="50" t="s">
        <v>50</v>
      </c>
      <c r="E86" s="83" t="s">
        <v>51</v>
      </c>
      <c r="F86" s="86">
        <v>0</v>
      </c>
      <c r="G86" s="50">
        <v>7</v>
      </c>
      <c r="H86" s="50">
        <v>58954</v>
      </c>
      <c r="I86" s="83" t="s">
        <v>52</v>
      </c>
      <c r="J86" s="50">
        <v>59048</v>
      </c>
      <c r="K86" s="50" t="s">
        <v>53</v>
      </c>
      <c r="L86" s="11" t="str">
        <f>VLOOKUP(C86,'Trips&amp;Operators'!$C$1:$E$10000,3,FALSE)</f>
        <v>STORY</v>
      </c>
      <c r="M86" s="10" t="s">
        <v>114</v>
      </c>
      <c r="N86" s="11"/>
      <c r="O86" s="33"/>
      <c r="P86" s="113" t="str">
        <f>VLOOKUP(C86,'Train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6" s="111" t="str">
        <f>VLOOKUP(C86,'Train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6" s="112" t="str">
        <f>VLOOKUP(C86,'Train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86" s="10" t="str">
        <f>MID(B86,13,4)</f>
        <v>4038</v>
      </c>
      <c r="T86" s="61">
        <f t="shared" si="1"/>
        <v>42557.899525462963</v>
      </c>
    </row>
    <row r="87" spans="1:20" x14ac:dyDescent="0.25">
      <c r="A87" s="61">
        <v>42557.672986111109</v>
      </c>
      <c r="B87" s="50" t="s">
        <v>139</v>
      </c>
      <c r="C87" s="50" t="s">
        <v>368</v>
      </c>
      <c r="D87" s="50" t="s">
        <v>50</v>
      </c>
      <c r="E87" s="83" t="s">
        <v>51</v>
      </c>
      <c r="F87" s="86">
        <v>0</v>
      </c>
      <c r="G87" s="50">
        <v>9</v>
      </c>
      <c r="H87" s="50">
        <v>58950</v>
      </c>
      <c r="I87" s="83" t="s">
        <v>52</v>
      </c>
      <c r="J87" s="50">
        <v>59048</v>
      </c>
      <c r="K87" s="50" t="s">
        <v>53</v>
      </c>
      <c r="L87" s="11" t="str">
        <f>VLOOKUP(C87,'Trips&amp;Operators'!$C$1:$E$10000,3,FALSE)</f>
        <v>STRICKLAND</v>
      </c>
      <c r="M87" s="10" t="s">
        <v>114</v>
      </c>
      <c r="N87" s="11"/>
      <c r="O87" s="1"/>
      <c r="P87" s="113" t="str">
        <f>VLOOKUP(C87,'Train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87" s="111" t="str">
        <f>VLOOKUP(C87,'Train Runs'!$A$13:$AE$954,22,0)</f>
        <v>https://search-rtdc-monitor-bjffxe2xuh6vdkpspy63sjmuny.us-east-1.es.amazonaws.com/_plugin/kibana/#/discover/Steve-Slow-Train-Analysis-(2080s-and-2083s)?_g=(refreshInterval:(display:Off,section:0,value:0),time:(from:'2016-07-06 15:36:35-0600',mode:absolute,to:'2016-07-06 16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7" s="112" t="str">
        <f>VLOOKUP(C87,'Train Runs'!$A$13:$AF$954,32,0)</f>
        <v>"C:\Program Files (x86)\AstroGrep\AstroGrep.exe" /spath="C:\Users\stu\Documents\Analysis\2016-02-23 RTDC Observations" /stypes="*4027*20160706*" /stext=" 21:.+((prompt.+disp)|(slice.+state.+chan)|(ment ac)|(system.+state.+chan)|(\|lc)|(penalty)|(\[timeout))" /e /r /s</v>
      </c>
      <c r="S87" s="10" t="str">
        <f>MID(B87,13,4)</f>
        <v>4027</v>
      </c>
      <c r="T87" s="61">
        <f t="shared" si="1"/>
        <v>42557.922986111109</v>
      </c>
    </row>
    <row r="88" spans="1:20" x14ac:dyDescent="0.25">
      <c r="A88" s="61">
        <v>42557.690833333334</v>
      </c>
      <c r="B88" s="50" t="s">
        <v>118</v>
      </c>
      <c r="C88" s="50" t="s">
        <v>370</v>
      </c>
      <c r="D88" s="50" t="s">
        <v>50</v>
      </c>
      <c r="E88" s="83" t="s">
        <v>51</v>
      </c>
      <c r="F88" s="86">
        <v>0</v>
      </c>
      <c r="G88" s="50">
        <v>7</v>
      </c>
      <c r="H88" s="50">
        <v>58937</v>
      </c>
      <c r="I88" s="83" t="s">
        <v>52</v>
      </c>
      <c r="J88" s="50">
        <v>59048</v>
      </c>
      <c r="K88" s="50" t="s">
        <v>53</v>
      </c>
      <c r="L88" s="11" t="str">
        <f>VLOOKUP(C88,'Trips&amp;Operators'!$C$1:$E$10000,3,FALSE)</f>
        <v>STORY</v>
      </c>
      <c r="M88" s="10" t="s">
        <v>114</v>
      </c>
      <c r="N88" s="11"/>
      <c r="O88" s="1"/>
      <c r="P88" s="113" t="str">
        <f>VLOOKUP(C88,'Train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8" s="111" t="str">
        <f>VLOOKUP(C88,'Train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8" s="112" t="str">
        <f>VLOOKUP(C88,'Train Runs'!$A$13:$AF$954,32,0)</f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  <c r="S88" s="10" t="str">
        <f>MID(B88,13,4)</f>
        <v>4038</v>
      </c>
      <c r="T88" s="61">
        <f t="shared" si="1"/>
        <v>42557.940833333334</v>
      </c>
    </row>
    <row r="89" spans="1:20" x14ac:dyDescent="0.25">
      <c r="A89" s="61">
        <v>42557.773263888892</v>
      </c>
      <c r="B89" s="50" t="s">
        <v>118</v>
      </c>
      <c r="C89" s="50" t="s">
        <v>379</v>
      </c>
      <c r="D89" s="50" t="s">
        <v>50</v>
      </c>
      <c r="E89" s="83" t="s">
        <v>51</v>
      </c>
      <c r="F89" s="86">
        <v>0</v>
      </c>
      <c r="G89" s="50">
        <v>5</v>
      </c>
      <c r="H89" s="50">
        <v>58937</v>
      </c>
      <c r="I89" s="83" t="s">
        <v>52</v>
      </c>
      <c r="J89" s="50">
        <v>59048</v>
      </c>
      <c r="K89" s="50" t="s">
        <v>53</v>
      </c>
      <c r="L89" s="11" t="str">
        <f>VLOOKUP(C89,'Trips&amp;Operators'!$C$1:$E$10000,3,FALSE)</f>
        <v>STORY</v>
      </c>
      <c r="M89" s="10" t="s">
        <v>114</v>
      </c>
      <c r="N89" s="11"/>
      <c r="O89" s="1"/>
      <c r="P89" s="113" t="str">
        <f>VLOOKUP(C89,'Train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9" s="111" t="str">
        <f>VLOOKUP(C89,'Train Runs'!$A$13:$AE$954,22,0)</f>
        <v>https://search-rtdc-monitor-bjffxe2xuh6vdkpspy63sjmuny.us-east-1.es.amazonaws.com/_plugin/kibana/#/discover/Steve-Slow-Train-Analysis-(2080s-and-2083s)?_g=(refreshInterval:(display:Off,section:0,value:0),time:(from:'2016-07-06 18:16:33-0600',mode:absolute,to:'2016-07-06 18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9" s="112" t="str">
        <f>VLOOKUP(C89,'Train Runs'!$A$13:$AF$954,32,0)</f>
        <v>"C:\Program Files (x86)\AstroGrep\AstroGrep.exe" /spath="C:\Users\stu\Documents\Analysis\2016-02-23 RTDC Observations" /stypes="*4038*20160707*" /stext=" 00:.+((prompt.+disp)|(slice.+state.+chan)|(ment ac)|(system.+state.+chan)|(\|lc)|(penalty)|(\[timeout))" /e /r /s</v>
      </c>
      <c r="S89" s="10" t="str">
        <f>MID(B89,13,4)</f>
        <v>4038</v>
      </c>
      <c r="T89" s="61">
        <f t="shared" si="1"/>
        <v>42558.023263888892</v>
      </c>
    </row>
    <row r="90" spans="1:20" x14ac:dyDescent="0.25">
      <c r="A90" s="61">
        <v>42557.793564814812</v>
      </c>
      <c r="B90" s="50" t="s">
        <v>139</v>
      </c>
      <c r="C90" s="50" t="s">
        <v>380</v>
      </c>
      <c r="D90" s="50" t="s">
        <v>50</v>
      </c>
      <c r="E90" s="83" t="s">
        <v>51</v>
      </c>
      <c r="F90" s="86">
        <v>0</v>
      </c>
      <c r="G90" s="50">
        <v>7</v>
      </c>
      <c r="H90" s="50">
        <v>57280</v>
      </c>
      <c r="I90" s="83" t="s">
        <v>52</v>
      </c>
      <c r="J90" s="50">
        <v>59048</v>
      </c>
      <c r="K90" s="50" t="s">
        <v>53</v>
      </c>
      <c r="L90" s="11" t="str">
        <f>VLOOKUP(C90,'Trips&amp;Operators'!$C$1:$E$10000,3,FALSE)</f>
        <v>STRICKLAND</v>
      </c>
      <c r="M90" s="10" t="s">
        <v>114</v>
      </c>
      <c r="N90" s="11"/>
      <c r="O90" s="33"/>
      <c r="P90" s="113" t="str">
        <f>VLOOKUP(C90,'Train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90" s="111" t="str">
        <f>VLOOKUP(C90,'Train Runs'!$A$13:$AE$954,22,0)</f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0" s="112" t="str">
        <f>VLOOKUP(C90,'Train Runs'!$A$13:$AF$954,32,0)</f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  <c r="S90" s="10" t="str">
        <f>MID(B90,13,4)</f>
        <v>4027</v>
      </c>
      <c r="T90" s="61">
        <f t="shared" si="1"/>
        <v>42558.043564814812</v>
      </c>
    </row>
    <row r="91" spans="1:20" x14ac:dyDescent="0.25">
      <c r="A91" s="61">
        <v>42557.795532407406</v>
      </c>
      <c r="B91" s="50" t="s">
        <v>139</v>
      </c>
      <c r="C91" s="50" t="s">
        <v>380</v>
      </c>
      <c r="D91" s="50" t="s">
        <v>50</v>
      </c>
      <c r="E91" s="83" t="s">
        <v>51</v>
      </c>
      <c r="F91" s="86">
        <v>0</v>
      </c>
      <c r="G91" s="50">
        <v>3</v>
      </c>
      <c r="H91" s="50">
        <v>59029</v>
      </c>
      <c r="I91" s="83" t="s">
        <v>52</v>
      </c>
      <c r="J91" s="50">
        <v>59048</v>
      </c>
      <c r="K91" s="50" t="s">
        <v>53</v>
      </c>
      <c r="L91" s="11" t="str">
        <f>VLOOKUP(C91,'Trips&amp;Operators'!$C$1:$E$10000,3,FALSE)</f>
        <v>STRICKLAND</v>
      </c>
      <c r="M91" s="10" t="s">
        <v>114</v>
      </c>
      <c r="N91" s="11"/>
      <c r="O91" s="1"/>
      <c r="P91" s="113" t="str">
        <f>VLOOKUP(C91,'Train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91" s="111" t="str">
        <f>VLOOKUP(C91,'Train Runs'!$A$13:$AE$954,22,0)</f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1" s="112" t="str">
        <f>VLOOKUP(C91,'Train Runs'!$A$13:$AF$954,32,0)</f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  <c r="S91" s="10" t="str">
        <f>MID(B91,13,4)</f>
        <v>4027</v>
      </c>
      <c r="T91" s="61">
        <f t="shared" si="1"/>
        <v>42558.045532407406</v>
      </c>
    </row>
    <row r="92" spans="1:20" x14ac:dyDescent="0.25">
      <c r="A92" s="61">
        <v>42557.858587962961</v>
      </c>
      <c r="B92" s="50" t="s">
        <v>118</v>
      </c>
      <c r="C92" s="50" t="s">
        <v>386</v>
      </c>
      <c r="D92" s="50" t="s">
        <v>50</v>
      </c>
      <c r="E92" s="83" t="s">
        <v>51</v>
      </c>
      <c r="F92" s="86">
        <v>0</v>
      </c>
      <c r="G92" s="50">
        <v>105</v>
      </c>
      <c r="H92" s="50">
        <v>58658</v>
      </c>
      <c r="I92" s="83" t="s">
        <v>52</v>
      </c>
      <c r="J92" s="50">
        <v>59048</v>
      </c>
      <c r="K92" s="50" t="s">
        <v>53</v>
      </c>
      <c r="L92" s="11" t="str">
        <f>VLOOKUP(C92,'Trips&amp;Operators'!$C$1:$E$10000,3,FALSE)</f>
        <v>STORY</v>
      </c>
      <c r="M92" s="10" t="s">
        <v>114</v>
      </c>
      <c r="N92" s="11"/>
      <c r="O92" s="1"/>
      <c r="P92" s="113" t="str">
        <f>VLOOKUP(C92,'Train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92" s="111" t="str">
        <f>VLOOKUP(C92,'Train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2" s="112" t="str">
        <f>VLOOKUP(C92,'Train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92" s="10" t="str">
        <f>MID(B92,13,4)</f>
        <v>4038</v>
      </c>
      <c r="T92" s="61">
        <f t="shared" si="1"/>
        <v>42558.108587962961</v>
      </c>
    </row>
    <row r="93" spans="1:20" x14ac:dyDescent="0.25">
      <c r="A93" s="61">
        <v>42557.859155092592</v>
      </c>
      <c r="B93" s="50" t="s">
        <v>118</v>
      </c>
      <c r="C93" s="50" t="s">
        <v>386</v>
      </c>
      <c r="D93" s="50" t="s">
        <v>50</v>
      </c>
      <c r="E93" s="83" t="s">
        <v>51</v>
      </c>
      <c r="F93" s="86">
        <v>0</v>
      </c>
      <c r="G93" s="50">
        <v>7</v>
      </c>
      <c r="H93" s="50">
        <v>58941</v>
      </c>
      <c r="I93" s="83" t="s">
        <v>52</v>
      </c>
      <c r="J93" s="50">
        <v>59048</v>
      </c>
      <c r="K93" s="50" t="s">
        <v>53</v>
      </c>
      <c r="L93" s="11" t="str">
        <f>VLOOKUP(C93,'Trips&amp;Operators'!$C$1:$E$10000,3,FALSE)</f>
        <v>STORY</v>
      </c>
      <c r="M93" s="10" t="s">
        <v>114</v>
      </c>
      <c r="N93" s="11"/>
      <c r="O93" s="1"/>
      <c r="P93" s="113" t="str">
        <f>VLOOKUP(C93,'Train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93" s="111" t="str">
        <f>VLOOKUP(C93,'Train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3" s="112" t="str">
        <f>VLOOKUP(C93,'Train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93" s="10" t="str">
        <f>MID(B93,13,4)</f>
        <v>4038</v>
      </c>
      <c r="T93" s="61">
        <f t="shared" si="1"/>
        <v>42558.109155092592</v>
      </c>
    </row>
    <row r="94" spans="1:20" x14ac:dyDescent="0.25">
      <c r="A94" s="61">
        <v>42557.295567129629</v>
      </c>
      <c r="B94" s="50" t="s">
        <v>79</v>
      </c>
      <c r="C94" s="50" t="s">
        <v>329</v>
      </c>
      <c r="D94" s="50" t="s">
        <v>50</v>
      </c>
      <c r="E94" s="83" t="s">
        <v>51</v>
      </c>
      <c r="F94" s="86">
        <v>0</v>
      </c>
      <c r="G94" s="50">
        <v>7</v>
      </c>
      <c r="H94" s="50">
        <v>233357</v>
      </c>
      <c r="I94" s="83" t="s">
        <v>52</v>
      </c>
      <c r="J94" s="50">
        <v>233491</v>
      </c>
      <c r="K94" s="50" t="s">
        <v>53</v>
      </c>
      <c r="L94" s="11" t="str">
        <f>VLOOKUP(C94,'Trips&amp;Operators'!$C$1:$E$10000,3,FALSE)</f>
        <v>NEWELL</v>
      </c>
      <c r="M94" s="10" t="s">
        <v>114</v>
      </c>
      <c r="N94" s="11"/>
      <c r="O94" s="33"/>
      <c r="P94" s="113" t="str">
        <f>VLOOKUP(C94,'Train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4" s="111" t="str">
        <f>VLOOKUP(C94,'Train Runs'!$A$13:$AE$954,22,0)</f>
        <v>https://search-rtdc-monitor-bjffxe2xuh6vdkpspy63sjmuny.us-east-1.es.amazonaws.com/_plugin/kibana/#/discover/Steve-Slow-Train-Analysis-(2080s-and-2083s)?_g=(refreshInterval:(display:Off,section:0,value:0),time:(from:'2016-07-06 06:22:51-0600',mode:absolute,to:'2016-07-06 07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4" s="112" t="str">
        <f>VLOOKUP(C94,'Train Runs'!$A$13:$AF$954,32,0)</f>
        <v>"C:\Program Files (x86)\AstroGrep\AstroGrep.exe" /spath="C:\Users\stu\Documents\Analysis\2016-02-23 RTDC Observations" /stypes="*4031*20160706*" /stext=" 12:.+((prompt.+disp)|(slice.+state.+chan)|(ment ac)|(system.+state.+chan)|(\|lc)|(penalty)|(\[timeout))" /e /r /s</v>
      </c>
      <c r="S94" s="10" t="str">
        <f>MID(B94,13,4)</f>
        <v>4031</v>
      </c>
      <c r="T94" s="61">
        <f t="shared" si="1"/>
        <v>42557.545567129629</v>
      </c>
    </row>
    <row r="95" spans="1:20" x14ac:dyDescent="0.25">
      <c r="A95" s="61">
        <v>42557.30568287037</v>
      </c>
      <c r="B95" s="50" t="s">
        <v>88</v>
      </c>
      <c r="C95" s="50" t="s">
        <v>331</v>
      </c>
      <c r="D95" s="50" t="s">
        <v>50</v>
      </c>
      <c r="E95" s="83" t="s">
        <v>51</v>
      </c>
      <c r="F95" s="86">
        <v>0</v>
      </c>
      <c r="G95" s="50">
        <v>7</v>
      </c>
      <c r="H95" s="50">
        <v>233328</v>
      </c>
      <c r="I95" s="83" t="s">
        <v>52</v>
      </c>
      <c r="J95" s="50">
        <v>233491</v>
      </c>
      <c r="K95" s="50" t="s">
        <v>53</v>
      </c>
      <c r="L95" s="11" t="str">
        <f>VLOOKUP(C95,'Trips&amp;Operators'!$C$1:$E$10000,3,FALSE)</f>
        <v>BEAM</v>
      </c>
      <c r="M95" s="10" t="s">
        <v>114</v>
      </c>
      <c r="N95" s="11"/>
      <c r="O95" s="33"/>
      <c r="P95" s="113" t="str">
        <f>VLOOKUP(C95,'Train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95" s="111" t="str">
        <f>VLOOKUP(C95,'Train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06:39:20-0600',mode:absolute,to:'2016-07-06 07:21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95" s="112" t="str">
        <f>VLOOKUP(C95,'Train Runs'!$A$13:$AF$954,32,0)</f>
        <v>"C:\Program Files (x86)\AstroGrep\AstroGrep.exe" /spath="C:\Users\stu\Documents\Analysis\2016-02-23 RTDC Observations" /stypes="*4042*20160706*" /stext=" 12:.+((prompt.+disp)|(slice.+state.+chan)|(ment ac)|(system.+state.+chan)|(\|lc)|(penalty)|(\[timeout))" /e /r /s</v>
      </c>
      <c r="S95" s="10" t="str">
        <f>MID(B95,13,4)</f>
        <v>4042</v>
      </c>
      <c r="T95" s="61">
        <f t="shared" si="1"/>
        <v>42557.55568287037</v>
      </c>
    </row>
    <row r="96" spans="1:20" x14ac:dyDescent="0.25">
      <c r="A96" s="61">
        <v>42557.326770833337</v>
      </c>
      <c r="B96" s="50" t="s">
        <v>76</v>
      </c>
      <c r="C96" s="50" t="s">
        <v>334</v>
      </c>
      <c r="D96" s="50" t="s">
        <v>50</v>
      </c>
      <c r="E96" s="83" t="s">
        <v>51</v>
      </c>
      <c r="F96" s="86">
        <v>0</v>
      </c>
      <c r="G96" s="50">
        <v>7</v>
      </c>
      <c r="H96" s="50">
        <v>233330</v>
      </c>
      <c r="I96" s="83" t="s">
        <v>52</v>
      </c>
      <c r="J96" s="50">
        <v>233491</v>
      </c>
      <c r="K96" s="50" t="s">
        <v>53</v>
      </c>
      <c r="L96" s="11" t="str">
        <f>VLOOKUP(C96,'Trips&amp;Operators'!$C$1:$E$10000,3,FALSE)</f>
        <v>ROCHA</v>
      </c>
      <c r="M96" s="10" t="s">
        <v>114</v>
      </c>
      <c r="N96" s="11"/>
      <c r="O96" s="1"/>
      <c r="P96" s="113" t="str">
        <f>VLOOKUP(C96,'Train Runs'!$A$13:$AE$954,31,0)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Q96" s="111" t="str">
        <f>VLOOKUP(C96,'Train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07:10:29-0600',mode:absolute,to:'2016-07-06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96" s="112" t="str">
        <f>VLOOKUP(C96,'Train Runs'!$A$13:$AF$954,32,0)</f>
        <v>"C:\Program Files (x86)\AstroGrep\AstroGrep.exe" /spath="C:\Users\stu\Documents\Analysis\2016-02-23 RTDC Observations" /stypes="*4018*20160706*" /stext=" 13:.+((prompt.+disp)|(slice.+state.+chan)|(ment ac)|(system.+state.+chan)|(\|lc)|(penalty)|(\[timeout))" /e /r /s</v>
      </c>
      <c r="S96" s="10" t="str">
        <f>MID(B96,13,4)</f>
        <v>4018</v>
      </c>
      <c r="T96" s="61">
        <f t="shared" si="1"/>
        <v>42557.576770833337</v>
      </c>
    </row>
    <row r="97" spans="1:20" x14ac:dyDescent="0.25">
      <c r="A97" s="61">
        <v>42557.36818287037</v>
      </c>
      <c r="B97" s="50" t="s">
        <v>79</v>
      </c>
      <c r="C97" s="50" t="s">
        <v>339</v>
      </c>
      <c r="D97" s="50" t="s">
        <v>50</v>
      </c>
      <c r="E97" s="83" t="s">
        <v>51</v>
      </c>
      <c r="F97" s="86">
        <v>0</v>
      </c>
      <c r="G97" s="50">
        <v>8</v>
      </c>
      <c r="H97" s="50">
        <v>233334</v>
      </c>
      <c r="I97" s="83" t="s">
        <v>52</v>
      </c>
      <c r="J97" s="50">
        <v>233491</v>
      </c>
      <c r="K97" s="50" t="s">
        <v>53</v>
      </c>
      <c r="L97" s="11" t="str">
        <f>VLOOKUP(C97,'Trips&amp;Operators'!$C$1:$E$10000,3,FALSE)</f>
        <v>NEWELL</v>
      </c>
      <c r="M97" s="10" t="s">
        <v>114</v>
      </c>
      <c r="N97" s="11"/>
      <c r="O97" s="33"/>
      <c r="P97" s="113" t="str">
        <f>VLOOKUP(C97,'Train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7" s="111" t="str">
        <f>VLOOKUP(C97,'Train Runs'!$A$13:$AE$954,22,0)</f>
        <v>https://search-rtdc-monitor-bjffxe2xuh6vdkpspy63sjmuny.us-east-1.es.amazonaws.com/_plugin/kibana/#/discover/Steve-Slow-Train-Analysis-(2080s-and-2083s)?_g=(refreshInterval:(display:Off,section:0,value:0),time:(from:'2016-07-06 08:04:21-0600',mode:absolute,to:'2016-07-06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7" s="112" t="str">
        <f>VLOOKUP(C97,'Train Runs'!$A$13:$AF$954,32,0)</f>
        <v>"C:\Program Files (x86)\AstroGrep\AstroGrep.exe" /spath="C:\Users\stu\Documents\Analysis\2016-02-23 RTDC Observations" /stypes="*4031*20160706*" /stext=" 14:.+((prompt.+disp)|(slice.+state.+chan)|(ment ac)|(system.+state.+chan)|(\|lc)|(penalty)|(\[timeout))" /e /r /s</v>
      </c>
      <c r="S97" s="10" t="str">
        <f>MID(B97,13,4)</f>
        <v>4031</v>
      </c>
      <c r="T97" s="61">
        <f t="shared" si="1"/>
        <v>42557.61818287037</v>
      </c>
    </row>
    <row r="98" spans="1:20" x14ac:dyDescent="0.25">
      <c r="A98" s="61">
        <v>42557.378912037035</v>
      </c>
      <c r="B98" s="50" t="s">
        <v>88</v>
      </c>
      <c r="C98" s="50" t="s">
        <v>340</v>
      </c>
      <c r="D98" s="50" t="s">
        <v>50</v>
      </c>
      <c r="E98" s="83" t="s">
        <v>51</v>
      </c>
      <c r="F98" s="86">
        <v>0</v>
      </c>
      <c r="G98" s="50">
        <v>5</v>
      </c>
      <c r="H98" s="50">
        <v>233204</v>
      </c>
      <c r="I98" s="83" t="s">
        <v>52</v>
      </c>
      <c r="J98" s="50">
        <v>233491</v>
      </c>
      <c r="K98" s="50" t="s">
        <v>53</v>
      </c>
      <c r="L98" s="11" t="str">
        <f>VLOOKUP(C98,'Trips&amp;Operators'!$C$1:$E$10000,3,FALSE)</f>
        <v>BEAM</v>
      </c>
      <c r="M98" s="10" t="s">
        <v>114</v>
      </c>
      <c r="N98" s="11"/>
      <c r="O98" s="1"/>
      <c r="P98" s="113" t="str">
        <f>VLOOKUP(C98,'Train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98" s="111" t="str">
        <f>VLOOKUP(C98,'Train Runs'!$A$13:$AE$954,22,0)</f>
        <v>https://search-rtdc-monitor-bjffxe2xuh6vdkpspy63sjmuny.us-east-1.es.amazonaws.com/_plugin/kibana/#/discover/Steve-Slow-Train-Analysis-(2080s-and-2083s)?_g=(refreshInterval:(display:Off,section:0,value:0),time:(from:'2016-07-06 08:25:55-0600',mode:absolute,to:'2016-07-06 09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98" s="112" t="str">
        <f>VLOOKUP(C98,'Train Runs'!$A$13:$AF$954,32,0)</f>
        <v>"C:\Program Files (x86)\AstroGrep\AstroGrep.exe" /spath="C:\Users\stu\Documents\Analysis\2016-02-23 RTDC Observations" /stypes="*4042*20160706*" /stext=" 14:.+((prompt.+disp)|(slice.+state.+chan)|(ment ac)|(system.+state.+chan)|(\|lc)|(penalty)|(\[timeout))" /e /r /s</v>
      </c>
      <c r="S98" s="10" t="str">
        <f>MID(B98,13,4)</f>
        <v>4042</v>
      </c>
      <c r="T98" s="61">
        <f t="shared" si="1"/>
        <v>42557.628912037035</v>
      </c>
    </row>
    <row r="99" spans="1:20" x14ac:dyDescent="0.25">
      <c r="A99" s="61">
        <v>42557.441342592596</v>
      </c>
      <c r="B99" s="50" t="s">
        <v>79</v>
      </c>
      <c r="C99" s="50" t="s">
        <v>343</v>
      </c>
      <c r="D99" s="50" t="s">
        <v>50</v>
      </c>
      <c r="E99" s="83" t="s">
        <v>51</v>
      </c>
      <c r="F99" s="86">
        <v>0</v>
      </c>
      <c r="G99" s="50">
        <v>9</v>
      </c>
      <c r="H99" s="50">
        <v>233340</v>
      </c>
      <c r="I99" s="83" t="s">
        <v>52</v>
      </c>
      <c r="J99" s="50">
        <v>233491</v>
      </c>
      <c r="K99" s="50" t="s">
        <v>53</v>
      </c>
      <c r="L99" s="11" t="str">
        <f>VLOOKUP(C99,'Trips&amp;Operators'!$C$1:$E$10000,3,FALSE)</f>
        <v>NEWELL</v>
      </c>
      <c r="M99" s="10" t="s">
        <v>114</v>
      </c>
      <c r="N99" s="11"/>
      <c r="O99" s="1"/>
      <c r="P99" s="113" t="str">
        <f>VLOOKUP(C99,'Train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9" s="111" t="str">
        <f>VLOOKUP(C99,'Train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9" s="112" t="str">
        <f>VLOOKUP(C99,'Train Runs'!$A$13:$AF$954,32,0)</f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  <c r="S99" s="10" t="str">
        <f>MID(B99,13,4)</f>
        <v>4031</v>
      </c>
      <c r="T99" s="61">
        <f t="shared" si="1"/>
        <v>42557.691342592596</v>
      </c>
    </row>
    <row r="100" spans="1:20" x14ac:dyDescent="0.25">
      <c r="A100" s="61">
        <v>42557.557928240742</v>
      </c>
      <c r="B100" s="50" t="s">
        <v>131</v>
      </c>
      <c r="C100" s="50" t="s">
        <v>354</v>
      </c>
      <c r="D100" s="50" t="s">
        <v>50</v>
      </c>
      <c r="E100" s="83" t="s">
        <v>51</v>
      </c>
      <c r="F100" s="86">
        <v>0</v>
      </c>
      <c r="G100" s="50">
        <v>53</v>
      </c>
      <c r="H100" s="50">
        <v>233305</v>
      </c>
      <c r="I100" s="83" t="s">
        <v>52</v>
      </c>
      <c r="J100" s="50">
        <v>233491</v>
      </c>
      <c r="K100" s="50" t="s">
        <v>53</v>
      </c>
      <c r="L100" s="11" t="str">
        <f>VLOOKUP(C100,'Trips&amp;Operators'!$C$1:$E$10000,3,FALSE)</f>
        <v>YOUNG</v>
      </c>
      <c r="M100" s="10" t="s">
        <v>114</v>
      </c>
      <c r="N100" s="11"/>
      <c r="O100" s="33"/>
      <c r="P100" s="113" t="str">
        <f>VLOOKUP(C100,'Train Runs'!$A$13:$AE$954,31,0)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Q100" s="111" t="str">
        <f>VLOOKUP(C100,'Train Runs'!$A$13:$AE$954,22,0)</f>
        <v>https://search-rtdc-monitor-bjffxe2xuh6vdkpspy63sjmuny.us-east-1.es.amazonaws.com/_plugin/kibana/#/discover/Steve-Slow-Train-Analysis-(2080s-and-2083s)?_g=(refreshInterval:(display:Off,section:0,value:0),time:(from:'2016-07-06 12:39:46-0600',mode:absolute,to:'2016-07-06 13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00" s="112" t="str">
        <f>VLOOKUP(C100,'Train Runs'!$A$13:$AF$954,32,0)</f>
        <v>"C:\Program Files (x86)\AstroGrep\AstroGrep.exe" /spath="C:\Users\stu\Documents\Analysis\2016-02-23 RTDC Observations" /stypes="*4014*20160706*" /stext=" 18:.+((prompt.+disp)|(slice.+state.+chan)|(ment ac)|(system.+state.+chan)|(\|lc)|(penalty)|(\[timeout))" /e /r /s</v>
      </c>
      <c r="S100" s="10" t="str">
        <f>MID(B100,13,4)</f>
        <v>4014</v>
      </c>
      <c r="T100" s="61">
        <f t="shared" si="1"/>
        <v>42557.807928240742</v>
      </c>
    </row>
    <row r="101" spans="1:20" x14ac:dyDescent="0.25">
      <c r="A101" s="61">
        <v>42557.566388888888</v>
      </c>
      <c r="B101" s="50" t="s">
        <v>133</v>
      </c>
      <c r="C101" s="50" t="s">
        <v>357</v>
      </c>
      <c r="D101" s="50" t="s">
        <v>50</v>
      </c>
      <c r="E101" s="83" t="s">
        <v>51</v>
      </c>
      <c r="F101" s="86">
        <v>0</v>
      </c>
      <c r="G101" s="50">
        <v>6</v>
      </c>
      <c r="H101" s="50">
        <v>233297</v>
      </c>
      <c r="I101" s="83" t="s">
        <v>52</v>
      </c>
      <c r="J101" s="50">
        <v>233491</v>
      </c>
      <c r="K101" s="50" t="s">
        <v>53</v>
      </c>
      <c r="L101" s="11" t="str">
        <f>VLOOKUP(C101,'Trips&amp;Operators'!$C$1:$E$10000,3,FALSE)</f>
        <v>STAMBAUGH</v>
      </c>
      <c r="M101" s="10" t="s">
        <v>114</v>
      </c>
      <c r="N101" s="11"/>
      <c r="O101" s="1"/>
      <c r="P101" s="113" t="str">
        <f>VLOOKUP(C101,'Train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1" s="111" t="str">
        <f>VLOOKUP(C101,'Train Runs'!$A$13:$AE$954,22,0)</f>
        <v>https://search-rtdc-monitor-bjffxe2xuh6vdkpspy63sjmuny.us-east-1.es.amazonaws.com/_plugin/kibana/#/discover/Steve-Slow-Train-Analysis-(2080s-and-2083s)?_g=(refreshInterval:(display:Off,section:0,value:0),time:(from:'2016-07-06 12:50:20-0600',mode:absolute,to:'2016-07-06 13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1" s="112" t="str">
        <f>VLOOKUP(C101,'Train Runs'!$A$13:$AF$954,32,0)</f>
        <v>"C:\Program Files (x86)\AstroGrep\AstroGrep.exe" /spath="C:\Users\stu\Documents\Analysis\2016-02-23 RTDC Observations" /stypes="*4025*20160706*" /stext=" 18:.+((prompt.+disp)|(slice.+state.+chan)|(ment ac)|(system.+state.+chan)|(\|lc)|(penalty)|(\[timeout))" /e /r /s</v>
      </c>
      <c r="S101" s="10" t="str">
        <f>MID(B101,13,4)</f>
        <v>4025</v>
      </c>
      <c r="T101" s="61">
        <f t="shared" si="1"/>
        <v>42557.816388888888</v>
      </c>
    </row>
    <row r="102" spans="1:20" x14ac:dyDescent="0.25">
      <c r="A102" s="61">
        <v>42557.618356481478</v>
      </c>
      <c r="B102" s="50" t="s">
        <v>76</v>
      </c>
      <c r="C102" s="50" t="s">
        <v>359</v>
      </c>
      <c r="D102" s="50" t="s">
        <v>50</v>
      </c>
      <c r="E102" s="83" t="s">
        <v>51</v>
      </c>
      <c r="F102" s="86">
        <v>0</v>
      </c>
      <c r="G102" s="50">
        <v>5</v>
      </c>
      <c r="H102" s="50">
        <v>233320</v>
      </c>
      <c r="I102" s="83" t="s">
        <v>52</v>
      </c>
      <c r="J102" s="50">
        <v>233491</v>
      </c>
      <c r="K102" s="50" t="s">
        <v>53</v>
      </c>
      <c r="L102" s="11" t="str">
        <f>VLOOKUP(C102,'Trips&amp;Operators'!$C$1:$E$10000,3,FALSE)</f>
        <v>BRANNON</v>
      </c>
      <c r="M102" s="10" t="s">
        <v>114</v>
      </c>
      <c r="N102" s="11"/>
      <c r="O102" s="1"/>
      <c r="P102" s="113" t="str">
        <f>VLOOKUP(C102,'Train Runs'!$A$13:$AE$954,31,0)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Q102" s="111" t="str">
        <f>VLOOKUP(C102,'Train Runs'!$A$13:$AE$954,22,0)</f>
        <v>https://search-rtdc-monitor-bjffxe2xuh6vdkpspy63sjmuny.us-east-1.es.amazonaws.com/_plugin/kibana/#/discover/Steve-Slow-Train-Analysis-(2080s-and-2083s)?_g=(refreshInterval:(display:Off,section:0,value:0),time:(from:'2016-07-06 14:09:25-0600',mode:absolute,to:'2016-07-06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2" s="112" t="str">
        <f>VLOOKUP(C102,'Train Runs'!$A$13:$AF$954,32,0)</f>
        <v>"C:\Program Files (x86)\AstroGrep\AstroGrep.exe" /spath="C:\Users\stu\Documents\Analysis\2016-02-23 RTDC Observations" /stypes="*4018*20160706*" /stext=" 20:.+((prompt.+disp)|(slice.+state.+chan)|(ment ac)|(system.+state.+chan)|(\|lc)|(penalty)|(\[timeout))" /e /r /s</v>
      </c>
      <c r="S102" s="10" t="str">
        <f>MID(B102,13,4)</f>
        <v>4018</v>
      </c>
      <c r="T102" s="61">
        <f t="shared" si="1"/>
        <v>42557.868356481478</v>
      </c>
    </row>
    <row r="103" spans="1:20" x14ac:dyDescent="0.25">
      <c r="A103" s="61">
        <v>42557.638854166667</v>
      </c>
      <c r="B103" s="50" t="s">
        <v>133</v>
      </c>
      <c r="C103" s="50" t="s">
        <v>362</v>
      </c>
      <c r="D103" s="50" t="s">
        <v>50</v>
      </c>
      <c r="E103" s="83" t="s">
        <v>51</v>
      </c>
      <c r="F103" s="86">
        <v>0</v>
      </c>
      <c r="G103" s="50">
        <v>4</v>
      </c>
      <c r="H103" s="50">
        <v>233341</v>
      </c>
      <c r="I103" s="83" t="s">
        <v>52</v>
      </c>
      <c r="J103" s="50">
        <v>233491</v>
      </c>
      <c r="K103" s="50" t="s">
        <v>53</v>
      </c>
      <c r="L103" s="11" t="str">
        <f>VLOOKUP(C103,'Trips&amp;Operators'!$C$1:$E$10000,3,FALSE)</f>
        <v>STAMBAUGH</v>
      </c>
      <c r="M103" s="10" t="s">
        <v>114</v>
      </c>
      <c r="N103" s="11"/>
      <c r="O103" s="33"/>
      <c r="P103" s="113" t="str">
        <f>VLOOKUP(C103,'Train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3" s="111" t="str">
        <f>VLOOKUP(C103,'Train Runs'!$A$13:$AE$954,22,0)</f>
        <v>https://search-rtdc-monitor-bjffxe2xuh6vdkpspy63sjmuny.us-east-1.es.amazonaws.com/_plugin/kibana/#/discover/Steve-Slow-Train-Analysis-(2080s-and-2083s)?_g=(refreshInterval:(display:Off,section:0,value:0),time:(from:'2016-07-06 14:37:56-0600',mode:absolute,to:'2016-07-06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3" s="112" t="str">
        <f>VLOOKUP(C103,'Train Runs'!$A$13:$AF$954,32,0)</f>
        <v>"C:\Program Files (x86)\AstroGrep\AstroGrep.exe" /spath="C:\Users\stu\Documents\Analysis\2016-02-23 RTDC Observations" /stypes="*4025*20160706*" /stext=" 20:.+((prompt.+disp)|(slice.+state.+chan)|(ment ac)|(system.+state.+chan)|(\|lc)|(penalty)|(\[timeout))" /e /r /s</v>
      </c>
      <c r="S103" s="10" t="str">
        <f>MID(B103,13,4)</f>
        <v>4025</v>
      </c>
      <c r="T103" s="61">
        <f t="shared" si="1"/>
        <v>42557.888854166667</v>
      </c>
    </row>
    <row r="104" spans="1:20" x14ac:dyDescent="0.25">
      <c r="A104" s="61">
        <v>42557.670034722221</v>
      </c>
      <c r="B104" s="50" t="s">
        <v>124</v>
      </c>
      <c r="C104" s="50" t="s">
        <v>367</v>
      </c>
      <c r="D104" s="50" t="s">
        <v>50</v>
      </c>
      <c r="E104" s="83" t="s">
        <v>51</v>
      </c>
      <c r="F104" s="86">
        <v>0</v>
      </c>
      <c r="G104" s="50">
        <v>98</v>
      </c>
      <c r="H104" s="50">
        <v>233127</v>
      </c>
      <c r="I104" s="83" t="s">
        <v>52</v>
      </c>
      <c r="J104" s="50">
        <v>233491</v>
      </c>
      <c r="K104" s="50" t="s">
        <v>53</v>
      </c>
      <c r="L104" s="11" t="str">
        <f>VLOOKUP(C104,'Trips&amp;Operators'!$C$1:$E$10000,3,FALSE)</f>
        <v>SPECTOR</v>
      </c>
      <c r="M104" s="10" t="s">
        <v>114</v>
      </c>
      <c r="N104" s="11"/>
      <c r="O104" s="1"/>
      <c r="P104" s="113" t="str">
        <f>VLOOKUP(C104,'Train Runs'!$A$13:$AE$954,31,0)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Q104" s="111" t="str">
        <f>VLOOKUP(C104,'Train Runs'!$A$13:$AE$954,22,0)</f>
        <v>https://search-rtdc-monitor-bjffxe2xuh6vdkpspy63sjmuny.us-east-1.es.amazonaws.com/_plugin/kibana/#/discover/Steve-Slow-Train-Analysis-(2080s-and-2083s)?_g=(refreshInterval:(display:Off,section:0,value:0),time:(from:'2016-07-06 15:20:41-0600',mode:absolute,to:'2016-07-06 16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04" s="112" t="str">
        <f>VLOOKUP(C104,'Train Runs'!$A$13:$AF$954,32,0)</f>
        <v>"C:\Program Files (x86)\AstroGrep\AstroGrep.exe" /spath="C:\Users\stu\Documents\Analysis\2016-02-23 RTDC Observations" /stypes="*4011*20160706*" /stext=" 21:.+((prompt.+disp)|(slice.+state.+chan)|(ment ac)|(system.+state.+chan)|(\|lc)|(penalty)|(\[timeout))" /e /r /s</v>
      </c>
      <c r="S104" s="10" t="str">
        <f>MID(B104,13,4)</f>
        <v>4011</v>
      </c>
      <c r="T104" s="61">
        <f t="shared" si="1"/>
        <v>42557.920034722221</v>
      </c>
    </row>
    <row r="105" spans="1:20" x14ac:dyDescent="0.25">
      <c r="A105" s="61">
        <v>42557.755682870367</v>
      </c>
      <c r="B105" s="50" t="s">
        <v>159</v>
      </c>
      <c r="C105" s="50" t="s">
        <v>376</v>
      </c>
      <c r="D105" s="50" t="s">
        <v>50</v>
      </c>
      <c r="E105" s="83" t="s">
        <v>51</v>
      </c>
      <c r="F105" s="86">
        <v>0</v>
      </c>
      <c r="G105" s="50">
        <v>109</v>
      </c>
      <c r="H105" s="50">
        <v>233072</v>
      </c>
      <c r="I105" s="83" t="s">
        <v>52</v>
      </c>
      <c r="J105" s="50">
        <v>233491</v>
      </c>
      <c r="K105" s="50" t="s">
        <v>53</v>
      </c>
      <c r="L105" s="11" t="str">
        <f>VLOOKUP(C105,'Trips&amp;Operators'!$C$1:$E$10000,3,FALSE)</f>
        <v>STEWART</v>
      </c>
      <c r="M105" s="10" t="s">
        <v>114</v>
      </c>
      <c r="N105" s="11"/>
      <c r="O105" s="33"/>
      <c r="P105" s="113" t="str">
        <f>VLOOKUP(C105,'Train Runs'!$A$13:$AE$954,31,0)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Q105" s="111" t="str">
        <f>VLOOKUP(C105,'Train Runs'!$A$13:$AE$954,22,0)</f>
        <v>https://search-rtdc-monitor-bjffxe2xuh6vdkpspy63sjmuny.us-east-1.es.amazonaws.com/_plugin/kibana/#/discover/Steve-Slow-Train-Analysis-(2080s-and-2083s)?_g=(refreshInterval:(display:Off,section:0,value:0),time:(from:'2016-07-06 17:23:26-0600',mode:absolute,to:'2016-07-06 18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05" s="112" t="str">
        <f>VLOOKUP(C105,'Train Runs'!$A$13:$AF$954,32,0)</f>
        <v>"C:\Program Files (x86)\AstroGrep\AstroGrep.exe" /spath="C:\Users\stu\Documents\Analysis\2016-02-23 RTDC Observations" /stypes="*4044*20160706*" /stext=" 23:.+((prompt.+disp)|(slice.+state.+chan)|(ment ac)|(system.+state.+chan)|(\|lc)|(penalty)|(\[timeout))" /e /r /s</v>
      </c>
      <c r="S105" s="10" t="str">
        <f>MID(B105,13,4)</f>
        <v>4044</v>
      </c>
      <c r="T105" s="61">
        <f t="shared" si="1"/>
        <v>42558.005682870367</v>
      </c>
    </row>
    <row r="106" spans="1:20" x14ac:dyDescent="0.25">
      <c r="A106" s="61">
        <v>42557.878449074073</v>
      </c>
      <c r="B106" s="50" t="s">
        <v>170</v>
      </c>
      <c r="C106" s="50" t="s">
        <v>389</v>
      </c>
      <c r="D106" s="50" t="s">
        <v>50</v>
      </c>
      <c r="E106" s="83" t="s">
        <v>51</v>
      </c>
      <c r="F106" s="86">
        <v>0</v>
      </c>
      <c r="G106" s="50">
        <v>6</v>
      </c>
      <c r="H106" s="50">
        <v>233336</v>
      </c>
      <c r="I106" s="83" t="s">
        <v>52</v>
      </c>
      <c r="J106" s="50">
        <v>233491</v>
      </c>
      <c r="K106" s="50" t="s">
        <v>53</v>
      </c>
      <c r="L106" s="11" t="str">
        <f>VLOOKUP(C106,'Trips&amp;Operators'!$C$1:$E$10000,3,FALSE)</f>
        <v>GRASTON</v>
      </c>
      <c r="M106" s="10" t="s">
        <v>114</v>
      </c>
      <c r="N106" s="11"/>
      <c r="O106" s="1"/>
      <c r="P106" s="113" t="str">
        <f>VLOOKUP(C106,'Train Runs'!$A$13:$AE$954,31,0)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Q106" s="111" t="str">
        <f>VLOOKUP(C106,'Train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20:21:49-0600',mode:absolute,to:'2016-07-06 21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06" s="112" t="str">
        <f>VLOOKUP(C106,'Train Runs'!$A$13:$AF$954,32,0)</f>
        <v>"C:\Program Files (x86)\AstroGrep\AstroGrep.exe" /spath="C:\Users\stu\Documents\Analysis\2016-02-23 RTDC Observations" /stypes="*4040*20160707*" /stext=" 02:.+((prompt.+disp)|(slice.+state.+chan)|(ment ac)|(system.+state.+chan)|(\|lc)|(penalty)|(\[timeout))" /e /r /s</v>
      </c>
      <c r="S106" s="10" t="str">
        <f>MID(B106,13,4)</f>
        <v>4040</v>
      </c>
      <c r="T106" s="61">
        <f t="shared" si="1"/>
        <v>42558.128449074073</v>
      </c>
    </row>
    <row r="107" spans="1:20" x14ac:dyDescent="0.25">
      <c r="A107" s="61">
        <v>42557.922083333331</v>
      </c>
      <c r="B107" s="50" t="s">
        <v>79</v>
      </c>
      <c r="C107" s="50" t="s">
        <v>391</v>
      </c>
      <c r="D107" s="50" t="s">
        <v>50</v>
      </c>
      <c r="E107" s="83" t="s">
        <v>51</v>
      </c>
      <c r="F107" s="86">
        <v>0</v>
      </c>
      <c r="G107" s="50">
        <v>5</v>
      </c>
      <c r="H107" s="50">
        <v>233255</v>
      </c>
      <c r="I107" s="83" t="s">
        <v>52</v>
      </c>
      <c r="J107" s="50">
        <v>233491</v>
      </c>
      <c r="K107" s="50" t="s">
        <v>53</v>
      </c>
      <c r="L107" s="11" t="str">
        <f>VLOOKUP(C107,'Trips&amp;Operators'!$C$1:$E$10000,3,FALSE)</f>
        <v>DAVIS</v>
      </c>
      <c r="M107" s="10" t="s">
        <v>114</v>
      </c>
      <c r="N107" s="11"/>
      <c r="O107" s="1"/>
      <c r="P107" s="113" t="str">
        <f>VLOOKUP(C107,'Train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107" s="111" t="str">
        <f>VLOOKUP(C107,'Train Runs'!$A$13:$AE$954,22,0)</f>
        <v>https://search-rtdc-monitor-bjffxe2xuh6vdkpspy63sjmuny.us-east-1.es.amazonaws.com/_plugin/kibana/#/discover/Steve-Slow-Train-Analysis-(2080s-and-2083s)?_g=(refreshInterval:(display:Off,section:0,value:0),time:(from:'2016-07-06 21:15:31-0600',mode:absolute,to:'2016-07-06 22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107" s="112" t="str">
        <f>VLOOKUP(C107,'Train Runs'!$A$13:$AF$954,32,0)</f>
        <v>"C:\Program Files (x86)\AstroGrep\AstroGrep.exe" /spath="C:\Users\stu\Documents\Analysis\2016-02-23 RTDC Observations" /stypes="*4031*20160707*" /stext=" 03:.+((prompt.+disp)|(slice.+state.+chan)|(ment ac)|(system.+state.+chan)|(\|lc)|(penalty)|(\[timeout))" /e /r /s</v>
      </c>
      <c r="S107" s="10" t="str">
        <f>MID(B107,13,4)</f>
        <v>4031</v>
      </c>
      <c r="T107" s="61">
        <f t="shared" si="1"/>
        <v>42558.172083333331</v>
      </c>
    </row>
    <row r="108" spans="1:20" x14ac:dyDescent="0.25">
      <c r="A108" s="61">
        <v>42557.941018518519</v>
      </c>
      <c r="B108" s="50" t="s">
        <v>133</v>
      </c>
      <c r="C108" s="50" t="s">
        <v>394</v>
      </c>
      <c r="D108" s="50" t="s">
        <v>50</v>
      </c>
      <c r="E108" s="83" t="s">
        <v>51</v>
      </c>
      <c r="F108" s="86">
        <v>0</v>
      </c>
      <c r="G108" s="50">
        <v>102</v>
      </c>
      <c r="H108" s="50">
        <v>233036</v>
      </c>
      <c r="I108" s="83" t="s">
        <v>52</v>
      </c>
      <c r="J108" s="50">
        <v>233491</v>
      </c>
      <c r="K108" s="50" t="s">
        <v>53</v>
      </c>
      <c r="L108" s="11" t="str">
        <f>VLOOKUP(C108,'Trips&amp;Operators'!$C$1:$E$10000,3,FALSE)</f>
        <v>ADANE</v>
      </c>
      <c r="M108" s="10" t="s">
        <v>114</v>
      </c>
      <c r="N108" s="11"/>
      <c r="O108" s="1"/>
      <c r="P108" s="113" t="str">
        <f>VLOOKUP(C108,'Train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8" s="111" t="str">
        <f>VLOOKUP(C108,'Train Runs'!$A$13:$AE$954,22,0)</f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8" s="112" t="str">
        <f>VLOOKUP(C108,'Train Runs'!$A$13:$AF$954,32,0)</f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  <c r="S108" s="10" t="str">
        <f>MID(B108,13,4)</f>
        <v>4025</v>
      </c>
      <c r="T108" s="61">
        <f t="shared" si="1"/>
        <v>42558.191018518519</v>
      </c>
    </row>
    <row r="109" spans="1:20" x14ac:dyDescent="0.25">
      <c r="A109" s="61">
        <v>42557.941701388889</v>
      </c>
      <c r="B109" s="50" t="s">
        <v>133</v>
      </c>
      <c r="C109" s="50" t="s">
        <v>394</v>
      </c>
      <c r="D109" s="50" t="s">
        <v>50</v>
      </c>
      <c r="E109" s="83" t="s">
        <v>51</v>
      </c>
      <c r="F109" s="86">
        <v>0</v>
      </c>
      <c r="G109" s="50">
        <v>40</v>
      </c>
      <c r="H109" s="50">
        <v>233261</v>
      </c>
      <c r="I109" s="83" t="s">
        <v>52</v>
      </c>
      <c r="J109" s="50">
        <v>233491</v>
      </c>
      <c r="K109" s="50" t="s">
        <v>53</v>
      </c>
      <c r="L109" s="11" t="str">
        <f>VLOOKUP(C109,'Trips&amp;Operators'!$C$1:$E$10000,3,FALSE)</f>
        <v>ADANE</v>
      </c>
      <c r="M109" s="10" t="s">
        <v>114</v>
      </c>
      <c r="N109" s="11"/>
      <c r="O109" s="1"/>
      <c r="P109" s="113" t="str">
        <f>VLOOKUP(C109,'Train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9" s="111" t="str">
        <f>VLOOKUP(C109,'Train Runs'!$A$13:$AE$954,22,0)</f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9" s="112" t="str">
        <f>VLOOKUP(C109,'Train Runs'!$A$13:$AF$954,32,0)</f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  <c r="S109" s="10" t="str">
        <f>MID(B109,13,4)</f>
        <v>4025</v>
      </c>
      <c r="T109" s="61">
        <f t="shared" si="1"/>
        <v>42558.191701388889</v>
      </c>
    </row>
    <row r="110" spans="1:20" x14ac:dyDescent="0.25">
      <c r="A110" s="43"/>
      <c r="B110" s="37"/>
      <c r="C110" s="37"/>
      <c r="D110" s="37"/>
      <c r="E110" s="91"/>
      <c r="F110" s="88"/>
      <c r="G110" s="37"/>
      <c r="H110" s="37"/>
      <c r="I110" s="91"/>
      <c r="J110" s="37"/>
      <c r="K110" s="37"/>
      <c r="L110" s="94"/>
      <c r="M110" s="10"/>
      <c r="N110" s="11"/>
      <c r="O110" s="1"/>
      <c r="P110" s="1"/>
      <c r="Q110" s="39"/>
      <c r="S110" s="9"/>
    </row>
    <row r="111" spans="1:20" x14ac:dyDescent="0.25">
      <c r="A111" s="89"/>
      <c r="B111" s="90"/>
      <c r="C111" s="90"/>
      <c r="D111" s="90"/>
      <c r="E111" s="92"/>
      <c r="F111" s="93"/>
      <c r="G111" s="90"/>
      <c r="H111" s="90"/>
      <c r="I111" s="92"/>
      <c r="J111" s="90"/>
      <c r="K111" s="63"/>
      <c r="L111" s="11"/>
      <c r="M111" s="10"/>
      <c r="N111" s="11"/>
      <c r="O111" s="1"/>
      <c r="P111" s="1"/>
      <c r="Q111" s="39"/>
      <c r="S111" s="9"/>
    </row>
    <row r="112" spans="1:20" x14ac:dyDescent="0.25">
      <c r="A112" s="43"/>
      <c r="B112" s="37"/>
      <c r="C112" s="37"/>
      <c r="D112" s="37"/>
      <c r="E112" s="91"/>
      <c r="F112" s="88"/>
      <c r="G112" s="37"/>
      <c r="H112" s="37"/>
      <c r="I112" s="91"/>
      <c r="J112" s="37"/>
      <c r="K112" s="37"/>
      <c r="L112" s="11"/>
      <c r="M112" s="10"/>
      <c r="N112" s="11"/>
      <c r="Q112" s="39"/>
      <c r="S112" s="9"/>
    </row>
    <row r="113" spans="1:19" x14ac:dyDescent="0.25">
      <c r="A113" s="43"/>
      <c r="B113" s="37"/>
      <c r="C113" s="37"/>
      <c r="D113" s="37"/>
      <c r="E113" s="91"/>
      <c r="F113" s="88"/>
      <c r="G113" s="37"/>
      <c r="H113" s="37"/>
      <c r="I113" s="91"/>
      <c r="J113" s="37"/>
      <c r="K113" s="37"/>
      <c r="L113" s="11"/>
      <c r="M113" s="10"/>
      <c r="N113" s="11"/>
      <c r="O113" s="1"/>
      <c r="P113" s="1"/>
      <c r="Q113" s="39"/>
      <c r="S113" s="9"/>
    </row>
    <row r="114" spans="1:19" x14ac:dyDescent="0.25">
      <c r="A114" s="43"/>
      <c r="B114" s="37"/>
      <c r="C114" s="37"/>
      <c r="D114" s="37"/>
      <c r="E114" s="91"/>
      <c r="F114" s="88"/>
      <c r="G114" s="37"/>
      <c r="H114" s="37"/>
      <c r="I114" s="91"/>
      <c r="J114" s="37"/>
      <c r="K114" s="37"/>
      <c r="L114" s="11"/>
      <c r="M114" s="10"/>
      <c r="N114" s="11"/>
      <c r="Q114" s="39"/>
      <c r="S114" s="9"/>
    </row>
    <row r="115" spans="1:19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Q115" s="39"/>
      <c r="S115" s="9"/>
    </row>
    <row r="116" spans="1:19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Q116" s="39"/>
      <c r="S116" s="9"/>
    </row>
    <row r="117" spans="1:19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Q117" s="39"/>
      <c r="S117" s="9"/>
    </row>
    <row r="118" spans="1:19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Q118" s="39"/>
      <c r="S118" s="9"/>
    </row>
    <row r="119" spans="1:19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Q119" s="39"/>
      <c r="S119" s="9"/>
    </row>
    <row r="120" spans="1:19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Q120" s="39"/>
      <c r="S120" s="9"/>
    </row>
    <row r="121" spans="1:19" x14ac:dyDescent="0.25">
      <c r="B121" s="33"/>
      <c r="C121" s="33"/>
      <c r="D121" s="33"/>
      <c r="E121" s="33"/>
      <c r="G121" s="33"/>
      <c r="H121" s="33"/>
      <c r="I121" s="33"/>
      <c r="J121" s="33"/>
      <c r="K121" s="33"/>
      <c r="L121" s="11"/>
      <c r="M121" s="10"/>
      <c r="N121" s="11"/>
      <c r="Q121" s="39"/>
      <c r="S121" s="9"/>
    </row>
    <row r="122" spans="1:19" x14ac:dyDescent="0.25">
      <c r="B122" s="33"/>
      <c r="C122" s="33"/>
      <c r="D122" s="33"/>
      <c r="E122" s="33"/>
      <c r="G122" s="33"/>
      <c r="H122" s="33"/>
      <c r="I122" s="33"/>
      <c r="J122" s="33"/>
      <c r="K122" s="33"/>
      <c r="L122" s="11"/>
      <c r="M122" s="10"/>
      <c r="N122" s="11"/>
      <c r="Q122" s="39"/>
      <c r="S122" s="9"/>
    </row>
    <row r="123" spans="1:19" x14ac:dyDescent="0.25">
      <c r="B123" s="33"/>
      <c r="C123" s="33"/>
      <c r="D123" s="33"/>
      <c r="E123" s="33"/>
      <c r="G123" s="33"/>
      <c r="H123" s="33"/>
      <c r="I123" s="33"/>
      <c r="J123" s="33"/>
      <c r="K123" s="33"/>
      <c r="L123" s="11"/>
      <c r="M123" s="10"/>
      <c r="N123" s="11"/>
      <c r="Q123" s="39"/>
      <c r="S123" s="9"/>
    </row>
    <row r="124" spans="1:19" x14ac:dyDescent="0.25">
      <c r="B124" s="33"/>
      <c r="C124" s="33"/>
      <c r="D124" s="33"/>
      <c r="E124" s="33"/>
      <c r="G124" s="33"/>
      <c r="H124" s="33"/>
      <c r="I124" s="33"/>
      <c r="J124" s="33"/>
      <c r="K124" s="33"/>
      <c r="L124" s="11"/>
      <c r="M124" s="10"/>
      <c r="N124" s="11"/>
      <c r="Q124" s="39"/>
      <c r="S124" s="9"/>
    </row>
    <row r="125" spans="1:19" x14ac:dyDescent="0.25">
      <c r="B125" s="33"/>
      <c r="C125" s="33"/>
      <c r="D125" s="33"/>
      <c r="E125" s="33"/>
      <c r="G125" s="33"/>
      <c r="H125" s="33"/>
      <c r="I125" s="33"/>
      <c r="J125" s="33"/>
      <c r="K125" s="33"/>
      <c r="L125" s="11"/>
      <c r="M125" s="10"/>
      <c r="N125" s="11"/>
      <c r="Q125" s="39"/>
      <c r="S125" s="9"/>
    </row>
    <row r="126" spans="1:19" x14ac:dyDescent="0.25">
      <c r="B126" s="33"/>
      <c r="C126" s="33"/>
      <c r="D126" s="33"/>
      <c r="E126" s="33"/>
      <c r="G126" s="33"/>
      <c r="H126" s="33"/>
      <c r="I126" s="33"/>
      <c r="J126" s="33"/>
      <c r="K126" s="33"/>
      <c r="L126" s="11"/>
      <c r="M126" s="10"/>
      <c r="N126" s="11"/>
      <c r="Q126" s="39"/>
      <c r="S126" s="9"/>
    </row>
    <row r="127" spans="1:19" x14ac:dyDescent="0.25">
      <c r="B127" s="33"/>
      <c r="C127" s="33"/>
      <c r="D127" s="33"/>
      <c r="E127" s="33"/>
      <c r="G127" s="33"/>
      <c r="H127" s="33"/>
      <c r="I127" s="33"/>
      <c r="J127" s="33"/>
      <c r="K127" s="33"/>
      <c r="L127" s="11"/>
      <c r="M127" s="10"/>
      <c r="N127" s="11"/>
      <c r="Q127" s="39"/>
      <c r="S127" s="9"/>
    </row>
  </sheetData>
  <autoFilter ref="A6:N109"/>
  <sortState ref="A7:Q109">
    <sortCondition ref="E7:E109"/>
    <sortCondition ref="J7:J109"/>
    <sortCondition ref="C7:C109"/>
    <sortCondition ref="F7:F109"/>
  </sortState>
  <mergeCells count="1">
    <mergeCell ref="A5:M5"/>
  </mergeCells>
  <conditionalFormatting sqref="M6:N6 M7:M1048576 P6">
    <cfRule type="cellIs" dxfId="2" priority="14" operator="equal">
      <formula>"Y"</formula>
    </cfRule>
  </conditionalFormatting>
  <conditionalFormatting sqref="L110:N127 A7:N109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"/>
    </sheetView>
    <sheetView workbookViewId="1">
      <selection sqref="A1:E1"/>
    </sheetView>
  </sheetViews>
  <sheetFormatPr defaultRowHeight="15" x14ac:dyDescent="0.25"/>
  <cols>
    <col min="1" max="1" width="9.140625" customWidth="1"/>
    <col min="2" max="2" width="8" style="44" bestFit="1" customWidth="1"/>
    <col min="3" max="3" width="7.85546875" style="46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04" t="str">
        <f>"Trips that did not appear in PTC Data "&amp;TEXT(Variables!$A$2,"YYYY-mm-dd")</f>
        <v>Trips that did not appear in PTC Data 2016-07-06</v>
      </c>
      <c r="B1" s="104"/>
      <c r="C1" s="104"/>
      <c r="D1" s="104"/>
      <c r="E1" s="104"/>
    </row>
    <row r="2" spans="1:10" s="37" customFormat="1" ht="45" x14ac:dyDescent="0.25">
      <c r="A2" s="36" t="s">
        <v>82</v>
      </c>
      <c r="B2" s="47" t="s">
        <v>83</v>
      </c>
      <c r="C2" s="45" t="s">
        <v>84</v>
      </c>
      <c r="D2" s="37" t="s">
        <v>80</v>
      </c>
      <c r="E2" s="37" t="s">
        <v>81</v>
      </c>
      <c r="F2" s="37" t="s">
        <v>89</v>
      </c>
      <c r="G2" s="48" t="s">
        <v>90</v>
      </c>
    </row>
    <row r="3" spans="1:10" x14ac:dyDescent="0.25">
      <c r="A3" s="50" t="s">
        <v>208</v>
      </c>
      <c r="B3" s="50"/>
      <c r="C3" s="50"/>
      <c r="D3" s="50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49" t="e">
        <f>VLOOKUP(A3,'Trips&amp;Operators'!$C$1:$H$10000,5,FALSE)</f>
        <v>#N/A</v>
      </c>
      <c r="H3" s="33"/>
      <c r="I3" s="33"/>
      <c r="J3" s="33"/>
    </row>
    <row r="4" spans="1:10" x14ac:dyDescent="0.25">
      <c r="A4" s="50"/>
      <c r="B4" s="50"/>
      <c r="C4" s="50"/>
      <c r="D4" s="50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49" t="e">
        <f>VLOOKUP(A4,'Trips&amp;Operators'!$C$1:$H$10000,5,FALSE)</f>
        <v>#N/A</v>
      </c>
      <c r="H4" s="33"/>
      <c r="I4" s="33"/>
      <c r="J4" s="33"/>
    </row>
    <row r="5" spans="1:10" x14ac:dyDescent="0.25">
      <c r="A5" s="50"/>
      <c r="B5" s="50"/>
      <c r="C5" s="50"/>
      <c r="D5" s="50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49" t="e">
        <f>VLOOKUP(A5,'Trips&amp;Operators'!$C$1:$H$10000,5,FALSE)</f>
        <v>#N/A</v>
      </c>
      <c r="H5" s="33"/>
      <c r="I5" s="33"/>
      <c r="J5" s="33"/>
    </row>
    <row r="6" spans="1:10" x14ac:dyDescent="0.25">
      <c r="A6" s="50"/>
      <c r="B6" s="50"/>
      <c r="C6" s="50"/>
      <c r="D6" s="50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49" t="e">
        <f>VLOOKUP(A6,'Trips&amp;Operators'!$C$1:$H$10000,5,FALSE)</f>
        <v>#N/A</v>
      </c>
      <c r="H6" s="33"/>
      <c r="I6" s="33"/>
      <c r="J6" s="33"/>
    </row>
    <row r="7" spans="1:10" x14ac:dyDescent="0.25">
      <c r="A7" s="48"/>
      <c r="B7"/>
      <c r="C7"/>
      <c r="H7" s="33"/>
      <c r="I7" s="33"/>
      <c r="J7" s="33"/>
    </row>
    <row r="8" spans="1:10" x14ac:dyDescent="0.25">
      <c r="A8" s="48"/>
      <c r="B8"/>
      <c r="C8"/>
      <c r="H8" s="33"/>
      <c r="I8" s="33"/>
      <c r="J8" s="33"/>
    </row>
    <row r="9" spans="1:10" x14ac:dyDescent="0.25">
      <c r="A9" s="48"/>
      <c r="B9"/>
      <c r="C9"/>
      <c r="H9" s="33"/>
      <c r="I9" s="33"/>
      <c r="J9" s="33"/>
    </row>
    <row r="10" spans="1:10" x14ac:dyDescent="0.25">
      <c r="A10" s="48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>
      <selection sqref="A1:E296"/>
    </sheetView>
    <sheetView workbookViewId="1"/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42556.953750000001</v>
      </c>
      <c r="B1" s="33" t="s">
        <v>79</v>
      </c>
      <c r="C1" s="33" t="s">
        <v>281</v>
      </c>
      <c r="D1" s="33">
        <v>1820000</v>
      </c>
      <c r="E1" s="33" t="s">
        <v>110</v>
      </c>
      <c r="F1" s="33" t="str">
        <f>B1</f>
        <v>rtdc.l.rtdc.4031:itc</v>
      </c>
      <c r="G1" s="8">
        <f>A1</f>
        <v>42556.953750000001</v>
      </c>
    </row>
    <row r="2" spans="1:7" x14ac:dyDescent="0.25">
      <c r="A2" s="8">
        <v>42557.049814814818</v>
      </c>
      <c r="B2" s="33" t="s">
        <v>260</v>
      </c>
      <c r="C2" s="33" t="s">
        <v>261</v>
      </c>
      <c r="D2" s="33">
        <v>0</v>
      </c>
      <c r="E2" s="33" t="s">
        <v>262</v>
      </c>
      <c r="F2" s="33" t="str">
        <f t="shared" ref="F2:F65" si="0">B2</f>
        <v>rtdc.l.rtdc.4005:itc</v>
      </c>
      <c r="G2" s="8">
        <f t="shared" ref="G2:G65" si="1">A2</f>
        <v>42557.049814814818</v>
      </c>
    </row>
    <row r="3" spans="1:7" x14ac:dyDescent="0.25">
      <c r="A3" s="8">
        <v>42557.235046296293</v>
      </c>
      <c r="B3" s="33" t="s">
        <v>131</v>
      </c>
      <c r="C3" s="33" t="s">
        <v>397</v>
      </c>
      <c r="D3" s="33">
        <v>1110000</v>
      </c>
      <c r="E3" s="33" t="s">
        <v>263</v>
      </c>
      <c r="F3" s="33" t="str">
        <f t="shared" si="0"/>
        <v>rtdc.l.rtdc.4014:itc</v>
      </c>
      <c r="G3" s="8">
        <f t="shared" si="1"/>
        <v>42557.235046296293</v>
      </c>
    </row>
    <row r="4" spans="1:7" x14ac:dyDescent="0.25">
      <c r="A4" s="8">
        <v>42557.525949074072</v>
      </c>
      <c r="B4" s="33" t="s">
        <v>69</v>
      </c>
      <c r="C4" s="33" t="s">
        <v>352</v>
      </c>
      <c r="D4" s="33">
        <v>1290000</v>
      </c>
      <c r="E4" s="33" t="s">
        <v>206</v>
      </c>
      <c r="F4" s="33" t="str">
        <f t="shared" si="0"/>
        <v>rtdc.l.rtdc.4032:itc</v>
      </c>
      <c r="G4" s="8">
        <f t="shared" si="1"/>
        <v>42557.525949074072</v>
      </c>
    </row>
    <row r="5" spans="1:7" x14ac:dyDescent="0.25">
      <c r="A5" s="8">
        <v>42556.933391203704</v>
      </c>
      <c r="B5" s="33" t="s">
        <v>75</v>
      </c>
      <c r="C5" s="33" t="s">
        <v>251</v>
      </c>
      <c r="D5" s="33">
        <v>1240000</v>
      </c>
      <c r="E5" s="33" t="s">
        <v>165</v>
      </c>
      <c r="F5" s="33" t="str">
        <f t="shared" si="0"/>
        <v>rtdc.l.rtdc.4020:itc</v>
      </c>
      <c r="G5" s="8">
        <f t="shared" si="1"/>
        <v>42556.933391203704</v>
      </c>
    </row>
    <row r="6" spans="1:7" x14ac:dyDescent="0.25">
      <c r="A6" s="8">
        <v>42558.27888888889</v>
      </c>
      <c r="B6" s="33" t="s">
        <v>133</v>
      </c>
      <c r="C6" s="33" t="s">
        <v>398</v>
      </c>
      <c r="D6" s="33">
        <v>1340000</v>
      </c>
      <c r="E6" s="33" t="s">
        <v>151</v>
      </c>
      <c r="F6" s="33" t="str">
        <f t="shared" si="0"/>
        <v>rtdc.l.rtdc.4025:itc</v>
      </c>
      <c r="G6" s="8">
        <f t="shared" si="1"/>
        <v>42558.27888888889</v>
      </c>
    </row>
    <row r="7" spans="1:7" x14ac:dyDescent="0.25">
      <c r="A7" s="8">
        <v>42557.603090277778</v>
      </c>
      <c r="B7" s="33" t="s">
        <v>131</v>
      </c>
      <c r="C7" s="33" t="s">
        <v>399</v>
      </c>
      <c r="D7" s="33">
        <v>1140000</v>
      </c>
      <c r="E7" s="33" t="s">
        <v>144</v>
      </c>
      <c r="F7" s="33" t="str">
        <f t="shared" si="0"/>
        <v>rtdc.l.rtdc.4014:itc</v>
      </c>
      <c r="G7" s="8">
        <f t="shared" si="1"/>
        <v>42557.603090277778</v>
      </c>
    </row>
    <row r="8" spans="1:7" x14ac:dyDescent="0.25">
      <c r="A8" s="8">
        <v>42557.790717592594</v>
      </c>
      <c r="B8" s="33" t="s">
        <v>124</v>
      </c>
      <c r="C8" s="33" t="s">
        <v>400</v>
      </c>
      <c r="D8" s="33">
        <v>1280000</v>
      </c>
      <c r="E8" s="33" t="s">
        <v>136</v>
      </c>
      <c r="F8" s="33" t="str">
        <f t="shared" si="0"/>
        <v>rtdc.l.rtdc.4011:itc</v>
      </c>
      <c r="G8" s="8">
        <f t="shared" si="1"/>
        <v>42557.790717592594</v>
      </c>
    </row>
    <row r="9" spans="1:7" ht="15.75" thickBot="1" x14ac:dyDescent="0.3">
      <c r="A9" s="41">
        <v>42558.227199074077</v>
      </c>
      <c r="B9" s="33" t="s">
        <v>79</v>
      </c>
      <c r="C9" s="33" t="s">
        <v>401</v>
      </c>
      <c r="D9" s="33">
        <v>1310000</v>
      </c>
      <c r="E9" s="33" t="s">
        <v>121</v>
      </c>
      <c r="F9" s="33" t="str">
        <f t="shared" si="0"/>
        <v>rtdc.l.rtdc.4031:itc</v>
      </c>
      <c r="G9" s="8">
        <f t="shared" si="1"/>
        <v>42558.227199074077</v>
      </c>
    </row>
    <row r="10" spans="1:7" x14ac:dyDescent="0.25">
      <c r="A10" s="8">
        <v>42557.632326388892</v>
      </c>
      <c r="B10" s="33" t="s">
        <v>79</v>
      </c>
      <c r="C10" s="33" t="s">
        <v>402</v>
      </c>
      <c r="D10" s="33">
        <v>1290000</v>
      </c>
      <c r="E10" s="33" t="s">
        <v>206</v>
      </c>
      <c r="F10" s="33" t="str">
        <f t="shared" si="0"/>
        <v>rtdc.l.rtdc.4031:itc</v>
      </c>
      <c r="G10" s="8">
        <f t="shared" si="1"/>
        <v>42557.632326388892</v>
      </c>
    </row>
    <row r="11" spans="1:7" x14ac:dyDescent="0.25">
      <c r="A11" s="8">
        <v>42557.208391203705</v>
      </c>
      <c r="B11" s="33" t="s">
        <v>159</v>
      </c>
      <c r="C11" s="33" t="s">
        <v>403</v>
      </c>
      <c r="D11" s="33">
        <v>1830000</v>
      </c>
      <c r="E11" s="33" t="s">
        <v>148</v>
      </c>
      <c r="F11" s="33" t="str">
        <f t="shared" si="0"/>
        <v>rtdc.l.rtdc.4044:itc</v>
      </c>
      <c r="G11" s="8">
        <f t="shared" si="1"/>
        <v>42557.208391203705</v>
      </c>
    </row>
    <row r="12" spans="1:7" x14ac:dyDescent="0.25">
      <c r="A12" s="8">
        <v>42557.684062499997</v>
      </c>
      <c r="B12" s="33" t="s">
        <v>133</v>
      </c>
      <c r="C12" s="33" t="s">
        <v>404</v>
      </c>
      <c r="D12" s="33">
        <v>2000000</v>
      </c>
      <c r="E12" s="33" t="s">
        <v>258</v>
      </c>
      <c r="F12" s="33" t="str">
        <f t="shared" si="0"/>
        <v>rtdc.l.rtdc.4025:itc</v>
      </c>
      <c r="G12" s="8">
        <f t="shared" si="1"/>
        <v>42557.684062499997</v>
      </c>
    </row>
    <row r="13" spans="1:7" x14ac:dyDescent="0.25">
      <c r="A13" s="8">
        <v>42556.858900462961</v>
      </c>
      <c r="B13" s="33" t="s">
        <v>202</v>
      </c>
      <c r="C13" s="33" t="s">
        <v>257</v>
      </c>
      <c r="D13" s="33">
        <v>910000</v>
      </c>
      <c r="E13" s="33" t="s">
        <v>250</v>
      </c>
      <c r="F13" s="33" t="str">
        <f t="shared" si="0"/>
        <v>rtdc.l.rtdc.4039:itc</v>
      </c>
      <c r="G13" s="8">
        <f t="shared" si="1"/>
        <v>42556.858900462961</v>
      </c>
    </row>
    <row r="14" spans="1:7" x14ac:dyDescent="0.25">
      <c r="A14" s="8">
        <v>42557.774756944447</v>
      </c>
      <c r="B14" s="33" t="s">
        <v>135</v>
      </c>
      <c r="C14" s="33" t="s">
        <v>405</v>
      </c>
      <c r="D14" s="33">
        <v>1740000</v>
      </c>
      <c r="E14" s="33" t="s">
        <v>254</v>
      </c>
      <c r="F14" s="33" t="str">
        <f t="shared" si="0"/>
        <v>rtdc.l.rtdc.4037:itc</v>
      </c>
      <c r="G14" s="8">
        <f t="shared" si="1"/>
        <v>42557.774756944447</v>
      </c>
    </row>
    <row r="15" spans="1:7" x14ac:dyDescent="0.25">
      <c r="A15" s="8">
        <v>42557.382638888892</v>
      </c>
      <c r="B15" s="33" t="s">
        <v>131</v>
      </c>
      <c r="C15" s="33" t="s">
        <v>406</v>
      </c>
      <c r="D15" s="33">
        <v>1110000</v>
      </c>
      <c r="E15" s="33" t="s">
        <v>263</v>
      </c>
      <c r="F15" s="33" t="str">
        <f t="shared" si="0"/>
        <v>rtdc.l.rtdc.4014:itc</v>
      </c>
      <c r="G15" s="8">
        <f t="shared" si="1"/>
        <v>42557.382638888892</v>
      </c>
    </row>
    <row r="16" spans="1:7" x14ac:dyDescent="0.25">
      <c r="A16" s="8">
        <v>42557.796967592592</v>
      </c>
      <c r="B16" s="33" t="s">
        <v>134</v>
      </c>
      <c r="C16" s="33" t="s">
        <v>382</v>
      </c>
      <c r="D16" s="33">
        <v>1760000</v>
      </c>
      <c r="E16" s="33" t="s">
        <v>167</v>
      </c>
      <c r="F16" s="33" t="str">
        <f t="shared" si="0"/>
        <v>rtdc.l.rtdc.4028:itc</v>
      </c>
      <c r="G16" s="8">
        <f t="shared" si="1"/>
        <v>42557.796967592592</v>
      </c>
    </row>
    <row r="17" spans="1:7" x14ac:dyDescent="0.25">
      <c r="A17" s="8">
        <v>42557.317164351851</v>
      </c>
      <c r="B17" s="33" t="s">
        <v>87</v>
      </c>
      <c r="C17" s="33" t="s">
        <v>336</v>
      </c>
      <c r="D17" s="33">
        <v>1340000</v>
      </c>
      <c r="E17" s="33" t="s">
        <v>151</v>
      </c>
      <c r="F17" s="33" t="str">
        <f t="shared" si="0"/>
        <v>rtdc.l.rtdc.4041:itc</v>
      </c>
      <c r="G17" s="8">
        <f t="shared" si="1"/>
        <v>42557.317164351851</v>
      </c>
    </row>
    <row r="18" spans="1:7" x14ac:dyDescent="0.25">
      <c r="A18" s="8">
        <v>42557.848969907405</v>
      </c>
      <c r="B18" s="33" t="s">
        <v>118</v>
      </c>
      <c r="C18" s="33" t="s">
        <v>386</v>
      </c>
      <c r="D18" s="33">
        <v>1740000</v>
      </c>
      <c r="E18" s="33" t="s">
        <v>254</v>
      </c>
      <c r="F18" s="33" t="str">
        <f t="shared" si="0"/>
        <v>rtdc.l.rtdc.4038:itc</v>
      </c>
      <c r="G18" s="8">
        <f t="shared" si="1"/>
        <v>42557.848969907405</v>
      </c>
    </row>
    <row r="19" spans="1:7" x14ac:dyDescent="0.25">
      <c r="A19" s="8">
        <v>42556.826967592591</v>
      </c>
      <c r="B19" s="33" t="s">
        <v>69</v>
      </c>
      <c r="C19" s="33" t="s">
        <v>240</v>
      </c>
      <c r="D19" s="33">
        <v>1820000</v>
      </c>
      <c r="E19" s="33" t="s">
        <v>110</v>
      </c>
      <c r="F19" s="33" t="str">
        <f t="shared" si="0"/>
        <v>rtdc.l.rtdc.4032:itc</v>
      </c>
      <c r="G19" s="8">
        <f t="shared" si="1"/>
        <v>42556.826967592591</v>
      </c>
    </row>
    <row r="20" spans="1:7" x14ac:dyDescent="0.25">
      <c r="A20" s="8">
        <v>42558.058113425926</v>
      </c>
      <c r="B20" s="33" t="s">
        <v>202</v>
      </c>
      <c r="C20" s="33" t="s">
        <v>407</v>
      </c>
      <c r="D20" s="33">
        <v>1240000</v>
      </c>
      <c r="E20" s="33" t="s">
        <v>165</v>
      </c>
      <c r="F20" s="33" t="str">
        <f t="shared" si="0"/>
        <v>rtdc.l.rtdc.4039:itc</v>
      </c>
      <c r="G20" s="8">
        <f t="shared" si="1"/>
        <v>42558.058113425926</v>
      </c>
    </row>
    <row r="21" spans="1:7" x14ac:dyDescent="0.25">
      <c r="A21" s="8">
        <v>42556.799641203703</v>
      </c>
      <c r="B21" s="33" t="s">
        <v>87</v>
      </c>
      <c r="C21" s="33" t="s">
        <v>256</v>
      </c>
      <c r="D21" s="33">
        <v>750000</v>
      </c>
      <c r="E21" s="33" t="s">
        <v>253</v>
      </c>
      <c r="F21" s="33" t="str">
        <f t="shared" si="0"/>
        <v>rtdc.l.rtdc.4041:itc</v>
      </c>
      <c r="G21" s="8">
        <f t="shared" si="1"/>
        <v>42556.799641203703</v>
      </c>
    </row>
    <row r="22" spans="1:7" x14ac:dyDescent="0.25">
      <c r="A22" s="43">
        <v>42557.674270833333</v>
      </c>
      <c r="B22" s="33" t="s">
        <v>131</v>
      </c>
      <c r="C22" s="33" t="s">
        <v>408</v>
      </c>
      <c r="D22" s="33">
        <v>1140000</v>
      </c>
      <c r="E22" s="33" t="s">
        <v>144</v>
      </c>
      <c r="F22" s="33" t="str">
        <f t="shared" si="0"/>
        <v>rtdc.l.rtdc.4014:itc</v>
      </c>
      <c r="G22" s="8">
        <f t="shared" si="1"/>
        <v>42557.674270833333</v>
      </c>
    </row>
    <row r="23" spans="1:7" x14ac:dyDescent="0.25">
      <c r="A23" s="8">
        <v>42557.510833333334</v>
      </c>
      <c r="B23" s="33" t="s">
        <v>159</v>
      </c>
      <c r="C23" s="33" t="s">
        <v>409</v>
      </c>
      <c r="D23" s="33">
        <v>880000</v>
      </c>
      <c r="E23" s="33" t="s">
        <v>149</v>
      </c>
      <c r="F23" s="33" t="str">
        <f t="shared" si="0"/>
        <v>rtdc.l.rtdc.4044:itc</v>
      </c>
      <c r="G23" s="8">
        <f t="shared" si="1"/>
        <v>42557.510833333334</v>
      </c>
    </row>
    <row r="24" spans="1:7" x14ac:dyDescent="0.25">
      <c r="A24" s="8">
        <v>42557.80804398148</v>
      </c>
      <c r="B24" s="33" t="s">
        <v>202</v>
      </c>
      <c r="C24" s="33" t="s">
        <v>410</v>
      </c>
      <c r="D24" s="33">
        <v>1240000</v>
      </c>
      <c r="E24" s="33" t="s">
        <v>165</v>
      </c>
      <c r="F24" s="33" t="str">
        <f t="shared" si="0"/>
        <v>rtdc.l.rtdc.4039:itc</v>
      </c>
      <c r="G24" s="8">
        <f t="shared" si="1"/>
        <v>42557.80804398148</v>
      </c>
    </row>
    <row r="25" spans="1:7" x14ac:dyDescent="0.25">
      <c r="A25" s="8">
        <v>42557.4297337963</v>
      </c>
      <c r="B25" s="33" t="s">
        <v>130</v>
      </c>
      <c r="C25" s="33" t="s">
        <v>347</v>
      </c>
      <c r="D25" s="33">
        <v>2040000</v>
      </c>
      <c r="E25" s="33" t="s">
        <v>411</v>
      </c>
      <c r="F25" s="33" t="str">
        <f t="shared" si="0"/>
        <v>rtdc.l.rtdc.4026:itc</v>
      </c>
      <c r="G25" s="8">
        <f t="shared" si="1"/>
        <v>42557.4297337963</v>
      </c>
    </row>
    <row r="26" spans="1:7" x14ac:dyDescent="0.25">
      <c r="A26" s="8">
        <v>42558.246435185189</v>
      </c>
      <c r="B26" s="33" t="s">
        <v>162</v>
      </c>
      <c r="C26" s="33" t="s">
        <v>412</v>
      </c>
      <c r="D26" s="33">
        <v>2040000</v>
      </c>
      <c r="E26" s="33" t="s">
        <v>411</v>
      </c>
      <c r="F26" s="33" t="str">
        <f t="shared" si="0"/>
        <v>rtdc.l.rtdc.4008:itc</v>
      </c>
      <c r="G26" s="8">
        <f t="shared" si="1"/>
        <v>42558.246435185189</v>
      </c>
    </row>
    <row r="27" spans="1:7" x14ac:dyDescent="0.25">
      <c r="A27" s="8">
        <v>42557.192974537036</v>
      </c>
      <c r="B27" s="33" t="s">
        <v>132</v>
      </c>
      <c r="C27" s="33" t="s">
        <v>321</v>
      </c>
      <c r="D27" s="33">
        <v>1110000</v>
      </c>
      <c r="E27" s="33" t="s">
        <v>263</v>
      </c>
      <c r="F27" s="33" t="str">
        <f t="shared" si="0"/>
        <v>rtdc.l.rtdc.4013:itc</v>
      </c>
      <c r="G27" s="8">
        <f t="shared" si="1"/>
        <v>42557.192974537036</v>
      </c>
    </row>
    <row r="28" spans="1:7" x14ac:dyDescent="0.25">
      <c r="A28" s="8">
        <v>42557.580138888887</v>
      </c>
      <c r="B28" s="33" t="s">
        <v>159</v>
      </c>
      <c r="C28" s="33" t="s">
        <v>413</v>
      </c>
      <c r="D28" s="33">
        <v>880000</v>
      </c>
      <c r="E28" s="33" t="s">
        <v>149</v>
      </c>
      <c r="F28" s="33" t="str">
        <f t="shared" si="0"/>
        <v>rtdc.l.rtdc.4044:itc</v>
      </c>
      <c r="G28" s="8">
        <f t="shared" si="1"/>
        <v>42557.580138888887</v>
      </c>
    </row>
    <row r="29" spans="1:7" x14ac:dyDescent="0.25">
      <c r="A29" s="8">
        <v>42556.997407407405</v>
      </c>
      <c r="B29" s="33" t="s">
        <v>139</v>
      </c>
      <c r="C29" s="33" t="s">
        <v>252</v>
      </c>
      <c r="D29" s="33">
        <v>1180000</v>
      </c>
      <c r="E29" s="33" t="s">
        <v>247</v>
      </c>
      <c r="F29" s="33" t="str">
        <f t="shared" si="0"/>
        <v>rtdc.l.rtdc.4027:itc</v>
      </c>
      <c r="G29" s="8">
        <f t="shared" si="1"/>
        <v>42556.997407407405</v>
      </c>
    </row>
    <row r="30" spans="1:7" x14ac:dyDescent="0.25">
      <c r="A30" s="8">
        <v>42557.728831018518</v>
      </c>
      <c r="B30" s="33" t="s">
        <v>132</v>
      </c>
      <c r="C30" s="33" t="s">
        <v>374</v>
      </c>
      <c r="D30" s="33">
        <v>1140000</v>
      </c>
      <c r="E30" s="33" t="s">
        <v>144</v>
      </c>
      <c r="F30" s="33" t="str">
        <f t="shared" si="0"/>
        <v>rtdc.l.rtdc.4013:itc</v>
      </c>
      <c r="G30" s="8">
        <f t="shared" si="1"/>
        <v>42557.728831018518</v>
      </c>
    </row>
    <row r="31" spans="1:7" x14ac:dyDescent="0.25">
      <c r="A31" s="8">
        <v>42556.93240740741</v>
      </c>
      <c r="B31" s="33" t="s">
        <v>75</v>
      </c>
      <c r="C31" s="33" t="s">
        <v>251</v>
      </c>
      <c r="D31" s="33">
        <v>1240000</v>
      </c>
      <c r="E31" s="33" t="s">
        <v>165</v>
      </c>
      <c r="F31" s="33" t="str">
        <f t="shared" si="0"/>
        <v>rtdc.l.rtdc.4020:itc</v>
      </c>
      <c r="G31" s="8">
        <f t="shared" si="1"/>
        <v>42556.93240740741</v>
      </c>
    </row>
    <row r="32" spans="1:7" x14ac:dyDescent="0.25">
      <c r="A32" s="8">
        <v>42557.762650462966</v>
      </c>
      <c r="B32" s="33" t="s">
        <v>118</v>
      </c>
      <c r="C32" s="33" t="s">
        <v>379</v>
      </c>
      <c r="D32" s="33">
        <v>1740000</v>
      </c>
      <c r="E32" s="33" t="s">
        <v>254</v>
      </c>
      <c r="F32" s="33" t="str">
        <f t="shared" si="0"/>
        <v>rtdc.l.rtdc.4038:itc</v>
      </c>
      <c r="G32" s="8">
        <f t="shared" si="1"/>
        <v>42557.762650462966</v>
      </c>
    </row>
    <row r="33" spans="1:7" x14ac:dyDescent="0.25">
      <c r="A33" s="8">
        <v>42556.900451388887</v>
      </c>
      <c r="B33" s="33" t="s">
        <v>202</v>
      </c>
      <c r="C33" s="33" t="s">
        <v>249</v>
      </c>
      <c r="D33" s="33">
        <v>910000</v>
      </c>
      <c r="E33" s="33" t="s">
        <v>250</v>
      </c>
      <c r="F33" s="33" t="str">
        <f t="shared" si="0"/>
        <v>rtdc.l.rtdc.4039:itc</v>
      </c>
      <c r="G33" s="8">
        <f t="shared" si="1"/>
        <v>42556.900451388887</v>
      </c>
    </row>
    <row r="34" spans="1:7" x14ac:dyDescent="0.25">
      <c r="A34" s="8">
        <v>42557.806458333333</v>
      </c>
      <c r="B34" s="33" t="s">
        <v>79</v>
      </c>
      <c r="C34" s="33" t="s">
        <v>414</v>
      </c>
      <c r="D34" s="33">
        <v>1540000</v>
      </c>
      <c r="E34" s="33" t="s">
        <v>161</v>
      </c>
      <c r="F34" s="33" t="str">
        <f t="shared" si="0"/>
        <v>rtdc.l.rtdc.4031:itc</v>
      </c>
      <c r="G34" s="8">
        <f t="shared" si="1"/>
        <v>42557.806458333333</v>
      </c>
    </row>
    <row r="35" spans="1:7" x14ac:dyDescent="0.25">
      <c r="A35" s="8">
        <v>42556.891076388885</v>
      </c>
      <c r="B35" s="33" t="s">
        <v>74</v>
      </c>
      <c r="C35" s="33" t="s">
        <v>248</v>
      </c>
      <c r="D35" s="33">
        <v>1240000</v>
      </c>
      <c r="E35" s="33" t="s">
        <v>165</v>
      </c>
      <c r="F35" s="33" t="str">
        <f t="shared" si="0"/>
        <v>rtdc.l.rtdc.4019:itc</v>
      </c>
      <c r="G35" s="8">
        <f t="shared" si="1"/>
        <v>42556.891076388885</v>
      </c>
    </row>
    <row r="36" spans="1:7" x14ac:dyDescent="0.25">
      <c r="A36" s="8">
        <v>42557.817488425928</v>
      </c>
      <c r="B36" s="33" t="s">
        <v>135</v>
      </c>
      <c r="C36" s="33" t="s">
        <v>384</v>
      </c>
      <c r="D36" s="33">
        <v>1740000</v>
      </c>
      <c r="E36" s="33" t="s">
        <v>254</v>
      </c>
      <c r="F36" s="33" t="str">
        <f t="shared" si="0"/>
        <v>rtdc.l.rtdc.4037:itc</v>
      </c>
      <c r="G36" s="8">
        <f t="shared" si="1"/>
        <v>42557.817488425928</v>
      </c>
    </row>
    <row r="37" spans="1:7" x14ac:dyDescent="0.25">
      <c r="A37" s="8">
        <v>42557.442777777775</v>
      </c>
      <c r="B37" s="33" t="s">
        <v>76</v>
      </c>
      <c r="C37" s="33" t="s">
        <v>415</v>
      </c>
      <c r="D37" s="33">
        <v>1360000</v>
      </c>
      <c r="E37" s="33" t="s">
        <v>416</v>
      </c>
      <c r="F37" s="33" t="str">
        <f t="shared" si="0"/>
        <v>rtdc.l.rtdc.4018:itc</v>
      </c>
      <c r="G37" s="8">
        <f t="shared" si="1"/>
        <v>42557.442777777775</v>
      </c>
    </row>
    <row r="38" spans="1:7" x14ac:dyDescent="0.25">
      <c r="A38" s="8">
        <v>42557.867766203701</v>
      </c>
      <c r="B38" s="33" t="s">
        <v>130</v>
      </c>
      <c r="C38" s="33" t="s">
        <v>417</v>
      </c>
      <c r="D38" s="33">
        <v>1820000</v>
      </c>
      <c r="E38" s="33" t="s">
        <v>110</v>
      </c>
      <c r="F38" s="33" t="str">
        <f t="shared" si="0"/>
        <v>rtdc.l.rtdc.4026:itc</v>
      </c>
      <c r="G38" s="8">
        <f t="shared" si="1"/>
        <v>42557.867766203701</v>
      </c>
    </row>
    <row r="39" spans="1:7" x14ac:dyDescent="0.25">
      <c r="A39" s="8">
        <v>42557.426782407405</v>
      </c>
      <c r="B39" s="33" t="s">
        <v>88</v>
      </c>
      <c r="C39" s="33" t="s">
        <v>418</v>
      </c>
      <c r="D39" s="33">
        <v>1090000</v>
      </c>
      <c r="E39" s="33" t="s">
        <v>143</v>
      </c>
      <c r="F39" s="33" t="str">
        <f t="shared" si="0"/>
        <v>rtdc.l.rtdc.4042:itc</v>
      </c>
      <c r="G39" s="8">
        <f t="shared" si="1"/>
        <v>42557.426782407405</v>
      </c>
    </row>
    <row r="40" spans="1:7" x14ac:dyDescent="0.25">
      <c r="A40" s="8">
        <v>42558.015844907408</v>
      </c>
      <c r="B40" s="42" t="s">
        <v>170</v>
      </c>
      <c r="C40" s="33" t="s">
        <v>419</v>
      </c>
      <c r="D40" s="33">
        <v>1240000</v>
      </c>
      <c r="E40" s="33" t="s">
        <v>165</v>
      </c>
      <c r="F40" s="33" t="str">
        <f t="shared" si="0"/>
        <v>rtdc.l.rtdc.4040:itc</v>
      </c>
      <c r="G40" s="8">
        <f t="shared" si="1"/>
        <v>42558.015844907408</v>
      </c>
    </row>
    <row r="41" spans="1:7" x14ac:dyDescent="0.25">
      <c r="A41" s="8">
        <v>42557.296493055554</v>
      </c>
      <c r="B41" s="33" t="s">
        <v>134</v>
      </c>
      <c r="C41" s="33" t="s">
        <v>420</v>
      </c>
      <c r="D41" s="33">
        <v>1480000</v>
      </c>
      <c r="E41" s="33" t="s">
        <v>126</v>
      </c>
      <c r="F41" s="33" t="str">
        <f t="shared" si="0"/>
        <v>rtdc.l.rtdc.4028:itc</v>
      </c>
      <c r="G41" s="8">
        <f t="shared" si="1"/>
        <v>42557.296493055554</v>
      </c>
    </row>
    <row r="42" spans="1:7" x14ac:dyDescent="0.25">
      <c r="A42" s="8">
        <v>42558.215891203705</v>
      </c>
      <c r="B42" s="33" t="s">
        <v>77</v>
      </c>
      <c r="C42" s="33" t="s">
        <v>421</v>
      </c>
      <c r="D42" s="33">
        <v>2030000</v>
      </c>
      <c r="E42" s="33" t="s">
        <v>255</v>
      </c>
      <c r="F42" s="33" t="str">
        <f t="shared" si="0"/>
        <v>rtdc.l.rtdc.4017:itc</v>
      </c>
      <c r="G42" s="8">
        <f t="shared" si="1"/>
        <v>42558.215891203705</v>
      </c>
    </row>
    <row r="43" spans="1:7" x14ac:dyDescent="0.25">
      <c r="A43" s="8">
        <v>42557.224004629628</v>
      </c>
      <c r="B43" s="33" t="s">
        <v>202</v>
      </c>
      <c r="C43" s="33" t="s">
        <v>422</v>
      </c>
      <c r="D43" s="33">
        <v>2010000</v>
      </c>
      <c r="E43" s="33" t="s">
        <v>423</v>
      </c>
      <c r="F43" s="33" t="str">
        <f t="shared" si="0"/>
        <v>rtdc.l.rtdc.4039:itc</v>
      </c>
      <c r="G43" s="8">
        <f t="shared" si="1"/>
        <v>42557.224004629628</v>
      </c>
    </row>
    <row r="44" spans="1:7" x14ac:dyDescent="0.25">
      <c r="A44" s="8">
        <v>42558.21665509259</v>
      </c>
      <c r="B44" s="33" t="s">
        <v>130</v>
      </c>
      <c r="C44" s="33" t="s">
        <v>424</v>
      </c>
      <c r="D44" s="33">
        <v>1340000</v>
      </c>
      <c r="E44" s="33" t="s">
        <v>151</v>
      </c>
      <c r="F44" s="33" t="str">
        <f t="shared" si="0"/>
        <v>rtdc.l.rtdc.4026:itc</v>
      </c>
      <c r="G44" s="8">
        <f t="shared" si="1"/>
        <v>42558.21665509259</v>
      </c>
    </row>
    <row r="45" spans="1:7" x14ac:dyDescent="0.25">
      <c r="A45" s="8">
        <v>42557.013368055559</v>
      </c>
      <c r="B45" s="33" t="s">
        <v>135</v>
      </c>
      <c r="C45" s="33" t="s">
        <v>244</v>
      </c>
      <c r="D45" s="33">
        <v>1280000</v>
      </c>
      <c r="E45" s="33" t="s">
        <v>136</v>
      </c>
      <c r="F45" s="33" t="str">
        <f t="shared" si="0"/>
        <v>rtdc.l.rtdc.4037:itc</v>
      </c>
      <c r="G45" s="8">
        <f t="shared" si="1"/>
        <v>42557.013368055559</v>
      </c>
    </row>
    <row r="46" spans="1:7" x14ac:dyDescent="0.25">
      <c r="A46" s="8">
        <v>42558.240636574075</v>
      </c>
      <c r="B46" s="33" t="s">
        <v>133</v>
      </c>
      <c r="C46" s="33" t="s">
        <v>425</v>
      </c>
      <c r="D46" s="33">
        <v>1340000</v>
      </c>
      <c r="E46" s="33" t="s">
        <v>151</v>
      </c>
      <c r="F46" s="33" t="str">
        <f t="shared" si="0"/>
        <v>rtdc.l.rtdc.4025:itc</v>
      </c>
      <c r="G46" s="8">
        <f t="shared" si="1"/>
        <v>42558.240636574075</v>
      </c>
    </row>
    <row r="47" spans="1:7" x14ac:dyDescent="0.25">
      <c r="A47" s="8">
        <v>42556.854849537034</v>
      </c>
      <c r="B47" s="33" t="s">
        <v>75</v>
      </c>
      <c r="C47" s="33" t="s">
        <v>245</v>
      </c>
      <c r="D47" s="33">
        <v>1240000</v>
      </c>
      <c r="E47" s="33" t="s">
        <v>165</v>
      </c>
      <c r="F47" s="33" t="str">
        <f t="shared" si="0"/>
        <v>rtdc.l.rtdc.4020:itc</v>
      </c>
      <c r="G47" s="8">
        <f t="shared" si="1"/>
        <v>42556.854849537034</v>
      </c>
    </row>
    <row r="48" spans="1:7" x14ac:dyDescent="0.25">
      <c r="A48" s="8">
        <v>42558.267129629632</v>
      </c>
      <c r="B48" s="33" t="s">
        <v>124</v>
      </c>
      <c r="C48" s="33" t="s">
        <v>426</v>
      </c>
      <c r="D48" s="33">
        <v>2010000</v>
      </c>
      <c r="E48" s="33" t="s">
        <v>423</v>
      </c>
      <c r="F48" s="33" t="str">
        <f t="shared" si="0"/>
        <v>rtdc.l.rtdc.4011:itc</v>
      </c>
      <c r="G48" s="8">
        <f t="shared" si="1"/>
        <v>42558.267129629632</v>
      </c>
    </row>
    <row r="49" spans="1:7" x14ac:dyDescent="0.25">
      <c r="A49" s="8">
        <v>42556.850671296299</v>
      </c>
      <c r="B49" s="33" t="s">
        <v>134</v>
      </c>
      <c r="C49" s="33" t="s">
        <v>239</v>
      </c>
      <c r="D49" s="33">
        <v>1180000</v>
      </c>
      <c r="E49" s="33" t="s">
        <v>247</v>
      </c>
      <c r="F49" s="33" t="str">
        <f t="shared" si="0"/>
        <v>rtdc.l.rtdc.4028:itc</v>
      </c>
      <c r="G49" s="8">
        <f t="shared" si="1"/>
        <v>42556.850671296299</v>
      </c>
    </row>
    <row r="50" spans="1:7" x14ac:dyDescent="0.25">
      <c r="A50" s="8">
        <v>42558.267141203702</v>
      </c>
      <c r="B50" s="33" t="s">
        <v>69</v>
      </c>
      <c r="C50" s="33" t="s">
        <v>427</v>
      </c>
      <c r="D50" s="33">
        <v>1310000</v>
      </c>
      <c r="E50" s="33" t="s">
        <v>121</v>
      </c>
      <c r="F50" s="33" t="str">
        <f t="shared" si="0"/>
        <v>rtdc.l.rtdc.4032:itc</v>
      </c>
      <c r="G50" s="8">
        <f t="shared" si="1"/>
        <v>42558.267141203702</v>
      </c>
    </row>
    <row r="51" spans="1:7" x14ac:dyDescent="0.25">
      <c r="A51" s="8">
        <v>42556.832141203704</v>
      </c>
      <c r="B51" s="33" t="s">
        <v>124</v>
      </c>
      <c r="C51" s="33" t="s">
        <v>240</v>
      </c>
      <c r="D51" s="33">
        <v>1760000</v>
      </c>
      <c r="E51" s="33" t="s">
        <v>167</v>
      </c>
      <c r="F51" s="33" t="str">
        <f t="shared" si="0"/>
        <v>rtdc.l.rtdc.4011:itc</v>
      </c>
      <c r="G51" s="8">
        <f t="shared" si="1"/>
        <v>42556.832141203704</v>
      </c>
    </row>
    <row r="52" spans="1:7" x14ac:dyDescent="0.25">
      <c r="A52" s="8">
        <v>42557.547754629632</v>
      </c>
      <c r="B52" s="33" t="s">
        <v>170</v>
      </c>
      <c r="C52" s="33" t="s">
        <v>355</v>
      </c>
      <c r="D52" s="33">
        <v>2020000</v>
      </c>
      <c r="E52" s="33" t="s">
        <v>246</v>
      </c>
      <c r="F52" s="33" t="str">
        <f t="shared" si="0"/>
        <v>rtdc.l.rtdc.4040:itc</v>
      </c>
      <c r="G52" s="8">
        <f t="shared" si="1"/>
        <v>42557.547754629632</v>
      </c>
    </row>
    <row r="53" spans="1:7" x14ac:dyDescent="0.25">
      <c r="A53" s="8">
        <v>42557.285682870373</v>
      </c>
      <c r="B53" s="33" t="s">
        <v>130</v>
      </c>
      <c r="C53" s="33" t="s">
        <v>428</v>
      </c>
      <c r="D53" s="33">
        <v>2040000</v>
      </c>
      <c r="E53" s="33" t="s">
        <v>411</v>
      </c>
      <c r="F53" s="33" t="str">
        <f t="shared" si="0"/>
        <v>rtdc.l.rtdc.4026:itc</v>
      </c>
      <c r="G53" s="8">
        <f t="shared" si="1"/>
        <v>42557.285682870373</v>
      </c>
    </row>
    <row r="54" spans="1:7" x14ac:dyDescent="0.25">
      <c r="A54" s="8">
        <v>42557.65693287037</v>
      </c>
      <c r="B54" s="33" t="s">
        <v>202</v>
      </c>
      <c r="C54" s="33" t="s">
        <v>429</v>
      </c>
      <c r="D54" s="33">
        <v>2020000</v>
      </c>
      <c r="E54" s="33" t="s">
        <v>246</v>
      </c>
      <c r="F54" s="33" t="str">
        <f t="shared" si="0"/>
        <v>rtdc.l.rtdc.4039:itc</v>
      </c>
      <c r="G54" s="8">
        <f t="shared" si="1"/>
        <v>42557.65693287037</v>
      </c>
    </row>
    <row r="55" spans="1:7" x14ac:dyDescent="0.25">
      <c r="A55" s="8">
        <v>42557.256886574076</v>
      </c>
      <c r="B55" s="33" t="s">
        <v>170</v>
      </c>
      <c r="C55" s="33" t="s">
        <v>430</v>
      </c>
      <c r="D55" s="33">
        <v>1230000</v>
      </c>
      <c r="E55" s="33" t="s">
        <v>203</v>
      </c>
      <c r="F55" s="33" t="str">
        <f t="shared" si="0"/>
        <v>rtdc.l.rtdc.4040:itc</v>
      </c>
      <c r="G55" s="8">
        <f t="shared" si="1"/>
        <v>42557.256886574076</v>
      </c>
    </row>
    <row r="56" spans="1:7" x14ac:dyDescent="0.25">
      <c r="A56" s="8">
        <v>42556.87127314815</v>
      </c>
      <c r="B56" s="33" t="s">
        <v>79</v>
      </c>
      <c r="C56" s="33" t="s">
        <v>266</v>
      </c>
      <c r="D56" s="33">
        <v>1820000</v>
      </c>
      <c r="E56" s="33" t="s">
        <v>110</v>
      </c>
      <c r="F56" s="33" t="str">
        <f t="shared" si="0"/>
        <v>rtdc.l.rtdc.4031:itc</v>
      </c>
      <c r="G56" s="8">
        <f t="shared" si="1"/>
        <v>42556.87127314815</v>
      </c>
    </row>
    <row r="57" spans="1:7" x14ac:dyDescent="0.25">
      <c r="A57" s="8">
        <v>42557.227280092593</v>
      </c>
      <c r="B57" s="33" t="s">
        <v>69</v>
      </c>
      <c r="C57" s="33" t="s">
        <v>323</v>
      </c>
      <c r="D57" s="33">
        <v>1810000</v>
      </c>
      <c r="E57" s="33" t="s">
        <v>204</v>
      </c>
      <c r="F57" s="33" t="str">
        <f t="shared" si="0"/>
        <v>rtdc.l.rtdc.4032:itc</v>
      </c>
      <c r="G57" s="8">
        <f t="shared" si="1"/>
        <v>42557.227280092593</v>
      </c>
    </row>
    <row r="58" spans="1:7" x14ac:dyDescent="0.25">
      <c r="A58" s="8">
        <v>42556.87164351852</v>
      </c>
      <c r="B58" s="33" t="s">
        <v>125</v>
      </c>
      <c r="C58" s="33" t="s">
        <v>241</v>
      </c>
      <c r="D58" s="33">
        <v>1760000</v>
      </c>
      <c r="E58" s="33" t="s">
        <v>167</v>
      </c>
      <c r="F58" s="33" t="str">
        <f t="shared" si="0"/>
        <v>rtdc.l.rtdc.4012:itc</v>
      </c>
      <c r="G58" s="8">
        <f t="shared" si="1"/>
        <v>42556.87164351852</v>
      </c>
    </row>
    <row r="59" spans="1:7" x14ac:dyDescent="0.25">
      <c r="A59" s="8">
        <v>42556.86923611111</v>
      </c>
      <c r="B59" s="33" t="s">
        <v>125</v>
      </c>
      <c r="C59" s="33" t="s">
        <v>241</v>
      </c>
      <c r="D59" s="33">
        <v>1760000</v>
      </c>
      <c r="E59" s="33" t="s">
        <v>167</v>
      </c>
      <c r="F59" s="33" t="str">
        <f t="shared" si="0"/>
        <v>rtdc.l.rtdc.4012:itc</v>
      </c>
      <c r="G59" s="8">
        <f t="shared" si="1"/>
        <v>42556.86923611111</v>
      </c>
    </row>
    <row r="60" spans="1:7" x14ac:dyDescent="0.25">
      <c r="A60" s="8">
        <v>42557.017326388886</v>
      </c>
      <c r="B60" s="33" t="s">
        <v>75</v>
      </c>
      <c r="C60" s="33" t="s">
        <v>267</v>
      </c>
      <c r="D60" s="33">
        <v>1240000</v>
      </c>
      <c r="E60" s="33" t="s">
        <v>165</v>
      </c>
      <c r="F60" s="33" t="str">
        <f t="shared" si="0"/>
        <v>rtdc.l.rtdc.4020:itc</v>
      </c>
      <c r="G60" s="8">
        <f t="shared" si="1"/>
        <v>42557.017326388886</v>
      </c>
    </row>
    <row r="61" spans="1:7" x14ac:dyDescent="0.25">
      <c r="A61" s="8">
        <v>42557.442280092589</v>
      </c>
      <c r="B61" s="33" t="s">
        <v>135</v>
      </c>
      <c r="C61" s="33" t="s">
        <v>431</v>
      </c>
      <c r="D61" s="33">
        <v>1520000</v>
      </c>
      <c r="E61" s="33" t="s">
        <v>150</v>
      </c>
      <c r="F61" s="33" t="str">
        <f t="shared" si="0"/>
        <v>rtdc.l.rtdc.4037:itc</v>
      </c>
      <c r="G61" s="8">
        <f t="shared" si="1"/>
        <v>42557.442280092589</v>
      </c>
    </row>
    <row r="62" spans="1:7" x14ac:dyDescent="0.25">
      <c r="A62" s="8">
        <v>42557.056064814817</v>
      </c>
      <c r="B62" s="33" t="s">
        <v>260</v>
      </c>
      <c r="C62" s="33" t="s">
        <v>261</v>
      </c>
      <c r="D62" s="33">
        <v>0</v>
      </c>
      <c r="E62" s="33" t="s">
        <v>262</v>
      </c>
      <c r="F62" s="33" t="str">
        <f t="shared" si="0"/>
        <v>rtdc.l.rtdc.4005:itc</v>
      </c>
      <c r="G62" s="8">
        <f t="shared" si="1"/>
        <v>42557.056064814817</v>
      </c>
    </row>
    <row r="63" spans="1:7" x14ac:dyDescent="0.25">
      <c r="A63" s="8">
        <v>42557.40048611111</v>
      </c>
      <c r="B63" s="33" t="s">
        <v>135</v>
      </c>
      <c r="C63" s="33" t="s">
        <v>432</v>
      </c>
      <c r="D63" s="33">
        <v>1520000</v>
      </c>
      <c r="E63" s="33" t="s">
        <v>150</v>
      </c>
      <c r="F63" s="33" t="str">
        <f t="shared" si="0"/>
        <v>rtdc.l.rtdc.4037:itc</v>
      </c>
      <c r="G63" s="8">
        <f t="shared" si="1"/>
        <v>42557.40048611111</v>
      </c>
    </row>
    <row r="64" spans="1:7" x14ac:dyDescent="0.25">
      <c r="A64" s="43">
        <v>42557.131574074076</v>
      </c>
      <c r="B64" s="33" t="s">
        <v>88</v>
      </c>
      <c r="C64" s="33" t="s">
        <v>269</v>
      </c>
      <c r="D64" s="33">
        <v>1830000</v>
      </c>
      <c r="E64" s="33" t="s">
        <v>148</v>
      </c>
      <c r="F64" s="33" t="str">
        <f t="shared" si="0"/>
        <v>rtdc.l.rtdc.4042:itc</v>
      </c>
      <c r="G64" s="8">
        <f t="shared" si="1"/>
        <v>42557.131574074076</v>
      </c>
    </row>
    <row r="65" spans="1:7" x14ac:dyDescent="0.25">
      <c r="A65" s="8">
        <v>42557.392002314817</v>
      </c>
      <c r="B65" s="33" t="s">
        <v>133</v>
      </c>
      <c r="C65" s="33" t="s">
        <v>433</v>
      </c>
      <c r="D65" s="33">
        <v>2040000</v>
      </c>
      <c r="E65" s="33" t="s">
        <v>411</v>
      </c>
      <c r="F65" s="33" t="str">
        <f t="shared" si="0"/>
        <v>rtdc.l.rtdc.4025:itc</v>
      </c>
      <c r="G65" s="8">
        <f t="shared" si="1"/>
        <v>42557.392002314817</v>
      </c>
    </row>
    <row r="66" spans="1:7" x14ac:dyDescent="0.25">
      <c r="A66" s="8">
        <v>42557.16165509259</v>
      </c>
      <c r="B66" s="33" t="s">
        <v>163</v>
      </c>
      <c r="C66" s="33" t="s">
        <v>434</v>
      </c>
      <c r="D66" s="33">
        <v>1830000</v>
      </c>
      <c r="E66" s="33" t="s">
        <v>148</v>
      </c>
      <c r="F66" s="33" t="str">
        <f t="shared" ref="F66:F129" si="2">B66</f>
        <v>rtdc.l.rtdc.4043:itc</v>
      </c>
      <c r="G66" s="8">
        <f t="shared" ref="G66:G129" si="3">A66</f>
        <v>42557.16165509259</v>
      </c>
    </row>
    <row r="67" spans="1:7" x14ac:dyDescent="0.25">
      <c r="A67" s="8">
        <v>42557.352326388886</v>
      </c>
      <c r="B67" s="33" t="s">
        <v>88</v>
      </c>
      <c r="C67" s="33" t="s">
        <v>340</v>
      </c>
      <c r="D67" s="33">
        <v>1340000</v>
      </c>
      <c r="E67" s="33" t="s">
        <v>151</v>
      </c>
      <c r="F67" s="33" t="str">
        <f t="shared" si="2"/>
        <v>rtdc.l.rtdc.4042:itc</v>
      </c>
      <c r="G67" s="8">
        <f t="shared" si="3"/>
        <v>42557.352326388886</v>
      </c>
    </row>
    <row r="68" spans="1:7" x14ac:dyDescent="0.25">
      <c r="A68" s="8">
        <v>42557.248344907406</v>
      </c>
      <c r="B68" s="33" t="s">
        <v>133</v>
      </c>
      <c r="C68" s="33" t="s">
        <v>435</v>
      </c>
      <c r="D68" s="33">
        <v>2040000</v>
      </c>
      <c r="E68" s="33" t="s">
        <v>411</v>
      </c>
      <c r="F68" s="33" t="str">
        <f t="shared" si="2"/>
        <v>rtdc.l.rtdc.4025:itc</v>
      </c>
      <c r="G68" s="8">
        <f t="shared" si="3"/>
        <v>42557.248344907406</v>
      </c>
    </row>
    <row r="69" spans="1:7" x14ac:dyDescent="0.25">
      <c r="A69" s="8">
        <v>42557.267141203702</v>
      </c>
      <c r="B69" s="33" t="s">
        <v>79</v>
      </c>
      <c r="C69" s="33" t="s">
        <v>329</v>
      </c>
      <c r="D69" s="33">
        <v>1810000</v>
      </c>
      <c r="E69" s="33" t="s">
        <v>204</v>
      </c>
      <c r="F69" s="33" t="str">
        <f t="shared" si="2"/>
        <v>rtdc.l.rtdc.4031:itc</v>
      </c>
      <c r="G69" s="8">
        <f t="shared" si="3"/>
        <v>42557.267141203702</v>
      </c>
    </row>
    <row r="70" spans="1:7" x14ac:dyDescent="0.25">
      <c r="A70" s="8">
        <v>42557.559328703705</v>
      </c>
      <c r="B70" s="33" t="s">
        <v>79</v>
      </c>
      <c r="C70" s="33" t="s">
        <v>436</v>
      </c>
      <c r="D70" s="33">
        <v>1290000</v>
      </c>
      <c r="E70" s="33" t="s">
        <v>206</v>
      </c>
      <c r="F70" s="33" t="str">
        <f t="shared" si="2"/>
        <v>rtdc.l.rtdc.4031:itc</v>
      </c>
      <c r="G70" s="8">
        <f t="shared" si="3"/>
        <v>42557.559328703705</v>
      </c>
    </row>
    <row r="71" spans="1:7" x14ac:dyDescent="0.25">
      <c r="A71" s="8">
        <v>42557.255555555559</v>
      </c>
      <c r="B71" s="33" t="s">
        <v>134</v>
      </c>
      <c r="C71" s="33" t="s">
        <v>437</v>
      </c>
      <c r="D71" s="33">
        <v>1480000</v>
      </c>
      <c r="E71" s="33" t="s">
        <v>126</v>
      </c>
      <c r="F71" s="33" t="str">
        <f t="shared" si="2"/>
        <v>rtdc.l.rtdc.4028:itc</v>
      </c>
      <c r="G71" s="8">
        <f t="shared" si="3"/>
        <v>42557.255555555559</v>
      </c>
    </row>
    <row r="72" spans="1:7" x14ac:dyDescent="0.25">
      <c r="A72" s="8">
        <v>42557.708935185183</v>
      </c>
      <c r="B72" s="33" t="s">
        <v>132</v>
      </c>
      <c r="C72" s="33" t="s">
        <v>374</v>
      </c>
      <c r="D72" s="33">
        <v>1140000</v>
      </c>
      <c r="E72" s="33" t="s">
        <v>144</v>
      </c>
      <c r="F72" s="33" t="str">
        <f t="shared" si="2"/>
        <v>rtdc.l.rtdc.4013:itc</v>
      </c>
      <c r="G72" s="8">
        <f t="shared" si="3"/>
        <v>42557.708935185183</v>
      </c>
    </row>
    <row r="73" spans="1:7" x14ac:dyDescent="0.25">
      <c r="A73" s="8">
        <v>42556.953020833331</v>
      </c>
      <c r="B73" s="33" t="s">
        <v>134</v>
      </c>
      <c r="C73" s="33" t="s">
        <v>259</v>
      </c>
      <c r="D73" s="33">
        <v>1180000</v>
      </c>
      <c r="E73" s="33" t="s">
        <v>247</v>
      </c>
      <c r="F73" s="33" t="str">
        <f t="shared" si="2"/>
        <v>rtdc.l.rtdc.4028:itc</v>
      </c>
      <c r="G73" s="8">
        <f t="shared" si="3"/>
        <v>42556.953020833331</v>
      </c>
    </row>
    <row r="74" spans="1:7" x14ac:dyDescent="0.25">
      <c r="A74" s="8">
        <v>42557.724606481483</v>
      </c>
      <c r="B74" s="33" t="s">
        <v>130</v>
      </c>
      <c r="C74" s="33" t="s">
        <v>438</v>
      </c>
      <c r="D74" s="33">
        <v>2000000</v>
      </c>
      <c r="E74" s="33" t="s">
        <v>258</v>
      </c>
      <c r="F74" s="33" t="str">
        <f t="shared" si="2"/>
        <v>rtdc.l.rtdc.4026:itc</v>
      </c>
      <c r="G74" s="8">
        <f t="shared" si="3"/>
        <v>42557.724606481483</v>
      </c>
    </row>
    <row r="75" spans="1:7" x14ac:dyDescent="0.25">
      <c r="A75" s="8">
        <v>42558.296736111108</v>
      </c>
      <c r="B75" s="33" t="s">
        <v>130</v>
      </c>
      <c r="C75" s="33" t="s">
        <v>439</v>
      </c>
      <c r="D75" s="33">
        <v>1340000</v>
      </c>
      <c r="E75" s="33" t="s">
        <v>151</v>
      </c>
      <c r="F75" s="33" t="str">
        <f t="shared" si="2"/>
        <v>rtdc.l.rtdc.4026:itc</v>
      </c>
      <c r="G75" s="8">
        <f t="shared" si="3"/>
        <v>42558.296736111108</v>
      </c>
    </row>
    <row r="76" spans="1:7" x14ac:dyDescent="0.25">
      <c r="A76" s="8">
        <v>42557.170798611114</v>
      </c>
      <c r="B76" s="33" t="s">
        <v>133</v>
      </c>
      <c r="C76" s="33" t="s">
        <v>440</v>
      </c>
      <c r="D76" s="33">
        <v>2040000</v>
      </c>
      <c r="E76" s="33" t="s">
        <v>411</v>
      </c>
      <c r="F76" s="33" t="str">
        <f t="shared" si="2"/>
        <v>rtdc.l.rtdc.4025:itc</v>
      </c>
      <c r="G76" s="8">
        <f t="shared" si="3"/>
        <v>42557.170798611114</v>
      </c>
    </row>
    <row r="77" spans="1:7" x14ac:dyDescent="0.25">
      <c r="A77" s="8">
        <v>42558.106504629628</v>
      </c>
      <c r="B77" s="33" t="s">
        <v>260</v>
      </c>
      <c r="C77" s="33" t="s">
        <v>261</v>
      </c>
      <c r="D77" s="33">
        <v>0</v>
      </c>
      <c r="E77" s="33" t="s">
        <v>262</v>
      </c>
      <c r="F77" s="33" t="str">
        <f t="shared" si="2"/>
        <v>rtdc.l.rtdc.4005:itc</v>
      </c>
      <c r="G77" s="8">
        <f t="shared" si="3"/>
        <v>42558.106504629628</v>
      </c>
    </row>
    <row r="78" spans="1:7" x14ac:dyDescent="0.25">
      <c r="A78" s="8">
        <v>42557.864768518521</v>
      </c>
      <c r="B78" s="33" t="s">
        <v>124</v>
      </c>
      <c r="C78" s="33" t="s">
        <v>441</v>
      </c>
      <c r="D78" s="33">
        <v>1280000</v>
      </c>
      <c r="E78" s="33" t="s">
        <v>136</v>
      </c>
      <c r="F78" s="33" t="str">
        <f t="shared" si="2"/>
        <v>rtdc.l.rtdc.4011:itc</v>
      </c>
      <c r="G78" s="8">
        <f t="shared" si="3"/>
        <v>42557.864768518521</v>
      </c>
    </row>
    <row r="79" spans="1:7" x14ac:dyDescent="0.25">
      <c r="A79" s="8">
        <v>42558.03701388889</v>
      </c>
      <c r="B79" s="33" t="s">
        <v>130</v>
      </c>
      <c r="C79" s="33" t="s">
        <v>395</v>
      </c>
      <c r="D79" s="33">
        <v>1820000</v>
      </c>
      <c r="E79" s="33" t="s">
        <v>110</v>
      </c>
      <c r="F79" s="33" t="str">
        <f t="shared" si="2"/>
        <v>rtdc.l.rtdc.4026:itc</v>
      </c>
      <c r="G79" s="8">
        <f t="shared" si="3"/>
        <v>42558.03701388889</v>
      </c>
    </row>
    <row r="80" spans="1:7" x14ac:dyDescent="0.25">
      <c r="A80" s="8">
        <v>42556.877118055556</v>
      </c>
      <c r="B80" s="33" t="s">
        <v>118</v>
      </c>
      <c r="C80" s="33" t="s">
        <v>270</v>
      </c>
      <c r="D80" s="33">
        <v>1280000</v>
      </c>
      <c r="E80" s="33" t="s">
        <v>136</v>
      </c>
      <c r="F80" s="33" t="str">
        <f t="shared" si="2"/>
        <v>rtdc.l.rtdc.4038:itc</v>
      </c>
      <c r="G80" s="8">
        <f t="shared" si="3"/>
        <v>42556.877118055556</v>
      </c>
    </row>
    <row r="81" spans="1:7" x14ac:dyDescent="0.25">
      <c r="A81" s="8">
        <v>42557.970821759256</v>
      </c>
      <c r="B81" s="33" t="s">
        <v>76</v>
      </c>
      <c r="C81" s="33" t="s">
        <v>442</v>
      </c>
      <c r="D81" s="33">
        <v>1990000</v>
      </c>
      <c r="E81" s="33" t="s">
        <v>443</v>
      </c>
      <c r="F81" s="33" t="str">
        <f t="shared" si="2"/>
        <v>rtdc.l.rtdc.4018:itc</v>
      </c>
      <c r="G81" s="8">
        <f t="shared" si="3"/>
        <v>42557.970821759256</v>
      </c>
    </row>
    <row r="82" spans="1:7" x14ac:dyDescent="0.25">
      <c r="A82" s="8">
        <v>42556.974618055552</v>
      </c>
      <c r="B82" s="33" t="s">
        <v>74</v>
      </c>
      <c r="C82" s="33" t="s">
        <v>271</v>
      </c>
      <c r="D82" s="33">
        <v>1240000</v>
      </c>
      <c r="E82" s="33" t="s">
        <v>165</v>
      </c>
      <c r="F82" s="33" t="str">
        <f t="shared" si="2"/>
        <v>rtdc.l.rtdc.4019:itc</v>
      </c>
      <c r="G82" s="8">
        <f t="shared" si="3"/>
        <v>42556.974618055552</v>
      </c>
    </row>
    <row r="83" spans="1:7" x14ac:dyDescent="0.25">
      <c r="A83" s="8">
        <v>42557.952534722222</v>
      </c>
      <c r="B83" s="33" t="s">
        <v>130</v>
      </c>
      <c r="C83" s="33" t="s">
        <v>444</v>
      </c>
      <c r="D83" s="33">
        <v>1820000</v>
      </c>
      <c r="E83" s="33" t="s">
        <v>110</v>
      </c>
      <c r="F83" s="33" t="str">
        <f t="shared" si="2"/>
        <v>rtdc.l.rtdc.4026:itc</v>
      </c>
      <c r="G83" s="8">
        <f t="shared" si="3"/>
        <v>42557.952534722222</v>
      </c>
    </row>
    <row r="84" spans="1:7" x14ac:dyDescent="0.25">
      <c r="A84" s="8">
        <v>42557.284907407404</v>
      </c>
      <c r="B84" s="33" t="s">
        <v>159</v>
      </c>
      <c r="C84" s="33" t="s">
        <v>445</v>
      </c>
      <c r="D84" s="33">
        <v>1830000</v>
      </c>
      <c r="E84" s="33" t="s">
        <v>148</v>
      </c>
      <c r="F84" s="33" t="str">
        <f t="shared" si="2"/>
        <v>rtdc.l.rtdc.4044:itc</v>
      </c>
      <c r="G84" s="8">
        <f t="shared" si="3"/>
        <v>42557.284907407404</v>
      </c>
    </row>
    <row r="85" spans="1:7" x14ac:dyDescent="0.25">
      <c r="A85" s="8">
        <v>42557.7971875</v>
      </c>
      <c r="B85" s="33" t="s">
        <v>130</v>
      </c>
      <c r="C85" s="33" t="s">
        <v>446</v>
      </c>
      <c r="D85" s="33">
        <v>1820000</v>
      </c>
      <c r="E85" s="33" t="s">
        <v>110</v>
      </c>
      <c r="F85" s="33" t="str">
        <f t="shared" si="2"/>
        <v>rtdc.l.rtdc.4026:itc</v>
      </c>
      <c r="G85" s="8">
        <f t="shared" si="3"/>
        <v>42557.7971875</v>
      </c>
    </row>
    <row r="86" spans="1:7" x14ac:dyDescent="0.25">
      <c r="A86" s="8">
        <v>42557.577893518515</v>
      </c>
      <c r="B86" s="33" t="s">
        <v>130</v>
      </c>
      <c r="C86" s="33" t="s">
        <v>447</v>
      </c>
      <c r="D86" s="33">
        <v>2000000</v>
      </c>
      <c r="E86" s="33" t="s">
        <v>258</v>
      </c>
      <c r="F86" s="33" t="str">
        <f t="shared" si="2"/>
        <v>rtdc.l.rtdc.4026:itc</v>
      </c>
      <c r="G86" s="8">
        <f t="shared" si="3"/>
        <v>42557.577893518515</v>
      </c>
    </row>
    <row r="87" spans="1:7" x14ac:dyDescent="0.25">
      <c r="A87" s="8">
        <v>42557.59103009259</v>
      </c>
      <c r="B87" s="33" t="s">
        <v>76</v>
      </c>
      <c r="C87" s="33" t="s">
        <v>359</v>
      </c>
      <c r="D87" s="33">
        <v>1190000</v>
      </c>
      <c r="E87" s="33" t="s">
        <v>448</v>
      </c>
      <c r="F87" s="33" t="str">
        <f t="shared" si="2"/>
        <v>rtdc.l.rtdc.4018:itc</v>
      </c>
      <c r="G87" s="8">
        <f t="shared" si="3"/>
        <v>42557.59103009259</v>
      </c>
    </row>
    <row r="88" spans="1:7" x14ac:dyDescent="0.25">
      <c r="A88" s="8">
        <v>42557.673379629632</v>
      </c>
      <c r="B88" s="33" t="s">
        <v>69</v>
      </c>
      <c r="C88" s="33" t="s">
        <v>371</v>
      </c>
      <c r="D88" s="33">
        <v>1290000</v>
      </c>
      <c r="E88" s="33" t="s">
        <v>206</v>
      </c>
      <c r="F88" s="33" t="str">
        <f t="shared" si="2"/>
        <v>rtdc.l.rtdc.4032:itc</v>
      </c>
      <c r="G88" s="8">
        <f t="shared" si="3"/>
        <v>42557.673379629632</v>
      </c>
    </row>
    <row r="89" spans="1:7" x14ac:dyDescent="0.25">
      <c r="A89" s="8">
        <v>42557.566041666665</v>
      </c>
      <c r="B89" s="33" t="s">
        <v>170</v>
      </c>
      <c r="C89" s="33" t="s">
        <v>355</v>
      </c>
      <c r="D89" s="33">
        <v>2020000</v>
      </c>
      <c r="E89" s="33" t="s">
        <v>246</v>
      </c>
      <c r="F89" s="33" t="str">
        <f t="shared" si="2"/>
        <v>rtdc.l.rtdc.4040:itc</v>
      </c>
      <c r="G89" s="8">
        <f t="shared" si="3"/>
        <v>42557.566041666665</v>
      </c>
    </row>
    <row r="90" spans="1:7" x14ac:dyDescent="0.25">
      <c r="A90" s="8">
        <v>42557.277048611111</v>
      </c>
      <c r="B90" s="33" t="s">
        <v>132</v>
      </c>
      <c r="C90" s="33" t="s">
        <v>330</v>
      </c>
      <c r="D90" s="33">
        <v>1110000</v>
      </c>
      <c r="E90" s="33" t="s">
        <v>263</v>
      </c>
      <c r="F90" s="33" t="str">
        <f t="shared" si="2"/>
        <v>rtdc.l.rtdc.4013:itc</v>
      </c>
      <c r="G90" s="8">
        <f t="shared" si="3"/>
        <v>42557.277048611111</v>
      </c>
    </row>
    <row r="91" spans="1:7" x14ac:dyDescent="0.25">
      <c r="A91" s="8">
        <v>42557.994884259257</v>
      </c>
      <c r="B91" s="33" t="s">
        <v>125</v>
      </c>
      <c r="C91" s="33" t="s">
        <v>449</v>
      </c>
      <c r="D91" s="33">
        <v>1280000</v>
      </c>
      <c r="E91" s="33" t="s">
        <v>136</v>
      </c>
      <c r="F91" s="33" t="str">
        <f t="shared" si="2"/>
        <v>rtdc.l.rtdc.4012:itc</v>
      </c>
      <c r="G91" s="8">
        <f t="shared" si="3"/>
        <v>42557.994884259257</v>
      </c>
    </row>
    <row r="92" spans="1:7" x14ac:dyDescent="0.25">
      <c r="A92" s="8">
        <v>42557.529016203705</v>
      </c>
      <c r="B92" s="33" t="s">
        <v>131</v>
      </c>
      <c r="C92" s="33" t="s">
        <v>354</v>
      </c>
      <c r="D92" s="33">
        <v>1140000</v>
      </c>
      <c r="E92" s="33" t="s">
        <v>144</v>
      </c>
      <c r="F92" s="33" t="str">
        <f t="shared" si="2"/>
        <v>rtdc.l.rtdc.4014:itc</v>
      </c>
      <c r="G92" s="8">
        <f t="shared" si="3"/>
        <v>42557.529016203705</v>
      </c>
    </row>
    <row r="93" spans="1:7" x14ac:dyDescent="0.25">
      <c r="A93" s="8">
        <v>42557.900439814817</v>
      </c>
      <c r="B93" s="33" t="s">
        <v>135</v>
      </c>
      <c r="C93" s="33" t="s">
        <v>390</v>
      </c>
      <c r="D93" s="33">
        <v>1740000</v>
      </c>
      <c r="E93" s="33" t="s">
        <v>254</v>
      </c>
      <c r="F93" s="33" t="str">
        <f t="shared" si="2"/>
        <v>rtdc.l.rtdc.4037:itc</v>
      </c>
      <c r="G93" s="8">
        <f t="shared" si="3"/>
        <v>42557.900439814817</v>
      </c>
    </row>
    <row r="94" spans="1:7" x14ac:dyDescent="0.25">
      <c r="A94" s="8">
        <v>42557.653067129628</v>
      </c>
      <c r="B94" s="33" t="s">
        <v>159</v>
      </c>
      <c r="C94" s="33" t="s">
        <v>450</v>
      </c>
      <c r="D94" s="33">
        <v>880000</v>
      </c>
      <c r="E94" s="33" t="s">
        <v>149</v>
      </c>
      <c r="F94" s="33" t="str">
        <f t="shared" si="2"/>
        <v>rtdc.l.rtdc.4044:itc</v>
      </c>
      <c r="G94" s="8">
        <f t="shared" si="3"/>
        <v>42557.653067129628</v>
      </c>
    </row>
    <row r="95" spans="1:7" x14ac:dyDescent="0.25">
      <c r="A95" s="8">
        <v>42557.651724537034</v>
      </c>
      <c r="B95" s="33" t="s">
        <v>139</v>
      </c>
      <c r="C95" s="33" t="s">
        <v>368</v>
      </c>
      <c r="D95" s="33">
        <v>1760000</v>
      </c>
      <c r="E95" s="33" t="s">
        <v>167</v>
      </c>
      <c r="F95" s="33" t="str">
        <f t="shared" si="2"/>
        <v>rtdc.l.rtdc.4027:itc</v>
      </c>
      <c r="G95" s="8">
        <f t="shared" si="3"/>
        <v>42557.651724537034</v>
      </c>
    </row>
    <row r="96" spans="1:7" x14ac:dyDescent="0.25">
      <c r="A96" s="8">
        <v>42557.729479166665</v>
      </c>
      <c r="B96" s="33" t="s">
        <v>202</v>
      </c>
      <c r="C96" s="33" t="s">
        <v>451</v>
      </c>
      <c r="D96" s="33">
        <v>2020000</v>
      </c>
      <c r="E96" s="33" t="s">
        <v>246</v>
      </c>
      <c r="F96" s="33" t="str">
        <f t="shared" si="2"/>
        <v>rtdc.l.rtdc.4039:itc</v>
      </c>
      <c r="G96" s="8">
        <f t="shared" si="3"/>
        <v>42557.729479166665</v>
      </c>
    </row>
    <row r="97" spans="1:7" x14ac:dyDescent="0.25">
      <c r="A97" s="8">
        <v>42557.65179398148</v>
      </c>
      <c r="B97" s="33" t="s">
        <v>130</v>
      </c>
      <c r="C97" s="33" t="s">
        <v>452</v>
      </c>
      <c r="D97" s="33">
        <v>2000000</v>
      </c>
      <c r="E97" s="33" t="s">
        <v>258</v>
      </c>
      <c r="F97" s="33" t="str">
        <f t="shared" si="2"/>
        <v>rtdc.l.rtdc.4026:itc</v>
      </c>
      <c r="G97" s="8">
        <f t="shared" si="3"/>
        <v>42557.65179398148</v>
      </c>
    </row>
    <row r="98" spans="1:7" x14ac:dyDescent="0.25">
      <c r="A98" s="8">
        <v>42557.753506944442</v>
      </c>
      <c r="B98" s="33" t="s">
        <v>125</v>
      </c>
      <c r="C98" s="33" t="s">
        <v>377</v>
      </c>
      <c r="D98" s="33">
        <v>1280000</v>
      </c>
      <c r="E98" s="33" t="s">
        <v>136</v>
      </c>
      <c r="F98" s="33" t="str">
        <f t="shared" si="2"/>
        <v>rtdc.l.rtdc.4012:itc</v>
      </c>
      <c r="G98" s="8">
        <f t="shared" si="3"/>
        <v>42557.753506944442</v>
      </c>
    </row>
    <row r="99" spans="1:7" x14ac:dyDescent="0.25">
      <c r="A99" s="8">
        <v>42557.568032407406</v>
      </c>
      <c r="B99" s="33" t="s">
        <v>135</v>
      </c>
      <c r="C99" s="33" t="s">
        <v>453</v>
      </c>
      <c r="D99" s="33">
        <v>1520000</v>
      </c>
      <c r="E99" s="33" t="s">
        <v>150</v>
      </c>
      <c r="F99" s="33" t="str">
        <f t="shared" si="2"/>
        <v>rtdc.l.rtdc.4037:itc</v>
      </c>
      <c r="G99" s="8">
        <f t="shared" si="3"/>
        <v>42557.568032407406</v>
      </c>
    </row>
    <row r="100" spans="1:7" x14ac:dyDescent="0.25">
      <c r="A100" s="8">
        <v>42556.920162037037</v>
      </c>
      <c r="B100" s="33" t="s">
        <v>170</v>
      </c>
      <c r="C100" s="33" t="s">
        <v>242</v>
      </c>
      <c r="D100" s="33">
        <v>910000</v>
      </c>
      <c r="E100" s="33" t="s">
        <v>250</v>
      </c>
      <c r="F100" s="33" t="str">
        <f t="shared" si="2"/>
        <v>rtdc.l.rtdc.4040:itc</v>
      </c>
      <c r="G100" s="8">
        <f t="shared" si="3"/>
        <v>42556.920162037037</v>
      </c>
    </row>
    <row r="101" spans="1:7" x14ac:dyDescent="0.25">
      <c r="A101" s="8">
        <v>42557.485046296293</v>
      </c>
      <c r="B101" s="33" t="s">
        <v>79</v>
      </c>
      <c r="C101" s="33" t="s">
        <v>454</v>
      </c>
      <c r="D101" s="33">
        <v>1290000</v>
      </c>
      <c r="E101" s="33" t="s">
        <v>206</v>
      </c>
      <c r="F101" s="33" t="str">
        <f t="shared" si="2"/>
        <v>rtdc.l.rtdc.4031:itc</v>
      </c>
      <c r="G101" s="8">
        <f t="shared" si="3"/>
        <v>42557.485046296293</v>
      </c>
    </row>
    <row r="102" spans="1:7" x14ac:dyDescent="0.25">
      <c r="A102" s="8">
        <v>42557.050798611112</v>
      </c>
      <c r="B102" s="33" t="s">
        <v>260</v>
      </c>
      <c r="C102" s="33" t="s">
        <v>261</v>
      </c>
      <c r="D102" s="33">
        <v>0</v>
      </c>
      <c r="E102" s="33" t="s">
        <v>262</v>
      </c>
      <c r="F102" s="33" t="str">
        <f t="shared" si="2"/>
        <v>rtdc.l.rtdc.4005:itc</v>
      </c>
      <c r="G102" s="8">
        <f t="shared" si="3"/>
        <v>42557.050798611112</v>
      </c>
    </row>
    <row r="103" spans="1:7" x14ac:dyDescent="0.25">
      <c r="A103" s="8">
        <v>42558.129189814812</v>
      </c>
      <c r="B103" s="33" t="s">
        <v>166</v>
      </c>
      <c r="C103" s="33" t="s">
        <v>455</v>
      </c>
      <c r="D103" s="33">
        <v>1840000</v>
      </c>
      <c r="E103" s="33" t="s">
        <v>119</v>
      </c>
      <c r="F103" s="33" t="str">
        <f t="shared" si="2"/>
        <v>rtdc.l.rtdc.4007:itc</v>
      </c>
      <c r="G103" s="8">
        <f t="shared" si="3"/>
        <v>42558.129189814812</v>
      </c>
    </row>
    <row r="104" spans="1:7" x14ac:dyDescent="0.25">
      <c r="A104" s="8">
        <v>42557.593043981484</v>
      </c>
      <c r="B104" s="33" t="s">
        <v>118</v>
      </c>
      <c r="C104" s="33" t="s">
        <v>358</v>
      </c>
      <c r="D104" s="33">
        <v>1740000</v>
      </c>
      <c r="E104" s="33" t="s">
        <v>254</v>
      </c>
      <c r="F104" s="33" t="str">
        <f t="shared" si="2"/>
        <v>rtdc.l.rtdc.4038:itc</v>
      </c>
      <c r="G104" s="8">
        <f t="shared" si="3"/>
        <v>42557.593043981484</v>
      </c>
    </row>
    <row r="105" spans="1:7" x14ac:dyDescent="0.25">
      <c r="A105" s="8">
        <v>42557.846516203703</v>
      </c>
      <c r="B105" s="33" t="s">
        <v>69</v>
      </c>
      <c r="C105" s="33" t="s">
        <v>388</v>
      </c>
      <c r="D105" s="33">
        <v>1540000</v>
      </c>
      <c r="E105" s="33" t="s">
        <v>161</v>
      </c>
      <c r="F105" s="33" t="str">
        <f t="shared" si="2"/>
        <v>rtdc.l.rtdc.4032:itc</v>
      </c>
      <c r="G105" s="8">
        <f t="shared" si="3"/>
        <v>42557.846516203703</v>
      </c>
    </row>
    <row r="106" spans="1:7" x14ac:dyDescent="0.25">
      <c r="A106" s="8">
        <v>42557.691238425927</v>
      </c>
      <c r="B106" s="33" t="s">
        <v>163</v>
      </c>
      <c r="C106" s="33" t="s">
        <v>456</v>
      </c>
      <c r="D106" s="33">
        <v>880000</v>
      </c>
      <c r="E106" s="33" t="s">
        <v>149</v>
      </c>
      <c r="F106" s="33" t="str">
        <f t="shared" si="2"/>
        <v>rtdc.l.rtdc.4043:itc</v>
      </c>
      <c r="G106" s="8">
        <f t="shared" si="3"/>
        <v>42557.691238425927</v>
      </c>
    </row>
    <row r="107" spans="1:7" x14ac:dyDescent="0.25">
      <c r="A107" s="8">
        <v>42557.781759259262</v>
      </c>
      <c r="B107" s="33" t="s">
        <v>139</v>
      </c>
      <c r="C107" s="33" t="s">
        <v>380</v>
      </c>
      <c r="D107" s="33">
        <v>1760000</v>
      </c>
      <c r="E107" s="33" t="s">
        <v>167</v>
      </c>
      <c r="F107" s="33" t="str">
        <f t="shared" si="2"/>
        <v>rtdc.l.rtdc.4027:itc</v>
      </c>
      <c r="G107" s="8">
        <f t="shared" si="3"/>
        <v>42557.781759259262</v>
      </c>
    </row>
    <row r="108" spans="1:7" x14ac:dyDescent="0.25">
      <c r="A108" s="8">
        <v>42557.699548611112</v>
      </c>
      <c r="B108" s="33" t="s">
        <v>139</v>
      </c>
      <c r="C108" s="33" t="s">
        <v>457</v>
      </c>
      <c r="D108" s="33">
        <v>1760000</v>
      </c>
      <c r="E108" s="33" t="s">
        <v>167</v>
      </c>
      <c r="F108" s="33" t="str">
        <f t="shared" si="2"/>
        <v>rtdc.l.rtdc.4027:itc</v>
      </c>
      <c r="G108" s="8">
        <f t="shared" si="3"/>
        <v>42557.699548611112</v>
      </c>
    </row>
    <row r="109" spans="1:7" x14ac:dyDescent="0.25">
      <c r="A109" s="8">
        <v>42557.737939814811</v>
      </c>
      <c r="B109" s="33" t="s">
        <v>76</v>
      </c>
      <c r="C109" s="33" t="s">
        <v>458</v>
      </c>
      <c r="D109" s="33">
        <v>1990000</v>
      </c>
      <c r="E109" s="33" t="s">
        <v>443</v>
      </c>
      <c r="F109" s="33" t="str">
        <f t="shared" si="2"/>
        <v>rtdc.l.rtdc.4018:itc</v>
      </c>
      <c r="G109" s="8">
        <f t="shared" si="3"/>
        <v>42557.737939814811</v>
      </c>
    </row>
    <row r="110" spans="1:7" x14ac:dyDescent="0.25">
      <c r="A110" s="8">
        <v>42557.757060185184</v>
      </c>
      <c r="B110" s="33" t="s">
        <v>134</v>
      </c>
      <c r="C110" s="33" t="s">
        <v>459</v>
      </c>
      <c r="D110" s="33">
        <v>1760000</v>
      </c>
      <c r="E110" s="33" t="s">
        <v>167</v>
      </c>
      <c r="F110" s="33" t="str">
        <f t="shared" si="2"/>
        <v>rtdc.l.rtdc.4028:itc</v>
      </c>
      <c r="G110" s="8">
        <f t="shared" si="3"/>
        <v>42557.757060185184</v>
      </c>
    </row>
    <row r="111" spans="1:7" x14ac:dyDescent="0.25">
      <c r="A111" s="8">
        <v>42557.679976851854</v>
      </c>
      <c r="B111" s="33" t="s">
        <v>125</v>
      </c>
      <c r="C111" s="33" t="s">
        <v>460</v>
      </c>
      <c r="D111" s="33">
        <v>1090000</v>
      </c>
      <c r="E111" s="33" t="s">
        <v>143</v>
      </c>
      <c r="F111" s="33" t="str">
        <f t="shared" si="2"/>
        <v>rtdc.l.rtdc.4012:itc</v>
      </c>
      <c r="G111" s="8">
        <f t="shared" si="3"/>
        <v>42557.679976851854</v>
      </c>
    </row>
    <row r="112" spans="1:7" x14ac:dyDescent="0.25">
      <c r="A112" s="8">
        <v>42557.930949074071</v>
      </c>
      <c r="B112" s="33" t="s">
        <v>170</v>
      </c>
      <c r="C112" s="33" t="s">
        <v>461</v>
      </c>
      <c r="D112" s="33">
        <v>1240000</v>
      </c>
      <c r="E112" s="33" t="s">
        <v>165</v>
      </c>
      <c r="F112" s="33" t="str">
        <f t="shared" si="2"/>
        <v>rtdc.l.rtdc.4040:itc</v>
      </c>
      <c r="G112" s="8">
        <f t="shared" si="3"/>
        <v>42557.930949074071</v>
      </c>
    </row>
    <row r="113" spans="1:7" x14ac:dyDescent="0.25">
      <c r="A113" s="8">
        <v>42557.639733796299</v>
      </c>
      <c r="B113" s="33" t="s">
        <v>132</v>
      </c>
      <c r="C113" s="33" t="s">
        <v>363</v>
      </c>
      <c r="D113" s="33">
        <v>1140000</v>
      </c>
      <c r="E113" s="33" t="s">
        <v>144</v>
      </c>
      <c r="F113" s="33" t="str">
        <f t="shared" si="2"/>
        <v>rtdc.l.rtdc.4013:itc</v>
      </c>
      <c r="G113" s="8">
        <f t="shared" si="3"/>
        <v>42557.639733796299</v>
      </c>
    </row>
    <row r="114" spans="1:7" x14ac:dyDescent="0.25">
      <c r="A114" s="8">
        <v>42557.4065625</v>
      </c>
      <c r="B114" s="33" t="s">
        <v>77</v>
      </c>
      <c r="C114" s="33" t="s">
        <v>462</v>
      </c>
      <c r="D114" s="33">
        <v>900000</v>
      </c>
      <c r="E114" s="33" t="s">
        <v>142</v>
      </c>
      <c r="F114" s="33" t="str">
        <f t="shared" si="2"/>
        <v>rtdc.l.rtdc.4017:itc</v>
      </c>
      <c r="G114" s="8">
        <f t="shared" si="3"/>
        <v>42557.4065625</v>
      </c>
    </row>
    <row r="115" spans="1:7" x14ac:dyDescent="0.25">
      <c r="A115" s="8">
        <v>42557.611111111109</v>
      </c>
      <c r="B115" s="33" t="s">
        <v>133</v>
      </c>
      <c r="C115" s="33" t="s">
        <v>362</v>
      </c>
      <c r="D115" s="33">
        <v>2000000</v>
      </c>
      <c r="E115" s="33" t="s">
        <v>258</v>
      </c>
      <c r="F115" s="33" t="str">
        <f t="shared" si="2"/>
        <v>rtdc.l.rtdc.4025:itc</v>
      </c>
      <c r="G115" s="8">
        <f t="shared" si="3"/>
        <v>42557.611111111109</v>
      </c>
    </row>
    <row r="116" spans="1:7" x14ac:dyDescent="0.25">
      <c r="A116" s="8">
        <v>42557.461631944447</v>
      </c>
      <c r="B116" s="33" t="s">
        <v>87</v>
      </c>
      <c r="C116" s="33" t="s">
        <v>349</v>
      </c>
      <c r="D116" s="33">
        <v>1090000</v>
      </c>
      <c r="E116" s="33" t="s">
        <v>143</v>
      </c>
      <c r="F116" s="33" t="str">
        <f t="shared" si="2"/>
        <v>rtdc.l.rtdc.4041:itc</v>
      </c>
      <c r="G116" s="8">
        <f t="shared" si="3"/>
        <v>42557.461631944447</v>
      </c>
    </row>
    <row r="117" spans="1:7" x14ac:dyDescent="0.25">
      <c r="A117" s="8">
        <v>42557.51840277778</v>
      </c>
      <c r="B117" s="33" t="s">
        <v>76</v>
      </c>
      <c r="C117" s="33" t="s">
        <v>463</v>
      </c>
      <c r="D117" s="33">
        <v>1360000</v>
      </c>
      <c r="E117" s="33" t="s">
        <v>416</v>
      </c>
      <c r="F117" s="33" t="str">
        <f t="shared" si="2"/>
        <v>rtdc.l.rtdc.4018:itc</v>
      </c>
      <c r="G117" s="8">
        <f t="shared" si="3"/>
        <v>42557.51840277778</v>
      </c>
    </row>
    <row r="118" spans="1:7" x14ac:dyDescent="0.25">
      <c r="A118" s="8">
        <v>42557.566932870373</v>
      </c>
      <c r="B118" s="33" t="s">
        <v>124</v>
      </c>
      <c r="C118" s="33" t="s">
        <v>464</v>
      </c>
      <c r="D118" s="33">
        <v>1090000</v>
      </c>
      <c r="E118" s="33" t="s">
        <v>143</v>
      </c>
      <c r="F118" s="33" t="str">
        <f t="shared" si="2"/>
        <v>rtdc.l.rtdc.4011:itc</v>
      </c>
      <c r="G118" s="8">
        <f t="shared" si="3"/>
        <v>42557.566932870373</v>
      </c>
    </row>
    <row r="119" spans="1:7" x14ac:dyDescent="0.25">
      <c r="A119" s="8">
        <v>42557.787187499998</v>
      </c>
      <c r="B119" s="33" t="s">
        <v>132</v>
      </c>
      <c r="C119" s="33" t="s">
        <v>383</v>
      </c>
      <c r="D119" s="33">
        <v>1140000</v>
      </c>
      <c r="E119" s="33" t="s">
        <v>144</v>
      </c>
      <c r="F119" s="33" t="str">
        <f t="shared" si="2"/>
        <v>rtdc.l.rtdc.4013:itc</v>
      </c>
      <c r="G119" s="8">
        <f t="shared" si="3"/>
        <v>42557.787187499998</v>
      </c>
    </row>
    <row r="120" spans="1:7" x14ac:dyDescent="0.25">
      <c r="A120" s="8">
        <v>42557.704988425925</v>
      </c>
      <c r="B120" s="33" t="s">
        <v>79</v>
      </c>
      <c r="C120" s="33" t="s">
        <v>465</v>
      </c>
      <c r="D120" s="33">
        <v>1290000</v>
      </c>
      <c r="E120" s="33" t="s">
        <v>206</v>
      </c>
      <c r="F120" s="33" t="str">
        <f t="shared" si="2"/>
        <v>rtdc.l.rtdc.4031:itc</v>
      </c>
      <c r="G120" s="8">
        <f t="shared" si="3"/>
        <v>42557.704988425925</v>
      </c>
    </row>
    <row r="121" spans="1:7" x14ac:dyDescent="0.25">
      <c r="A121" s="8">
        <v>42557.777280092596</v>
      </c>
      <c r="B121" s="33" t="s">
        <v>77</v>
      </c>
      <c r="C121" s="33" t="s">
        <v>466</v>
      </c>
      <c r="D121" s="33">
        <v>1990000</v>
      </c>
      <c r="E121" s="33" t="s">
        <v>443</v>
      </c>
      <c r="F121" s="33" t="str">
        <f t="shared" si="2"/>
        <v>rtdc.l.rtdc.4017:itc</v>
      </c>
      <c r="G121" s="8">
        <f t="shared" si="3"/>
        <v>42557.777280092596</v>
      </c>
    </row>
    <row r="122" spans="1:7" x14ac:dyDescent="0.25">
      <c r="A122" s="8">
        <v>42557.243148148147</v>
      </c>
      <c r="B122" s="42" t="s">
        <v>87</v>
      </c>
      <c r="C122" s="33" t="s">
        <v>467</v>
      </c>
      <c r="D122" s="33">
        <v>1340000</v>
      </c>
      <c r="E122" s="33" t="s">
        <v>151</v>
      </c>
      <c r="F122" s="33" t="str">
        <f t="shared" si="2"/>
        <v>rtdc.l.rtdc.4041:itc</v>
      </c>
      <c r="G122" s="8">
        <f t="shared" si="3"/>
        <v>42557.243148148147</v>
      </c>
    </row>
    <row r="123" spans="1:7" x14ac:dyDescent="0.25">
      <c r="A123" s="8">
        <v>42557.505115740743</v>
      </c>
      <c r="B123" s="33" t="s">
        <v>130</v>
      </c>
      <c r="C123" s="33" t="s">
        <v>353</v>
      </c>
      <c r="D123" s="33">
        <v>2000000</v>
      </c>
      <c r="E123" s="33" t="s">
        <v>258</v>
      </c>
      <c r="F123" s="33" t="str">
        <f t="shared" si="2"/>
        <v>rtdc.l.rtdc.4026:itc</v>
      </c>
      <c r="G123" s="8">
        <f t="shared" si="3"/>
        <v>42557.505115740743</v>
      </c>
    </row>
    <row r="124" spans="1:7" x14ac:dyDescent="0.25">
      <c r="A124" s="8">
        <v>42557.454930555556</v>
      </c>
      <c r="B124" s="33" t="s">
        <v>118</v>
      </c>
      <c r="C124" s="33" t="s">
        <v>348</v>
      </c>
      <c r="D124" s="33">
        <v>1520000</v>
      </c>
      <c r="E124" s="33" t="s">
        <v>150</v>
      </c>
      <c r="F124" s="33" t="str">
        <f t="shared" si="2"/>
        <v>rtdc.l.rtdc.4038:itc</v>
      </c>
      <c r="G124" s="8">
        <f t="shared" si="3"/>
        <v>42557.454930555556</v>
      </c>
    </row>
    <row r="125" spans="1:7" x14ac:dyDescent="0.25">
      <c r="A125" s="8">
        <v>42558.286898148152</v>
      </c>
      <c r="B125" s="33" t="s">
        <v>77</v>
      </c>
      <c r="C125" s="33" t="s">
        <v>468</v>
      </c>
      <c r="D125" s="33">
        <v>2030000</v>
      </c>
      <c r="E125" s="33" t="s">
        <v>255</v>
      </c>
      <c r="F125" s="33" t="str">
        <f t="shared" si="2"/>
        <v>rtdc.l.rtdc.4017:itc</v>
      </c>
      <c r="G125" s="8">
        <f t="shared" si="3"/>
        <v>42558.286898148152</v>
      </c>
    </row>
    <row r="126" spans="1:7" x14ac:dyDescent="0.25">
      <c r="A126" s="8">
        <v>42557.650671296295</v>
      </c>
      <c r="B126" s="33" t="s">
        <v>135</v>
      </c>
      <c r="C126" s="33" t="s">
        <v>366</v>
      </c>
      <c r="D126" s="33">
        <v>1740000</v>
      </c>
      <c r="E126" s="33" t="s">
        <v>254</v>
      </c>
      <c r="F126" s="33" t="str">
        <f t="shared" si="2"/>
        <v>rtdc.l.rtdc.4037:itc</v>
      </c>
      <c r="G126" s="8">
        <f t="shared" si="3"/>
        <v>42557.650671296295</v>
      </c>
    </row>
    <row r="127" spans="1:7" x14ac:dyDescent="0.25">
      <c r="A127" s="8">
        <v>42558.27747685185</v>
      </c>
      <c r="B127" s="33" t="s">
        <v>135</v>
      </c>
      <c r="C127" s="33" t="s">
        <v>469</v>
      </c>
      <c r="D127" s="33">
        <v>1830000</v>
      </c>
      <c r="E127" s="33" t="s">
        <v>148</v>
      </c>
      <c r="F127" s="33" t="str">
        <f t="shared" si="2"/>
        <v>rtdc.l.rtdc.4037:itc</v>
      </c>
      <c r="G127" s="8">
        <f t="shared" si="3"/>
        <v>42558.27747685185</v>
      </c>
    </row>
    <row r="128" spans="1:7" x14ac:dyDescent="0.25">
      <c r="A128" s="8">
        <v>42557.661979166667</v>
      </c>
      <c r="B128" s="33" t="s">
        <v>76</v>
      </c>
      <c r="C128" s="33" t="s">
        <v>470</v>
      </c>
      <c r="D128" s="33">
        <v>1540000</v>
      </c>
      <c r="E128" s="33" t="s">
        <v>161</v>
      </c>
      <c r="F128" s="33" t="str">
        <f t="shared" si="2"/>
        <v>rtdc.l.rtdc.4018:itc</v>
      </c>
      <c r="G128" s="8">
        <f t="shared" si="3"/>
        <v>42557.661979166667</v>
      </c>
    </row>
    <row r="129" spans="1:7" x14ac:dyDescent="0.25">
      <c r="A129" s="8">
        <v>42558.209606481483</v>
      </c>
      <c r="B129" s="33" t="s">
        <v>166</v>
      </c>
      <c r="C129" s="33" t="s">
        <v>471</v>
      </c>
      <c r="D129" s="33">
        <v>2040000</v>
      </c>
      <c r="E129" s="33" t="s">
        <v>411</v>
      </c>
      <c r="F129" s="33" t="str">
        <f t="shared" si="2"/>
        <v>rtdc.l.rtdc.4007:itc</v>
      </c>
      <c r="G129" s="8">
        <f t="shared" si="3"/>
        <v>42558.209606481483</v>
      </c>
    </row>
    <row r="130" spans="1:7" x14ac:dyDescent="0.25">
      <c r="A130" s="8">
        <v>42557.155034722222</v>
      </c>
      <c r="B130" s="33" t="s">
        <v>124</v>
      </c>
      <c r="C130" s="33" t="s">
        <v>265</v>
      </c>
      <c r="D130" s="33">
        <v>1110000</v>
      </c>
      <c r="E130" s="33" t="s">
        <v>263</v>
      </c>
      <c r="F130" s="33" t="str">
        <f t="shared" ref="F130:F193" si="4">B130</f>
        <v>rtdc.l.rtdc.4011:itc</v>
      </c>
      <c r="G130" s="8">
        <f t="shared" ref="G130:G193" si="5">A130</f>
        <v>42557.155034722222</v>
      </c>
    </row>
    <row r="131" spans="1:7" x14ac:dyDescent="0.25">
      <c r="A131" s="8">
        <v>42558.200300925928</v>
      </c>
      <c r="B131" s="33" t="s">
        <v>133</v>
      </c>
      <c r="C131" s="33" t="s">
        <v>472</v>
      </c>
      <c r="D131" s="33">
        <v>1340000</v>
      </c>
      <c r="E131" s="33" t="s">
        <v>151</v>
      </c>
      <c r="F131" s="33" t="str">
        <f t="shared" si="4"/>
        <v>rtdc.l.rtdc.4025:itc</v>
      </c>
      <c r="G131" s="8">
        <f t="shared" si="5"/>
        <v>42558.200300925928</v>
      </c>
    </row>
    <row r="132" spans="1:7" x14ac:dyDescent="0.25">
      <c r="A132" s="8">
        <v>42557.205520833333</v>
      </c>
      <c r="B132" s="33" t="s">
        <v>88</v>
      </c>
      <c r="C132" s="33" t="s">
        <v>322</v>
      </c>
      <c r="D132" s="33">
        <v>1340000</v>
      </c>
      <c r="E132" s="33" t="s">
        <v>151</v>
      </c>
      <c r="F132" s="33" t="str">
        <f t="shared" si="4"/>
        <v>rtdc.l.rtdc.4042:itc</v>
      </c>
      <c r="G132" s="8">
        <f t="shared" si="5"/>
        <v>42557.205520833333</v>
      </c>
    </row>
    <row r="133" spans="1:7" x14ac:dyDescent="0.25">
      <c r="A133" s="8">
        <v>42558.154085648152</v>
      </c>
      <c r="B133" s="33" t="s">
        <v>79</v>
      </c>
      <c r="C133" s="33" t="s">
        <v>473</v>
      </c>
      <c r="D133" s="33">
        <v>1110000</v>
      </c>
      <c r="E133" s="33" t="s">
        <v>263</v>
      </c>
      <c r="F133" s="33" t="str">
        <f t="shared" si="4"/>
        <v>rtdc.l.rtdc.4031:itc</v>
      </c>
      <c r="G133" s="8">
        <f t="shared" si="5"/>
        <v>42558.154085648152</v>
      </c>
    </row>
    <row r="134" spans="1:7" x14ac:dyDescent="0.25">
      <c r="A134" s="8">
        <v>42557.333032407405</v>
      </c>
      <c r="B134" s="33" t="s">
        <v>77</v>
      </c>
      <c r="C134" s="33" t="s">
        <v>474</v>
      </c>
      <c r="D134" s="33">
        <v>900000</v>
      </c>
      <c r="E134" s="33" t="s">
        <v>142</v>
      </c>
      <c r="F134" s="33" t="str">
        <f t="shared" si="4"/>
        <v>rtdc.l.rtdc.4017:itc</v>
      </c>
      <c r="G134" s="8">
        <f t="shared" si="5"/>
        <v>42557.333032407405</v>
      </c>
    </row>
    <row r="135" spans="1:7" x14ac:dyDescent="0.25">
      <c r="A135" s="8">
        <v>42558.013171296298</v>
      </c>
      <c r="B135" s="33" t="s">
        <v>77</v>
      </c>
      <c r="C135" s="33" t="s">
        <v>475</v>
      </c>
      <c r="D135" s="33">
        <v>1990000</v>
      </c>
      <c r="E135" s="33" t="s">
        <v>443</v>
      </c>
      <c r="F135" s="33" t="str">
        <f t="shared" si="4"/>
        <v>rtdc.l.rtdc.4017:itc</v>
      </c>
      <c r="G135" s="8">
        <f t="shared" si="5"/>
        <v>42558.013171296298</v>
      </c>
    </row>
    <row r="136" spans="1:7" x14ac:dyDescent="0.25">
      <c r="A136" s="8">
        <v>42557.369502314818</v>
      </c>
      <c r="B136" s="33" t="s">
        <v>76</v>
      </c>
      <c r="C136" s="33" t="s">
        <v>476</v>
      </c>
      <c r="D136" s="33">
        <v>900000</v>
      </c>
      <c r="E136" s="33" t="s">
        <v>142</v>
      </c>
      <c r="F136" s="33" t="str">
        <f t="shared" si="4"/>
        <v>rtdc.l.rtdc.4018:itc</v>
      </c>
      <c r="G136" s="8">
        <f t="shared" si="5"/>
        <v>42557.369502314818</v>
      </c>
    </row>
    <row r="137" spans="1:7" x14ac:dyDescent="0.25">
      <c r="A137" s="8">
        <v>42557.95349537037</v>
      </c>
      <c r="B137" s="33" t="s">
        <v>124</v>
      </c>
      <c r="C137" s="33" t="s">
        <v>477</v>
      </c>
      <c r="D137" s="33">
        <v>1280000</v>
      </c>
      <c r="E137" s="33" t="s">
        <v>136</v>
      </c>
      <c r="F137" s="33" t="str">
        <f t="shared" si="4"/>
        <v>rtdc.l.rtdc.4011:itc</v>
      </c>
      <c r="G137" s="8">
        <f t="shared" si="5"/>
        <v>42557.95349537037</v>
      </c>
    </row>
    <row r="138" spans="1:7" x14ac:dyDescent="0.25">
      <c r="A138" s="8">
        <v>42557.41333333333</v>
      </c>
      <c r="B138" s="33" t="s">
        <v>118</v>
      </c>
      <c r="C138" s="33" t="s">
        <v>344</v>
      </c>
      <c r="D138" s="33">
        <v>1520000</v>
      </c>
      <c r="E138" s="33" t="s">
        <v>150</v>
      </c>
      <c r="F138" s="33" t="str">
        <f t="shared" si="4"/>
        <v>rtdc.l.rtdc.4038:itc</v>
      </c>
      <c r="G138" s="8">
        <f t="shared" si="5"/>
        <v>42557.41333333333</v>
      </c>
    </row>
    <row r="139" spans="1:7" x14ac:dyDescent="0.25">
      <c r="A139" s="8">
        <v>42557.78979166667</v>
      </c>
      <c r="B139" s="33" t="s">
        <v>124</v>
      </c>
      <c r="C139" s="33" t="s">
        <v>400</v>
      </c>
      <c r="D139" s="33">
        <v>1280000</v>
      </c>
      <c r="E139" s="33" t="s">
        <v>136</v>
      </c>
      <c r="F139" s="33" t="str">
        <f t="shared" si="4"/>
        <v>rtdc.l.rtdc.4011:itc</v>
      </c>
      <c r="G139" s="8">
        <f t="shared" si="5"/>
        <v>42557.78979166667</v>
      </c>
    </row>
    <row r="140" spans="1:7" x14ac:dyDescent="0.25">
      <c r="A140" s="8">
        <v>42557.464930555558</v>
      </c>
      <c r="B140" s="33" t="s">
        <v>133</v>
      </c>
      <c r="C140" s="33" t="s">
        <v>478</v>
      </c>
      <c r="D140" s="33">
        <v>2000000</v>
      </c>
      <c r="E140" s="33" t="s">
        <v>258</v>
      </c>
      <c r="F140" s="33" t="str">
        <f t="shared" si="4"/>
        <v>rtdc.l.rtdc.4025:itc</v>
      </c>
      <c r="G140" s="8">
        <f t="shared" si="5"/>
        <v>42557.464930555558</v>
      </c>
    </row>
    <row r="141" spans="1:7" x14ac:dyDescent="0.25">
      <c r="A141" s="8">
        <v>42557.764814814815</v>
      </c>
      <c r="B141" s="33" t="s">
        <v>163</v>
      </c>
      <c r="C141" s="33" t="s">
        <v>381</v>
      </c>
      <c r="D141" s="33">
        <v>880000</v>
      </c>
      <c r="E141" s="33" t="s">
        <v>149</v>
      </c>
      <c r="F141" s="33" t="str">
        <f t="shared" si="4"/>
        <v>rtdc.l.rtdc.4043:itc</v>
      </c>
      <c r="G141" s="8">
        <f t="shared" si="5"/>
        <v>42557.764814814815</v>
      </c>
    </row>
    <row r="142" spans="1:7" x14ac:dyDescent="0.25">
      <c r="A142" s="8">
        <v>42557.474317129629</v>
      </c>
      <c r="B142" s="33" t="s">
        <v>163</v>
      </c>
      <c r="C142" s="33" t="s">
        <v>479</v>
      </c>
      <c r="D142" s="33">
        <v>1340000</v>
      </c>
      <c r="E142" s="33" t="s">
        <v>151</v>
      </c>
      <c r="F142" s="33" t="str">
        <f t="shared" si="4"/>
        <v>rtdc.l.rtdc.4043:itc</v>
      </c>
      <c r="G142" s="8">
        <f t="shared" si="5"/>
        <v>42557.474317129629</v>
      </c>
    </row>
    <row r="143" spans="1:7" x14ac:dyDescent="0.25">
      <c r="A143" s="8">
        <v>42557.712523148148</v>
      </c>
      <c r="B143" s="33" t="s">
        <v>134</v>
      </c>
      <c r="C143" s="33" t="s">
        <v>480</v>
      </c>
      <c r="D143" s="33">
        <v>1760000</v>
      </c>
      <c r="E143" s="33" t="s">
        <v>167</v>
      </c>
      <c r="F143" s="33" t="str">
        <f t="shared" si="4"/>
        <v>rtdc.l.rtdc.4028:itc</v>
      </c>
      <c r="G143" s="8">
        <f t="shared" si="5"/>
        <v>42557.712523148148</v>
      </c>
    </row>
    <row r="144" spans="1:7" x14ac:dyDescent="0.25">
      <c r="A144" s="8">
        <v>42557.483773148146</v>
      </c>
      <c r="B144" s="33" t="s">
        <v>135</v>
      </c>
      <c r="C144" s="33" t="s">
        <v>348</v>
      </c>
      <c r="D144" s="33">
        <v>1520000</v>
      </c>
      <c r="E144" s="33" t="s">
        <v>150</v>
      </c>
      <c r="F144" s="33" t="str">
        <f t="shared" si="4"/>
        <v>rtdc.l.rtdc.4037:itc</v>
      </c>
      <c r="G144" s="8">
        <f t="shared" si="5"/>
        <v>42557.483773148146</v>
      </c>
    </row>
    <row r="145" spans="1:7" x14ac:dyDescent="0.25">
      <c r="A145" s="8">
        <v>42557.701064814813</v>
      </c>
      <c r="B145" s="33" t="s">
        <v>139</v>
      </c>
      <c r="C145" s="33" t="s">
        <v>457</v>
      </c>
      <c r="D145" s="33">
        <v>1760000</v>
      </c>
      <c r="E145" s="33" t="s">
        <v>167</v>
      </c>
      <c r="F145" s="33" t="str">
        <f t="shared" si="4"/>
        <v>rtdc.l.rtdc.4027:itc</v>
      </c>
      <c r="G145" s="8">
        <f t="shared" si="5"/>
        <v>42557.701064814813</v>
      </c>
    </row>
    <row r="146" spans="1:7" x14ac:dyDescent="0.25">
      <c r="A146" s="8">
        <v>42557.49324074074</v>
      </c>
      <c r="B146" s="33" t="s">
        <v>132</v>
      </c>
      <c r="C146" s="33" t="s">
        <v>481</v>
      </c>
      <c r="D146" s="33">
        <v>900000</v>
      </c>
      <c r="E146" s="33" t="s">
        <v>142</v>
      </c>
      <c r="F146" s="33" t="str">
        <f t="shared" si="4"/>
        <v>rtdc.l.rtdc.4013:itc</v>
      </c>
      <c r="G146" s="8">
        <f t="shared" si="5"/>
        <v>42557.49324074074</v>
      </c>
    </row>
    <row r="147" spans="1:7" x14ac:dyDescent="0.25">
      <c r="A147" s="8">
        <v>42557.330937500003</v>
      </c>
      <c r="B147" s="33" t="s">
        <v>170</v>
      </c>
      <c r="C147" s="33" t="s">
        <v>482</v>
      </c>
      <c r="D147" s="33">
        <v>1230000</v>
      </c>
      <c r="E147" s="33" t="s">
        <v>203</v>
      </c>
      <c r="F147" s="33" t="str">
        <f t="shared" si="4"/>
        <v>rtdc.l.rtdc.4040:itc</v>
      </c>
      <c r="G147" s="8">
        <f t="shared" si="5"/>
        <v>42557.330937500003</v>
      </c>
    </row>
    <row r="148" spans="1:7" x14ac:dyDescent="0.25">
      <c r="A148" s="8">
        <v>42557.555914351855</v>
      </c>
      <c r="B148" s="33" t="s">
        <v>77</v>
      </c>
      <c r="C148" s="33" t="s">
        <v>483</v>
      </c>
      <c r="D148" s="33">
        <v>1360000</v>
      </c>
      <c r="E148" s="33" t="s">
        <v>416</v>
      </c>
      <c r="F148" s="33" t="str">
        <f t="shared" si="4"/>
        <v>rtdc.l.rtdc.4017:itc</v>
      </c>
      <c r="G148" s="8">
        <f t="shared" si="5"/>
        <v>42557.555914351855</v>
      </c>
    </row>
    <row r="149" spans="1:7" x14ac:dyDescent="0.25">
      <c r="A149" s="8">
        <v>42557.310057870367</v>
      </c>
      <c r="B149" s="33" t="s">
        <v>131</v>
      </c>
      <c r="C149" s="33" t="s">
        <v>484</v>
      </c>
      <c r="D149" s="33">
        <v>1110000</v>
      </c>
      <c r="E149" s="33" t="s">
        <v>263</v>
      </c>
      <c r="F149" s="33" t="str">
        <f t="shared" si="4"/>
        <v>rtdc.l.rtdc.4014:itc</v>
      </c>
      <c r="G149" s="8">
        <f t="shared" si="5"/>
        <v>42557.310057870367</v>
      </c>
    </row>
    <row r="150" spans="1:7" x14ac:dyDescent="0.25">
      <c r="A150" s="8">
        <v>42557.321620370371</v>
      </c>
      <c r="B150" s="33" t="s">
        <v>139</v>
      </c>
      <c r="C150" s="33" t="s">
        <v>335</v>
      </c>
      <c r="D150" s="33">
        <v>1480000</v>
      </c>
      <c r="E150" s="33" t="s">
        <v>126</v>
      </c>
      <c r="F150" s="33" t="str">
        <f t="shared" si="4"/>
        <v>rtdc.l.rtdc.4027:itc</v>
      </c>
      <c r="G150" s="8">
        <f t="shared" si="5"/>
        <v>42557.321620370371</v>
      </c>
    </row>
    <row r="151" spans="1:7" x14ac:dyDescent="0.25">
      <c r="A151" s="8">
        <v>42557.25675925926</v>
      </c>
      <c r="B151" s="33" t="s">
        <v>118</v>
      </c>
      <c r="C151" s="33" t="s">
        <v>325</v>
      </c>
      <c r="D151" s="33">
        <v>1520000</v>
      </c>
      <c r="E151" s="33" t="s">
        <v>150</v>
      </c>
      <c r="F151" s="33" t="str">
        <f t="shared" si="4"/>
        <v>rtdc.l.rtdc.4038:itc</v>
      </c>
      <c r="G151" s="8">
        <f t="shared" si="5"/>
        <v>42557.25675925926</v>
      </c>
    </row>
    <row r="152" spans="1:7" x14ac:dyDescent="0.25">
      <c r="A152" s="8">
        <v>42557.350416666668</v>
      </c>
      <c r="B152" s="33" t="s">
        <v>132</v>
      </c>
      <c r="C152" s="33" t="s">
        <v>485</v>
      </c>
      <c r="D152" s="33">
        <v>1110000</v>
      </c>
      <c r="E152" s="33" t="s">
        <v>263</v>
      </c>
      <c r="F152" s="33" t="str">
        <f t="shared" si="4"/>
        <v>rtdc.l.rtdc.4013:itc</v>
      </c>
      <c r="G152" s="8">
        <f t="shared" si="5"/>
        <v>42557.350416666668</v>
      </c>
    </row>
    <row r="153" spans="1:7" x14ac:dyDescent="0.25">
      <c r="A153" s="8">
        <v>42557.235868055555</v>
      </c>
      <c r="B153" s="33" t="s">
        <v>139</v>
      </c>
      <c r="C153" s="33" t="s">
        <v>324</v>
      </c>
      <c r="D153" s="33">
        <v>1480000</v>
      </c>
      <c r="E153" s="33" t="s">
        <v>126</v>
      </c>
      <c r="F153" s="33" t="str">
        <f t="shared" si="4"/>
        <v>rtdc.l.rtdc.4027:itc</v>
      </c>
      <c r="G153" s="8">
        <f t="shared" si="5"/>
        <v>42557.235868055555</v>
      </c>
    </row>
    <row r="154" spans="1:7" x14ac:dyDescent="0.25">
      <c r="A154" s="8">
        <v>42557.352662037039</v>
      </c>
      <c r="B154" s="33" t="s">
        <v>139</v>
      </c>
      <c r="C154" s="33" t="s">
        <v>486</v>
      </c>
      <c r="D154" s="33">
        <v>1480000</v>
      </c>
      <c r="E154" s="33" t="s">
        <v>126</v>
      </c>
      <c r="F154" s="33" t="str">
        <f t="shared" si="4"/>
        <v>rtdc.l.rtdc.4027:itc</v>
      </c>
      <c r="G154" s="8">
        <f t="shared" si="5"/>
        <v>42557.352662037039</v>
      </c>
    </row>
    <row r="155" spans="1:7" x14ac:dyDescent="0.25">
      <c r="A155" s="8">
        <v>42557.357951388891</v>
      </c>
      <c r="B155" s="33" t="s">
        <v>159</v>
      </c>
      <c r="C155" s="33" t="s">
        <v>487</v>
      </c>
      <c r="D155" s="33">
        <v>1830000</v>
      </c>
      <c r="E155" s="33" t="s">
        <v>148</v>
      </c>
      <c r="F155" s="33" t="str">
        <f t="shared" si="4"/>
        <v>rtdc.l.rtdc.4044:itc</v>
      </c>
      <c r="G155" s="8">
        <f t="shared" si="5"/>
        <v>42557.357951388891</v>
      </c>
    </row>
    <row r="156" spans="1:7" x14ac:dyDescent="0.25">
      <c r="A156" s="8">
        <v>42557.67769675926</v>
      </c>
      <c r="B156" s="33" t="s">
        <v>118</v>
      </c>
      <c r="C156" s="33" t="s">
        <v>370</v>
      </c>
      <c r="D156" s="33">
        <v>1740000</v>
      </c>
      <c r="E156" s="33" t="s">
        <v>254</v>
      </c>
      <c r="F156" s="33" t="str">
        <f t="shared" si="4"/>
        <v>rtdc.l.rtdc.4038:itc</v>
      </c>
      <c r="G156" s="8">
        <f t="shared" si="5"/>
        <v>42557.67769675926</v>
      </c>
    </row>
    <row r="157" spans="1:7" x14ac:dyDescent="0.25">
      <c r="A157" s="8">
        <v>42557.31763888889</v>
      </c>
      <c r="B157" s="33" t="s">
        <v>163</v>
      </c>
      <c r="C157" s="33" t="s">
        <v>488</v>
      </c>
      <c r="D157" s="33">
        <v>1830000</v>
      </c>
      <c r="E157" s="33" t="s">
        <v>148</v>
      </c>
      <c r="F157" s="33" t="str">
        <f t="shared" si="4"/>
        <v>rtdc.l.rtdc.4043:itc</v>
      </c>
      <c r="G157" s="8">
        <f t="shared" si="5"/>
        <v>42557.31763888889</v>
      </c>
    </row>
    <row r="158" spans="1:7" x14ac:dyDescent="0.25">
      <c r="A158" s="8">
        <v>42557.768252314818</v>
      </c>
      <c r="B158" s="33" t="s">
        <v>170</v>
      </c>
      <c r="C158" s="33" t="s">
        <v>489</v>
      </c>
      <c r="D158" s="33">
        <v>1240000</v>
      </c>
      <c r="E158" s="33" t="s">
        <v>165</v>
      </c>
      <c r="F158" s="33" t="str">
        <f t="shared" si="4"/>
        <v>rtdc.l.rtdc.4040:itc</v>
      </c>
      <c r="G158" s="8">
        <f t="shared" si="5"/>
        <v>42557.768252314818</v>
      </c>
    </row>
    <row r="159" spans="1:7" x14ac:dyDescent="0.25">
      <c r="A159" s="8">
        <v>42557.300266203703</v>
      </c>
      <c r="B159" s="33" t="s">
        <v>76</v>
      </c>
      <c r="C159" s="33" t="s">
        <v>334</v>
      </c>
      <c r="D159" s="33">
        <v>900000</v>
      </c>
      <c r="E159" s="33" t="s">
        <v>142</v>
      </c>
      <c r="F159" s="33" t="str">
        <f t="shared" si="4"/>
        <v>rtdc.l.rtdc.4018:itc</v>
      </c>
      <c r="G159" s="8">
        <f t="shared" si="5"/>
        <v>42557.300266203703</v>
      </c>
    </row>
    <row r="160" spans="1:7" x14ac:dyDescent="0.25">
      <c r="A160" s="8">
        <v>42558.257916666669</v>
      </c>
      <c r="B160" s="33" t="s">
        <v>76</v>
      </c>
      <c r="C160" s="33" t="s">
        <v>490</v>
      </c>
      <c r="D160" s="33">
        <v>2030000</v>
      </c>
      <c r="E160" s="33" t="s">
        <v>255</v>
      </c>
      <c r="F160" s="33" t="str">
        <f t="shared" si="4"/>
        <v>rtdc.l.rtdc.4018:itc</v>
      </c>
      <c r="G160" s="8">
        <f t="shared" si="5"/>
        <v>42558.257916666669</v>
      </c>
    </row>
    <row r="161" spans="1:7" x14ac:dyDescent="0.25">
      <c r="A161" s="8">
        <v>42557.181527777779</v>
      </c>
      <c r="B161" s="33" t="s">
        <v>170</v>
      </c>
      <c r="C161" s="33" t="s">
        <v>491</v>
      </c>
      <c r="D161" s="33">
        <v>2010000</v>
      </c>
      <c r="E161" s="33" t="s">
        <v>423</v>
      </c>
      <c r="F161" s="33" t="str">
        <f t="shared" si="4"/>
        <v>rtdc.l.rtdc.4040:itc</v>
      </c>
      <c r="G161" s="8">
        <f t="shared" si="5"/>
        <v>42557.181527777779</v>
      </c>
    </row>
    <row r="162" spans="1:7" x14ac:dyDescent="0.25">
      <c r="A162" s="8">
        <v>42558.275960648149</v>
      </c>
      <c r="B162" s="33" t="s">
        <v>166</v>
      </c>
      <c r="C162" s="33" t="s">
        <v>492</v>
      </c>
      <c r="D162" s="33">
        <v>2040000</v>
      </c>
      <c r="E162" s="33" t="s">
        <v>411</v>
      </c>
      <c r="F162" s="33" t="str">
        <f t="shared" si="4"/>
        <v>rtdc.l.rtdc.4007:itc</v>
      </c>
      <c r="G162" s="8">
        <f t="shared" si="5"/>
        <v>42558.275960648149</v>
      </c>
    </row>
    <row r="163" spans="1:7" x14ac:dyDescent="0.25">
      <c r="A163" s="8">
        <v>42557.337523148148</v>
      </c>
      <c r="B163" s="33" t="s">
        <v>79</v>
      </c>
      <c r="C163" s="33" t="s">
        <v>339</v>
      </c>
      <c r="D163" s="33">
        <v>1810000</v>
      </c>
      <c r="E163" s="33" t="s">
        <v>204</v>
      </c>
      <c r="F163" s="33" t="str">
        <f t="shared" si="4"/>
        <v>rtdc.l.rtdc.4031:itc</v>
      </c>
      <c r="G163" s="8">
        <f t="shared" si="5"/>
        <v>42557.337523148148</v>
      </c>
    </row>
    <row r="164" spans="1:7" x14ac:dyDescent="0.25">
      <c r="A164" s="8">
        <v>42557.997303240743</v>
      </c>
      <c r="B164" s="33" t="s">
        <v>133</v>
      </c>
      <c r="C164" s="33" t="s">
        <v>493</v>
      </c>
      <c r="D164" s="33">
        <v>1820000</v>
      </c>
      <c r="E164" s="33" t="s">
        <v>110</v>
      </c>
      <c r="F164" s="33" t="str">
        <f t="shared" si="4"/>
        <v>rtdc.l.rtdc.4025:itc</v>
      </c>
      <c r="G164" s="8">
        <f t="shared" si="5"/>
        <v>42557.997303240743</v>
      </c>
    </row>
    <row r="165" spans="1:7" x14ac:dyDescent="0.25">
      <c r="A165" s="8">
        <v>42556.808171296296</v>
      </c>
      <c r="B165" s="33" t="s">
        <v>74</v>
      </c>
      <c r="C165" s="33" t="s">
        <v>264</v>
      </c>
      <c r="D165" s="33">
        <v>1240000</v>
      </c>
      <c r="E165" s="33" t="s">
        <v>165</v>
      </c>
      <c r="F165" s="33" t="str">
        <f t="shared" si="4"/>
        <v>rtdc.l.rtdc.4019:itc</v>
      </c>
      <c r="G165" s="8">
        <f t="shared" si="5"/>
        <v>42556.808171296296</v>
      </c>
    </row>
    <row r="166" spans="1:7" x14ac:dyDescent="0.25">
      <c r="A166" s="8">
        <v>42558.130416666667</v>
      </c>
      <c r="B166" s="33" t="s">
        <v>166</v>
      </c>
      <c r="C166" s="33" t="s">
        <v>455</v>
      </c>
      <c r="D166" s="33">
        <v>1840000</v>
      </c>
      <c r="E166" s="33" t="s">
        <v>119</v>
      </c>
      <c r="F166" s="33" t="str">
        <f t="shared" si="4"/>
        <v>rtdc.l.rtdc.4007:itc</v>
      </c>
      <c r="G166" s="8">
        <f t="shared" si="5"/>
        <v>42558.130416666667</v>
      </c>
    </row>
    <row r="167" spans="1:7" x14ac:dyDescent="0.25">
      <c r="A167" s="8">
        <v>42557.373310185183</v>
      </c>
      <c r="B167" s="33" t="s">
        <v>118</v>
      </c>
      <c r="C167" s="33" t="s">
        <v>342</v>
      </c>
      <c r="D167" s="33">
        <v>1520000</v>
      </c>
      <c r="E167" s="33" t="s">
        <v>150</v>
      </c>
      <c r="F167" s="33" t="str">
        <f t="shared" si="4"/>
        <v>rtdc.l.rtdc.4038:itc</v>
      </c>
      <c r="G167" s="8">
        <f t="shared" si="5"/>
        <v>42557.373310185183</v>
      </c>
    </row>
    <row r="168" spans="1:7" x14ac:dyDescent="0.25">
      <c r="A168" s="8">
        <v>42558.171157407407</v>
      </c>
      <c r="B168" s="33" t="s">
        <v>163</v>
      </c>
      <c r="C168" s="33" t="s">
        <v>494</v>
      </c>
      <c r="D168" s="33">
        <v>1840000</v>
      </c>
      <c r="E168" s="33" t="s">
        <v>119</v>
      </c>
      <c r="F168" s="33" t="str">
        <f t="shared" si="4"/>
        <v>rtdc.l.rtdc.4043:itc</v>
      </c>
      <c r="G168" s="8">
        <f t="shared" si="5"/>
        <v>42558.171157407407</v>
      </c>
    </row>
    <row r="169" spans="1:7" x14ac:dyDescent="0.25">
      <c r="A169" s="8">
        <v>42557.338425925926</v>
      </c>
      <c r="B169" s="33" t="s">
        <v>134</v>
      </c>
      <c r="C169" s="33" t="s">
        <v>495</v>
      </c>
      <c r="D169" s="33">
        <v>1480000</v>
      </c>
      <c r="E169" s="33" t="s">
        <v>126</v>
      </c>
      <c r="F169" s="33" t="str">
        <f t="shared" si="4"/>
        <v>rtdc.l.rtdc.4028:itc</v>
      </c>
      <c r="G169" s="8">
        <f t="shared" si="5"/>
        <v>42557.338425925926</v>
      </c>
    </row>
    <row r="170" spans="1:7" x14ac:dyDescent="0.25">
      <c r="A170" s="8">
        <v>42558.171319444446</v>
      </c>
      <c r="B170" s="33" t="s">
        <v>118</v>
      </c>
      <c r="C170" s="33" t="s">
        <v>496</v>
      </c>
      <c r="D170" s="33">
        <v>1830000</v>
      </c>
      <c r="E170" s="33" t="s">
        <v>148</v>
      </c>
      <c r="F170" s="33" t="str">
        <f t="shared" si="4"/>
        <v>rtdc.l.rtdc.4038:itc</v>
      </c>
      <c r="G170" s="8">
        <f t="shared" si="5"/>
        <v>42558.171319444446</v>
      </c>
    </row>
    <row r="171" spans="1:7" x14ac:dyDescent="0.25">
      <c r="A171" s="8">
        <v>42557.032719907409</v>
      </c>
      <c r="B171" s="33" t="s">
        <v>134</v>
      </c>
      <c r="C171" s="33" t="s">
        <v>243</v>
      </c>
      <c r="D171" s="33">
        <v>1180000</v>
      </c>
      <c r="E171" s="33" t="s">
        <v>247</v>
      </c>
      <c r="F171" s="33" t="str">
        <f t="shared" si="4"/>
        <v>rtdc.l.rtdc.4028:itc</v>
      </c>
      <c r="G171" s="8">
        <f t="shared" si="5"/>
        <v>42557.032719907409</v>
      </c>
    </row>
    <row r="172" spans="1:7" x14ac:dyDescent="0.25">
      <c r="A172" s="8">
        <v>42558.227905092594</v>
      </c>
      <c r="B172" s="33" t="s">
        <v>139</v>
      </c>
      <c r="C172" s="33" t="s">
        <v>497</v>
      </c>
      <c r="D172" s="33">
        <v>1110000</v>
      </c>
      <c r="E172" s="33" t="s">
        <v>263</v>
      </c>
      <c r="F172" s="33" t="str">
        <f t="shared" si="4"/>
        <v>rtdc.l.rtdc.4027:itc</v>
      </c>
      <c r="G172" s="8">
        <f t="shared" si="5"/>
        <v>42558.227905092594</v>
      </c>
    </row>
    <row r="173" spans="1:7" x14ac:dyDescent="0.25">
      <c r="A173" s="8">
        <v>42556.993020833332</v>
      </c>
      <c r="B173" s="33" t="s">
        <v>69</v>
      </c>
      <c r="C173" s="33" t="s">
        <v>268</v>
      </c>
      <c r="D173" s="33">
        <v>1820000</v>
      </c>
      <c r="E173" s="33" t="s">
        <v>110</v>
      </c>
      <c r="F173" s="33" t="str">
        <f t="shared" si="4"/>
        <v>rtdc.l.rtdc.4032:itc</v>
      </c>
      <c r="G173" s="8">
        <f t="shared" si="5"/>
        <v>42556.993020833332</v>
      </c>
    </row>
    <row r="174" spans="1:7" x14ac:dyDescent="0.25">
      <c r="A174" s="8">
        <v>42558.277928240743</v>
      </c>
      <c r="B174" s="33" t="s">
        <v>202</v>
      </c>
      <c r="C174" s="33" t="s">
        <v>498</v>
      </c>
      <c r="D174" s="33">
        <v>1460000</v>
      </c>
      <c r="E174" s="33" t="s">
        <v>120</v>
      </c>
      <c r="F174" s="33" t="str">
        <f t="shared" si="4"/>
        <v>rtdc.l.rtdc.4039:itc</v>
      </c>
      <c r="G174" s="8">
        <f t="shared" si="5"/>
        <v>42558.277928240743</v>
      </c>
    </row>
    <row r="175" spans="1:7" x14ac:dyDescent="0.25">
      <c r="A175" s="8">
        <v>42556.828425925924</v>
      </c>
      <c r="B175" s="33" t="s">
        <v>69</v>
      </c>
      <c r="C175" s="33" t="s">
        <v>237</v>
      </c>
      <c r="D175" s="33">
        <v>1820000</v>
      </c>
      <c r="E175" s="33" t="s">
        <v>110</v>
      </c>
      <c r="F175" s="33" t="str">
        <f t="shared" si="4"/>
        <v>rtdc.l.rtdc.4032:itc</v>
      </c>
      <c r="G175" s="8">
        <f t="shared" si="5"/>
        <v>42556.828425925924</v>
      </c>
    </row>
    <row r="176" spans="1:7" x14ac:dyDescent="0.25">
      <c r="A176" s="8">
        <v>42556.851365740738</v>
      </c>
      <c r="B176" s="33" t="s">
        <v>134</v>
      </c>
      <c r="C176" s="33" t="s">
        <v>239</v>
      </c>
      <c r="D176" s="33">
        <v>1180000</v>
      </c>
      <c r="E176" s="33" t="s">
        <v>247</v>
      </c>
      <c r="F176" s="33" t="str">
        <f t="shared" si="4"/>
        <v>rtdc.l.rtdc.4028:itc</v>
      </c>
      <c r="G176" s="8">
        <f t="shared" si="5"/>
        <v>42556.851365740738</v>
      </c>
    </row>
    <row r="177" spans="1:7" x14ac:dyDescent="0.25">
      <c r="A177" s="8">
        <v>42557.822013888886</v>
      </c>
      <c r="B177" s="33" t="s">
        <v>125</v>
      </c>
      <c r="C177" s="33" t="s">
        <v>499</v>
      </c>
      <c r="D177" s="33">
        <v>1280000</v>
      </c>
      <c r="E177" s="33" t="s">
        <v>136</v>
      </c>
      <c r="F177" s="33" t="str">
        <f t="shared" si="4"/>
        <v>rtdc.l.rtdc.4012:itc</v>
      </c>
      <c r="G177" s="8">
        <f t="shared" si="5"/>
        <v>42557.822013888886</v>
      </c>
    </row>
    <row r="178" spans="1:7" x14ac:dyDescent="0.25">
      <c r="A178" s="8">
        <v>42557.224004629628</v>
      </c>
      <c r="B178" s="33" t="s">
        <v>500</v>
      </c>
      <c r="C178" s="33" t="s">
        <v>261</v>
      </c>
      <c r="D178" s="33">
        <v>0</v>
      </c>
      <c r="E178" s="33" t="s">
        <v>262</v>
      </c>
      <c r="F178" s="33" t="str">
        <f t="shared" si="4"/>
        <v>rtdc.l.rtdc.4006:itc</v>
      </c>
      <c r="G178" s="8">
        <f t="shared" si="5"/>
        <v>42557.224004629628</v>
      </c>
    </row>
    <row r="179" spans="1:7" x14ac:dyDescent="0.25">
      <c r="A179" s="8">
        <v>42557.742766203701</v>
      </c>
      <c r="B179" s="33" t="s">
        <v>69</v>
      </c>
      <c r="C179" s="33" t="s">
        <v>501</v>
      </c>
      <c r="D179" s="33">
        <v>1290000</v>
      </c>
      <c r="E179" s="33" t="s">
        <v>206</v>
      </c>
      <c r="F179" s="33" t="str">
        <f t="shared" si="4"/>
        <v>rtdc.l.rtdc.4032:itc</v>
      </c>
      <c r="G179" s="8">
        <f t="shared" si="5"/>
        <v>42557.742766203701</v>
      </c>
    </row>
    <row r="180" spans="1:7" x14ac:dyDescent="0.25">
      <c r="A180" s="8">
        <v>42557.331631944442</v>
      </c>
      <c r="B180" s="33" t="s">
        <v>118</v>
      </c>
      <c r="C180" s="33" t="s">
        <v>337</v>
      </c>
      <c r="D180" s="33">
        <v>1520000</v>
      </c>
      <c r="E180" s="33" t="s">
        <v>150</v>
      </c>
      <c r="F180" s="33" t="str">
        <f t="shared" si="4"/>
        <v>rtdc.l.rtdc.4038:itc</v>
      </c>
      <c r="G180" s="8">
        <f t="shared" si="5"/>
        <v>42557.331631944442</v>
      </c>
    </row>
    <row r="181" spans="1:7" x14ac:dyDescent="0.25">
      <c r="A181" s="8">
        <v>42557.53633101852</v>
      </c>
      <c r="B181" s="33" t="s">
        <v>133</v>
      </c>
      <c r="C181" s="33" t="s">
        <v>357</v>
      </c>
      <c r="D181" s="33">
        <v>2000000</v>
      </c>
      <c r="E181" s="33" t="s">
        <v>258</v>
      </c>
      <c r="F181" s="33" t="str">
        <f t="shared" si="4"/>
        <v>rtdc.l.rtdc.4025:itc</v>
      </c>
      <c r="G181" s="8">
        <f t="shared" si="5"/>
        <v>42557.53633101852</v>
      </c>
    </row>
    <row r="182" spans="1:7" x14ac:dyDescent="0.25">
      <c r="A182" s="8">
        <v>42557.390347222223</v>
      </c>
      <c r="B182" s="33" t="s">
        <v>163</v>
      </c>
      <c r="C182" s="33" t="s">
        <v>502</v>
      </c>
      <c r="D182" s="33">
        <v>1830000</v>
      </c>
      <c r="E182" s="33" t="s">
        <v>148</v>
      </c>
      <c r="F182" s="33" t="str">
        <f t="shared" si="4"/>
        <v>rtdc.l.rtdc.4043:itc</v>
      </c>
      <c r="G182" s="8">
        <f t="shared" si="5"/>
        <v>42557.390347222223</v>
      </c>
    </row>
    <row r="183" spans="1:7" x14ac:dyDescent="0.25">
      <c r="A183" s="8">
        <v>42558.24790509259</v>
      </c>
      <c r="B183" s="33" t="s">
        <v>118</v>
      </c>
      <c r="C183" s="33" t="s">
        <v>503</v>
      </c>
      <c r="D183" s="33">
        <v>1830000</v>
      </c>
      <c r="E183" s="33" t="s">
        <v>148</v>
      </c>
      <c r="F183" s="33" t="str">
        <f t="shared" si="4"/>
        <v>rtdc.l.rtdc.4038:itc</v>
      </c>
      <c r="G183" s="8">
        <f t="shared" si="5"/>
        <v>42558.24790509259</v>
      </c>
    </row>
    <row r="184" spans="1:7" x14ac:dyDescent="0.25">
      <c r="A184" s="8">
        <v>42557.400509259256</v>
      </c>
      <c r="B184" s="33" t="s">
        <v>170</v>
      </c>
      <c r="C184" s="33" t="s">
        <v>504</v>
      </c>
      <c r="D184" s="33">
        <v>2010000</v>
      </c>
      <c r="E184" s="33" t="s">
        <v>423</v>
      </c>
      <c r="F184" s="33" t="str">
        <f t="shared" si="4"/>
        <v>rtdc.l.rtdc.4040:itc</v>
      </c>
      <c r="G184" s="8">
        <f t="shared" si="5"/>
        <v>42557.400509259256</v>
      </c>
    </row>
    <row r="185" spans="1:7" x14ac:dyDescent="0.25">
      <c r="A185" s="8">
        <v>42558.213460648149</v>
      </c>
      <c r="B185" s="33" t="s">
        <v>159</v>
      </c>
      <c r="C185" s="33" t="s">
        <v>505</v>
      </c>
      <c r="D185" s="33">
        <v>1840000</v>
      </c>
      <c r="E185" s="33" t="s">
        <v>119</v>
      </c>
      <c r="F185" s="33" t="str">
        <f t="shared" si="4"/>
        <v>rtdc.l.rtdc.4044:itc</v>
      </c>
      <c r="G185" s="8">
        <f t="shared" si="5"/>
        <v>42558.213460648149</v>
      </c>
    </row>
    <row r="186" spans="1:7" x14ac:dyDescent="0.25">
      <c r="A186" s="8">
        <v>42556.816562499997</v>
      </c>
      <c r="B186" s="33" t="s">
        <v>139</v>
      </c>
      <c r="C186" s="33" t="s">
        <v>274</v>
      </c>
      <c r="D186" s="33">
        <v>1180000</v>
      </c>
      <c r="E186" s="33" t="s">
        <v>247</v>
      </c>
      <c r="F186" s="33" t="str">
        <f t="shared" si="4"/>
        <v>rtdc.l.rtdc.4027:itc</v>
      </c>
      <c r="G186" s="8">
        <f t="shared" si="5"/>
        <v>42556.816562499997</v>
      </c>
    </row>
    <row r="187" spans="1:7" x14ac:dyDescent="0.25">
      <c r="A187" s="8">
        <v>42558.205914351849</v>
      </c>
      <c r="B187" s="33" t="s">
        <v>132</v>
      </c>
      <c r="C187" s="33" t="s">
        <v>506</v>
      </c>
      <c r="D187" s="33">
        <v>1830000</v>
      </c>
      <c r="E187" s="33" t="s">
        <v>148</v>
      </c>
      <c r="F187" s="33" t="str">
        <f t="shared" si="4"/>
        <v>rtdc.l.rtdc.4013:itc</v>
      </c>
      <c r="G187" s="8">
        <f t="shared" si="5"/>
        <v>42558.205914351849</v>
      </c>
    </row>
    <row r="188" spans="1:7" x14ac:dyDescent="0.25">
      <c r="A188" s="8">
        <v>42556.885613425926</v>
      </c>
      <c r="B188" s="33" t="s">
        <v>170</v>
      </c>
      <c r="C188" s="33" t="s">
        <v>275</v>
      </c>
      <c r="D188" s="33">
        <v>910000</v>
      </c>
      <c r="E188" s="33" t="s">
        <v>250</v>
      </c>
      <c r="F188" s="33" t="str">
        <f t="shared" si="4"/>
        <v>rtdc.l.rtdc.4040:itc</v>
      </c>
      <c r="G188" s="8">
        <f t="shared" si="5"/>
        <v>42556.885613425926</v>
      </c>
    </row>
    <row r="189" spans="1:7" x14ac:dyDescent="0.25">
      <c r="A189" s="8">
        <v>42558.194907407407</v>
      </c>
      <c r="B189" s="33" t="s">
        <v>134</v>
      </c>
      <c r="C189" s="33" t="s">
        <v>507</v>
      </c>
      <c r="D189" s="33">
        <v>1110000</v>
      </c>
      <c r="E189" s="33" t="s">
        <v>263</v>
      </c>
      <c r="F189" s="33" t="str">
        <f t="shared" si="4"/>
        <v>rtdc.l.rtdc.4028:itc</v>
      </c>
      <c r="G189" s="8">
        <f t="shared" si="5"/>
        <v>42558.194907407407</v>
      </c>
    </row>
    <row r="190" spans="1:7" x14ac:dyDescent="0.25">
      <c r="A190" s="8">
        <v>42557.186944444446</v>
      </c>
      <c r="B190" s="33" t="s">
        <v>79</v>
      </c>
      <c r="C190" s="33" t="s">
        <v>508</v>
      </c>
      <c r="D190" s="33">
        <v>1810000</v>
      </c>
      <c r="E190" s="33" t="s">
        <v>204</v>
      </c>
      <c r="F190" s="33" t="str">
        <f t="shared" si="4"/>
        <v>rtdc.l.rtdc.4031:itc</v>
      </c>
      <c r="G190" s="8">
        <f t="shared" si="5"/>
        <v>42557.186944444446</v>
      </c>
    </row>
    <row r="191" spans="1:7" x14ac:dyDescent="0.25">
      <c r="A191" s="8">
        <v>42557.757303240738</v>
      </c>
      <c r="B191" s="33" t="s">
        <v>133</v>
      </c>
      <c r="C191" s="33" t="s">
        <v>378</v>
      </c>
      <c r="D191" s="33">
        <v>1820000</v>
      </c>
      <c r="E191" s="33" t="s">
        <v>110</v>
      </c>
      <c r="F191" s="33" t="str">
        <f t="shared" si="4"/>
        <v>rtdc.l.rtdc.4025:itc</v>
      </c>
      <c r="G191" s="8">
        <f t="shared" si="5"/>
        <v>42557.757303240738</v>
      </c>
    </row>
    <row r="192" spans="1:7" x14ac:dyDescent="0.25">
      <c r="A192" s="8">
        <v>42557.213877314818</v>
      </c>
      <c r="B192" s="33" t="s">
        <v>77</v>
      </c>
      <c r="C192" s="33" t="s">
        <v>509</v>
      </c>
      <c r="D192" s="33">
        <v>2040000</v>
      </c>
      <c r="E192" s="33" t="s">
        <v>411</v>
      </c>
      <c r="F192" s="33" t="str">
        <f t="shared" si="4"/>
        <v>rtdc.l.rtdc.4017:itc</v>
      </c>
      <c r="G192" s="8">
        <f t="shared" si="5"/>
        <v>42557.213877314818</v>
      </c>
    </row>
    <row r="193" spans="1:7" x14ac:dyDescent="0.25">
      <c r="A193" s="8">
        <v>42557.565613425926</v>
      </c>
      <c r="B193" s="33" t="s">
        <v>132</v>
      </c>
      <c r="C193" s="33" t="s">
        <v>510</v>
      </c>
      <c r="D193" s="33">
        <v>1140000</v>
      </c>
      <c r="E193" s="33" t="s">
        <v>144</v>
      </c>
      <c r="F193" s="33" t="str">
        <f t="shared" si="4"/>
        <v>rtdc.l.rtdc.4013:itc</v>
      </c>
      <c r="G193" s="8">
        <f t="shared" si="5"/>
        <v>42557.565613425926</v>
      </c>
    </row>
    <row r="194" spans="1:7" x14ac:dyDescent="0.25">
      <c r="A194" s="8">
        <v>42557.22</v>
      </c>
      <c r="B194" s="33" t="s">
        <v>134</v>
      </c>
      <c r="C194" s="33" t="s">
        <v>511</v>
      </c>
      <c r="D194" s="33">
        <v>1480000</v>
      </c>
      <c r="E194" s="33" t="s">
        <v>126</v>
      </c>
      <c r="F194" s="33" t="str">
        <f t="shared" ref="F194:F235" si="6">B194</f>
        <v>rtdc.l.rtdc.4028:itc</v>
      </c>
      <c r="G194" s="8">
        <f t="shared" ref="G194:G235" si="7">A194</f>
        <v>42557.22</v>
      </c>
    </row>
    <row r="195" spans="1:7" x14ac:dyDescent="0.25">
      <c r="A195" s="8">
        <v>42557.513657407406</v>
      </c>
      <c r="B195" s="33" t="s">
        <v>202</v>
      </c>
      <c r="C195" s="33" t="s">
        <v>512</v>
      </c>
      <c r="D195" s="33">
        <v>2020000</v>
      </c>
      <c r="E195" s="33" t="s">
        <v>246</v>
      </c>
      <c r="F195" s="33" t="str">
        <f t="shared" si="6"/>
        <v>rtdc.l.rtdc.4039:itc</v>
      </c>
      <c r="G195" s="8">
        <f t="shared" si="7"/>
        <v>42557.513657407406</v>
      </c>
    </row>
    <row r="196" spans="1:7" x14ac:dyDescent="0.25">
      <c r="A196" s="8">
        <v>42557.266655092593</v>
      </c>
      <c r="B196" s="33" t="s">
        <v>125</v>
      </c>
      <c r="C196" s="33" t="s">
        <v>513</v>
      </c>
      <c r="D196" s="33">
        <v>900000</v>
      </c>
      <c r="E196" s="33" t="s">
        <v>142</v>
      </c>
      <c r="F196" s="33" t="str">
        <f t="shared" si="6"/>
        <v>rtdc.l.rtdc.4012:itc</v>
      </c>
      <c r="G196" s="8">
        <f t="shared" si="7"/>
        <v>42557.266655092593</v>
      </c>
    </row>
    <row r="197" spans="1:7" x14ac:dyDescent="0.25">
      <c r="A197" s="8">
        <v>42557.451643518521</v>
      </c>
      <c r="B197" s="33" t="s">
        <v>69</v>
      </c>
      <c r="C197" s="33" t="s">
        <v>346</v>
      </c>
      <c r="D197" s="33">
        <v>1810000</v>
      </c>
      <c r="E197" s="33" t="s">
        <v>204</v>
      </c>
      <c r="F197" s="33" t="str">
        <f t="shared" si="6"/>
        <v>rtdc.l.rtdc.4032:itc</v>
      </c>
      <c r="G197" s="8">
        <f t="shared" si="7"/>
        <v>42557.451643518521</v>
      </c>
    </row>
    <row r="198" spans="1:7" x14ac:dyDescent="0.25">
      <c r="A198" s="8">
        <v>42557.317199074074</v>
      </c>
      <c r="B198" s="33" t="s">
        <v>135</v>
      </c>
      <c r="C198" s="33" t="s">
        <v>514</v>
      </c>
      <c r="D198" s="33">
        <v>1520000</v>
      </c>
      <c r="E198" s="33" t="s">
        <v>150</v>
      </c>
      <c r="F198" s="33" t="str">
        <f t="shared" si="6"/>
        <v>rtdc.l.rtdc.4037:itc</v>
      </c>
      <c r="G198" s="8">
        <f t="shared" si="7"/>
        <v>42557.317199074074</v>
      </c>
    </row>
    <row r="199" spans="1:7" x14ac:dyDescent="0.25">
      <c r="A199" s="8">
        <v>42557.435127314813</v>
      </c>
      <c r="B199" s="33" t="s">
        <v>159</v>
      </c>
      <c r="C199" s="33" t="s">
        <v>345</v>
      </c>
      <c r="D199" s="33">
        <v>1340000</v>
      </c>
      <c r="E199" s="33" t="s">
        <v>151</v>
      </c>
      <c r="F199" s="33" t="str">
        <f t="shared" si="6"/>
        <v>rtdc.l.rtdc.4044:itc</v>
      </c>
      <c r="G199" s="8">
        <f t="shared" si="7"/>
        <v>42557.435127314813</v>
      </c>
    </row>
    <row r="200" spans="1:7" x14ac:dyDescent="0.25">
      <c r="A200" s="8">
        <v>42557.483564814815</v>
      </c>
      <c r="B200" s="33" t="s">
        <v>124</v>
      </c>
      <c r="C200" s="33" t="s">
        <v>515</v>
      </c>
      <c r="D200" s="33">
        <v>1200000</v>
      </c>
      <c r="E200" s="33" t="s">
        <v>516</v>
      </c>
      <c r="F200" s="33" t="str">
        <f t="shared" si="6"/>
        <v>rtdc.l.rtdc.4011:itc</v>
      </c>
      <c r="G200" s="8">
        <f t="shared" si="7"/>
        <v>42557.483564814815</v>
      </c>
    </row>
    <row r="201" spans="1:7" x14ac:dyDescent="0.25">
      <c r="A201" s="8">
        <v>42558.255937499998</v>
      </c>
      <c r="B201" s="33" t="s">
        <v>76</v>
      </c>
      <c r="C201" s="33" t="s">
        <v>490</v>
      </c>
      <c r="D201" s="33">
        <v>2030000</v>
      </c>
      <c r="E201" s="33" t="s">
        <v>255</v>
      </c>
      <c r="F201" s="33" t="str">
        <f t="shared" si="6"/>
        <v>rtdc.l.rtdc.4018:itc</v>
      </c>
      <c r="G201" s="8">
        <f t="shared" si="7"/>
        <v>42558.255937499998</v>
      </c>
    </row>
    <row r="202" spans="1:7" x14ac:dyDescent="0.25">
      <c r="A202" s="43">
        <v>42557.224594907406</v>
      </c>
      <c r="B202" s="33" t="s">
        <v>500</v>
      </c>
      <c r="C202" s="33" t="s">
        <v>261</v>
      </c>
      <c r="D202" s="33">
        <v>0</v>
      </c>
      <c r="E202" s="33" t="s">
        <v>262</v>
      </c>
      <c r="F202" s="33" t="str">
        <f t="shared" si="6"/>
        <v>rtdc.l.rtdc.4006:itc</v>
      </c>
      <c r="G202" s="8">
        <f t="shared" si="7"/>
        <v>42557.224594907406</v>
      </c>
    </row>
    <row r="203" spans="1:7" x14ac:dyDescent="0.25">
      <c r="A203" s="8">
        <v>42558.234710648147</v>
      </c>
      <c r="B203" s="33" t="s">
        <v>125</v>
      </c>
      <c r="C203" s="33" t="s">
        <v>517</v>
      </c>
      <c r="D203" s="33">
        <v>2010000</v>
      </c>
      <c r="E203" s="33" t="s">
        <v>423</v>
      </c>
      <c r="F203" s="33" t="str">
        <f t="shared" si="6"/>
        <v>rtdc.l.rtdc.4012:itc</v>
      </c>
      <c r="G203" s="8">
        <f t="shared" si="7"/>
        <v>42558.234710648147</v>
      </c>
    </row>
    <row r="204" spans="1:7" x14ac:dyDescent="0.25">
      <c r="A204" s="8">
        <v>42557.244884259257</v>
      </c>
      <c r="B204" s="33" t="s">
        <v>163</v>
      </c>
      <c r="C204" s="33" t="s">
        <v>328</v>
      </c>
      <c r="D204" s="33">
        <v>1830000</v>
      </c>
      <c r="E204" s="33" t="s">
        <v>148</v>
      </c>
      <c r="F204" s="33" t="str">
        <f t="shared" si="6"/>
        <v>rtdc.l.rtdc.4043:itc</v>
      </c>
      <c r="G204" s="8">
        <f t="shared" si="7"/>
        <v>42557.244884259257</v>
      </c>
    </row>
    <row r="205" spans="1:7" x14ac:dyDescent="0.25">
      <c r="A205" s="8">
        <v>42557.829340277778</v>
      </c>
      <c r="B205" s="33" t="s">
        <v>133</v>
      </c>
      <c r="C205" s="33" t="s">
        <v>385</v>
      </c>
      <c r="D205" s="33">
        <v>1820000</v>
      </c>
      <c r="E205" s="33" t="s">
        <v>110</v>
      </c>
      <c r="F205" s="33" t="str">
        <f t="shared" si="6"/>
        <v>rtdc.l.rtdc.4025:itc</v>
      </c>
      <c r="G205" s="8">
        <f t="shared" si="7"/>
        <v>42557.829340277778</v>
      </c>
    </row>
    <row r="206" spans="1:7" x14ac:dyDescent="0.25">
      <c r="A206" s="8">
        <v>42557.279340277775</v>
      </c>
      <c r="B206" s="33" t="s">
        <v>139</v>
      </c>
      <c r="C206" s="33" t="s">
        <v>518</v>
      </c>
      <c r="D206" s="33">
        <v>1480000</v>
      </c>
      <c r="E206" s="33" t="s">
        <v>126</v>
      </c>
      <c r="F206" s="33" t="str">
        <f t="shared" si="6"/>
        <v>rtdc.l.rtdc.4027:itc</v>
      </c>
      <c r="G206" s="8">
        <f t="shared" si="7"/>
        <v>42557.279340277775</v>
      </c>
    </row>
    <row r="207" spans="1:7" x14ac:dyDescent="0.25">
      <c r="A207" s="8">
        <v>42557.795219907406</v>
      </c>
      <c r="B207" s="33" t="s">
        <v>124</v>
      </c>
      <c r="C207" s="33" t="s">
        <v>400</v>
      </c>
      <c r="D207" s="33">
        <v>1280000</v>
      </c>
      <c r="E207" s="33" t="s">
        <v>136</v>
      </c>
      <c r="F207" s="33" t="str">
        <f t="shared" si="6"/>
        <v>rtdc.l.rtdc.4011:itc</v>
      </c>
      <c r="G207" s="8">
        <f t="shared" si="7"/>
        <v>42557.795219907406</v>
      </c>
    </row>
    <row r="208" spans="1:7" x14ac:dyDescent="0.25">
      <c r="A208" s="8">
        <v>42557.304872685185</v>
      </c>
      <c r="B208" s="33" t="s">
        <v>69</v>
      </c>
      <c r="C208" s="33" t="s">
        <v>519</v>
      </c>
      <c r="D208" s="33">
        <v>1810000</v>
      </c>
      <c r="E208" s="33" t="s">
        <v>204</v>
      </c>
      <c r="F208" s="33" t="str">
        <f t="shared" si="6"/>
        <v>rtdc.l.rtdc.4032:itc</v>
      </c>
      <c r="G208" s="8">
        <f t="shared" si="7"/>
        <v>42557.304872685185</v>
      </c>
    </row>
    <row r="209" spans="1:7" x14ac:dyDescent="0.25">
      <c r="A209" s="8">
        <v>42557.776597222219</v>
      </c>
      <c r="B209" s="33" t="s">
        <v>77</v>
      </c>
      <c r="C209" s="33" t="s">
        <v>466</v>
      </c>
      <c r="D209" s="33">
        <v>1990000</v>
      </c>
      <c r="E209" s="33" t="s">
        <v>443</v>
      </c>
      <c r="F209" s="33" t="str">
        <f t="shared" si="6"/>
        <v>rtdc.l.rtdc.4017:itc</v>
      </c>
      <c r="G209" s="8">
        <f t="shared" si="7"/>
        <v>42557.776597222219</v>
      </c>
    </row>
    <row r="210" spans="1:7" x14ac:dyDescent="0.25">
      <c r="A210" s="8">
        <v>42557.389745370368</v>
      </c>
      <c r="B210" s="33" t="s">
        <v>87</v>
      </c>
      <c r="C210" s="33" t="s">
        <v>520</v>
      </c>
      <c r="D210" s="33">
        <v>1340000</v>
      </c>
      <c r="E210" s="33" t="s">
        <v>151</v>
      </c>
      <c r="F210" s="33" t="str">
        <f t="shared" si="6"/>
        <v>rtdc.l.rtdc.4041:itc</v>
      </c>
      <c r="G210" s="8">
        <f t="shared" si="7"/>
        <v>42557.389745370368</v>
      </c>
    </row>
    <row r="211" spans="1:7" x14ac:dyDescent="0.25">
      <c r="A211" s="8">
        <v>42557.740532407406</v>
      </c>
      <c r="B211" s="33" t="s">
        <v>139</v>
      </c>
      <c r="C211" s="33" t="s">
        <v>375</v>
      </c>
      <c r="D211" s="33">
        <v>1760000</v>
      </c>
      <c r="E211" s="33" t="s">
        <v>167</v>
      </c>
      <c r="F211" s="33" t="str">
        <f t="shared" si="6"/>
        <v>rtdc.l.rtdc.4027:itc</v>
      </c>
      <c r="G211" s="8">
        <f t="shared" si="7"/>
        <v>42557.740532407406</v>
      </c>
    </row>
    <row r="212" spans="1:7" x14ac:dyDescent="0.25">
      <c r="A212" s="8">
        <v>42557.534594907411</v>
      </c>
      <c r="B212" s="33" t="s">
        <v>125</v>
      </c>
      <c r="C212" s="33" t="s">
        <v>521</v>
      </c>
      <c r="D212" s="33">
        <v>1090000</v>
      </c>
      <c r="E212" s="33" t="s">
        <v>143</v>
      </c>
      <c r="F212" s="33" t="str">
        <f t="shared" si="6"/>
        <v>rtdc.l.rtdc.4012:itc</v>
      </c>
      <c r="G212" s="8">
        <f t="shared" si="7"/>
        <v>42557.534594907411</v>
      </c>
    </row>
    <row r="213" spans="1:7" x14ac:dyDescent="0.25">
      <c r="A213" s="8">
        <v>42557.725706018522</v>
      </c>
      <c r="B213" s="33" t="s">
        <v>159</v>
      </c>
      <c r="C213" s="33" t="s">
        <v>376</v>
      </c>
      <c r="D213" s="33">
        <v>880000</v>
      </c>
      <c r="E213" s="33" t="s">
        <v>149</v>
      </c>
      <c r="F213" s="33" t="str">
        <f t="shared" si="6"/>
        <v>rtdc.l.rtdc.4044:itc</v>
      </c>
      <c r="G213" s="8">
        <f t="shared" si="7"/>
        <v>42557.725706018522</v>
      </c>
    </row>
    <row r="214" spans="1:7" x14ac:dyDescent="0.25">
      <c r="A214" s="8">
        <v>42557.552766203706</v>
      </c>
      <c r="B214" s="33" t="s">
        <v>118</v>
      </c>
      <c r="C214" s="33" t="s">
        <v>356</v>
      </c>
      <c r="D214" s="33">
        <v>1520000</v>
      </c>
      <c r="E214" s="33" t="s">
        <v>150</v>
      </c>
      <c r="F214" s="33" t="str">
        <f t="shared" si="6"/>
        <v>rtdc.l.rtdc.4038:itc</v>
      </c>
      <c r="G214" s="8">
        <f t="shared" si="7"/>
        <v>42557.552766203706</v>
      </c>
    </row>
    <row r="215" spans="1:7" x14ac:dyDescent="0.25">
      <c r="A215" s="8">
        <v>42557.692465277774</v>
      </c>
      <c r="B215" s="33" t="s">
        <v>135</v>
      </c>
      <c r="C215" s="33" t="s">
        <v>372</v>
      </c>
      <c r="D215" s="33">
        <v>1740000</v>
      </c>
      <c r="E215" s="33" t="s">
        <v>254</v>
      </c>
      <c r="F215" s="33" t="str">
        <f t="shared" si="6"/>
        <v>rtdc.l.rtdc.4037:itc</v>
      </c>
      <c r="G215" s="8">
        <f t="shared" si="7"/>
        <v>42557.692465277774</v>
      </c>
    </row>
    <row r="216" spans="1:7" x14ac:dyDescent="0.25">
      <c r="A216" s="8">
        <v>42556.931331018517</v>
      </c>
      <c r="B216" s="33" t="s">
        <v>135</v>
      </c>
      <c r="C216" s="33" t="s">
        <v>277</v>
      </c>
      <c r="D216" s="33">
        <v>1280000</v>
      </c>
      <c r="E216" s="33" t="s">
        <v>136</v>
      </c>
      <c r="F216" s="33" t="str">
        <f t="shared" si="6"/>
        <v>rtdc.l.rtdc.4037:itc</v>
      </c>
      <c r="G216" s="8">
        <f t="shared" si="7"/>
        <v>42556.931331018517</v>
      </c>
    </row>
    <row r="217" spans="1:7" x14ac:dyDescent="0.25">
      <c r="A217" s="8">
        <v>42557.674247685187</v>
      </c>
      <c r="B217" s="33" t="s">
        <v>134</v>
      </c>
      <c r="C217" s="33" t="s">
        <v>369</v>
      </c>
      <c r="D217" s="33">
        <v>1760000</v>
      </c>
      <c r="E217" s="33" t="s">
        <v>167</v>
      </c>
      <c r="F217" s="33" t="str">
        <f t="shared" si="6"/>
        <v>rtdc.l.rtdc.4028:itc</v>
      </c>
      <c r="G217" s="8">
        <f t="shared" si="7"/>
        <v>42557.674247685187</v>
      </c>
    </row>
    <row r="218" spans="1:7" x14ac:dyDescent="0.25">
      <c r="A218" s="8">
        <v>42556.976423611108</v>
      </c>
      <c r="B218" s="33" t="s">
        <v>118</v>
      </c>
      <c r="C218" s="33" t="s">
        <v>278</v>
      </c>
      <c r="D218" s="33">
        <v>1280000</v>
      </c>
      <c r="E218" s="33" t="s">
        <v>136</v>
      </c>
      <c r="F218" s="33" t="str">
        <f t="shared" si="6"/>
        <v>rtdc.l.rtdc.4038:itc</v>
      </c>
      <c r="G218" s="8">
        <f t="shared" si="7"/>
        <v>42556.976423611108</v>
      </c>
    </row>
    <row r="219" spans="1:7" x14ac:dyDescent="0.25">
      <c r="A219" s="8">
        <v>42557.63690972222</v>
      </c>
      <c r="B219" s="33" t="s">
        <v>118</v>
      </c>
      <c r="C219" s="33" t="s">
        <v>364</v>
      </c>
      <c r="D219" s="33">
        <v>1740000</v>
      </c>
      <c r="E219" s="33" t="s">
        <v>254</v>
      </c>
      <c r="F219" s="33" t="str">
        <f t="shared" si="6"/>
        <v>rtdc.l.rtdc.4038:itc</v>
      </c>
      <c r="G219" s="8">
        <f t="shared" si="7"/>
        <v>42557.63690972222</v>
      </c>
    </row>
    <row r="220" spans="1:7" x14ac:dyDescent="0.25">
      <c r="A220" s="8">
        <v>42557.131851851853</v>
      </c>
      <c r="B220" s="33" t="s">
        <v>260</v>
      </c>
      <c r="C220" s="33" t="s">
        <v>261</v>
      </c>
      <c r="D220" s="33">
        <v>0</v>
      </c>
      <c r="E220" s="33" t="s">
        <v>262</v>
      </c>
      <c r="F220" s="33" t="str">
        <f t="shared" si="6"/>
        <v>rtdc.l.rtdc.4005:itc</v>
      </c>
      <c r="G220" s="8">
        <f t="shared" si="7"/>
        <v>42557.131851851853</v>
      </c>
    </row>
    <row r="221" spans="1:7" x14ac:dyDescent="0.25">
      <c r="A221" s="8">
        <v>42557.598773148151</v>
      </c>
      <c r="B221" s="33" t="s">
        <v>69</v>
      </c>
      <c r="C221" s="33" t="s">
        <v>522</v>
      </c>
      <c r="D221" s="33">
        <v>1290000</v>
      </c>
      <c r="E221" s="33" t="s">
        <v>206</v>
      </c>
      <c r="F221" s="33" t="str">
        <f t="shared" si="6"/>
        <v>rtdc.l.rtdc.4032:itc</v>
      </c>
      <c r="G221" s="8">
        <f t="shared" si="7"/>
        <v>42557.598773148151</v>
      </c>
    </row>
    <row r="222" spans="1:7" x14ac:dyDescent="0.25">
      <c r="A222" s="8">
        <v>42557.276886574073</v>
      </c>
      <c r="B222" s="33" t="s">
        <v>135</v>
      </c>
      <c r="C222" s="33" t="s">
        <v>523</v>
      </c>
      <c r="D222" s="33">
        <v>1520000</v>
      </c>
      <c r="E222" s="33" t="s">
        <v>150</v>
      </c>
      <c r="F222" s="33" t="str">
        <f t="shared" si="6"/>
        <v>rtdc.l.rtdc.4037:itc</v>
      </c>
      <c r="G222" s="8">
        <f t="shared" si="7"/>
        <v>42557.276886574073</v>
      </c>
    </row>
    <row r="223" spans="1:7" x14ac:dyDescent="0.25">
      <c r="A223" s="8">
        <v>42557.474699074075</v>
      </c>
      <c r="B223" s="33" t="s">
        <v>170</v>
      </c>
      <c r="C223" s="33" t="s">
        <v>524</v>
      </c>
      <c r="D223" s="33">
        <v>940000</v>
      </c>
      <c r="E223" s="33" t="s">
        <v>168</v>
      </c>
      <c r="F223" s="33" t="str">
        <f t="shared" si="6"/>
        <v>rtdc.l.rtdc.4040:itc</v>
      </c>
      <c r="G223" s="8">
        <f t="shared" si="7"/>
        <v>42557.474699074075</v>
      </c>
    </row>
    <row r="224" spans="1:7" x14ac:dyDescent="0.25">
      <c r="A224" s="8">
        <v>42557.317974537036</v>
      </c>
      <c r="B224" t="s">
        <v>133</v>
      </c>
      <c r="C224" t="s">
        <v>525</v>
      </c>
      <c r="D224">
        <v>2040000</v>
      </c>
      <c r="E224" t="s">
        <v>411</v>
      </c>
      <c r="F224" s="33" t="str">
        <f t="shared" si="6"/>
        <v>rtdc.l.rtdc.4025:itc</v>
      </c>
      <c r="G224" s="8">
        <f t="shared" si="7"/>
        <v>42557.317974537036</v>
      </c>
    </row>
    <row r="225" spans="1:7" x14ac:dyDescent="0.25">
      <c r="A225" s="8">
        <v>42558.188043981485</v>
      </c>
      <c r="B225" t="s">
        <v>76</v>
      </c>
      <c r="C225" t="s">
        <v>526</v>
      </c>
      <c r="D225">
        <v>2030000</v>
      </c>
      <c r="E225" t="s">
        <v>255</v>
      </c>
      <c r="F225" s="33" t="str">
        <f t="shared" si="6"/>
        <v>rtdc.l.rtdc.4018:itc</v>
      </c>
      <c r="G225" s="8">
        <f t="shared" si="7"/>
        <v>42558.188043981485</v>
      </c>
    </row>
    <row r="226" spans="1:7" x14ac:dyDescent="0.25">
      <c r="A226" s="8">
        <v>42557.585798611108</v>
      </c>
      <c r="B226" t="s">
        <v>202</v>
      </c>
      <c r="C226" t="s">
        <v>527</v>
      </c>
      <c r="D226">
        <v>2020000</v>
      </c>
      <c r="E226" t="s">
        <v>246</v>
      </c>
      <c r="F226" s="33" t="str">
        <f t="shared" si="6"/>
        <v>rtdc.l.rtdc.4039:itc</v>
      </c>
      <c r="G226" s="8">
        <f t="shared" si="7"/>
        <v>42557.585798611108</v>
      </c>
    </row>
    <row r="227" spans="1:7" x14ac:dyDescent="0.25">
      <c r="A227" s="8">
        <v>42557.97415509259</v>
      </c>
      <c r="B227" t="s">
        <v>202</v>
      </c>
      <c r="C227" t="s">
        <v>528</v>
      </c>
      <c r="D227">
        <v>1240000</v>
      </c>
      <c r="E227" t="s">
        <v>165</v>
      </c>
      <c r="F227" s="33" t="str">
        <f t="shared" si="6"/>
        <v>rtdc.l.rtdc.4039:itc</v>
      </c>
      <c r="G227" s="8">
        <f t="shared" si="7"/>
        <v>42557.97415509259</v>
      </c>
    </row>
    <row r="228" spans="1:7" x14ac:dyDescent="0.25">
      <c r="A228" s="8">
        <v>42556.870462962965</v>
      </c>
      <c r="B228" t="s">
        <v>125</v>
      </c>
      <c r="C228" t="s">
        <v>241</v>
      </c>
      <c r="D228">
        <v>1760000</v>
      </c>
      <c r="E228" t="s">
        <v>167</v>
      </c>
      <c r="F228" s="33" t="str">
        <f t="shared" si="6"/>
        <v>rtdc.l.rtdc.4012:itc</v>
      </c>
      <c r="G228" s="8">
        <f t="shared" si="7"/>
        <v>42556.870462962965</v>
      </c>
    </row>
    <row r="229" spans="1:7" x14ac:dyDescent="0.25">
      <c r="A229" s="8">
        <v>42557.847743055558</v>
      </c>
      <c r="B229" t="s">
        <v>69</v>
      </c>
      <c r="C229" t="s">
        <v>388</v>
      </c>
      <c r="D229">
        <v>1540000</v>
      </c>
      <c r="E229" t="s">
        <v>161</v>
      </c>
      <c r="F229" s="33" t="str">
        <f t="shared" si="6"/>
        <v>rtdc.l.rtdc.4032:itc</v>
      </c>
      <c r="G229" s="8">
        <f t="shared" si="7"/>
        <v>42557.847743055558</v>
      </c>
    </row>
    <row r="230" spans="1:7" x14ac:dyDescent="0.25">
      <c r="A230" s="8">
        <v>42556.910810185182</v>
      </c>
      <c r="B230" t="s">
        <v>139</v>
      </c>
      <c r="C230" t="s">
        <v>279</v>
      </c>
      <c r="D230">
        <v>1180000</v>
      </c>
      <c r="E230" t="s">
        <v>247</v>
      </c>
      <c r="F230" s="33" t="str">
        <f t="shared" si="6"/>
        <v>rtdc.l.rtdc.4027:itc</v>
      </c>
      <c r="G230" s="8">
        <f t="shared" si="7"/>
        <v>42556.910810185182</v>
      </c>
    </row>
    <row r="231" spans="1:7" x14ac:dyDescent="0.25">
      <c r="A231" s="8">
        <v>42557.715011574073</v>
      </c>
      <c r="B231" t="s">
        <v>124</v>
      </c>
      <c r="C231" t="s">
        <v>529</v>
      </c>
      <c r="D231">
        <v>1280000</v>
      </c>
      <c r="E231" t="s">
        <v>136</v>
      </c>
      <c r="F231" s="33" t="str">
        <f t="shared" si="6"/>
        <v>rtdc.l.rtdc.4011:itc</v>
      </c>
      <c r="G231" s="8">
        <f t="shared" si="7"/>
        <v>42557.715011574073</v>
      </c>
    </row>
    <row r="232" spans="1:7" x14ac:dyDescent="0.25">
      <c r="A232" s="8">
        <v>42556.942164351851</v>
      </c>
      <c r="B232" t="s">
        <v>202</v>
      </c>
      <c r="C232" t="s">
        <v>280</v>
      </c>
      <c r="D232">
        <v>910000</v>
      </c>
      <c r="E232" t="s">
        <v>250</v>
      </c>
      <c r="F232" s="33" t="str">
        <f t="shared" si="6"/>
        <v>rtdc.l.rtdc.4039:itc</v>
      </c>
      <c r="G232" s="8">
        <f t="shared" si="7"/>
        <v>42556.942164351851</v>
      </c>
    </row>
    <row r="233" spans="1:7" x14ac:dyDescent="0.25">
      <c r="A233" s="8">
        <v>42557.691863425927</v>
      </c>
      <c r="B233" t="s">
        <v>170</v>
      </c>
      <c r="C233" t="s">
        <v>530</v>
      </c>
      <c r="D233">
        <v>2020000</v>
      </c>
      <c r="E233" t="s">
        <v>246</v>
      </c>
      <c r="F233" s="33" t="str">
        <f t="shared" si="6"/>
        <v>rtdc.l.rtdc.4040:itc</v>
      </c>
      <c r="G233" s="8">
        <f t="shared" si="7"/>
        <v>42557.691863425927</v>
      </c>
    </row>
    <row r="234" spans="1:7" x14ac:dyDescent="0.25">
      <c r="A234" s="8">
        <v>42557.291238425925</v>
      </c>
      <c r="B234" t="s">
        <v>118</v>
      </c>
      <c r="C234" t="s">
        <v>332</v>
      </c>
      <c r="D234">
        <v>1520000</v>
      </c>
      <c r="E234" t="s">
        <v>150</v>
      </c>
      <c r="F234" s="33" t="str">
        <f t="shared" si="6"/>
        <v>rtdc.l.rtdc.4038:itc</v>
      </c>
      <c r="G234" s="8">
        <f t="shared" si="7"/>
        <v>42557.291238425925</v>
      </c>
    </row>
    <row r="235" spans="1:7" x14ac:dyDescent="0.25">
      <c r="A235" s="8">
        <v>42557.605312500003</v>
      </c>
      <c r="B235" t="s">
        <v>125</v>
      </c>
      <c r="C235" t="s">
        <v>531</v>
      </c>
      <c r="D235">
        <v>1090000</v>
      </c>
      <c r="E235" t="s">
        <v>143</v>
      </c>
      <c r="F235" s="33" t="str">
        <f t="shared" si="6"/>
        <v>rtdc.l.rtdc.4012:itc</v>
      </c>
      <c r="G235" s="8">
        <f t="shared" si="7"/>
        <v>42557.605312500003</v>
      </c>
    </row>
    <row r="236" spans="1:7" x14ac:dyDescent="0.25">
      <c r="A236" s="8">
        <v>42557.29414351852</v>
      </c>
      <c r="B236" t="s">
        <v>202</v>
      </c>
      <c r="C236" t="s">
        <v>333</v>
      </c>
      <c r="D236">
        <v>2010000</v>
      </c>
      <c r="E236" t="s">
        <v>423</v>
      </c>
      <c r="F236" s="33" t="str">
        <f t="shared" ref="F236:F265" si="8">B236</f>
        <v>rtdc.l.rtdc.4039:itc</v>
      </c>
      <c r="G236" s="8">
        <f t="shared" ref="G236:G265" si="9">A236</f>
        <v>42557.29414351852</v>
      </c>
    </row>
    <row r="237" spans="1:7" x14ac:dyDescent="0.25">
      <c r="A237" s="8">
        <v>42558.277696759258</v>
      </c>
      <c r="B237" t="s">
        <v>134</v>
      </c>
      <c r="C237" t="s">
        <v>532</v>
      </c>
      <c r="D237">
        <v>1110000</v>
      </c>
      <c r="E237" t="s">
        <v>263</v>
      </c>
      <c r="F237" s="33" t="str">
        <f t="shared" si="8"/>
        <v>rtdc.l.rtdc.4028:itc</v>
      </c>
      <c r="G237" s="8">
        <f t="shared" si="9"/>
        <v>42558.277696759258</v>
      </c>
    </row>
    <row r="238" spans="1:7" x14ac:dyDescent="0.25">
      <c r="A238" s="8">
        <v>42557.36824074074</v>
      </c>
      <c r="B238" t="s">
        <v>76</v>
      </c>
      <c r="C238" t="s">
        <v>476</v>
      </c>
      <c r="D238">
        <v>900000</v>
      </c>
      <c r="E238" t="s">
        <v>142</v>
      </c>
      <c r="F238" s="33" t="str">
        <f t="shared" si="8"/>
        <v>rtdc.l.rtdc.4018:itc</v>
      </c>
      <c r="G238" s="8">
        <f t="shared" si="9"/>
        <v>42557.36824074074</v>
      </c>
    </row>
    <row r="239" spans="1:7" x14ac:dyDescent="0.25">
      <c r="A239" s="8">
        <v>42557.889421296299</v>
      </c>
      <c r="B239" t="s">
        <v>202</v>
      </c>
      <c r="C239" t="s">
        <v>533</v>
      </c>
      <c r="D239">
        <v>1240000</v>
      </c>
      <c r="E239" t="s">
        <v>165</v>
      </c>
      <c r="F239" s="33" t="str">
        <f t="shared" si="8"/>
        <v>rtdc.l.rtdc.4039:itc</v>
      </c>
      <c r="G239" s="8">
        <f t="shared" si="9"/>
        <v>42557.889421296299</v>
      </c>
    </row>
    <row r="240" spans="1:7" x14ac:dyDescent="0.25">
      <c r="A240" s="8">
        <v>42557.37809027778</v>
      </c>
      <c r="B240" t="s">
        <v>69</v>
      </c>
      <c r="C240" t="s">
        <v>534</v>
      </c>
      <c r="D240">
        <v>1810000</v>
      </c>
      <c r="E240" t="s">
        <v>204</v>
      </c>
      <c r="F240" s="33" t="str">
        <f t="shared" si="8"/>
        <v>rtdc.l.rtdc.4032:itc</v>
      </c>
      <c r="G240" s="8">
        <f t="shared" si="9"/>
        <v>42557.37809027778</v>
      </c>
    </row>
    <row r="241" spans="1:7" x14ac:dyDescent="0.25">
      <c r="A241" s="8">
        <v>42557.525393518517</v>
      </c>
      <c r="B241" t="s">
        <v>135</v>
      </c>
      <c r="C241" t="s">
        <v>535</v>
      </c>
      <c r="D241">
        <v>1520000</v>
      </c>
      <c r="E241" t="s">
        <v>150</v>
      </c>
      <c r="F241" s="33" t="str">
        <f t="shared" si="8"/>
        <v>rtdc.l.rtdc.4037:itc</v>
      </c>
      <c r="G241" s="8">
        <f t="shared" si="9"/>
        <v>42557.525393518517</v>
      </c>
    </row>
    <row r="242" spans="1:7" x14ac:dyDescent="0.25">
      <c r="A242" s="8">
        <v>42557.411458333336</v>
      </c>
      <c r="B242" t="s">
        <v>79</v>
      </c>
      <c r="C242" t="s">
        <v>343</v>
      </c>
      <c r="D242">
        <v>1810000</v>
      </c>
      <c r="E242" t="s">
        <v>204</v>
      </c>
      <c r="F242" s="33" t="str">
        <f t="shared" si="8"/>
        <v>rtdc.l.rtdc.4031:itc</v>
      </c>
      <c r="G242" s="8">
        <f t="shared" si="9"/>
        <v>42557.411458333336</v>
      </c>
    </row>
    <row r="243" spans="1:7" x14ac:dyDescent="0.25">
      <c r="A243" s="8">
        <v>42558.257106481484</v>
      </c>
      <c r="B243" t="s">
        <v>130</v>
      </c>
      <c r="C243" t="s">
        <v>536</v>
      </c>
      <c r="D243">
        <v>1340000</v>
      </c>
      <c r="E243" t="s">
        <v>151</v>
      </c>
      <c r="F243" s="33" t="str">
        <f t="shared" si="8"/>
        <v>rtdc.l.rtdc.4026:itc</v>
      </c>
      <c r="G243" s="8">
        <f t="shared" si="9"/>
        <v>42558.257106481484</v>
      </c>
    </row>
    <row r="244" spans="1:7" x14ac:dyDescent="0.25">
      <c r="A244" s="8">
        <v>42557.458495370367</v>
      </c>
      <c r="B244" t="s">
        <v>131</v>
      </c>
      <c r="C244" t="s">
        <v>537</v>
      </c>
      <c r="D244">
        <v>900000</v>
      </c>
      <c r="E244" t="s">
        <v>142</v>
      </c>
      <c r="F244" s="33" t="str">
        <f t="shared" si="8"/>
        <v>rtdc.l.rtdc.4014:itc</v>
      </c>
      <c r="G244" s="8">
        <f t="shared" si="9"/>
        <v>42557.458495370367</v>
      </c>
    </row>
    <row r="245" spans="1:7" x14ac:dyDescent="0.25">
      <c r="A245" s="8">
        <v>42558.196435185186</v>
      </c>
      <c r="B245" t="s">
        <v>124</v>
      </c>
      <c r="C245" t="s">
        <v>538</v>
      </c>
      <c r="D245">
        <v>2010000</v>
      </c>
      <c r="E245" t="s">
        <v>423</v>
      </c>
      <c r="F245" s="33" t="str">
        <f t="shared" si="8"/>
        <v>rtdc.l.rtdc.4011:itc</v>
      </c>
      <c r="G245" s="8">
        <f t="shared" si="9"/>
        <v>42558.196435185186</v>
      </c>
    </row>
    <row r="246" spans="1:7" x14ac:dyDescent="0.25">
      <c r="A246" s="8">
        <v>42557.475555555553</v>
      </c>
      <c r="B246" t="s">
        <v>77</v>
      </c>
      <c r="C246" t="s">
        <v>539</v>
      </c>
      <c r="D246">
        <v>1360000</v>
      </c>
      <c r="E246" t="s">
        <v>416</v>
      </c>
      <c r="F246" s="33" t="str">
        <f t="shared" si="8"/>
        <v>rtdc.l.rtdc.4017:itc</v>
      </c>
      <c r="G246" s="8">
        <f t="shared" si="9"/>
        <v>42557.475555555553</v>
      </c>
    </row>
    <row r="247" spans="1:7" x14ac:dyDescent="0.25">
      <c r="A247" s="8">
        <v>42558.183541666665</v>
      </c>
      <c r="B247" t="s">
        <v>163</v>
      </c>
      <c r="C247" t="s">
        <v>494</v>
      </c>
      <c r="D247">
        <v>1840000</v>
      </c>
      <c r="E247" t="s">
        <v>119</v>
      </c>
      <c r="F247" s="33" t="str">
        <f t="shared" si="8"/>
        <v>rtdc.l.rtdc.4043:itc</v>
      </c>
      <c r="G247" s="8">
        <f t="shared" si="9"/>
        <v>42558.183541666665</v>
      </c>
    </row>
    <row r="248" spans="1:7" x14ac:dyDescent="0.25">
      <c r="A248" s="8">
        <v>42557.47550925926</v>
      </c>
      <c r="B248" t="s">
        <v>170</v>
      </c>
      <c r="C248" t="s">
        <v>540</v>
      </c>
      <c r="D248">
        <v>2020000</v>
      </c>
      <c r="E248" t="s">
        <v>246</v>
      </c>
      <c r="F248" s="33" t="str">
        <f t="shared" si="8"/>
        <v>rtdc.l.rtdc.4040:itc</v>
      </c>
      <c r="G248" s="8">
        <f t="shared" si="9"/>
        <v>42557.47550925926</v>
      </c>
    </row>
    <row r="249" spans="1:7" x14ac:dyDescent="0.25">
      <c r="A249" s="8">
        <v>42557.849606481483</v>
      </c>
      <c r="B249" t="s">
        <v>170</v>
      </c>
      <c r="C249" t="s">
        <v>389</v>
      </c>
      <c r="D249">
        <v>1240000</v>
      </c>
      <c r="E249" t="s">
        <v>165</v>
      </c>
      <c r="F249" s="33" t="str">
        <f t="shared" si="8"/>
        <v>rtdc.l.rtdc.4040:itc</v>
      </c>
      <c r="G249" s="8">
        <f t="shared" si="9"/>
        <v>42557.849606481483</v>
      </c>
    </row>
    <row r="250" spans="1:7" x14ac:dyDescent="0.25">
      <c r="A250" s="8">
        <v>42557.484907407408</v>
      </c>
      <c r="B250" t="s">
        <v>135</v>
      </c>
      <c r="C250" t="s">
        <v>350</v>
      </c>
      <c r="D250">
        <v>1520000</v>
      </c>
      <c r="E250" t="s">
        <v>150</v>
      </c>
      <c r="F250" s="33" t="str">
        <f t="shared" si="8"/>
        <v>rtdc.l.rtdc.4037:itc</v>
      </c>
      <c r="G250" s="8">
        <f t="shared" si="9"/>
        <v>42557.484907407408</v>
      </c>
    </row>
    <row r="251" spans="1:7" x14ac:dyDescent="0.25">
      <c r="A251" s="8">
        <v>42557.544999999998</v>
      </c>
      <c r="B251" t="s">
        <v>163</v>
      </c>
      <c r="C251" t="s">
        <v>541</v>
      </c>
      <c r="D251">
        <v>880000</v>
      </c>
      <c r="E251" t="s">
        <v>149</v>
      </c>
      <c r="F251" s="33" t="str">
        <f t="shared" si="8"/>
        <v>rtdc.l.rtdc.4043:itc</v>
      </c>
      <c r="G251" s="8">
        <f t="shared" si="9"/>
        <v>42557.544999999998</v>
      </c>
    </row>
    <row r="252" spans="1:7" x14ac:dyDescent="0.25">
      <c r="A252" s="8">
        <v>42556.930219907408</v>
      </c>
      <c r="B252" t="s">
        <v>135</v>
      </c>
      <c r="C252" t="s">
        <v>277</v>
      </c>
      <c r="D252">
        <v>1280000</v>
      </c>
      <c r="E252" t="s">
        <v>136</v>
      </c>
      <c r="F252" s="33" t="str">
        <f t="shared" si="8"/>
        <v>rtdc.l.rtdc.4037:itc</v>
      </c>
      <c r="G252" s="8">
        <f t="shared" si="9"/>
        <v>42556.930219907408</v>
      </c>
    </row>
    <row r="253" spans="1:7" x14ac:dyDescent="0.25">
      <c r="A253" s="8">
        <v>42557.440949074073</v>
      </c>
      <c r="B253" t="s">
        <v>202</v>
      </c>
      <c r="C253" t="s">
        <v>542</v>
      </c>
      <c r="D253">
        <v>2010000</v>
      </c>
      <c r="E253" t="s">
        <v>423</v>
      </c>
      <c r="F253" s="33" t="str">
        <f t="shared" si="8"/>
        <v>rtdc.l.rtdc.4039:itc</v>
      </c>
      <c r="G253" s="8">
        <f t="shared" si="9"/>
        <v>42557.440949074073</v>
      </c>
    </row>
    <row r="254" spans="1:7" x14ac:dyDescent="0.25">
      <c r="A254" s="8">
        <v>42557.165821759256</v>
      </c>
      <c r="B254" t="s">
        <v>500</v>
      </c>
      <c r="C254" t="s">
        <v>261</v>
      </c>
      <c r="D254">
        <v>0</v>
      </c>
      <c r="E254" t="s">
        <v>262</v>
      </c>
      <c r="F254" s="33" t="str">
        <f t="shared" si="8"/>
        <v>rtdc.l.rtdc.4006:itc</v>
      </c>
      <c r="G254" s="8">
        <f t="shared" si="9"/>
        <v>42557.165821759256</v>
      </c>
    </row>
    <row r="255" spans="1:7" x14ac:dyDescent="0.25">
      <c r="A255" s="8">
        <v>42558.256608796299</v>
      </c>
      <c r="B255" t="s">
        <v>170</v>
      </c>
      <c r="C255" t="s">
        <v>543</v>
      </c>
      <c r="D255">
        <v>1460000</v>
      </c>
      <c r="E255" t="s">
        <v>120</v>
      </c>
      <c r="F255" s="33" t="str">
        <f t="shared" si="8"/>
        <v>rtdc.l.rtdc.4040:itc</v>
      </c>
      <c r="G255" s="8">
        <f t="shared" si="9"/>
        <v>42558.256608796299</v>
      </c>
    </row>
    <row r="256" spans="1:7" x14ac:dyDescent="0.25">
      <c r="A256" s="8">
        <v>42557.500925925924</v>
      </c>
      <c r="B256" t="s">
        <v>118</v>
      </c>
      <c r="C256" t="s">
        <v>351</v>
      </c>
      <c r="D256">
        <v>1520000</v>
      </c>
      <c r="E256" t="s">
        <v>150</v>
      </c>
      <c r="F256" s="33" t="str">
        <f t="shared" si="8"/>
        <v>rtdc.l.rtdc.4038:itc</v>
      </c>
      <c r="G256" s="8">
        <f t="shared" si="9"/>
        <v>42557.500925925924</v>
      </c>
    </row>
    <row r="257" spans="1:7" x14ac:dyDescent="0.25">
      <c r="A257" s="8">
        <v>42557.887187499997</v>
      </c>
      <c r="B257" t="s">
        <v>79</v>
      </c>
      <c r="C257" t="s">
        <v>391</v>
      </c>
      <c r="D257">
        <v>1990000</v>
      </c>
      <c r="E257" t="s">
        <v>443</v>
      </c>
      <c r="F257" s="33" t="str">
        <f t="shared" si="8"/>
        <v>rtdc.l.rtdc.4031:itc</v>
      </c>
      <c r="G257" s="8">
        <f t="shared" si="9"/>
        <v>42557.887187499997</v>
      </c>
    </row>
    <row r="258" spans="1:7" x14ac:dyDescent="0.25">
      <c r="A258" s="8">
        <v>42557.640659722223</v>
      </c>
      <c r="B258" t="s">
        <v>124</v>
      </c>
      <c r="C258" t="s">
        <v>367</v>
      </c>
      <c r="D258">
        <v>1090000</v>
      </c>
      <c r="E258" t="s">
        <v>143</v>
      </c>
      <c r="F258" s="33" t="str">
        <f t="shared" si="8"/>
        <v>rtdc.l.rtdc.4011:itc</v>
      </c>
      <c r="G258" s="8">
        <f t="shared" si="9"/>
        <v>42557.640659722223</v>
      </c>
    </row>
    <row r="259" spans="1:7" x14ac:dyDescent="0.25">
      <c r="A259" s="8">
        <v>42557.860219907408</v>
      </c>
      <c r="B259" t="s">
        <v>135</v>
      </c>
      <c r="C259" t="s">
        <v>387</v>
      </c>
      <c r="D259">
        <v>1740000</v>
      </c>
      <c r="E259" t="s">
        <v>254</v>
      </c>
      <c r="F259" s="33" t="str">
        <f t="shared" si="8"/>
        <v>rtdc.l.rtdc.4037:itc</v>
      </c>
      <c r="G259" s="8">
        <f t="shared" si="9"/>
        <v>42557.860219907408</v>
      </c>
    </row>
    <row r="260" spans="1:7" x14ac:dyDescent="0.25">
      <c r="A260" s="8">
        <v>42557.942407407405</v>
      </c>
      <c r="B260" t="s">
        <v>135</v>
      </c>
      <c r="C260" t="s">
        <v>544</v>
      </c>
      <c r="D260">
        <v>1740000</v>
      </c>
      <c r="E260" t="s">
        <v>254</v>
      </c>
      <c r="F260" s="33" t="str">
        <f t="shared" si="8"/>
        <v>rtdc.l.rtdc.4037:itc</v>
      </c>
      <c r="G260" s="8">
        <f t="shared" si="9"/>
        <v>42557.942407407405</v>
      </c>
    </row>
    <row r="261" spans="1:7" x14ac:dyDescent="0.25">
      <c r="A261" s="8">
        <v>42557.619803240741</v>
      </c>
      <c r="B261" t="s">
        <v>170</v>
      </c>
      <c r="C261" t="s">
        <v>545</v>
      </c>
      <c r="D261">
        <v>2020000</v>
      </c>
      <c r="E261" t="s">
        <v>246</v>
      </c>
      <c r="F261" s="33" t="str">
        <f t="shared" si="8"/>
        <v>rtdc.l.rtdc.4040:itc</v>
      </c>
      <c r="G261" s="8">
        <f t="shared" si="9"/>
        <v>42557.619803240741</v>
      </c>
    </row>
    <row r="262" spans="1:7" x14ac:dyDescent="0.25">
      <c r="A262" s="8">
        <v>42557.609861111108</v>
      </c>
      <c r="B262" t="s">
        <v>135</v>
      </c>
      <c r="C262" t="s">
        <v>360</v>
      </c>
      <c r="D262">
        <v>1740000</v>
      </c>
      <c r="E262" t="s">
        <v>254</v>
      </c>
      <c r="F262" s="33" t="str">
        <f t="shared" si="8"/>
        <v>rtdc.l.rtdc.4037:itc</v>
      </c>
      <c r="G262" s="8">
        <f t="shared" si="9"/>
        <v>42557.609861111108</v>
      </c>
    </row>
    <row r="263" spans="1:7" x14ac:dyDescent="0.25">
      <c r="A263" s="8">
        <v>42557.484351851854</v>
      </c>
      <c r="B263" t="s">
        <v>135</v>
      </c>
      <c r="C263" t="s">
        <v>348</v>
      </c>
      <c r="D263">
        <v>1520000</v>
      </c>
      <c r="E263" t="s">
        <v>150</v>
      </c>
      <c r="F263" s="33" t="str">
        <f t="shared" si="8"/>
        <v>rtdc.l.rtdc.4037:itc</v>
      </c>
      <c r="G263" s="8">
        <f t="shared" si="9"/>
        <v>42557.484351851854</v>
      </c>
    </row>
    <row r="264" spans="1:7" x14ac:dyDescent="0.25">
      <c r="A264" s="8">
        <v>42557.699513888889</v>
      </c>
      <c r="B264" t="s">
        <v>77</v>
      </c>
      <c r="C264" t="s">
        <v>373</v>
      </c>
      <c r="D264">
        <v>1540000</v>
      </c>
      <c r="E264" t="s">
        <v>161</v>
      </c>
      <c r="F264" s="33" t="str">
        <f t="shared" si="8"/>
        <v>rtdc.l.rtdc.4017:itc</v>
      </c>
      <c r="G264" s="8">
        <f t="shared" si="9"/>
        <v>42557.699513888889</v>
      </c>
    </row>
    <row r="265" spans="1:7" x14ac:dyDescent="0.25">
      <c r="A265" s="8">
        <v>42556.949918981481</v>
      </c>
      <c r="B265" t="s">
        <v>75</v>
      </c>
      <c r="C265" t="s">
        <v>251</v>
      </c>
      <c r="D265">
        <v>1240000</v>
      </c>
      <c r="E265" t="s">
        <v>165</v>
      </c>
      <c r="F265" s="33" t="str">
        <f t="shared" si="8"/>
        <v>rtdc.l.rtdc.4020:itc</v>
      </c>
      <c r="G265" s="8">
        <f t="shared" si="9"/>
        <v>42556.949918981481</v>
      </c>
    </row>
    <row r="266" spans="1:7" x14ac:dyDescent="0.25">
      <c r="A266" s="8">
        <v>42557.930243055554</v>
      </c>
      <c r="B266" t="s">
        <v>69</v>
      </c>
      <c r="C266" t="s">
        <v>393</v>
      </c>
      <c r="D266">
        <v>1990000</v>
      </c>
      <c r="E266" t="s">
        <v>443</v>
      </c>
      <c r="F266" s="33" t="str">
        <f t="shared" ref="F266:F281" si="10">B266</f>
        <v>rtdc.l.rtdc.4032:itc</v>
      </c>
      <c r="G266" s="8">
        <f t="shared" ref="G266:G281" si="11">A266</f>
        <v>42557.930243055554</v>
      </c>
    </row>
    <row r="267" spans="1:7" x14ac:dyDescent="0.25">
      <c r="A267" s="8">
        <v>42557.278368055559</v>
      </c>
      <c r="B267" t="s">
        <v>88</v>
      </c>
      <c r="C267" t="s">
        <v>331</v>
      </c>
      <c r="D267">
        <v>1340000</v>
      </c>
      <c r="E267" t="s">
        <v>151</v>
      </c>
      <c r="F267" s="33" t="str">
        <f t="shared" si="10"/>
        <v>rtdc.l.rtdc.4042:itc</v>
      </c>
      <c r="G267" s="8">
        <f t="shared" si="11"/>
        <v>42557.278368055559</v>
      </c>
    </row>
    <row r="268" spans="1:7" x14ac:dyDescent="0.25">
      <c r="A268" s="8">
        <v>42558.204930555556</v>
      </c>
      <c r="B268" t="s">
        <v>132</v>
      </c>
      <c r="C268" t="s">
        <v>506</v>
      </c>
      <c r="D268">
        <v>1830000</v>
      </c>
      <c r="E268" t="s">
        <v>148</v>
      </c>
      <c r="F268" s="33" t="str">
        <f t="shared" si="10"/>
        <v>rtdc.l.rtdc.4013:itc</v>
      </c>
      <c r="G268" s="8">
        <f t="shared" si="11"/>
        <v>42558.204930555556</v>
      </c>
    </row>
    <row r="269" spans="1:7" x14ac:dyDescent="0.25">
      <c r="A269" s="8">
        <v>42556.832569444443</v>
      </c>
      <c r="B269" t="s">
        <v>170</v>
      </c>
      <c r="C269" t="s">
        <v>238</v>
      </c>
      <c r="D269">
        <v>910000</v>
      </c>
      <c r="E269" t="s">
        <v>250</v>
      </c>
      <c r="F269" s="33" t="str">
        <f t="shared" si="10"/>
        <v>rtdc.l.rtdc.4040:itc</v>
      </c>
      <c r="G269" s="8">
        <f t="shared" si="11"/>
        <v>42556.832569444443</v>
      </c>
    </row>
    <row r="270" spans="1:7" x14ac:dyDescent="0.25">
      <c r="A270" s="8">
        <v>42558.286469907405</v>
      </c>
      <c r="B270" t="s">
        <v>159</v>
      </c>
      <c r="C270" t="s">
        <v>546</v>
      </c>
      <c r="D270">
        <v>1840000</v>
      </c>
      <c r="E270" t="s">
        <v>119</v>
      </c>
      <c r="F270" s="33" t="str">
        <f t="shared" si="10"/>
        <v>rtdc.l.rtdc.4044:itc</v>
      </c>
      <c r="G270" s="8">
        <f t="shared" si="11"/>
        <v>42558.286469907405</v>
      </c>
    </row>
    <row r="271" spans="1:7" x14ac:dyDescent="0.25">
      <c r="A271" s="8">
        <v>42556.816944444443</v>
      </c>
      <c r="B271" t="s">
        <v>202</v>
      </c>
      <c r="C271" t="s">
        <v>272</v>
      </c>
      <c r="D271">
        <v>910000</v>
      </c>
      <c r="E271" t="s">
        <v>250</v>
      </c>
      <c r="F271" s="33" t="str">
        <f t="shared" si="10"/>
        <v>rtdc.l.rtdc.4039:itc</v>
      </c>
      <c r="G271" s="8">
        <f t="shared" si="11"/>
        <v>42556.816944444443</v>
      </c>
    </row>
    <row r="272" spans="1:7" x14ac:dyDescent="0.25">
      <c r="A272" s="8">
        <v>42557.720416666663</v>
      </c>
      <c r="B272" t="s">
        <v>118</v>
      </c>
      <c r="C272" t="s">
        <v>547</v>
      </c>
      <c r="D272">
        <v>1740000</v>
      </c>
      <c r="E272" t="s">
        <v>254</v>
      </c>
      <c r="F272" s="33" t="str">
        <f t="shared" si="10"/>
        <v>rtdc.l.rtdc.4038:itc</v>
      </c>
      <c r="G272" s="8">
        <f t="shared" si="11"/>
        <v>42557.720416666663</v>
      </c>
    </row>
    <row r="273" spans="1:7" x14ac:dyDescent="0.25">
      <c r="A273" s="8">
        <v>42556.91065972222</v>
      </c>
      <c r="B273" t="s">
        <v>69</v>
      </c>
      <c r="C273" t="s">
        <v>273</v>
      </c>
      <c r="D273">
        <v>1820000</v>
      </c>
      <c r="E273" t="s">
        <v>110</v>
      </c>
      <c r="F273" s="33" t="str">
        <f t="shared" si="10"/>
        <v>rtdc.l.rtdc.4032:itc</v>
      </c>
      <c r="G273" s="8">
        <f t="shared" si="11"/>
        <v>42556.91065972222</v>
      </c>
    </row>
    <row r="274" spans="1:7" x14ac:dyDescent="0.25">
      <c r="A274" s="8">
        <v>42557.733541666668</v>
      </c>
      <c r="B274" t="s">
        <v>135</v>
      </c>
      <c r="C274" t="s">
        <v>548</v>
      </c>
      <c r="D274">
        <v>1740000</v>
      </c>
      <c r="E274" t="s">
        <v>254</v>
      </c>
      <c r="F274" s="33" t="str">
        <f t="shared" si="10"/>
        <v>rtdc.l.rtdc.4037:itc</v>
      </c>
      <c r="G274" s="8">
        <f t="shared" si="11"/>
        <v>42557.733541666668</v>
      </c>
    </row>
    <row r="275" spans="1:7" x14ac:dyDescent="0.25">
      <c r="A275" s="8">
        <v>42557.369432870371</v>
      </c>
      <c r="B275" t="s">
        <v>202</v>
      </c>
      <c r="C275" t="s">
        <v>549</v>
      </c>
      <c r="D275">
        <v>2010000</v>
      </c>
      <c r="E275" t="s">
        <v>423</v>
      </c>
      <c r="F275" s="33" t="str">
        <f t="shared" si="10"/>
        <v>rtdc.l.rtdc.4039:itc</v>
      </c>
      <c r="G275" s="8">
        <f t="shared" si="11"/>
        <v>42557.369432870371</v>
      </c>
    </row>
    <row r="276" spans="1:7" x14ac:dyDescent="0.25">
      <c r="A276" s="8">
        <v>42557.804155092592</v>
      </c>
      <c r="B276" t="s">
        <v>118</v>
      </c>
      <c r="C276" t="s">
        <v>550</v>
      </c>
      <c r="D276">
        <v>1740000</v>
      </c>
      <c r="E276" t="s">
        <v>254</v>
      </c>
      <c r="F276" s="33" t="str">
        <f t="shared" si="10"/>
        <v>rtdc.l.rtdc.4038:itc</v>
      </c>
      <c r="G276" s="8">
        <f t="shared" si="11"/>
        <v>42557.804155092592</v>
      </c>
    </row>
    <row r="277" spans="1:7" x14ac:dyDescent="0.25">
      <c r="A277" s="8">
        <v>42557.228993055556</v>
      </c>
      <c r="B277" t="s">
        <v>124</v>
      </c>
      <c r="C277" t="s">
        <v>551</v>
      </c>
      <c r="D277">
        <v>900000</v>
      </c>
      <c r="E277" t="s">
        <v>142</v>
      </c>
      <c r="F277" s="33" t="str">
        <f t="shared" si="10"/>
        <v>rtdc.l.rtdc.4011:itc</v>
      </c>
      <c r="G277" s="8">
        <f t="shared" si="11"/>
        <v>42557.228993055556</v>
      </c>
    </row>
    <row r="278" spans="1:7" x14ac:dyDescent="0.25">
      <c r="A278" s="8">
        <v>42558.255219907405</v>
      </c>
      <c r="B278" t="s">
        <v>163</v>
      </c>
      <c r="C278" t="s">
        <v>552</v>
      </c>
      <c r="D278">
        <v>1840000</v>
      </c>
      <c r="E278" t="s">
        <v>119</v>
      </c>
      <c r="F278" s="33" t="str">
        <f t="shared" si="10"/>
        <v>rtdc.l.rtdc.4043:itc</v>
      </c>
      <c r="G278" s="8">
        <f t="shared" si="11"/>
        <v>42558.255219907405</v>
      </c>
    </row>
    <row r="279" spans="1:7" x14ac:dyDescent="0.25">
      <c r="A279" s="8">
        <v>42557.209502314814</v>
      </c>
      <c r="B279" t="s">
        <v>159</v>
      </c>
      <c r="C279" t="s">
        <v>403</v>
      </c>
      <c r="D279">
        <v>1830000</v>
      </c>
      <c r="E279" t="s">
        <v>148</v>
      </c>
      <c r="F279" s="33" t="str">
        <f t="shared" si="10"/>
        <v>rtdc.l.rtdc.4044:itc</v>
      </c>
      <c r="G279" s="8">
        <f t="shared" si="11"/>
        <v>42557.209502314814</v>
      </c>
    </row>
    <row r="280" spans="1:7" x14ac:dyDescent="0.25">
      <c r="A280" s="8">
        <v>42557.619293981479</v>
      </c>
      <c r="B280" t="s">
        <v>163</v>
      </c>
      <c r="C280" t="s">
        <v>365</v>
      </c>
      <c r="D280">
        <v>880000</v>
      </c>
      <c r="E280" t="s">
        <v>149</v>
      </c>
      <c r="F280" s="33" t="str">
        <f t="shared" si="10"/>
        <v>rtdc.l.rtdc.4043:itc</v>
      </c>
      <c r="G280" s="8">
        <f t="shared" si="11"/>
        <v>42557.619293981479</v>
      </c>
    </row>
    <row r="281" spans="1:7" x14ac:dyDescent="0.25">
      <c r="A281" s="8">
        <v>42557.356527777774</v>
      </c>
      <c r="B281" t="s">
        <v>130</v>
      </c>
      <c r="C281" t="s">
        <v>341</v>
      </c>
      <c r="D281">
        <v>2040000</v>
      </c>
      <c r="E281" t="s">
        <v>411</v>
      </c>
      <c r="F281" s="33" t="str">
        <f t="shared" si="10"/>
        <v>rtdc.l.rtdc.4026:itc</v>
      </c>
      <c r="G281" s="8">
        <f t="shared" si="11"/>
        <v>42557.356527777774</v>
      </c>
    </row>
    <row r="282" spans="1:7" x14ac:dyDescent="0.25">
      <c r="A282" s="8">
        <v>42557.623622685183</v>
      </c>
      <c r="B282" t="s">
        <v>77</v>
      </c>
      <c r="C282" t="s">
        <v>361</v>
      </c>
      <c r="D282">
        <v>1190000</v>
      </c>
      <c r="E282" t="s">
        <v>448</v>
      </c>
      <c r="F282" s="33" t="str">
        <f t="shared" ref="F282:F345" si="12">B282</f>
        <v>rtdc.l.rtdc.4017:itc</v>
      </c>
      <c r="G282" s="8">
        <f t="shared" ref="G282:G345" si="13">A282</f>
        <v>42557.623622685183</v>
      </c>
    </row>
    <row r="283" spans="1:7" x14ac:dyDescent="0.25">
      <c r="A283" s="8">
        <v>42556.802569444444</v>
      </c>
      <c r="B283" t="s">
        <v>170</v>
      </c>
      <c r="C283" t="s">
        <v>236</v>
      </c>
      <c r="D283">
        <v>910000</v>
      </c>
      <c r="E283" t="s">
        <v>250</v>
      </c>
      <c r="F283" s="33" t="str">
        <f t="shared" si="12"/>
        <v>rtdc.l.rtdc.4040:itc</v>
      </c>
      <c r="G283" s="8">
        <f t="shared" si="13"/>
        <v>42556.802569444444</v>
      </c>
    </row>
    <row r="284" spans="1:7" x14ac:dyDescent="0.25">
      <c r="A284" s="8">
        <v>42557.888043981482</v>
      </c>
      <c r="B284" t="s">
        <v>118</v>
      </c>
      <c r="C284" t="s">
        <v>553</v>
      </c>
      <c r="D284">
        <v>1740000</v>
      </c>
      <c r="E284" t="s">
        <v>254</v>
      </c>
      <c r="F284" s="33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69</v>
      </c>
      <c r="C285" t="s">
        <v>268</v>
      </c>
      <c r="D285">
        <v>1820000</v>
      </c>
      <c r="E285" t="s">
        <v>110</v>
      </c>
      <c r="F285" s="33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125</v>
      </c>
      <c r="C286" t="s">
        <v>554</v>
      </c>
      <c r="D286">
        <v>1280000</v>
      </c>
      <c r="E286" t="s">
        <v>136</v>
      </c>
      <c r="F286" s="33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74</v>
      </c>
      <c r="C287" t="s">
        <v>276</v>
      </c>
      <c r="D287">
        <v>1240000</v>
      </c>
      <c r="E287" t="s">
        <v>165</v>
      </c>
      <c r="F287" s="33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133</v>
      </c>
      <c r="C288" t="s">
        <v>394</v>
      </c>
      <c r="D288">
        <v>1820000</v>
      </c>
      <c r="E288" t="s">
        <v>110</v>
      </c>
      <c r="F288" s="33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69</v>
      </c>
      <c r="C289" t="s">
        <v>268</v>
      </c>
      <c r="D289">
        <v>1820000</v>
      </c>
      <c r="E289" t="s">
        <v>110</v>
      </c>
      <c r="F289" s="33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118</v>
      </c>
      <c r="C290" t="s">
        <v>392</v>
      </c>
      <c r="D290">
        <v>1740000</v>
      </c>
      <c r="E290" t="s">
        <v>254</v>
      </c>
      <c r="F290" s="33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135</v>
      </c>
      <c r="C291" t="s">
        <v>338</v>
      </c>
      <c r="D291">
        <v>1520000</v>
      </c>
      <c r="E291" t="s">
        <v>150</v>
      </c>
      <c r="F291" s="33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76</v>
      </c>
      <c r="C292" t="s">
        <v>526</v>
      </c>
      <c r="D292">
        <v>2030000</v>
      </c>
      <c r="E292" t="s">
        <v>255</v>
      </c>
      <c r="F292" s="33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139</v>
      </c>
      <c r="C293" t="s">
        <v>320</v>
      </c>
      <c r="D293">
        <v>1480000</v>
      </c>
      <c r="E293" t="s">
        <v>126</v>
      </c>
      <c r="F293" s="33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131</v>
      </c>
      <c r="C294" t="s">
        <v>555</v>
      </c>
      <c r="D294">
        <v>1140000</v>
      </c>
      <c r="E294" t="s">
        <v>144</v>
      </c>
      <c r="F294" s="33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79</v>
      </c>
      <c r="C295" t="s">
        <v>473</v>
      </c>
      <c r="D295">
        <v>1110000</v>
      </c>
      <c r="E295" t="s">
        <v>263</v>
      </c>
      <c r="F295" s="33" t="str">
        <f t="shared" si="12"/>
        <v>rtdc.l.rtdc.4031:itc</v>
      </c>
      <c r="G295" s="8">
        <f t="shared" si="13"/>
        <v>42558.160578703704</v>
      </c>
    </row>
    <row r="296" spans="1:7" x14ac:dyDescent="0.25">
      <c r="F296" s="33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138</v>
      </c>
      <c r="C297" t="s">
        <v>209</v>
      </c>
      <c r="D297">
        <v>1090000</v>
      </c>
      <c r="E297" t="s">
        <v>143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131</v>
      </c>
      <c r="C298" t="s">
        <v>195</v>
      </c>
      <c r="D298">
        <v>1770000</v>
      </c>
      <c r="E298" t="s">
        <v>153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88</v>
      </c>
      <c r="C299" t="s">
        <v>212</v>
      </c>
      <c r="D299">
        <v>900000</v>
      </c>
      <c r="E299" t="s">
        <v>142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134</v>
      </c>
      <c r="C300" t="s">
        <v>187</v>
      </c>
      <c r="D300">
        <v>1780000</v>
      </c>
      <c r="E300" t="s">
        <v>169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125</v>
      </c>
      <c r="C301" t="s">
        <v>200</v>
      </c>
      <c r="D301">
        <v>1280000</v>
      </c>
      <c r="E301" t="s">
        <v>136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124</v>
      </c>
      <c r="C302" t="s">
        <v>199</v>
      </c>
      <c r="D302">
        <v>1280000</v>
      </c>
      <c r="E302" t="s">
        <v>136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131</v>
      </c>
      <c r="C303" t="s">
        <v>198</v>
      </c>
      <c r="D303">
        <v>1770000</v>
      </c>
      <c r="E303" t="s">
        <v>153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77</v>
      </c>
      <c r="C304" t="s">
        <v>213</v>
      </c>
      <c r="D304">
        <v>1840000</v>
      </c>
      <c r="E304" t="s">
        <v>119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134</v>
      </c>
      <c r="C305" t="s">
        <v>188</v>
      </c>
      <c r="D305">
        <v>1780000</v>
      </c>
      <c r="E305" t="s">
        <v>169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76</v>
      </c>
      <c r="C306" t="s">
        <v>214</v>
      </c>
      <c r="D306">
        <v>1840000</v>
      </c>
      <c r="E306" t="s">
        <v>119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125</v>
      </c>
      <c r="C307" t="s">
        <v>197</v>
      </c>
      <c r="D307">
        <v>1280000</v>
      </c>
      <c r="E307" t="s">
        <v>136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137</v>
      </c>
      <c r="C308" t="s">
        <v>215</v>
      </c>
      <c r="D308">
        <v>1120000</v>
      </c>
      <c r="E308" t="s">
        <v>160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124</v>
      </c>
      <c r="C309" t="s">
        <v>196</v>
      </c>
      <c r="D309">
        <v>1280000</v>
      </c>
      <c r="E309" t="s">
        <v>136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139</v>
      </c>
      <c r="C310" t="s">
        <v>216</v>
      </c>
      <c r="D310">
        <v>1460000</v>
      </c>
      <c r="E310" t="s">
        <v>120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159</v>
      </c>
      <c r="C311" t="s">
        <v>194</v>
      </c>
      <c r="D311">
        <v>1140000</v>
      </c>
      <c r="E311" t="s">
        <v>144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75</v>
      </c>
      <c r="C312" t="s">
        <v>217</v>
      </c>
      <c r="D312">
        <v>950000</v>
      </c>
      <c r="E312" t="s">
        <v>164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125</v>
      </c>
      <c r="C313" t="s">
        <v>191</v>
      </c>
      <c r="D313">
        <v>1280000</v>
      </c>
      <c r="E313" t="s">
        <v>136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138</v>
      </c>
      <c r="C314" t="s">
        <v>207</v>
      </c>
      <c r="D314">
        <v>1090000</v>
      </c>
      <c r="E314" t="s">
        <v>143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166</v>
      </c>
      <c r="C315" t="s">
        <v>193</v>
      </c>
      <c r="D315">
        <v>1290000</v>
      </c>
      <c r="E315" t="s">
        <v>206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69</v>
      </c>
      <c r="C316" t="s">
        <v>210</v>
      </c>
      <c r="D316">
        <v>1540000</v>
      </c>
      <c r="E316" t="s">
        <v>161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134</v>
      </c>
      <c r="C317" t="s">
        <v>186</v>
      </c>
      <c r="D317">
        <v>1780000</v>
      </c>
      <c r="E317" t="s">
        <v>169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202</v>
      </c>
      <c r="C318" t="s">
        <v>218</v>
      </c>
      <c r="D318">
        <v>1810000</v>
      </c>
      <c r="E318" t="s">
        <v>204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132</v>
      </c>
      <c r="C319" t="s">
        <v>189</v>
      </c>
      <c r="D319">
        <v>1240000</v>
      </c>
      <c r="E319" t="s">
        <v>165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139</v>
      </c>
      <c r="C320" t="s">
        <v>211</v>
      </c>
      <c r="D320">
        <v>1460000</v>
      </c>
      <c r="E320" t="s">
        <v>120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77</v>
      </c>
      <c r="C321" t="s">
        <v>219</v>
      </c>
      <c r="D321">
        <v>890000</v>
      </c>
      <c r="E321" t="s">
        <v>205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tabSelected="1" topLeftCell="D4" workbookViewId="0">
      <selection activeCell="M22" sqref="M22"/>
    </sheetView>
    <sheetView workbookViewId="1">
      <selection activeCell="M23" sqref="M2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1" t="s">
        <v>95</v>
      </c>
      <c r="K1" s="51" t="s">
        <v>96</v>
      </c>
      <c r="L1" s="51" t="s">
        <v>97</v>
      </c>
      <c r="M1" s="33"/>
    </row>
    <row r="2" spans="1:13" ht="15.75" thickBot="1" x14ac:dyDescent="0.3">
      <c r="A2" s="19">
        <v>42557</v>
      </c>
      <c r="B2" s="4"/>
      <c r="C2" s="22">
        <v>50</v>
      </c>
      <c r="F2" t="s">
        <v>63</v>
      </c>
      <c r="J2" s="51" t="s">
        <v>95</v>
      </c>
      <c r="K2" s="51" t="s">
        <v>96</v>
      </c>
      <c r="L2" s="51" t="s">
        <v>97</v>
      </c>
      <c r="M2" s="33"/>
    </row>
    <row r="3" spans="1:13" x14ac:dyDescent="0.25">
      <c r="F3" t="s">
        <v>64</v>
      </c>
      <c r="J3" s="52" t="s">
        <v>98</v>
      </c>
      <c r="K3" s="53">
        <v>2.7052</v>
      </c>
      <c r="L3" s="53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2" t="s">
        <v>99</v>
      </c>
      <c r="K4" s="53">
        <v>3.0830000000000002</v>
      </c>
      <c r="L4" s="53">
        <v>3.097</v>
      </c>
      <c r="M4" s="33">
        <f t="shared" si="0"/>
        <v>3.09</v>
      </c>
    </row>
    <row r="5" spans="1:13" x14ac:dyDescent="0.25">
      <c r="J5" s="52" t="s">
        <v>100</v>
      </c>
      <c r="K5" s="53">
        <v>3.3136000000000001</v>
      </c>
      <c r="L5" s="53">
        <v>3.3256999999999999</v>
      </c>
      <c r="M5" s="33">
        <f t="shared" si="0"/>
        <v>3.3196500000000002</v>
      </c>
    </row>
    <row r="6" spans="1:13" x14ac:dyDescent="0.25">
      <c r="J6" s="52" t="s">
        <v>101</v>
      </c>
      <c r="K6" s="53">
        <v>4.2778999999999998</v>
      </c>
      <c r="L6" s="53">
        <v>4.2961</v>
      </c>
      <c r="M6" s="33">
        <f t="shared" si="0"/>
        <v>4.2869999999999999</v>
      </c>
    </row>
    <row r="7" spans="1:13" x14ac:dyDescent="0.25">
      <c r="J7" s="52" t="s">
        <v>102</v>
      </c>
      <c r="K7" s="53">
        <v>4.7865000000000002</v>
      </c>
      <c r="L7" s="53">
        <v>4.8048000000000002</v>
      </c>
      <c r="M7" s="33">
        <f t="shared" si="0"/>
        <v>4.7956500000000002</v>
      </c>
    </row>
    <row r="8" spans="1:13" x14ac:dyDescent="0.25">
      <c r="J8" s="52" t="s">
        <v>103</v>
      </c>
      <c r="K8" s="53">
        <v>5.3155000000000001</v>
      </c>
      <c r="L8" s="53">
        <v>5.3277000000000001</v>
      </c>
      <c r="M8" s="33">
        <f t="shared" si="0"/>
        <v>5.3216000000000001</v>
      </c>
    </row>
    <row r="9" spans="1:13" x14ac:dyDescent="0.25">
      <c r="J9" s="52" t="s">
        <v>104</v>
      </c>
      <c r="K9" s="53">
        <v>5.8117000000000001</v>
      </c>
      <c r="L9" s="53">
        <v>5.8300999999999998</v>
      </c>
      <c r="M9" s="33">
        <f t="shared" si="0"/>
        <v>5.8209</v>
      </c>
    </row>
    <row r="10" spans="1:13" x14ac:dyDescent="0.25">
      <c r="J10" s="52" t="s">
        <v>105</v>
      </c>
      <c r="K10" s="53">
        <v>5.8783000000000003</v>
      </c>
      <c r="L10" s="53">
        <v>5.8903999999999996</v>
      </c>
      <c r="M10" s="33">
        <f t="shared" si="0"/>
        <v>5.8843499999999995</v>
      </c>
    </row>
    <row r="11" spans="1:13" x14ac:dyDescent="0.25">
      <c r="J11" s="52" t="s">
        <v>106</v>
      </c>
      <c r="K11" s="53">
        <v>6.3068</v>
      </c>
      <c r="L11" s="53">
        <v>6.3308999999999997</v>
      </c>
      <c r="M11" s="33">
        <f t="shared" si="0"/>
        <v>6.3188499999999994</v>
      </c>
    </row>
    <row r="12" spans="1:13" x14ac:dyDescent="0.25">
      <c r="J12" s="52" t="s">
        <v>107</v>
      </c>
      <c r="K12" s="53">
        <v>7.8349000000000002</v>
      </c>
      <c r="L12" s="53">
        <v>7.8468999999999998</v>
      </c>
      <c r="M12" s="33">
        <f t="shared" si="0"/>
        <v>7.8408999999999995</v>
      </c>
    </row>
    <row r="13" spans="1:13" x14ac:dyDescent="0.25">
      <c r="J13" s="52" t="s">
        <v>108</v>
      </c>
      <c r="K13" s="53">
        <v>10.373799999999999</v>
      </c>
      <c r="L13" s="53">
        <v>10.38</v>
      </c>
      <c r="M13" s="33">
        <f t="shared" si="0"/>
        <v>10.376899999999999</v>
      </c>
    </row>
    <row r="14" spans="1:13" x14ac:dyDescent="0.25">
      <c r="J14" s="52" t="s">
        <v>109</v>
      </c>
      <c r="K14" s="53">
        <v>10.8954</v>
      </c>
      <c r="L14" s="53">
        <v>10.913500000000001</v>
      </c>
      <c r="M14" s="33">
        <f t="shared" si="0"/>
        <v>10.904450000000001</v>
      </c>
    </row>
    <row r="15" spans="1:13" x14ac:dyDescent="0.25">
      <c r="J15" s="52"/>
      <c r="K15" s="53"/>
      <c r="L15" s="53"/>
      <c r="M15" s="33"/>
    </row>
    <row r="16" spans="1:13" x14ac:dyDescent="0.25">
      <c r="J16" s="52"/>
      <c r="K16" s="53"/>
      <c r="L16" s="53"/>
      <c r="M16" s="33"/>
    </row>
    <row r="17" spans="10:13" x14ac:dyDescent="0.25">
      <c r="J17" s="52"/>
      <c r="K17" s="53"/>
      <c r="L17" s="53"/>
      <c r="M17" s="33"/>
    </row>
    <row r="18" spans="10:13" x14ac:dyDescent="0.25">
      <c r="J18" s="52" t="s">
        <v>745</v>
      </c>
      <c r="K18" s="53"/>
      <c r="L18" s="53"/>
      <c r="M18" s="33" t="str">
        <f>"""C:\Program Files (x86)\AstroGrep\AstroGrep.exe"""</f>
        <v>"C:\Program Files (x86)\AstroGrep\AstroGrep.exe"</v>
      </c>
    </row>
    <row r="19" spans="10:13" x14ac:dyDescent="0.25">
      <c r="J19" s="52" t="s">
        <v>746</v>
      </c>
      <c r="K19" s="53"/>
      <c r="L19" s="53"/>
      <c r="M19" s="3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747</v>
      </c>
      <c r="M20" t="s">
        <v>748</v>
      </c>
    </row>
    <row r="21" spans="10:13" x14ac:dyDescent="0.25">
      <c r="J21" s="33" t="s">
        <v>752</v>
      </c>
      <c r="K21" s="33" t="s">
        <v>753</v>
      </c>
      <c r="M21" s="33" t="s">
        <v>753</v>
      </c>
    </row>
    <row r="22" spans="10:13" x14ac:dyDescent="0.25">
      <c r="J22" s="33" t="s">
        <v>754</v>
      </c>
      <c r="K22" s="33" t="s">
        <v>755</v>
      </c>
      <c r="M22" s="33" t="s">
        <v>755</v>
      </c>
    </row>
    <row r="23" spans="10:13" x14ac:dyDescent="0.25">
      <c r="J23" s="48" t="s">
        <v>757</v>
      </c>
      <c r="K23" s="33"/>
      <c r="M23" s="33">
        <v>-6</v>
      </c>
    </row>
    <row r="24" spans="10:13" x14ac:dyDescent="0.25">
      <c r="J24" s="33"/>
      <c r="K24" s="33"/>
      <c r="M2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2016-07-07T20:48:35Z</dcterms:modified>
</cp:coreProperties>
</file>