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183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Enforcements!$A$6:$V$67</definedName>
    <definedName name="_xlnm._FilterDatabase" localSheetId="2" hidden="1">'Missing Trips'!$A$2:$H$2</definedName>
    <definedName name="_xlnm._FilterDatabase" localSheetId="0" hidden="1">'Train Runs'!$A$12:$AG$282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Runs'!$A$12:$J$41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5" i="1" l="1"/>
  <c r="K55" i="1"/>
  <c r="Y56" i="1" l="1"/>
  <c r="Y57" i="1"/>
  <c r="Y58" i="1"/>
  <c r="Y59" i="1"/>
  <c r="Y60" i="1"/>
  <c r="Y61" i="1"/>
  <c r="Y62" i="1"/>
  <c r="Y63" i="1"/>
  <c r="K270" i="1" l="1"/>
  <c r="L270" i="1"/>
  <c r="M270" i="1"/>
  <c r="N270" i="1" s="1"/>
  <c r="V270" i="1"/>
  <c r="AA270" i="1"/>
  <c r="AB270" i="1"/>
  <c r="AC270" i="1"/>
  <c r="AD270" i="1"/>
  <c r="T270" i="1" s="1"/>
  <c r="AE270" i="1"/>
  <c r="AF270" i="1"/>
  <c r="V55" i="1"/>
  <c r="Y55" i="1"/>
  <c r="Z55" i="1"/>
  <c r="AA55" i="1" s="1"/>
  <c r="V56" i="1"/>
  <c r="Z56" i="1"/>
  <c r="AA56" i="1" s="1"/>
  <c r="V57" i="1"/>
  <c r="Z57" i="1"/>
  <c r="V58" i="1"/>
  <c r="Z58" i="1"/>
  <c r="AB55" i="1"/>
  <c r="AC55" i="1"/>
  <c r="AD55" i="1"/>
  <c r="T55" i="1" s="1"/>
  <c r="AE55" i="1"/>
  <c r="AF55" i="1"/>
  <c r="AA58" i="1" l="1"/>
  <c r="AG55" i="1"/>
  <c r="W55" i="1" s="1"/>
  <c r="AA57" i="1"/>
  <c r="AG270" i="1"/>
  <c r="W270" i="1" s="1"/>
  <c r="Y212" i="1"/>
  <c r="Z212" i="1"/>
  <c r="Y213" i="1"/>
  <c r="Z213" i="1"/>
  <c r="Y214" i="1"/>
  <c r="Z214" i="1"/>
  <c r="Y215" i="1"/>
  <c r="Z215" i="1"/>
  <c r="Y216" i="1"/>
  <c r="Z216" i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P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209" i="1"/>
  <c r="L209" i="1"/>
  <c r="M209" i="1"/>
  <c r="N209" i="1" s="1"/>
  <c r="K210" i="1"/>
  <c r="L210" i="1"/>
  <c r="M210" i="1"/>
  <c r="N210" i="1" s="1"/>
  <c r="K211" i="1"/>
  <c r="L211" i="1"/>
  <c r="M211" i="1"/>
  <c r="N211" i="1" s="1"/>
  <c r="K212" i="1"/>
  <c r="L212" i="1"/>
  <c r="M212" i="1"/>
  <c r="N212" i="1" s="1"/>
  <c r="K213" i="1"/>
  <c r="L213" i="1"/>
  <c r="M213" i="1"/>
  <c r="N213" i="1" s="1"/>
  <c r="K214" i="1"/>
  <c r="L214" i="1"/>
  <c r="M214" i="1"/>
  <c r="N214" i="1" s="1"/>
  <c r="K215" i="1"/>
  <c r="L215" i="1"/>
  <c r="M215" i="1"/>
  <c r="N215" i="1" s="1"/>
  <c r="K216" i="1"/>
  <c r="L216" i="1"/>
  <c r="M216" i="1"/>
  <c r="N216" i="1" s="1"/>
  <c r="K217" i="1"/>
  <c r="L217" i="1"/>
  <c r="M217" i="1"/>
  <c r="N217" i="1" s="1"/>
  <c r="K218" i="1"/>
  <c r="L218" i="1"/>
  <c r="M218" i="1"/>
  <c r="N218" i="1" s="1"/>
  <c r="K219" i="1"/>
  <c r="L219" i="1"/>
  <c r="M219" i="1"/>
  <c r="N219" i="1" s="1"/>
  <c r="K220" i="1"/>
  <c r="L220" i="1"/>
  <c r="M220" i="1"/>
  <c r="N220" i="1" s="1"/>
  <c r="K221" i="1"/>
  <c r="L221" i="1"/>
  <c r="M221" i="1"/>
  <c r="P221" i="1" s="1"/>
  <c r="K222" i="1"/>
  <c r="L222" i="1"/>
  <c r="M222" i="1"/>
  <c r="N222" i="1" s="1"/>
  <c r="K223" i="1"/>
  <c r="L223" i="1"/>
  <c r="M223" i="1"/>
  <c r="N223" i="1" s="1"/>
  <c r="K224" i="1"/>
  <c r="L224" i="1"/>
  <c r="M224" i="1"/>
  <c r="N224" i="1" s="1"/>
  <c r="K225" i="1"/>
  <c r="L225" i="1"/>
  <c r="M225" i="1"/>
  <c r="N225" i="1" s="1"/>
  <c r="K226" i="1"/>
  <c r="L226" i="1"/>
  <c r="M226" i="1"/>
  <c r="N226" i="1" s="1"/>
  <c r="K227" i="1"/>
  <c r="L227" i="1"/>
  <c r="M227" i="1"/>
  <c r="N227" i="1" s="1"/>
  <c r="K228" i="1"/>
  <c r="L228" i="1"/>
  <c r="M228" i="1"/>
  <c r="N228" i="1" s="1"/>
  <c r="K229" i="1"/>
  <c r="L229" i="1"/>
  <c r="M229" i="1"/>
  <c r="N229" i="1" s="1"/>
  <c r="K230" i="1"/>
  <c r="L230" i="1"/>
  <c r="M230" i="1"/>
  <c r="N230" i="1" s="1"/>
  <c r="K231" i="1"/>
  <c r="L231" i="1"/>
  <c r="M231" i="1"/>
  <c r="N231" i="1" s="1"/>
  <c r="K232" i="1"/>
  <c r="L232" i="1"/>
  <c r="M232" i="1"/>
  <c r="N232" i="1" s="1"/>
  <c r="K233" i="1"/>
  <c r="L233" i="1"/>
  <c r="M233" i="1"/>
  <c r="N233" i="1" s="1"/>
  <c r="K234" i="1"/>
  <c r="L234" i="1"/>
  <c r="M234" i="1"/>
  <c r="N234" i="1" s="1"/>
  <c r="K235" i="1"/>
  <c r="L235" i="1"/>
  <c r="M235" i="1"/>
  <c r="N235" i="1" s="1"/>
  <c r="K236" i="1"/>
  <c r="L236" i="1"/>
  <c r="M236" i="1"/>
  <c r="N236" i="1" s="1"/>
  <c r="K237" i="1"/>
  <c r="L237" i="1"/>
  <c r="M237" i="1"/>
  <c r="N237" i="1" s="1"/>
  <c r="K238" i="1"/>
  <c r="L238" i="1"/>
  <c r="M238" i="1"/>
  <c r="N238" i="1" s="1"/>
  <c r="K239" i="1"/>
  <c r="L239" i="1"/>
  <c r="M239" i="1"/>
  <c r="N239" i="1" s="1"/>
  <c r="K240" i="1"/>
  <c r="L240" i="1"/>
  <c r="M240" i="1"/>
  <c r="N240" i="1" s="1"/>
  <c r="K241" i="1"/>
  <c r="L241" i="1"/>
  <c r="M241" i="1"/>
  <c r="N241" i="1" s="1"/>
  <c r="K242" i="1"/>
  <c r="L242" i="1"/>
  <c r="M242" i="1"/>
  <c r="N242" i="1" s="1"/>
  <c r="K243" i="1"/>
  <c r="L243" i="1"/>
  <c r="M243" i="1"/>
  <c r="N243" i="1" s="1"/>
  <c r="K244" i="1"/>
  <c r="L244" i="1"/>
  <c r="M244" i="1"/>
  <c r="N244" i="1" s="1"/>
  <c r="K245" i="1"/>
  <c r="L245" i="1"/>
  <c r="M245" i="1"/>
  <c r="N245" i="1" s="1"/>
  <c r="K246" i="1"/>
  <c r="L246" i="1"/>
  <c r="M246" i="1"/>
  <c r="N246" i="1" s="1"/>
  <c r="K247" i="1"/>
  <c r="L247" i="1"/>
  <c r="M247" i="1"/>
  <c r="N247" i="1" s="1"/>
  <c r="K248" i="1"/>
  <c r="L248" i="1"/>
  <c r="M248" i="1"/>
  <c r="N248" i="1" s="1"/>
  <c r="K249" i="1"/>
  <c r="L249" i="1"/>
  <c r="M249" i="1"/>
  <c r="N249" i="1" s="1"/>
  <c r="K250" i="1"/>
  <c r="L250" i="1"/>
  <c r="M250" i="1"/>
  <c r="N250" i="1" s="1"/>
  <c r="K251" i="1"/>
  <c r="L251" i="1"/>
  <c r="M251" i="1"/>
  <c r="N251" i="1" s="1"/>
  <c r="K252" i="1"/>
  <c r="L252" i="1"/>
  <c r="M252" i="1"/>
  <c r="N252" i="1" s="1"/>
  <c r="K253" i="1"/>
  <c r="L253" i="1"/>
  <c r="M253" i="1"/>
  <c r="N253" i="1" s="1"/>
  <c r="K254" i="1"/>
  <c r="L254" i="1"/>
  <c r="M254" i="1"/>
  <c r="N254" i="1" s="1"/>
  <c r="K255" i="1"/>
  <c r="L255" i="1"/>
  <c r="M255" i="1"/>
  <c r="N255" i="1" s="1"/>
  <c r="K256" i="1"/>
  <c r="L256" i="1"/>
  <c r="M256" i="1"/>
  <c r="N256" i="1" s="1"/>
  <c r="K257" i="1"/>
  <c r="L257" i="1"/>
  <c r="M257" i="1"/>
  <c r="N257" i="1" s="1"/>
  <c r="K258" i="1"/>
  <c r="L258" i="1"/>
  <c r="M258" i="1"/>
  <c r="N258" i="1" s="1"/>
  <c r="K259" i="1"/>
  <c r="L259" i="1"/>
  <c r="M259" i="1"/>
  <c r="N259" i="1" s="1"/>
  <c r="K260" i="1"/>
  <c r="L260" i="1"/>
  <c r="M260" i="1"/>
  <c r="N260" i="1" s="1"/>
  <c r="K261" i="1"/>
  <c r="L261" i="1"/>
  <c r="M261" i="1"/>
  <c r="N261" i="1" s="1"/>
  <c r="K262" i="1"/>
  <c r="L262" i="1"/>
  <c r="M262" i="1"/>
  <c r="N262" i="1" s="1"/>
  <c r="K263" i="1"/>
  <c r="L263" i="1"/>
  <c r="M263" i="1"/>
  <c r="N263" i="1" s="1"/>
  <c r="K264" i="1"/>
  <c r="L264" i="1"/>
  <c r="M264" i="1"/>
  <c r="N264" i="1" s="1"/>
  <c r="K265" i="1"/>
  <c r="L265" i="1"/>
  <c r="M265" i="1"/>
  <c r="N265" i="1" s="1"/>
  <c r="K266" i="1"/>
  <c r="L266" i="1"/>
  <c r="M266" i="1"/>
  <c r="N266" i="1" s="1"/>
  <c r="K267" i="1"/>
  <c r="L267" i="1"/>
  <c r="M267" i="1"/>
  <c r="K268" i="1"/>
  <c r="L268" i="1"/>
  <c r="M268" i="1"/>
  <c r="N268" i="1" s="1"/>
  <c r="K269" i="1"/>
  <c r="L269" i="1"/>
  <c r="M269" i="1"/>
  <c r="N269" i="1" s="1"/>
  <c r="K271" i="1"/>
  <c r="L271" i="1"/>
  <c r="M271" i="1"/>
  <c r="N271" i="1" s="1"/>
  <c r="K272" i="1"/>
  <c r="L272" i="1"/>
  <c r="M272" i="1"/>
  <c r="N272" i="1" s="1"/>
  <c r="K273" i="1"/>
  <c r="L273" i="1"/>
  <c r="M273" i="1"/>
  <c r="N273" i="1" s="1"/>
  <c r="K274" i="1"/>
  <c r="L274" i="1"/>
  <c r="M274" i="1"/>
  <c r="N274" i="1" s="1"/>
  <c r="K275" i="1"/>
  <c r="L275" i="1"/>
  <c r="M275" i="1"/>
  <c r="N275" i="1" s="1"/>
  <c r="K276" i="1"/>
  <c r="L276" i="1"/>
  <c r="M276" i="1"/>
  <c r="N276" i="1" s="1"/>
  <c r="K277" i="1"/>
  <c r="L277" i="1"/>
  <c r="M277" i="1"/>
  <c r="N277" i="1" s="1"/>
  <c r="K278" i="1"/>
  <c r="L278" i="1"/>
  <c r="M278" i="1"/>
  <c r="N278" i="1" s="1"/>
  <c r="K279" i="1"/>
  <c r="L279" i="1"/>
  <c r="M279" i="1"/>
  <c r="N279" i="1" s="1"/>
  <c r="K280" i="1"/>
  <c r="L280" i="1"/>
  <c r="M280" i="1"/>
  <c r="N280" i="1" s="1"/>
  <c r="K281" i="1"/>
  <c r="L281" i="1"/>
  <c r="M281" i="1"/>
  <c r="N281" i="1" s="1"/>
  <c r="K282" i="1"/>
  <c r="L282" i="1"/>
  <c r="M282" i="1"/>
  <c r="N282" i="1" s="1"/>
  <c r="U55" i="1" l="1"/>
  <c r="S55" i="1" s="1"/>
  <c r="U270" i="1"/>
  <c r="S270" i="1" s="1"/>
  <c r="L11" i="3"/>
  <c r="S11" i="3"/>
  <c r="R11" i="3" s="1"/>
  <c r="T11" i="3"/>
  <c r="U11" i="3"/>
  <c r="V11" i="3"/>
  <c r="L12" i="3"/>
  <c r="S12" i="3"/>
  <c r="R12" i="3" s="1"/>
  <c r="T12" i="3"/>
  <c r="U12" i="3"/>
  <c r="V12" i="3"/>
  <c r="L13" i="3"/>
  <c r="S13" i="3"/>
  <c r="R13" i="3" s="1"/>
  <c r="T13" i="3"/>
  <c r="U13" i="3"/>
  <c r="V13" i="3"/>
  <c r="L14" i="3"/>
  <c r="S14" i="3"/>
  <c r="R14" i="3" s="1"/>
  <c r="T14" i="3"/>
  <c r="U14" i="3"/>
  <c r="V14" i="3"/>
  <c r="L15" i="3"/>
  <c r="S15" i="3"/>
  <c r="R15" i="3" s="1"/>
  <c r="T15" i="3"/>
  <c r="U15" i="3"/>
  <c r="V15" i="3"/>
  <c r="L16" i="3"/>
  <c r="S16" i="3"/>
  <c r="R16" i="3" s="1"/>
  <c r="T16" i="3"/>
  <c r="U16" i="3"/>
  <c r="V16" i="3"/>
  <c r="L17" i="3"/>
  <c r="S17" i="3"/>
  <c r="R17" i="3" s="1"/>
  <c r="T17" i="3"/>
  <c r="U17" i="3"/>
  <c r="V17" i="3"/>
  <c r="L18" i="3"/>
  <c r="S18" i="3"/>
  <c r="R18" i="3" s="1"/>
  <c r="T18" i="3"/>
  <c r="U18" i="3"/>
  <c r="V18" i="3"/>
  <c r="L19" i="3"/>
  <c r="S19" i="3"/>
  <c r="R19" i="3" s="1"/>
  <c r="T19" i="3"/>
  <c r="U19" i="3"/>
  <c r="V19" i="3"/>
  <c r="L20" i="3"/>
  <c r="S20" i="3"/>
  <c r="R20" i="3" s="1"/>
  <c r="T20" i="3"/>
  <c r="U20" i="3"/>
  <c r="V20" i="3"/>
  <c r="L21" i="3"/>
  <c r="S21" i="3"/>
  <c r="R21" i="3" s="1"/>
  <c r="T21" i="3"/>
  <c r="U21" i="3"/>
  <c r="V21" i="3"/>
  <c r="L22" i="3"/>
  <c r="S22" i="3"/>
  <c r="R22" i="3" s="1"/>
  <c r="T22" i="3"/>
  <c r="U22" i="3"/>
  <c r="V22" i="3"/>
  <c r="L23" i="3"/>
  <c r="S23" i="3"/>
  <c r="R23" i="3" s="1"/>
  <c r="T23" i="3"/>
  <c r="U23" i="3"/>
  <c r="V23" i="3"/>
  <c r="L24" i="3"/>
  <c r="S24" i="3"/>
  <c r="R24" i="3" s="1"/>
  <c r="T24" i="3"/>
  <c r="U24" i="3"/>
  <c r="V24" i="3"/>
  <c r="L25" i="3"/>
  <c r="S25" i="3"/>
  <c r="R25" i="3" s="1"/>
  <c r="T25" i="3"/>
  <c r="U25" i="3"/>
  <c r="V25" i="3"/>
  <c r="L26" i="3"/>
  <c r="S26" i="3"/>
  <c r="R26" i="3" s="1"/>
  <c r="T26" i="3"/>
  <c r="U26" i="3"/>
  <c r="V26" i="3"/>
  <c r="L27" i="3"/>
  <c r="S27" i="3"/>
  <c r="R27" i="3" s="1"/>
  <c r="T27" i="3"/>
  <c r="U27" i="3"/>
  <c r="V27" i="3"/>
  <c r="L28" i="3"/>
  <c r="S28" i="3"/>
  <c r="R28" i="3" s="1"/>
  <c r="T28" i="3"/>
  <c r="U28" i="3"/>
  <c r="V28" i="3"/>
  <c r="L29" i="3"/>
  <c r="S29" i="3"/>
  <c r="R29" i="3" s="1"/>
  <c r="T29" i="3"/>
  <c r="U29" i="3"/>
  <c r="V29" i="3"/>
  <c r="L30" i="3"/>
  <c r="S30" i="3"/>
  <c r="R30" i="3" s="1"/>
  <c r="T30" i="3"/>
  <c r="U30" i="3"/>
  <c r="V30" i="3"/>
  <c r="L31" i="3"/>
  <c r="S31" i="3"/>
  <c r="R31" i="3" s="1"/>
  <c r="T31" i="3"/>
  <c r="U31" i="3"/>
  <c r="V31" i="3"/>
  <c r="L32" i="3"/>
  <c r="S32" i="3"/>
  <c r="R32" i="3" s="1"/>
  <c r="T32" i="3"/>
  <c r="U32" i="3"/>
  <c r="V32" i="3"/>
  <c r="L33" i="3"/>
  <c r="S33" i="3"/>
  <c r="R33" i="3" s="1"/>
  <c r="T33" i="3"/>
  <c r="U33" i="3"/>
  <c r="V33" i="3"/>
  <c r="L34" i="3"/>
  <c r="S34" i="3"/>
  <c r="R34" i="3" s="1"/>
  <c r="T34" i="3"/>
  <c r="U34" i="3"/>
  <c r="V34" i="3"/>
  <c r="L35" i="3"/>
  <c r="S35" i="3"/>
  <c r="R35" i="3" s="1"/>
  <c r="T35" i="3"/>
  <c r="U35" i="3"/>
  <c r="V35" i="3"/>
  <c r="L36" i="3"/>
  <c r="S36" i="3"/>
  <c r="R36" i="3" s="1"/>
  <c r="T36" i="3"/>
  <c r="U36" i="3"/>
  <c r="V36" i="3"/>
  <c r="L37" i="3"/>
  <c r="P37" i="3"/>
  <c r="Q37" i="3"/>
  <c r="S37" i="3"/>
  <c r="R37" i="3" s="1"/>
  <c r="T37" i="3"/>
  <c r="U37" i="3"/>
  <c r="V37" i="3"/>
  <c r="L38" i="3"/>
  <c r="S38" i="3"/>
  <c r="R38" i="3" s="1"/>
  <c r="T38" i="3"/>
  <c r="U38" i="3"/>
  <c r="V38" i="3"/>
  <c r="L39" i="3"/>
  <c r="S39" i="3"/>
  <c r="R39" i="3" s="1"/>
  <c r="T39" i="3"/>
  <c r="U39" i="3"/>
  <c r="V39" i="3"/>
  <c r="L40" i="3"/>
  <c r="S40" i="3"/>
  <c r="R40" i="3" s="1"/>
  <c r="T40" i="3"/>
  <c r="U40" i="3"/>
  <c r="V40" i="3"/>
  <c r="L41" i="3"/>
  <c r="S41" i="3"/>
  <c r="R41" i="3" s="1"/>
  <c r="T41" i="3"/>
  <c r="U41" i="3"/>
  <c r="V41" i="3"/>
  <c r="L42" i="3"/>
  <c r="S42" i="3"/>
  <c r="R42" i="3" s="1"/>
  <c r="T42" i="3"/>
  <c r="U42" i="3"/>
  <c r="V42" i="3"/>
  <c r="L43" i="3"/>
  <c r="S43" i="3"/>
  <c r="R43" i="3" s="1"/>
  <c r="T43" i="3"/>
  <c r="U43" i="3"/>
  <c r="V43" i="3"/>
  <c r="L44" i="3"/>
  <c r="S44" i="3"/>
  <c r="R44" i="3" s="1"/>
  <c r="T44" i="3"/>
  <c r="U44" i="3"/>
  <c r="V44" i="3"/>
  <c r="L45" i="3"/>
  <c r="S45" i="3"/>
  <c r="R45" i="3" s="1"/>
  <c r="T45" i="3"/>
  <c r="U45" i="3"/>
  <c r="V45" i="3"/>
  <c r="L46" i="3"/>
  <c r="S46" i="3"/>
  <c r="R46" i="3" s="1"/>
  <c r="T46" i="3"/>
  <c r="U46" i="3"/>
  <c r="V46" i="3"/>
  <c r="L47" i="3"/>
  <c r="S47" i="3"/>
  <c r="R47" i="3" s="1"/>
  <c r="T47" i="3"/>
  <c r="U47" i="3"/>
  <c r="V47" i="3"/>
  <c r="L48" i="3"/>
  <c r="S48" i="3"/>
  <c r="R48" i="3" s="1"/>
  <c r="T48" i="3"/>
  <c r="U48" i="3"/>
  <c r="V48" i="3"/>
  <c r="L49" i="3"/>
  <c r="S49" i="3"/>
  <c r="R49" i="3" s="1"/>
  <c r="T49" i="3"/>
  <c r="U49" i="3"/>
  <c r="V49" i="3"/>
  <c r="L50" i="3"/>
  <c r="S50" i="3"/>
  <c r="R50" i="3" s="1"/>
  <c r="T50" i="3"/>
  <c r="U50" i="3"/>
  <c r="V50" i="3"/>
  <c r="L51" i="3"/>
  <c r="S51" i="3"/>
  <c r="R51" i="3" s="1"/>
  <c r="T51" i="3"/>
  <c r="U51" i="3"/>
  <c r="V51" i="3"/>
  <c r="L52" i="3"/>
  <c r="S52" i="3"/>
  <c r="R52" i="3" s="1"/>
  <c r="T52" i="3"/>
  <c r="U52" i="3"/>
  <c r="V52" i="3"/>
  <c r="L53" i="3"/>
  <c r="S53" i="3"/>
  <c r="R53" i="3" s="1"/>
  <c r="T53" i="3"/>
  <c r="U53" i="3"/>
  <c r="V53" i="3"/>
  <c r="L54" i="3"/>
  <c r="S54" i="3"/>
  <c r="R54" i="3" s="1"/>
  <c r="T54" i="3"/>
  <c r="U54" i="3"/>
  <c r="V54" i="3"/>
  <c r="L55" i="3"/>
  <c r="S55" i="3"/>
  <c r="R55" i="3" s="1"/>
  <c r="T55" i="3"/>
  <c r="U55" i="3"/>
  <c r="V55" i="3"/>
  <c r="L56" i="3"/>
  <c r="S56" i="3"/>
  <c r="R56" i="3" s="1"/>
  <c r="T56" i="3"/>
  <c r="U56" i="3"/>
  <c r="V56" i="3"/>
  <c r="L57" i="3"/>
  <c r="S57" i="3"/>
  <c r="R57" i="3" s="1"/>
  <c r="T57" i="3"/>
  <c r="U57" i="3"/>
  <c r="V57" i="3"/>
  <c r="L58" i="3"/>
  <c r="S58" i="3"/>
  <c r="R58" i="3" s="1"/>
  <c r="T58" i="3"/>
  <c r="U58" i="3"/>
  <c r="V58" i="3"/>
  <c r="L59" i="3"/>
  <c r="S59" i="3"/>
  <c r="R59" i="3" s="1"/>
  <c r="T59" i="3"/>
  <c r="U59" i="3"/>
  <c r="V59" i="3"/>
  <c r="L60" i="3"/>
  <c r="S60" i="3"/>
  <c r="R60" i="3" s="1"/>
  <c r="T60" i="3"/>
  <c r="U60" i="3"/>
  <c r="V60" i="3"/>
  <c r="L61" i="3"/>
  <c r="S61" i="3"/>
  <c r="R61" i="3" s="1"/>
  <c r="T61" i="3"/>
  <c r="U61" i="3"/>
  <c r="V61" i="3"/>
  <c r="L62" i="3"/>
  <c r="S62" i="3"/>
  <c r="R62" i="3" s="1"/>
  <c r="T62" i="3"/>
  <c r="U62" i="3"/>
  <c r="V62" i="3"/>
  <c r="L63" i="3"/>
  <c r="S63" i="3"/>
  <c r="R63" i="3" s="1"/>
  <c r="T63" i="3"/>
  <c r="U63" i="3"/>
  <c r="V63" i="3"/>
  <c r="L64" i="3"/>
  <c r="S64" i="3"/>
  <c r="R64" i="3" s="1"/>
  <c r="T64" i="3"/>
  <c r="U64" i="3"/>
  <c r="V64" i="3"/>
  <c r="L65" i="3"/>
  <c r="S65" i="3"/>
  <c r="R65" i="3" s="1"/>
  <c r="T65" i="3"/>
  <c r="U65" i="3"/>
  <c r="V65" i="3"/>
  <c r="L66" i="3"/>
  <c r="S66" i="3"/>
  <c r="R66" i="3" s="1"/>
  <c r="T66" i="3"/>
  <c r="U66" i="3"/>
  <c r="V66" i="3"/>
  <c r="L67" i="3"/>
  <c r="S67" i="3"/>
  <c r="R67" i="3" s="1"/>
  <c r="T67" i="3"/>
  <c r="U67" i="3"/>
  <c r="V67" i="3"/>
  <c r="U8" i="3"/>
  <c r="U9" i="3"/>
  <c r="U10" i="3"/>
  <c r="U7" i="3"/>
  <c r="V253" i="1"/>
  <c r="Y253" i="1"/>
  <c r="Z253" i="1"/>
  <c r="AB253" i="1"/>
  <c r="AC253" i="1"/>
  <c r="AD253" i="1"/>
  <c r="AE253" i="1"/>
  <c r="AF253" i="1"/>
  <c r="V254" i="1"/>
  <c r="Y254" i="1"/>
  <c r="Z254" i="1"/>
  <c r="AB254" i="1"/>
  <c r="AC254" i="1"/>
  <c r="AD254" i="1"/>
  <c r="AE254" i="1"/>
  <c r="AF254" i="1"/>
  <c r="V255" i="1"/>
  <c r="Y255" i="1"/>
  <c r="Z255" i="1"/>
  <c r="AB255" i="1"/>
  <c r="AC255" i="1"/>
  <c r="AD255" i="1"/>
  <c r="T255" i="1" s="1"/>
  <c r="AE255" i="1"/>
  <c r="AF255" i="1"/>
  <c r="V256" i="1"/>
  <c r="Y256" i="1"/>
  <c r="Z256" i="1"/>
  <c r="AB256" i="1"/>
  <c r="AC256" i="1"/>
  <c r="AD256" i="1"/>
  <c r="AE256" i="1"/>
  <c r="AF256" i="1"/>
  <c r="V257" i="1"/>
  <c r="Y257" i="1"/>
  <c r="Z257" i="1"/>
  <c r="AB257" i="1"/>
  <c r="AC257" i="1"/>
  <c r="AD257" i="1"/>
  <c r="AE257" i="1"/>
  <c r="AF257" i="1"/>
  <c r="V258" i="1"/>
  <c r="Y258" i="1"/>
  <c r="Z258" i="1"/>
  <c r="AB258" i="1"/>
  <c r="AC258" i="1"/>
  <c r="AD258" i="1"/>
  <c r="AE258" i="1"/>
  <c r="AF258" i="1"/>
  <c r="V259" i="1"/>
  <c r="Y259" i="1"/>
  <c r="Z259" i="1"/>
  <c r="AB259" i="1"/>
  <c r="AC259" i="1"/>
  <c r="AD259" i="1"/>
  <c r="T259" i="1" s="1"/>
  <c r="AE259" i="1"/>
  <c r="AF259" i="1"/>
  <c r="V260" i="1"/>
  <c r="Q61" i="3" s="1"/>
  <c r="Y260" i="1"/>
  <c r="Z260" i="1"/>
  <c r="AB260" i="1"/>
  <c r="AC260" i="1"/>
  <c r="AD260" i="1"/>
  <c r="AE260" i="1"/>
  <c r="P61" i="3" s="1"/>
  <c r="AF260" i="1"/>
  <c r="V261" i="1"/>
  <c r="Y261" i="1"/>
  <c r="Z261" i="1"/>
  <c r="AB261" i="1"/>
  <c r="AC261" i="1"/>
  <c r="AD261" i="1"/>
  <c r="AE261" i="1"/>
  <c r="AF261" i="1"/>
  <c r="K101" i="1"/>
  <c r="L101" i="1"/>
  <c r="M101" i="1"/>
  <c r="N101" i="1" s="1"/>
  <c r="V101" i="1"/>
  <c r="Y101" i="1"/>
  <c r="Z101" i="1"/>
  <c r="AB101" i="1"/>
  <c r="AC101" i="1"/>
  <c r="AD101" i="1"/>
  <c r="AE101" i="1"/>
  <c r="AF101" i="1"/>
  <c r="V262" i="1"/>
  <c r="Y262" i="1"/>
  <c r="Z262" i="1"/>
  <c r="AB262" i="1"/>
  <c r="AC262" i="1"/>
  <c r="AD262" i="1"/>
  <c r="AE262" i="1"/>
  <c r="AF262" i="1"/>
  <c r="V263" i="1"/>
  <c r="Y263" i="1"/>
  <c r="Z263" i="1"/>
  <c r="AB263" i="1"/>
  <c r="AC263" i="1"/>
  <c r="AD263" i="1"/>
  <c r="AE263" i="1"/>
  <c r="AF263" i="1"/>
  <c r="V264" i="1"/>
  <c r="Y264" i="1"/>
  <c r="Z264" i="1"/>
  <c r="AB264" i="1"/>
  <c r="AC264" i="1"/>
  <c r="AD264" i="1"/>
  <c r="AE264" i="1"/>
  <c r="AF264" i="1"/>
  <c r="V265" i="1"/>
  <c r="Q64" i="3" s="1"/>
  <c r="Y265" i="1"/>
  <c r="Z265" i="1"/>
  <c r="AB265" i="1"/>
  <c r="AC265" i="1"/>
  <c r="AD265" i="1"/>
  <c r="AE265" i="1"/>
  <c r="P64" i="3" s="1"/>
  <c r="AF265" i="1"/>
  <c r="V266" i="1"/>
  <c r="Y266" i="1"/>
  <c r="Z266" i="1"/>
  <c r="AB266" i="1"/>
  <c r="AC266" i="1"/>
  <c r="AD266" i="1"/>
  <c r="T266" i="1" s="1"/>
  <c r="AE266" i="1"/>
  <c r="AF266" i="1"/>
  <c r="V267" i="1"/>
  <c r="Q53" i="3" s="1"/>
  <c r="Y267" i="1"/>
  <c r="AB267" i="1"/>
  <c r="AC267" i="1"/>
  <c r="AD267" i="1"/>
  <c r="AE267" i="1"/>
  <c r="P53" i="3" s="1"/>
  <c r="AF267" i="1"/>
  <c r="V268" i="1"/>
  <c r="Y268" i="1"/>
  <c r="Z268" i="1"/>
  <c r="AB268" i="1"/>
  <c r="AC268" i="1"/>
  <c r="AD268" i="1"/>
  <c r="AE268" i="1"/>
  <c r="AF268" i="1"/>
  <c r="V269" i="1"/>
  <c r="Y269" i="1"/>
  <c r="Z269" i="1"/>
  <c r="AB269" i="1"/>
  <c r="AC269" i="1"/>
  <c r="AD269" i="1"/>
  <c r="AE269" i="1"/>
  <c r="AF269" i="1"/>
  <c r="V271" i="1"/>
  <c r="Y271" i="1"/>
  <c r="Z271" i="1"/>
  <c r="AB271" i="1"/>
  <c r="AC271" i="1"/>
  <c r="AD271" i="1"/>
  <c r="X271" i="1" s="1"/>
  <c r="AE271" i="1"/>
  <c r="AF271" i="1"/>
  <c r="K102" i="1"/>
  <c r="L102" i="1"/>
  <c r="M102" i="1"/>
  <c r="N102" i="1" s="1"/>
  <c r="V102" i="1"/>
  <c r="Y102" i="1"/>
  <c r="Z102" i="1"/>
  <c r="AB102" i="1"/>
  <c r="AC102" i="1"/>
  <c r="AD102" i="1"/>
  <c r="AE102" i="1"/>
  <c r="AF102" i="1"/>
  <c r="V272" i="1"/>
  <c r="Q41" i="3" s="1"/>
  <c r="Y272" i="1"/>
  <c r="Z272" i="1"/>
  <c r="AB272" i="1"/>
  <c r="AC272" i="1"/>
  <c r="AD272" i="1"/>
  <c r="AE272" i="1"/>
  <c r="P41" i="3" s="1"/>
  <c r="AF272" i="1"/>
  <c r="V273" i="1"/>
  <c r="Y273" i="1"/>
  <c r="Z273" i="1"/>
  <c r="AB273" i="1"/>
  <c r="AC273" i="1"/>
  <c r="AD273" i="1"/>
  <c r="AE273" i="1"/>
  <c r="AF273" i="1"/>
  <c r="V274" i="1"/>
  <c r="Y274" i="1"/>
  <c r="Z274" i="1"/>
  <c r="AB274" i="1"/>
  <c r="AC274" i="1"/>
  <c r="AD274" i="1"/>
  <c r="T274" i="1" s="1"/>
  <c r="AE274" i="1"/>
  <c r="AF274" i="1"/>
  <c r="V275" i="1"/>
  <c r="Q43" i="3" s="1"/>
  <c r="Y275" i="1"/>
  <c r="Z275" i="1"/>
  <c r="AB275" i="1"/>
  <c r="AC275" i="1"/>
  <c r="AD275" i="1"/>
  <c r="T275" i="1" s="1"/>
  <c r="AE275" i="1"/>
  <c r="P43" i="3" s="1"/>
  <c r="AF275" i="1"/>
  <c r="V276" i="1"/>
  <c r="Y276" i="1"/>
  <c r="Z276" i="1"/>
  <c r="AB276" i="1"/>
  <c r="AC276" i="1"/>
  <c r="AD276" i="1"/>
  <c r="T276" i="1" s="1"/>
  <c r="AE276" i="1"/>
  <c r="AF276" i="1"/>
  <c r="V277" i="1"/>
  <c r="Q45" i="3" s="1"/>
  <c r="Y277" i="1"/>
  <c r="Z277" i="1"/>
  <c r="AB277" i="1"/>
  <c r="AC277" i="1"/>
  <c r="AD277" i="1"/>
  <c r="T277" i="1" s="1"/>
  <c r="AE277" i="1"/>
  <c r="P45" i="3" s="1"/>
  <c r="AF277" i="1"/>
  <c r="V278" i="1"/>
  <c r="Q42" i="3" s="1"/>
  <c r="Y278" i="1"/>
  <c r="Z278" i="1"/>
  <c r="AB278" i="1"/>
  <c r="AC278" i="1"/>
  <c r="AD278" i="1"/>
  <c r="T278" i="1" s="1"/>
  <c r="AE278" i="1"/>
  <c r="P42" i="3" s="1"/>
  <c r="AF278" i="1"/>
  <c r="V279" i="1"/>
  <c r="Y279" i="1"/>
  <c r="Z279" i="1"/>
  <c r="AB279" i="1"/>
  <c r="AC279" i="1"/>
  <c r="AD279" i="1"/>
  <c r="T279" i="1" s="1"/>
  <c r="AE279" i="1"/>
  <c r="AF279" i="1"/>
  <c r="V280" i="1"/>
  <c r="Y280" i="1"/>
  <c r="Z280" i="1"/>
  <c r="AB280" i="1"/>
  <c r="AC280" i="1"/>
  <c r="AD280" i="1"/>
  <c r="AE280" i="1"/>
  <c r="AF280" i="1"/>
  <c r="K103" i="1"/>
  <c r="L103" i="1"/>
  <c r="M103" i="1"/>
  <c r="N103" i="1" s="1"/>
  <c r="V103" i="1"/>
  <c r="Q14" i="3" s="1"/>
  <c r="Y103" i="1"/>
  <c r="Z103" i="1"/>
  <c r="AB103" i="1"/>
  <c r="AC103" i="1"/>
  <c r="AD103" i="1"/>
  <c r="AE103" i="1"/>
  <c r="P14" i="3" s="1"/>
  <c r="AF103" i="1"/>
  <c r="V281" i="1"/>
  <c r="Y281" i="1"/>
  <c r="Z281" i="1"/>
  <c r="AB281" i="1"/>
  <c r="AC281" i="1"/>
  <c r="AD281" i="1"/>
  <c r="T281" i="1" s="1"/>
  <c r="AE281" i="1"/>
  <c r="AF281" i="1"/>
  <c r="V282" i="1"/>
  <c r="Q44" i="3" s="1"/>
  <c r="Y282" i="1"/>
  <c r="Z282" i="1"/>
  <c r="AB282" i="1"/>
  <c r="AC282" i="1"/>
  <c r="AD282" i="1"/>
  <c r="T282" i="1" s="1"/>
  <c r="AE282" i="1"/>
  <c r="P44" i="3" s="1"/>
  <c r="AF282" i="1"/>
  <c r="K104" i="1"/>
  <c r="L104" i="1"/>
  <c r="M104" i="1"/>
  <c r="N104" i="1" s="1"/>
  <c r="V104" i="1"/>
  <c r="Q11" i="3" s="1"/>
  <c r="Y104" i="1"/>
  <c r="Z104" i="1"/>
  <c r="AB104" i="1"/>
  <c r="AC104" i="1"/>
  <c r="AD104" i="1"/>
  <c r="AE104" i="1"/>
  <c r="P11" i="3" s="1"/>
  <c r="AF104" i="1"/>
  <c r="K105" i="1"/>
  <c r="L105" i="1"/>
  <c r="M105" i="1"/>
  <c r="N105" i="1" s="1"/>
  <c r="V105" i="1"/>
  <c r="Y105" i="1"/>
  <c r="Z105" i="1"/>
  <c r="AB105" i="1"/>
  <c r="AC105" i="1"/>
  <c r="AD105" i="1"/>
  <c r="AE105" i="1"/>
  <c r="AF105" i="1"/>
  <c r="K106" i="1"/>
  <c r="L106" i="1"/>
  <c r="M106" i="1"/>
  <c r="N106" i="1" s="1"/>
  <c r="V106" i="1"/>
  <c r="Y106" i="1"/>
  <c r="Z106" i="1"/>
  <c r="AB106" i="1"/>
  <c r="AC106" i="1"/>
  <c r="AD106" i="1"/>
  <c r="AE106" i="1"/>
  <c r="AF106" i="1"/>
  <c r="K107" i="1"/>
  <c r="L107" i="1"/>
  <c r="M107" i="1"/>
  <c r="N107" i="1" s="1"/>
  <c r="V107" i="1"/>
  <c r="Y107" i="1"/>
  <c r="Z107" i="1"/>
  <c r="AB107" i="1"/>
  <c r="AC107" i="1"/>
  <c r="AD107" i="1"/>
  <c r="AE107" i="1"/>
  <c r="AF107" i="1"/>
  <c r="K108" i="1"/>
  <c r="L108" i="1"/>
  <c r="M108" i="1"/>
  <c r="N108" i="1" s="1"/>
  <c r="V108" i="1"/>
  <c r="Y108" i="1"/>
  <c r="Z108" i="1"/>
  <c r="AB108" i="1"/>
  <c r="AC108" i="1"/>
  <c r="AD108" i="1"/>
  <c r="AE108" i="1"/>
  <c r="AF108" i="1"/>
  <c r="K109" i="1"/>
  <c r="L109" i="1"/>
  <c r="M109" i="1"/>
  <c r="N109" i="1" s="1"/>
  <c r="V109" i="1"/>
  <c r="Y109" i="1"/>
  <c r="Z109" i="1"/>
  <c r="AB109" i="1"/>
  <c r="AC109" i="1"/>
  <c r="AD109" i="1"/>
  <c r="AE109" i="1"/>
  <c r="AF109" i="1"/>
  <c r="K110" i="1"/>
  <c r="L110" i="1"/>
  <c r="M110" i="1"/>
  <c r="N110" i="1" s="1"/>
  <c r="V110" i="1"/>
  <c r="Q26" i="3" s="1"/>
  <c r="Y110" i="1"/>
  <c r="Z110" i="1"/>
  <c r="AB110" i="1"/>
  <c r="AC110" i="1"/>
  <c r="AD110" i="1"/>
  <c r="AE110" i="1"/>
  <c r="P26" i="3" s="1"/>
  <c r="AF110" i="1"/>
  <c r="K111" i="1"/>
  <c r="L111" i="1"/>
  <c r="M111" i="1"/>
  <c r="N111" i="1" s="1"/>
  <c r="V111" i="1"/>
  <c r="Y111" i="1"/>
  <c r="Z111" i="1"/>
  <c r="AB111" i="1"/>
  <c r="AC111" i="1"/>
  <c r="AD111" i="1"/>
  <c r="AE111" i="1"/>
  <c r="AF111" i="1"/>
  <c r="K112" i="1"/>
  <c r="L112" i="1"/>
  <c r="M112" i="1"/>
  <c r="N112" i="1" s="1"/>
  <c r="V112" i="1"/>
  <c r="Y112" i="1"/>
  <c r="Z112" i="1"/>
  <c r="AB112" i="1"/>
  <c r="AC112" i="1"/>
  <c r="AD112" i="1"/>
  <c r="T112" i="1" s="1"/>
  <c r="AE112" i="1"/>
  <c r="AF112" i="1"/>
  <c r="K164" i="1"/>
  <c r="L164" i="1"/>
  <c r="M164" i="1"/>
  <c r="N164" i="1" s="1"/>
  <c r="V164" i="1"/>
  <c r="Y164" i="1"/>
  <c r="Z164" i="1"/>
  <c r="AB164" i="1"/>
  <c r="AC164" i="1"/>
  <c r="AD164" i="1"/>
  <c r="AE164" i="1"/>
  <c r="AF164" i="1"/>
  <c r="K165" i="1"/>
  <c r="L165" i="1"/>
  <c r="M165" i="1"/>
  <c r="N165" i="1" s="1"/>
  <c r="V165" i="1"/>
  <c r="Q38" i="3" s="1"/>
  <c r="Y165" i="1"/>
  <c r="Z165" i="1"/>
  <c r="AB165" i="1"/>
  <c r="AC165" i="1"/>
  <c r="AD165" i="1"/>
  <c r="AE165" i="1"/>
  <c r="P38" i="3" s="1"/>
  <c r="AF165" i="1"/>
  <c r="K166" i="1"/>
  <c r="L166" i="1"/>
  <c r="M166" i="1"/>
  <c r="N166" i="1" s="1"/>
  <c r="V166" i="1"/>
  <c r="Y166" i="1"/>
  <c r="Z166" i="1"/>
  <c r="AB166" i="1"/>
  <c r="AC166" i="1"/>
  <c r="AD166" i="1"/>
  <c r="AE166" i="1"/>
  <c r="AF166" i="1"/>
  <c r="K167" i="1"/>
  <c r="L167" i="1"/>
  <c r="M167" i="1"/>
  <c r="N167" i="1" s="1"/>
  <c r="V167" i="1"/>
  <c r="Y167" i="1"/>
  <c r="Z167" i="1"/>
  <c r="AB167" i="1"/>
  <c r="AC167" i="1"/>
  <c r="AD167" i="1"/>
  <c r="AE167" i="1"/>
  <c r="AF167" i="1"/>
  <c r="K168" i="1"/>
  <c r="L168" i="1"/>
  <c r="M168" i="1"/>
  <c r="N168" i="1" s="1"/>
  <c r="V168" i="1"/>
  <c r="Y168" i="1"/>
  <c r="Z168" i="1"/>
  <c r="AB168" i="1"/>
  <c r="AC168" i="1"/>
  <c r="AD168" i="1"/>
  <c r="AE168" i="1"/>
  <c r="AF168" i="1"/>
  <c r="K169" i="1"/>
  <c r="L169" i="1"/>
  <c r="M169" i="1"/>
  <c r="N169" i="1" s="1"/>
  <c r="V169" i="1"/>
  <c r="Y169" i="1"/>
  <c r="Z169" i="1"/>
  <c r="AB169" i="1"/>
  <c r="AC169" i="1"/>
  <c r="AD169" i="1"/>
  <c r="AE169" i="1"/>
  <c r="AF169" i="1"/>
  <c r="K170" i="1"/>
  <c r="L170" i="1"/>
  <c r="M170" i="1"/>
  <c r="N170" i="1" s="1"/>
  <c r="V170" i="1"/>
  <c r="Q39" i="3" s="1"/>
  <c r="Y170" i="1"/>
  <c r="Z170" i="1"/>
  <c r="AB170" i="1"/>
  <c r="AC170" i="1"/>
  <c r="AD170" i="1"/>
  <c r="AE170" i="1"/>
  <c r="P39" i="3" s="1"/>
  <c r="AF170" i="1"/>
  <c r="K171" i="1"/>
  <c r="L171" i="1"/>
  <c r="M171" i="1"/>
  <c r="N171" i="1" s="1"/>
  <c r="V171" i="1"/>
  <c r="Y171" i="1"/>
  <c r="Z171" i="1"/>
  <c r="AB171" i="1"/>
  <c r="AC171" i="1"/>
  <c r="AD171" i="1"/>
  <c r="T171" i="1" s="1"/>
  <c r="AE171" i="1"/>
  <c r="AF171" i="1"/>
  <c r="K113" i="1"/>
  <c r="L113" i="1"/>
  <c r="M113" i="1"/>
  <c r="N113" i="1" s="1"/>
  <c r="V113" i="1"/>
  <c r="Q35" i="3" s="1"/>
  <c r="Y113" i="1"/>
  <c r="Z113" i="1"/>
  <c r="AB113" i="1"/>
  <c r="AC113" i="1"/>
  <c r="AD113" i="1"/>
  <c r="AE113" i="1"/>
  <c r="P35" i="3" s="1"/>
  <c r="AF113" i="1"/>
  <c r="K114" i="1"/>
  <c r="L114" i="1"/>
  <c r="M114" i="1"/>
  <c r="N114" i="1" s="1"/>
  <c r="V114" i="1"/>
  <c r="Y114" i="1"/>
  <c r="Z114" i="1"/>
  <c r="AB114" i="1"/>
  <c r="AC114" i="1"/>
  <c r="AD114" i="1"/>
  <c r="AE114" i="1"/>
  <c r="AF114" i="1"/>
  <c r="K115" i="1"/>
  <c r="L115" i="1"/>
  <c r="M115" i="1"/>
  <c r="N115" i="1" s="1"/>
  <c r="V115" i="1"/>
  <c r="Y115" i="1"/>
  <c r="Z115" i="1"/>
  <c r="AB115" i="1"/>
  <c r="AC115" i="1"/>
  <c r="AD115" i="1"/>
  <c r="AE115" i="1"/>
  <c r="AF115" i="1"/>
  <c r="K116" i="1"/>
  <c r="L116" i="1"/>
  <c r="M116" i="1"/>
  <c r="N116" i="1" s="1"/>
  <c r="V116" i="1"/>
  <c r="Y116" i="1"/>
  <c r="Z116" i="1"/>
  <c r="AB116" i="1"/>
  <c r="AC116" i="1"/>
  <c r="AD116" i="1"/>
  <c r="AE116" i="1"/>
  <c r="AF116" i="1"/>
  <c r="K117" i="1"/>
  <c r="L117" i="1"/>
  <c r="M117" i="1"/>
  <c r="N117" i="1" s="1"/>
  <c r="V117" i="1"/>
  <c r="Y117" i="1"/>
  <c r="Z117" i="1"/>
  <c r="AB117" i="1"/>
  <c r="AC117" i="1"/>
  <c r="AD117" i="1"/>
  <c r="AE117" i="1"/>
  <c r="AF117" i="1"/>
  <c r="K118" i="1"/>
  <c r="L118" i="1"/>
  <c r="M118" i="1"/>
  <c r="N118" i="1" s="1"/>
  <c r="V118" i="1"/>
  <c r="Q29" i="3" s="1"/>
  <c r="Y118" i="1"/>
  <c r="Z118" i="1"/>
  <c r="AB118" i="1"/>
  <c r="AC118" i="1"/>
  <c r="AD118" i="1"/>
  <c r="AE118" i="1"/>
  <c r="P28" i="3" s="1"/>
  <c r="AF118" i="1"/>
  <c r="K119" i="1"/>
  <c r="L119" i="1"/>
  <c r="M119" i="1"/>
  <c r="N119" i="1" s="1"/>
  <c r="V119" i="1"/>
  <c r="Y119" i="1"/>
  <c r="Z119" i="1"/>
  <c r="AB119" i="1"/>
  <c r="AC119" i="1"/>
  <c r="AD119" i="1"/>
  <c r="AE119" i="1"/>
  <c r="AF119" i="1"/>
  <c r="K120" i="1"/>
  <c r="L120" i="1"/>
  <c r="M120" i="1"/>
  <c r="N120" i="1" s="1"/>
  <c r="V120" i="1"/>
  <c r="Q30" i="3" s="1"/>
  <c r="Y120" i="1"/>
  <c r="Z120" i="1"/>
  <c r="AB120" i="1"/>
  <c r="AC120" i="1"/>
  <c r="AD120" i="1"/>
  <c r="AE120" i="1"/>
  <c r="P30" i="3" s="1"/>
  <c r="AF120" i="1"/>
  <c r="K121" i="1"/>
  <c r="L121" i="1"/>
  <c r="M121" i="1"/>
  <c r="N121" i="1" s="1"/>
  <c r="V121" i="1"/>
  <c r="Y121" i="1"/>
  <c r="Z121" i="1"/>
  <c r="AB121" i="1"/>
  <c r="AC121" i="1"/>
  <c r="AD121" i="1"/>
  <c r="AE121" i="1"/>
  <c r="AF121" i="1"/>
  <c r="K122" i="1"/>
  <c r="L122" i="1"/>
  <c r="M122" i="1"/>
  <c r="N122" i="1" s="1"/>
  <c r="V122" i="1"/>
  <c r="Y122" i="1"/>
  <c r="Z122" i="1"/>
  <c r="AB122" i="1"/>
  <c r="AC122" i="1"/>
  <c r="AD122" i="1"/>
  <c r="AE122" i="1"/>
  <c r="AF122" i="1"/>
  <c r="K123" i="1"/>
  <c r="L123" i="1"/>
  <c r="M123" i="1"/>
  <c r="N123" i="1" s="1"/>
  <c r="V123" i="1"/>
  <c r="Y123" i="1"/>
  <c r="Z123" i="1"/>
  <c r="AB123" i="1"/>
  <c r="AC123" i="1"/>
  <c r="AD123" i="1"/>
  <c r="T123" i="1" s="1"/>
  <c r="AE123" i="1"/>
  <c r="AF123" i="1"/>
  <c r="K124" i="1"/>
  <c r="L124" i="1"/>
  <c r="M124" i="1"/>
  <c r="N124" i="1" s="1"/>
  <c r="V124" i="1"/>
  <c r="Q12" i="3" s="1"/>
  <c r="Y124" i="1"/>
  <c r="Z124" i="1"/>
  <c r="AB124" i="1"/>
  <c r="AC124" i="1"/>
  <c r="AD124" i="1"/>
  <c r="AE124" i="1"/>
  <c r="P12" i="3" s="1"/>
  <c r="AF124" i="1"/>
  <c r="K125" i="1"/>
  <c r="L125" i="1"/>
  <c r="M125" i="1"/>
  <c r="N125" i="1" s="1"/>
  <c r="V125" i="1"/>
  <c r="Y125" i="1"/>
  <c r="Z125" i="1"/>
  <c r="AB125" i="1"/>
  <c r="AC125" i="1"/>
  <c r="AD125" i="1"/>
  <c r="AE125" i="1"/>
  <c r="AF125" i="1"/>
  <c r="K126" i="1"/>
  <c r="L126" i="1"/>
  <c r="M126" i="1"/>
  <c r="N126" i="1" s="1"/>
  <c r="V126" i="1"/>
  <c r="Y126" i="1"/>
  <c r="Z126" i="1"/>
  <c r="AB126" i="1"/>
  <c r="AC126" i="1"/>
  <c r="AD126" i="1"/>
  <c r="AE126" i="1"/>
  <c r="AF126" i="1"/>
  <c r="K127" i="1"/>
  <c r="L127" i="1"/>
  <c r="M127" i="1"/>
  <c r="N127" i="1" s="1"/>
  <c r="V127" i="1"/>
  <c r="Y127" i="1"/>
  <c r="Z127" i="1"/>
  <c r="AB127" i="1"/>
  <c r="AC127" i="1"/>
  <c r="AD127" i="1"/>
  <c r="AE127" i="1"/>
  <c r="AF127" i="1"/>
  <c r="K128" i="1"/>
  <c r="L128" i="1"/>
  <c r="M128" i="1"/>
  <c r="N128" i="1" s="1"/>
  <c r="V128" i="1"/>
  <c r="Y128" i="1"/>
  <c r="Z128" i="1"/>
  <c r="AB128" i="1"/>
  <c r="AC128" i="1"/>
  <c r="AD128" i="1"/>
  <c r="AE128" i="1"/>
  <c r="AF128" i="1"/>
  <c r="K129" i="1"/>
  <c r="L129" i="1"/>
  <c r="M129" i="1"/>
  <c r="N129" i="1" s="1"/>
  <c r="V129" i="1"/>
  <c r="Y129" i="1"/>
  <c r="Z129" i="1"/>
  <c r="AB129" i="1"/>
  <c r="AC129" i="1"/>
  <c r="AD129" i="1"/>
  <c r="AE129" i="1"/>
  <c r="AF129" i="1"/>
  <c r="K130" i="1"/>
  <c r="L130" i="1"/>
  <c r="M130" i="1"/>
  <c r="N130" i="1" s="1"/>
  <c r="V130" i="1"/>
  <c r="Q31" i="3" s="1"/>
  <c r="Y130" i="1"/>
  <c r="Z130" i="1"/>
  <c r="AB130" i="1"/>
  <c r="AC130" i="1"/>
  <c r="AD130" i="1"/>
  <c r="AE130" i="1"/>
  <c r="P31" i="3" s="1"/>
  <c r="AF130" i="1"/>
  <c r="K131" i="1"/>
  <c r="L131" i="1"/>
  <c r="M131" i="1"/>
  <c r="N131" i="1" s="1"/>
  <c r="V131" i="1"/>
  <c r="Y131" i="1"/>
  <c r="Z131" i="1"/>
  <c r="AB131" i="1"/>
  <c r="AC131" i="1"/>
  <c r="AD131" i="1"/>
  <c r="AE131" i="1"/>
  <c r="AF131" i="1"/>
  <c r="K132" i="1"/>
  <c r="L132" i="1"/>
  <c r="M132" i="1"/>
  <c r="N132" i="1" s="1"/>
  <c r="V132" i="1"/>
  <c r="Y132" i="1"/>
  <c r="Z132" i="1"/>
  <c r="AB132" i="1"/>
  <c r="AC132" i="1"/>
  <c r="AD132" i="1"/>
  <c r="AE132" i="1"/>
  <c r="AF132" i="1"/>
  <c r="K133" i="1"/>
  <c r="L133" i="1"/>
  <c r="M133" i="1"/>
  <c r="N133" i="1" s="1"/>
  <c r="V133" i="1"/>
  <c r="Y133" i="1"/>
  <c r="Z133" i="1"/>
  <c r="AB133" i="1"/>
  <c r="AC133" i="1"/>
  <c r="AD133" i="1"/>
  <c r="X133" i="1" s="1"/>
  <c r="AE133" i="1"/>
  <c r="AF133" i="1"/>
  <c r="K134" i="1"/>
  <c r="L134" i="1"/>
  <c r="M134" i="1"/>
  <c r="N134" i="1" s="1"/>
  <c r="V134" i="1"/>
  <c r="Y134" i="1"/>
  <c r="Z134" i="1"/>
  <c r="AB134" i="1"/>
  <c r="AC134" i="1"/>
  <c r="AD134" i="1"/>
  <c r="AE134" i="1"/>
  <c r="AF134" i="1"/>
  <c r="K135" i="1"/>
  <c r="L135" i="1"/>
  <c r="M135" i="1"/>
  <c r="N135" i="1" s="1"/>
  <c r="V135" i="1"/>
  <c r="Y135" i="1"/>
  <c r="Z135" i="1"/>
  <c r="AB135" i="1"/>
  <c r="AC135" i="1"/>
  <c r="AD135" i="1"/>
  <c r="AE135" i="1"/>
  <c r="AF135" i="1"/>
  <c r="K136" i="1"/>
  <c r="L136" i="1"/>
  <c r="M136" i="1"/>
  <c r="N136" i="1" s="1"/>
  <c r="V136" i="1"/>
  <c r="Y136" i="1"/>
  <c r="Z136" i="1"/>
  <c r="AB136" i="1"/>
  <c r="AC136" i="1"/>
  <c r="AD136" i="1"/>
  <c r="AE136" i="1"/>
  <c r="AF136" i="1"/>
  <c r="K137" i="1"/>
  <c r="L137" i="1"/>
  <c r="M137" i="1"/>
  <c r="N137" i="1" s="1"/>
  <c r="V137" i="1"/>
  <c r="Y137" i="1"/>
  <c r="Z137" i="1"/>
  <c r="AB137" i="1"/>
  <c r="AC137" i="1"/>
  <c r="AD137" i="1"/>
  <c r="X137" i="1" s="1"/>
  <c r="AE137" i="1"/>
  <c r="AF137" i="1"/>
  <c r="K138" i="1"/>
  <c r="L138" i="1"/>
  <c r="M138" i="1"/>
  <c r="N138" i="1" s="1"/>
  <c r="V138" i="1"/>
  <c r="Y138" i="1"/>
  <c r="Z138" i="1"/>
  <c r="AB138" i="1"/>
  <c r="AC138" i="1"/>
  <c r="AD138" i="1"/>
  <c r="AE138" i="1"/>
  <c r="AF138" i="1"/>
  <c r="K139" i="1"/>
  <c r="L139" i="1"/>
  <c r="M139" i="1"/>
  <c r="N139" i="1" s="1"/>
  <c r="V139" i="1"/>
  <c r="Y139" i="1"/>
  <c r="Z139" i="1"/>
  <c r="AB139" i="1"/>
  <c r="AC139" i="1"/>
  <c r="AD139" i="1"/>
  <c r="AE139" i="1"/>
  <c r="AF139" i="1"/>
  <c r="K140" i="1"/>
  <c r="L140" i="1"/>
  <c r="M140" i="1"/>
  <c r="N140" i="1" s="1"/>
  <c r="V140" i="1"/>
  <c r="Y140" i="1"/>
  <c r="Z140" i="1"/>
  <c r="AB140" i="1"/>
  <c r="AC140" i="1"/>
  <c r="AD140" i="1"/>
  <c r="AE140" i="1"/>
  <c r="AF140" i="1"/>
  <c r="K141" i="1"/>
  <c r="L141" i="1"/>
  <c r="M141" i="1"/>
  <c r="N141" i="1" s="1"/>
  <c r="V141" i="1"/>
  <c r="Y141" i="1"/>
  <c r="Z141" i="1"/>
  <c r="AB141" i="1"/>
  <c r="AC141" i="1"/>
  <c r="AD141" i="1"/>
  <c r="AE141" i="1"/>
  <c r="AF141" i="1"/>
  <c r="K142" i="1"/>
  <c r="L142" i="1"/>
  <c r="M142" i="1"/>
  <c r="N142" i="1" s="1"/>
  <c r="V142" i="1"/>
  <c r="Y142" i="1"/>
  <c r="Z142" i="1"/>
  <c r="AB142" i="1"/>
  <c r="AC142" i="1"/>
  <c r="AD142" i="1"/>
  <c r="AE142" i="1"/>
  <c r="AF142" i="1"/>
  <c r="K143" i="1"/>
  <c r="L143" i="1"/>
  <c r="M143" i="1"/>
  <c r="N143" i="1" s="1"/>
  <c r="V143" i="1"/>
  <c r="Y143" i="1"/>
  <c r="Z143" i="1"/>
  <c r="AB143" i="1"/>
  <c r="AC143" i="1"/>
  <c r="AD143" i="1"/>
  <c r="AE143" i="1"/>
  <c r="AF143" i="1"/>
  <c r="K144" i="1"/>
  <c r="L144" i="1"/>
  <c r="M144" i="1"/>
  <c r="N144" i="1" s="1"/>
  <c r="V144" i="1"/>
  <c r="Q36" i="3" s="1"/>
  <c r="Y144" i="1"/>
  <c r="Z144" i="1"/>
  <c r="AB144" i="1"/>
  <c r="AC144" i="1"/>
  <c r="AD144" i="1"/>
  <c r="AE144" i="1"/>
  <c r="P36" i="3" s="1"/>
  <c r="AF144" i="1"/>
  <c r="K145" i="1"/>
  <c r="L145" i="1"/>
  <c r="M145" i="1"/>
  <c r="N145" i="1" s="1"/>
  <c r="V145" i="1"/>
  <c r="Y145" i="1"/>
  <c r="Z145" i="1"/>
  <c r="AB145" i="1"/>
  <c r="AC145" i="1"/>
  <c r="AD145" i="1"/>
  <c r="AE145" i="1"/>
  <c r="AF145" i="1"/>
  <c r="K146" i="1"/>
  <c r="L146" i="1"/>
  <c r="M146" i="1"/>
  <c r="N146" i="1" s="1"/>
  <c r="V146" i="1"/>
  <c r="Y146" i="1"/>
  <c r="Z146" i="1"/>
  <c r="AB146" i="1"/>
  <c r="AC146" i="1"/>
  <c r="AD146" i="1"/>
  <c r="AE146" i="1"/>
  <c r="AF146" i="1"/>
  <c r="K147" i="1"/>
  <c r="L147" i="1"/>
  <c r="M147" i="1"/>
  <c r="N147" i="1" s="1"/>
  <c r="V147" i="1"/>
  <c r="Y147" i="1"/>
  <c r="Z147" i="1"/>
  <c r="AB147" i="1"/>
  <c r="AC147" i="1"/>
  <c r="AD147" i="1"/>
  <c r="AE147" i="1"/>
  <c r="AF147" i="1"/>
  <c r="K148" i="1"/>
  <c r="L148" i="1"/>
  <c r="M148" i="1"/>
  <c r="N148" i="1" s="1"/>
  <c r="V148" i="1"/>
  <c r="Y148" i="1"/>
  <c r="Z148" i="1"/>
  <c r="AB148" i="1"/>
  <c r="AC148" i="1"/>
  <c r="AD148" i="1"/>
  <c r="AE148" i="1"/>
  <c r="AF148" i="1"/>
  <c r="K149" i="1"/>
  <c r="L149" i="1"/>
  <c r="M149" i="1"/>
  <c r="N149" i="1" s="1"/>
  <c r="V149" i="1"/>
  <c r="Y149" i="1"/>
  <c r="Z149" i="1"/>
  <c r="AB149" i="1"/>
  <c r="AC149" i="1"/>
  <c r="AD149" i="1"/>
  <c r="AE149" i="1"/>
  <c r="AF149" i="1"/>
  <c r="K150" i="1"/>
  <c r="L150" i="1"/>
  <c r="M150" i="1"/>
  <c r="N150" i="1" s="1"/>
  <c r="V150" i="1"/>
  <c r="Y150" i="1"/>
  <c r="Z150" i="1"/>
  <c r="AB150" i="1"/>
  <c r="AC150" i="1"/>
  <c r="AD150" i="1"/>
  <c r="AE150" i="1"/>
  <c r="AF150" i="1"/>
  <c r="K151" i="1"/>
  <c r="L151" i="1"/>
  <c r="M151" i="1"/>
  <c r="N151" i="1" s="1"/>
  <c r="V151" i="1"/>
  <c r="Y151" i="1"/>
  <c r="Z151" i="1"/>
  <c r="AB151" i="1"/>
  <c r="AC151" i="1"/>
  <c r="AD151" i="1"/>
  <c r="AE151" i="1"/>
  <c r="AF151" i="1"/>
  <c r="K152" i="1"/>
  <c r="L152" i="1"/>
  <c r="M152" i="1"/>
  <c r="N152" i="1" s="1"/>
  <c r="V152" i="1"/>
  <c r="Y152" i="1"/>
  <c r="Z152" i="1"/>
  <c r="AB152" i="1"/>
  <c r="AC152" i="1"/>
  <c r="AD152" i="1"/>
  <c r="AE152" i="1"/>
  <c r="AF152" i="1"/>
  <c r="K153" i="1"/>
  <c r="L153" i="1"/>
  <c r="M153" i="1"/>
  <c r="N153" i="1" s="1"/>
  <c r="V153" i="1"/>
  <c r="Y153" i="1"/>
  <c r="Z153" i="1"/>
  <c r="AB153" i="1"/>
  <c r="AC153" i="1"/>
  <c r="AD153" i="1"/>
  <c r="AE153" i="1"/>
  <c r="AF153" i="1"/>
  <c r="K154" i="1"/>
  <c r="L154" i="1"/>
  <c r="M154" i="1"/>
  <c r="N154" i="1" s="1"/>
  <c r="V154" i="1"/>
  <c r="Y154" i="1"/>
  <c r="Z154" i="1"/>
  <c r="AB154" i="1"/>
  <c r="AC154" i="1"/>
  <c r="AD154" i="1"/>
  <c r="AE154" i="1"/>
  <c r="AF154" i="1"/>
  <c r="K155" i="1"/>
  <c r="L155" i="1"/>
  <c r="M155" i="1"/>
  <c r="N155" i="1" s="1"/>
  <c r="V155" i="1"/>
  <c r="Y155" i="1"/>
  <c r="Z155" i="1"/>
  <c r="AB155" i="1"/>
  <c r="AC155" i="1"/>
  <c r="AD155" i="1"/>
  <c r="AE155" i="1"/>
  <c r="AF155" i="1"/>
  <c r="K156" i="1"/>
  <c r="L156" i="1"/>
  <c r="M156" i="1"/>
  <c r="N156" i="1" s="1"/>
  <c r="V156" i="1"/>
  <c r="Y156" i="1"/>
  <c r="Z156" i="1"/>
  <c r="AB156" i="1"/>
  <c r="AC156" i="1"/>
  <c r="AD156" i="1"/>
  <c r="AE156" i="1"/>
  <c r="AF156" i="1"/>
  <c r="K157" i="1"/>
  <c r="L157" i="1"/>
  <c r="M157" i="1"/>
  <c r="N157" i="1" s="1"/>
  <c r="V157" i="1"/>
  <c r="Y157" i="1"/>
  <c r="Z157" i="1"/>
  <c r="AB157" i="1"/>
  <c r="AC157" i="1"/>
  <c r="AD157" i="1"/>
  <c r="X157" i="1" s="1"/>
  <c r="AE157" i="1"/>
  <c r="AF157" i="1"/>
  <c r="K158" i="1"/>
  <c r="L158" i="1"/>
  <c r="M158" i="1"/>
  <c r="N158" i="1" s="1"/>
  <c r="V158" i="1"/>
  <c r="Y158" i="1"/>
  <c r="Z158" i="1"/>
  <c r="AB158" i="1"/>
  <c r="AC158" i="1"/>
  <c r="AD158" i="1"/>
  <c r="X158" i="1" s="1"/>
  <c r="AE158" i="1"/>
  <c r="AF158" i="1"/>
  <c r="K159" i="1"/>
  <c r="L159" i="1"/>
  <c r="M159" i="1"/>
  <c r="N159" i="1" s="1"/>
  <c r="V159" i="1"/>
  <c r="Y159" i="1"/>
  <c r="Z159" i="1"/>
  <c r="AB159" i="1"/>
  <c r="AC159" i="1"/>
  <c r="AD159" i="1"/>
  <c r="AE159" i="1"/>
  <c r="AF159" i="1"/>
  <c r="K160" i="1"/>
  <c r="L160" i="1"/>
  <c r="M160" i="1"/>
  <c r="N160" i="1" s="1"/>
  <c r="V160" i="1"/>
  <c r="Q40" i="3" s="1"/>
  <c r="Y160" i="1"/>
  <c r="Z160" i="1"/>
  <c r="AB160" i="1"/>
  <c r="AC160" i="1"/>
  <c r="AD160" i="1"/>
  <c r="AE160" i="1"/>
  <c r="P40" i="3" s="1"/>
  <c r="AF160" i="1"/>
  <c r="K161" i="1"/>
  <c r="L161" i="1"/>
  <c r="M161" i="1"/>
  <c r="N161" i="1" s="1"/>
  <c r="V161" i="1"/>
  <c r="Y161" i="1"/>
  <c r="Z161" i="1"/>
  <c r="AB161" i="1"/>
  <c r="AC161" i="1"/>
  <c r="AD161" i="1"/>
  <c r="AE161" i="1"/>
  <c r="AF161" i="1"/>
  <c r="K162" i="1"/>
  <c r="L162" i="1"/>
  <c r="M162" i="1"/>
  <c r="N162" i="1" s="1"/>
  <c r="V162" i="1"/>
  <c r="Y162" i="1"/>
  <c r="Z162" i="1"/>
  <c r="AB162" i="1"/>
  <c r="AC162" i="1"/>
  <c r="AD162" i="1"/>
  <c r="AE162" i="1"/>
  <c r="AF162" i="1"/>
  <c r="K163" i="1"/>
  <c r="L163" i="1"/>
  <c r="M163" i="1"/>
  <c r="N163" i="1" s="1"/>
  <c r="V163" i="1"/>
  <c r="Y163" i="1"/>
  <c r="Z163" i="1"/>
  <c r="AB163" i="1"/>
  <c r="AC163" i="1"/>
  <c r="AD163" i="1"/>
  <c r="AE163" i="1"/>
  <c r="AF163" i="1"/>
  <c r="X134" i="1" l="1"/>
  <c r="X135" i="1"/>
  <c r="X136" i="1"/>
  <c r="X267" i="1"/>
  <c r="X269" i="1"/>
  <c r="X270" i="1"/>
  <c r="T268" i="1"/>
  <c r="X268" i="1"/>
  <c r="T273" i="1"/>
  <c r="U273" i="1" s="1"/>
  <c r="S273" i="1" s="1"/>
  <c r="X273" i="1"/>
  <c r="X272" i="1"/>
  <c r="AA159" i="1"/>
  <c r="AA160" i="1"/>
  <c r="T280" i="1"/>
  <c r="U280" i="1" s="1"/>
  <c r="S280" i="1" s="1"/>
  <c r="T272" i="1"/>
  <c r="U272" i="1" s="1"/>
  <c r="S272" i="1" s="1"/>
  <c r="AG161" i="1"/>
  <c r="W161" i="1" s="1"/>
  <c r="T161" i="1"/>
  <c r="AG133" i="1"/>
  <c r="T133" i="1"/>
  <c r="AG125" i="1"/>
  <c r="T125" i="1"/>
  <c r="AG113" i="1"/>
  <c r="T113" i="1"/>
  <c r="AG109" i="1"/>
  <c r="T109" i="1"/>
  <c r="AG163" i="1"/>
  <c r="T163" i="1"/>
  <c r="AG155" i="1"/>
  <c r="T155" i="1"/>
  <c r="AG115" i="1"/>
  <c r="T115" i="1"/>
  <c r="AG170" i="1"/>
  <c r="T170" i="1"/>
  <c r="AG166" i="1"/>
  <c r="T166" i="1"/>
  <c r="AG111" i="1"/>
  <c r="T111" i="1"/>
  <c r="AG107" i="1"/>
  <c r="T107" i="1"/>
  <c r="AG103" i="1"/>
  <c r="T103" i="1"/>
  <c r="AG157" i="1"/>
  <c r="T157" i="1"/>
  <c r="AG153" i="1"/>
  <c r="T153" i="1"/>
  <c r="AG149" i="1"/>
  <c r="T149" i="1"/>
  <c r="AG145" i="1"/>
  <c r="T145" i="1"/>
  <c r="AG141" i="1"/>
  <c r="T141" i="1"/>
  <c r="AG137" i="1"/>
  <c r="T137" i="1"/>
  <c r="AG129" i="1"/>
  <c r="T129" i="1"/>
  <c r="AG121" i="1"/>
  <c r="T121" i="1"/>
  <c r="AG117" i="1"/>
  <c r="T117" i="1"/>
  <c r="AG168" i="1"/>
  <c r="T168" i="1"/>
  <c r="AG164" i="1"/>
  <c r="T164" i="1"/>
  <c r="AG105" i="1"/>
  <c r="T105" i="1"/>
  <c r="AG101" i="1"/>
  <c r="T101" i="1"/>
  <c r="AG162" i="1"/>
  <c r="T162" i="1"/>
  <c r="AG158" i="1"/>
  <c r="T158" i="1"/>
  <c r="AG154" i="1"/>
  <c r="T154" i="1"/>
  <c r="AG150" i="1"/>
  <c r="T150" i="1"/>
  <c r="AG146" i="1"/>
  <c r="T146" i="1"/>
  <c r="AG142" i="1"/>
  <c r="T142" i="1"/>
  <c r="AG138" i="1"/>
  <c r="T138" i="1"/>
  <c r="AG134" i="1"/>
  <c r="T134" i="1"/>
  <c r="AG130" i="1"/>
  <c r="T130" i="1"/>
  <c r="AA130" i="1"/>
  <c r="AG126" i="1"/>
  <c r="T126" i="1"/>
  <c r="AG122" i="1"/>
  <c r="T122" i="1"/>
  <c r="AG118" i="1"/>
  <c r="T118" i="1"/>
  <c r="AG114" i="1"/>
  <c r="T114" i="1"/>
  <c r="AG169" i="1"/>
  <c r="T169" i="1"/>
  <c r="AG165" i="1"/>
  <c r="T165" i="1"/>
  <c r="AG110" i="1"/>
  <c r="T110" i="1"/>
  <c r="AG106" i="1"/>
  <c r="T106" i="1"/>
  <c r="AG102" i="1"/>
  <c r="T102" i="1"/>
  <c r="AG159" i="1"/>
  <c r="T159" i="1"/>
  <c r="AG151" i="1"/>
  <c r="T151" i="1"/>
  <c r="AG147" i="1"/>
  <c r="T147" i="1"/>
  <c r="AG143" i="1"/>
  <c r="T143" i="1"/>
  <c r="AG139" i="1"/>
  <c r="T139" i="1"/>
  <c r="AG135" i="1"/>
  <c r="T135" i="1"/>
  <c r="AG131" i="1"/>
  <c r="T131" i="1"/>
  <c r="AA131" i="1"/>
  <c r="AG127" i="1"/>
  <c r="T127" i="1"/>
  <c r="AG119" i="1"/>
  <c r="T119" i="1"/>
  <c r="AG160" i="1"/>
  <c r="T160" i="1"/>
  <c r="AG156" i="1"/>
  <c r="T156" i="1"/>
  <c r="AG152" i="1"/>
  <c r="T152" i="1"/>
  <c r="AG148" i="1"/>
  <c r="T148" i="1"/>
  <c r="AG144" i="1"/>
  <c r="T144" i="1"/>
  <c r="AG140" i="1"/>
  <c r="T140" i="1"/>
  <c r="AG136" i="1"/>
  <c r="T136" i="1"/>
  <c r="AG132" i="1"/>
  <c r="T132" i="1"/>
  <c r="AG128" i="1"/>
  <c r="T128" i="1"/>
  <c r="AG124" i="1"/>
  <c r="T124" i="1"/>
  <c r="AG120" i="1"/>
  <c r="T120" i="1"/>
  <c r="AG116" i="1"/>
  <c r="T116" i="1"/>
  <c r="AG167" i="1"/>
  <c r="T167" i="1"/>
  <c r="AG108" i="1"/>
  <c r="T108" i="1"/>
  <c r="AG104" i="1"/>
  <c r="T104" i="1"/>
  <c r="AG271" i="1"/>
  <c r="T271" i="1"/>
  <c r="AG269" i="1"/>
  <c r="T269" i="1"/>
  <c r="AG267" i="1"/>
  <c r="T267" i="1"/>
  <c r="AG265" i="1"/>
  <c r="T265" i="1"/>
  <c r="AG264" i="1"/>
  <c r="T264" i="1"/>
  <c r="AG263" i="1"/>
  <c r="T263" i="1"/>
  <c r="AG262" i="1"/>
  <c r="T262" i="1"/>
  <c r="AG261" i="1"/>
  <c r="T261" i="1"/>
  <c r="AG260" i="1"/>
  <c r="T260" i="1"/>
  <c r="AG258" i="1"/>
  <c r="T258" i="1"/>
  <c r="AG257" i="1"/>
  <c r="T257" i="1"/>
  <c r="AG256" i="1"/>
  <c r="T256" i="1"/>
  <c r="AG254" i="1"/>
  <c r="T254" i="1"/>
  <c r="AG253" i="1"/>
  <c r="T253" i="1"/>
  <c r="X112" i="1"/>
  <c r="AG112" i="1"/>
  <c r="U112" i="1" s="1"/>
  <c r="AA255" i="1"/>
  <c r="AA254" i="1"/>
  <c r="AG268" i="1"/>
  <c r="X266" i="1"/>
  <c r="AG266" i="1"/>
  <c r="X259" i="1"/>
  <c r="AG259" i="1"/>
  <c r="U259" i="1" s="1"/>
  <c r="S259" i="1" s="1"/>
  <c r="AA134" i="1"/>
  <c r="AA170" i="1"/>
  <c r="X255" i="1"/>
  <c r="AG255" i="1"/>
  <c r="X123" i="1"/>
  <c r="AG123" i="1"/>
  <c r="X171" i="1"/>
  <c r="AG171" i="1"/>
  <c r="U171" i="1" s="1"/>
  <c r="S171" i="1" s="1"/>
  <c r="AA125" i="1"/>
  <c r="AA121" i="1"/>
  <c r="AA118" i="1"/>
  <c r="AA115" i="1"/>
  <c r="AA145" i="1"/>
  <c r="AA144" i="1"/>
  <c r="AA141" i="1"/>
  <c r="AA140" i="1"/>
  <c r="AA165" i="1"/>
  <c r="AA257" i="1"/>
  <c r="Q27" i="3"/>
  <c r="AA161" i="1"/>
  <c r="AA126" i="1"/>
  <c r="W126" i="1" s="1"/>
  <c r="X265" i="1"/>
  <c r="P29" i="3"/>
  <c r="AA102" i="1"/>
  <c r="Q28" i="3"/>
  <c r="P27" i="3"/>
  <c r="AA153" i="1"/>
  <c r="AA151" i="1"/>
  <c r="W151" i="1" s="1"/>
  <c r="AA137" i="1"/>
  <c r="AA136" i="1"/>
  <c r="AA110" i="1"/>
  <c r="AA278" i="1"/>
  <c r="W278" i="1" s="1"/>
  <c r="AA275" i="1"/>
  <c r="W275" i="1" s="1"/>
  <c r="AA264" i="1"/>
  <c r="AA162" i="1"/>
  <c r="AA149" i="1"/>
  <c r="AA148" i="1"/>
  <c r="AA129" i="1"/>
  <c r="AA128" i="1"/>
  <c r="AA114" i="1"/>
  <c r="AA106" i="1"/>
  <c r="AA142" i="1"/>
  <c r="AA120" i="1"/>
  <c r="AA111" i="1"/>
  <c r="AA253" i="1"/>
  <c r="AA156" i="1"/>
  <c r="AA154" i="1"/>
  <c r="AA150" i="1"/>
  <c r="AA123" i="1"/>
  <c r="AA166" i="1"/>
  <c r="AA107" i="1"/>
  <c r="X104" i="1"/>
  <c r="AA279" i="1"/>
  <c r="W279" i="1" s="1"/>
  <c r="U274" i="1"/>
  <c r="S274" i="1" s="1"/>
  <c r="AA265" i="1"/>
  <c r="AA101" i="1"/>
  <c r="X254" i="1"/>
  <c r="X150" i="1"/>
  <c r="X122" i="1"/>
  <c r="AA139" i="1"/>
  <c r="X138" i="1"/>
  <c r="AA138" i="1"/>
  <c r="AA158" i="1"/>
  <c r="W158" i="1" s="1"/>
  <c r="AA157" i="1"/>
  <c r="AA147" i="1"/>
  <c r="X146" i="1"/>
  <c r="AA146" i="1"/>
  <c r="AA135" i="1"/>
  <c r="X118" i="1"/>
  <c r="AA116" i="1"/>
  <c r="X106" i="1"/>
  <c r="U279" i="1"/>
  <c r="S279" i="1" s="1"/>
  <c r="X279" i="1"/>
  <c r="X256" i="1"/>
  <c r="X166" i="1"/>
  <c r="X280" i="1"/>
  <c r="X274" i="1"/>
  <c r="X162" i="1"/>
  <c r="X152" i="1"/>
  <c r="X147" i="1"/>
  <c r="X141" i="1"/>
  <c r="X131" i="1"/>
  <c r="X125" i="1"/>
  <c r="X120" i="1"/>
  <c r="X115" i="1"/>
  <c r="X109" i="1"/>
  <c r="X161" i="1"/>
  <c r="X126" i="1"/>
  <c r="AA163" i="1"/>
  <c r="AA155" i="1"/>
  <c r="X154" i="1"/>
  <c r="AA152" i="1"/>
  <c r="AA143" i="1"/>
  <c r="W143" i="1" s="1"/>
  <c r="X142" i="1"/>
  <c r="AA133" i="1"/>
  <c r="AA132" i="1"/>
  <c r="AA122" i="1"/>
  <c r="X114" i="1"/>
  <c r="X168" i="1"/>
  <c r="AA167" i="1"/>
  <c r="AA112" i="1"/>
  <c r="X260" i="1"/>
  <c r="X170" i="1"/>
  <c r="X165" i="1"/>
  <c r="X278" i="1"/>
  <c r="X263" i="1"/>
  <c r="X258" i="1"/>
  <c r="X160" i="1"/>
  <c r="X156" i="1"/>
  <c r="X151" i="1"/>
  <c r="X145" i="1"/>
  <c r="X140" i="1"/>
  <c r="X129" i="1"/>
  <c r="X124" i="1"/>
  <c r="X119" i="1"/>
  <c r="X113" i="1"/>
  <c r="X108" i="1"/>
  <c r="X103" i="1"/>
  <c r="AA282" i="1"/>
  <c r="W282" i="1" s="1"/>
  <c r="U276" i="1"/>
  <c r="S276" i="1" s="1"/>
  <c r="X275" i="1"/>
  <c r="AA271" i="1"/>
  <c r="AA258" i="1"/>
  <c r="X169" i="1"/>
  <c r="X282" i="1"/>
  <c r="X277" i="1"/>
  <c r="X262" i="1"/>
  <c r="X257" i="1"/>
  <c r="X159" i="1"/>
  <c r="X155" i="1"/>
  <c r="X149" i="1"/>
  <c r="X144" i="1"/>
  <c r="X139" i="1"/>
  <c r="X128" i="1"/>
  <c r="X117" i="1"/>
  <c r="X107" i="1"/>
  <c r="X130" i="1"/>
  <c r="AA127" i="1"/>
  <c r="AA119" i="1"/>
  <c r="AA171" i="1"/>
  <c r="W171" i="1" s="1"/>
  <c r="X164" i="1"/>
  <c r="X110" i="1"/>
  <c r="AA261" i="1"/>
  <c r="X167" i="1"/>
  <c r="X281" i="1"/>
  <c r="X276" i="1"/>
  <c r="X261" i="1"/>
  <c r="X163" i="1"/>
  <c r="X153" i="1"/>
  <c r="X148" i="1"/>
  <c r="X143" i="1"/>
  <c r="X132" i="1"/>
  <c r="X127" i="1"/>
  <c r="X121" i="1"/>
  <c r="X116" i="1"/>
  <c r="X111" i="1"/>
  <c r="X105" i="1"/>
  <c r="AA281" i="1"/>
  <c r="W281" i="1" s="1"/>
  <c r="AA274" i="1"/>
  <c r="W274" i="1" s="1"/>
  <c r="AA259" i="1"/>
  <c r="X264" i="1"/>
  <c r="X102" i="1"/>
  <c r="AA168" i="1"/>
  <c r="AA103" i="1"/>
  <c r="AA280" i="1"/>
  <c r="W280" i="1" s="1"/>
  <c r="U278" i="1"/>
  <c r="S278" i="1" s="1"/>
  <c r="AA267" i="1"/>
  <c r="AA266" i="1"/>
  <c r="AA124" i="1"/>
  <c r="AA256" i="1"/>
  <c r="AA113" i="1"/>
  <c r="AA169" i="1"/>
  <c r="W169" i="1" s="1"/>
  <c r="AA164" i="1"/>
  <c r="AA109" i="1"/>
  <c r="AA108" i="1"/>
  <c r="AA105" i="1"/>
  <c r="AA104" i="1"/>
  <c r="U281" i="1"/>
  <c r="S281" i="1" s="1"/>
  <c r="AA277" i="1"/>
  <c r="W277" i="1" s="1"/>
  <c r="AA276" i="1"/>
  <c r="W276" i="1" s="1"/>
  <c r="AA273" i="1"/>
  <c r="W273" i="1" s="1"/>
  <c r="AA272" i="1"/>
  <c r="W272" i="1" s="1"/>
  <c r="AA269" i="1"/>
  <c r="AA268" i="1"/>
  <c r="W268" i="1" s="1"/>
  <c r="AA263" i="1"/>
  <c r="AA262" i="1"/>
  <c r="AA260" i="1"/>
  <c r="U257" i="1"/>
  <c r="S257" i="1" s="1"/>
  <c r="U142" i="1"/>
  <c r="S142" i="1" s="1"/>
  <c r="U282" i="1"/>
  <c r="S282" i="1" s="1"/>
  <c r="U277" i="1"/>
  <c r="S277" i="1" s="1"/>
  <c r="U268" i="1"/>
  <c r="S268" i="1" s="1"/>
  <c r="AA117" i="1"/>
  <c r="K15" i="1"/>
  <c r="L15" i="1"/>
  <c r="M15" i="1"/>
  <c r="N15" i="1" s="1"/>
  <c r="V15" i="1"/>
  <c r="Y15" i="1"/>
  <c r="Z15" i="1"/>
  <c r="AB15" i="1"/>
  <c r="AC15" i="1"/>
  <c r="AD15" i="1"/>
  <c r="AE15" i="1"/>
  <c r="AF15" i="1"/>
  <c r="K16" i="1"/>
  <c r="L16" i="1"/>
  <c r="M16" i="1"/>
  <c r="N16" i="1" s="1"/>
  <c r="V16" i="1"/>
  <c r="Y16" i="1"/>
  <c r="Z16" i="1"/>
  <c r="AB16" i="1"/>
  <c r="AC16" i="1"/>
  <c r="AD16" i="1"/>
  <c r="AE16" i="1"/>
  <c r="AF16" i="1"/>
  <c r="K17" i="1"/>
  <c r="L17" i="1"/>
  <c r="M17" i="1"/>
  <c r="N17" i="1" s="1"/>
  <c r="V17" i="1"/>
  <c r="Y17" i="1"/>
  <c r="Z17" i="1"/>
  <c r="AB17" i="1"/>
  <c r="AC17" i="1"/>
  <c r="AD17" i="1"/>
  <c r="AE17" i="1"/>
  <c r="AF17" i="1"/>
  <c r="K18" i="1"/>
  <c r="L18" i="1"/>
  <c r="M18" i="1"/>
  <c r="N18" i="1" s="1"/>
  <c r="V18" i="1"/>
  <c r="Y18" i="1"/>
  <c r="Z18" i="1"/>
  <c r="AB18" i="1"/>
  <c r="AC18" i="1"/>
  <c r="AD18" i="1"/>
  <c r="AE18" i="1"/>
  <c r="AF18" i="1"/>
  <c r="K19" i="1"/>
  <c r="L19" i="1"/>
  <c r="M19" i="1"/>
  <c r="N19" i="1" s="1"/>
  <c r="V19" i="1"/>
  <c r="Y19" i="1"/>
  <c r="Z19" i="1"/>
  <c r="AB19" i="1"/>
  <c r="AC19" i="1"/>
  <c r="AD19" i="1"/>
  <c r="AE19" i="1"/>
  <c r="AF19" i="1"/>
  <c r="K20" i="1"/>
  <c r="L20" i="1"/>
  <c r="M20" i="1"/>
  <c r="N20" i="1" s="1"/>
  <c r="V20" i="1"/>
  <c r="Y20" i="1"/>
  <c r="Z20" i="1"/>
  <c r="AB20" i="1"/>
  <c r="AC20" i="1"/>
  <c r="AD20" i="1"/>
  <c r="AE20" i="1"/>
  <c r="AF20" i="1"/>
  <c r="K21" i="1"/>
  <c r="L21" i="1"/>
  <c r="M21" i="1"/>
  <c r="N21" i="1" s="1"/>
  <c r="V21" i="1"/>
  <c r="Y21" i="1"/>
  <c r="Z21" i="1"/>
  <c r="AB21" i="1"/>
  <c r="AC21" i="1"/>
  <c r="AD21" i="1"/>
  <c r="AE21" i="1"/>
  <c r="AF21" i="1"/>
  <c r="K22" i="1"/>
  <c r="L22" i="1"/>
  <c r="M22" i="1"/>
  <c r="N22" i="1" s="1"/>
  <c r="V22" i="1"/>
  <c r="Y22" i="1"/>
  <c r="Z22" i="1"/>
  <c r="AB22" i="1"/>
  <c r="AC22" i="1"/>
  <c r="AD22" i="1"/>
  <c r="AE22" i="1"/>
  <c r="AF22" i="1"/>
  <c r="K23" i="1"/>
  <c r="L23" i="1"/>
  <c r="M23" i="1"/>
  <c r="N23" i="1" s="1"/>
  <c r="V23" i="1"/>
  <c r="Y23" i="1"/>
  <c r="Z23" i="1"/>
  <c r="AB23" i="1"/>
  <c r="AC23" i="1"/>
  <c r="AD23" i="1"/>
  <c r="AE23" i="1"/>
  <c r="AF23" i="1"/>
  <c r="K24" i="1"/>
  <c r="L24" i="1"/>
  <c r="M24" i="1"/>
  <c r="N24" i="1" s="1"/>
  <c r="V24" i="1"/>
  <c r="Y24" i="1"/>
  <c r="Z24" i="1"/>
  <c r="AB24" i="1"/>
  <c r="AC24" i="1"/>
  <c r="AD24" i="1"/>
  <c r="AE24" i="1"/>
  <c r="AF24" i="1"/>
  <c r="K25" i="1"/>
  <c r="L25" i="1"/>
  <c r="M25" i="1"/>
  <c r="N25" i="1" s="1"/>
  <c r="V25" i="1"/>
  <c r="Y25" i="1"/>
  <c r="Z25" i="1"/>
  <c r="AB25" i="1"/>
  <c r="AC25" i="1"/>
  <c r="AD25" i="1"/>
  <c r="AE25" i="1"/>
  <c r="AF25" i="1"/>
  <c r="K26" i="1"/>
  <c r="L26" i="1"/>
  <c r="M26" i="1"/>
  <c r="N26" i="1" s="1"/>
  <c r="V26" i="1"/>
  <c r="Y26" i="1"/>
  <c r="Z26" i="1"/>
  <c r="AB26" i="1"/>
  <c r="AC26" i="1"/>
  <c r="AD26" i="1"/>
  <c r="AE26" i="1"/>
  <c r="AF26" i="1"/>
  <c r="K27" i="1"/>
  <c r="L27" i="1"/>
  <c r="M27" i="1"/>
  <c r="N27" i="1" s="1"/>
  <c r="V27" i="1"/>
  <c r="Y27" i="1"/>
  <c r="Z27" i="1"/>
  <c r="AB27" i="1"/>
  <c r="AC27" i="1"/>
  <c r="AD27" i="1"/>
  <c r="AE27" i="1"/>
  <c r="AF27" i="1"/>
  <c r="K28" i="1"/>
  <c r="L28" i="1"/>
  <c r="M28" i="1"/>
  <c r="N28" i="1" s="1"/>
  <c r="V28" i="1"/>
  <c r="Q19" i="3" s="1"/>
  <c r="Y28" i="1"/>
  <c r="Z28" i="1"/>
  <c r="AB28" i="1"/>
  <c r="AC28" i="1"/>
  <c r="AD28" i="1"/>
  <c r="AE28" i="1"/>
  <c r="P19" i="3" s="1"/>
  <c r="AF28" i="1"/>
  <c r="K29" i="1"/>
  <c r="L29" i="1"/>
  <c r="M29" i="1"/>
  <c r="N29" i="1" s="1"/>
  <c r="V29" i="1"/>
  <c r="Y29" i="1"/>
  <c r="Z29" i="1"/>
  <c r="AB29" i="1"/>
  <c r="AC29" i="1"/>
  <c r="AD29" i="1"/>
  <c r="AE29" i="1"/>
  <c r="AF29" i="1"/>
  <c r="K30" i="1"/>
  <c r="L30" i="1"/>
  <c r="M30" i="1"/>
  <c r="N30" i="1" s="1"/>
  <c r="V30" i="1"/>
  <c r="Y30" i="1"/>
  <c r="Z30" i="1"/>
  <c r="AB30" i="1"/>
  <c r="AC30" i="1"/>
  <c r="AD30" i="1"/>
  <c r="AE30" i="1"/>
  <c r="AF30" i="1"/>
  <c r="K31" i="1"/>
  <c r="L31" i="1"/>
  <c r="M31" i="1"/>
  <c r="N31" i="1" s="1"/>
  <c r="V31" i="1"/>
  <c r="Y31" i="1"/>
  <c r="Z31" i="1"/>
  <c r="AB31" i="1"/>
  <c r="AC31" i="1"/>
  <c r="AD31" i="1"/>
  <c r="AE31" i="1"/>
  <c r="AF31" i="1"/>
  <c r="K32" i="1"/>
  <c r="L32" i="1"/>
  <c r="M32" i="1"/>
  <c r="N32" i="1" s="1"/>
  <c r="V32" i="1"/>
  <c r="Y32" i="1"/>
  <c r="Z32" i="1"/>
  <c r="AB32" i="1"/>
  <c r="AC32" i="1"/>
  <c r="AD32" i="1"/>
  <c r="AE32" i="1"/>
  <c r="AF32" i="1"/>
  <c r="K33" i="1"/>
  <c r="L33" i="1"/>
  <c r="M33" i="1"/>
  <c r="N33" i="1" s="1"/>
  <c r="V33" i="1"/>
  <c r="Y33" i="1"/>
  <c r="Z33" i="1"/>
  <c r="AB33" i="1"/>
  <c r="AC33" i="1"/>
  <c r="AD33" i="1"/>
  <c r="AE33" i="1"/>
  <c r="AF33" i="1"/>
  <c r="K34" i="1"/>
  <c r="L34" i="1"/>
  <c r="M34" i="1"/>
  <c r="N34" i="1" s="1"/>
  <c r="V34" i="1"/>
  <c r="Y34" i="1"/>
  <c r="Z34" i="1"/>
  <c r="AB34" i="1"/>
  <c r="AC34" i="1"/>
  <c r="AD34" i="1"/>
  <c r="AE34" i="1"/>
  <c r="AF34" i="1"/>
  <c r="K35" i="1"/>
  <c r="L35" i="1"/>
  <c r="M35" i="1"/>
  <c r="N35" i="1" s="1"/>
  <c r="V35" i="1"/>
  <c r="Y35" i="1"/>
  <c r="Z35" i="1"/>
  <c r="AB35" i="1"/>
  <c r="AC35" i="1"/>
  <c r="AD35" i="1"/>
  <c r="AE35" i="1"/>
  <c r="AF35" i="1"/>
  <c r="K36" i="1"/>
  <c r="L36" i="1"/>
  <c r="M36" i="1"/>
  <c r="N36" i="1" s="1"/>
  <c r="V36" i="1"/>
  <c r="Y36" i="1"/>
  <c r="Z36" i="1"/>
  <c r="AB36" i="1"/>
  <c r="AC36" i="1"/>
  <c r="AD36" i="1"/>
  <c r="AE36" i="1"/>
  <c r="AF36" i="1"/>
  <c r="K37" i="1"/>
  <c r="L37" i="1"/>
  <c r="M37" i="1"/>
  <c r="N37" i="1" s="1"/>
  <c r="V37" i="1"/>
  <c r="Y37" i="1"/>
  <c r="Z37" i="1"/>
  <c r="AB37" i="1"/>
  <c r="AC37" i="1"/>
  <c r="AD37" i="1"/>
  <c r="AE37" i="1"/>
  <c r="AF37" i="1"/>
  <c r="K38" i="1"/>
  <c r="L38" i="1"/>
  <c r="M38" i="1"/>
  <c r="N38" i="1" s="1"/>
  <c r="V38" i="1"/>
  <c r="Y38" i="1"/>
  <c r="Z38" i="1"/>
  <c r="AB38" i="1"/>
  <c r="AC38" i="1"/>
  <c r="AD38" i="1"/>
  <c r="AE38" i="1"/>
  <c r="AF38" i="1"/>
  <c r="K39" i="1"/>
  <c r="L39" i="1"/>
  <c r="M39" i="1"/>
  <c r="N39" i="1" s="1"/>
  <c r="V39" i="1"/>
  <c r="Y39" i="1"/>
  <c r="Z39" i="1"/>
  <c r="AB39" i="1"/>
  <c r="AC39" i="1"/>
  <c r="AD39" i="1"/>
  <c r="AE39" i="1"/>
  <c r="AF39" i="1"/>
  <c r="K40" i="1"/>
  <c r="L40" i="1"/>
  <c r="M40" i="1"/>
  <c r="N40" i="1" s="1"/>
  <c r="V40" i="1"/>
  <c r="Y40" i="1"/>
  <c r="Z40" i="1"/>
  <c r="AB40" i="1"/>
  <c r="AC40" i="1"/>
  <c r="AD40" i="1"/>
  <c r="AE40" i="1"/>
  <c r="AF40" i="1"/>
  <c r="K41" i="1"/>
  <c r="L41" i="1"/>
  <c r="M41" i="1"/>
  <c r="N41" i="1" s="1"/>
  <c r="V41" i="1"/>
  <c r="Q15" i="3" s="1"/>
  <c r="Y41" i="1"/>
  <c r="Z41" i="1"/>
  <c r="AB41" i="1"/>
  <c r="AC41" i="1"/>
  <c r="AD41" i="1"/>
  <c r="AE41" i="1"/>
  <c r="P15" i="3" s="1"/>
  <c r="AF41" i="1"/>
  <c r="K42" i="1"/>
  <c r="L42" i="1"/>
  <c r="M42" i="1"/>
  <c r="N42" i="1" s="1"/>
  <c r="V42" i="1"/>
  <c r="Y42" i="1"/>
  <c r="Z42" i="1"/>
  <c r="AB42" i="1"/>
  <c r="AC42" i="1"/>
  <c r="AD42" i="1"/>
  <c r="AE42" i="1"/>
  <c r="AF42" i="1"/>
  <c r="K43" i="1"/>
  <c r="L43" i="1"/>
  <c r="M43" i="1"/>
  <c r="N43" i="1" s="1"/>
  <c r="V43" i="1"/>
  <c r="Q32" i="3" s="1"/>
  <c r="Y43" i="1"/>
  <c r="Z43" i="1"/>
  <c r="AB43" i="1"/>
  <c r="AC43" i="1"/>
  <c r="AD43" i="1"/>
  <c r="AE43" i="1"/>
  <c r="P32" i="3" s="1"/>
  <c r="AF43" i="1"/>
  <c r="K44" i="1"/>
  <c r="L44" i="1"/>
  <c r="M44" i="1"/>
  <c r="N44" i="1" s="1"/>
  <c r="V44" i="1"/>
  <c r="Y44" i="1"/>
  <c r="Z44" i="1"/>
  <c r="AB44" i="1"/>
  <c r="AC44" i="1"/>
  <c r="AD44" i="1"/>
  <c r="AE44" i="1"/>
  <c r="AF44" i="1"/>
  <c r="K45" i="1"/>
  <c r="L45" i="1"/>
  <c r="M45" i="1"/>
  <c r="N45" i="1" s="1"/>
  <c r="V45" i="1"/>
  <c r="Y45" i="1"/>
  <c r="Z45" i="1"/>
  <c r="AB45" i="1"/>
  <c r="AC45" i="1"/>
  <c r="AD45" i="1"/>
  <c r="AE45" i="1"/>
  <c r="AF45" i="1"/>
  <c r="K46" i="1"/>
  <c r="L46" i="1"/>
  <c r="M46" i="1"/>
  <c r="N46" i="1" s="1"/>
  <c r="V46" i="1"/>
  <c r="Q20" i="3" s="1"/>
  <c r="Y46" i="1"/>
  <c r="Z46" i="1"/>
  <c r="AB46" i="1"/>
  <c r="AC46" i="1"/>
  <c r="AD46" i="1"/>
  <c r="AE46" i="1"/>
  <c r="P20" i="3" s="1"/>
  <c r="AF46" i="1"/>
  <c r="K184" i="1"/>
  <c r="L184" i="1"/>
  <c r="M184" i="1"/>
  <c r="N184" i="1" s="1"/>
  <c r="V184" i="1"/>
  <c r="Y184" i="1"/>
  <c r="Z184" i="1"/>
  <c r="AB184" i="1"/>
  <c r="AC184" i="1"/>
  <c r="AD184" i="1"/>
  <c r="AE184" i="1"/>
  <c r="AF184" i="1"/>
  <c r="K185" i="1"/>
  <c r="L185" i="1"/>
  <c r="M185" i="1"/>
  <c r="N185" i="1" s="1"/>
  <c r="V185" i="1"/>
  <c r="Y185" i="1"/>
  <c r="Z185" i="1"/>
  <c r="AB185" i="1"/>
  <c r="AC185" i="1"/>
  <c r="AD185" i="1"/>
  <c r="AE185" i="1"/>
  <c r="AF185" i="1"/>
  <c r="K186" i="1"/>
  <c r="L186" i="1"/>
  <c r="M186" i="1"/>
  <c r="N186" i="1" s="1"/>
  <c r="V186" i="1"/>
  <c r="Y186" i="1"/>
  <c r="Z186" i="1"/>
  <c r="AB186" i="1"/>
  <c r="AC186" i="1"/>
  <c r="AD186" i="1"/>
  <c r="AE186" i="1"/>
  <c r="AF186" i="1"/>
  <c r="K187" i="1"/>
  <c r="L187" i="1"/>
  <c r="M187" i="1"/>
  <c r="N187" i="1" s="1"/>
  <c r="V187" i="1"/>
  <c r="Q49" i="3" s="1"/>
  <c r="Y187" i="1"/>
  <c r="Z187" i="1"/>
  <c r="AB187" i="1"/>
  <c r="AC187" i="1"/>
  <c r="AD187" i="1"/>
  <c r="AE187" i="1"/>
  <c r="P49" i="3" s="1"/>
  <c r="AF187" i="1"/>
  <c r="K188" i="1"/>
  <c r="L188" i="1"/>
  <c r="M188" i="1"/>
  <c r="N188" i="1" s="1"/>
  <c r="V188" i="1"/>
  <c r="Y188" i="1"/>
  <c r="Z188" i="1"/>
  <c r="AB188" i="1"/>
  <c r="AC188" i="1"/>
  <c r="AD188" i="1"/>
  <c r="AE188" i="1"/>
  <c r="AF188" i="1"/>
  <c r="K189" i="1"/>
  <c r="L189" i="1"/>
  <c r="M189" i="1"/>
  <c r="P189" i="1" s="1"/>
  <c r="V189" i="1"/>
  <c r="Y189" i="1"/>
  <c r="Z189" i="1"/>
  <c r="AB189" i="1"/>
  <c r="AC189" i="1"/>
  <c r="AD189" i="1"/>
  <c r="AE189" i="1"/>
  <c r="AF189" i="1"/>
  <c r="V190" i="1"/>
  <c r="Y190" i="1"/>
  <c r="Z190" i="1"/>
  <c r="AB190" i="1"/>
  <c r="AC190" i="1"/>
  <c r="AD190" i="1"/>
  <c r="AE190" i="1"/>
  <c r="AF190" i="1"/>
  <c r="V191" i="1"/>
  <c r="Q51" i="3" s="1"/>
  <c r="Y191" i="1"/>
  <c r="Z191" i="1"/>
  <c r="AB191" i="1"/>
  <c r="AC191" i="1"/>
  <c r="AD191" i="1"/>
  <c r="AE191" i="1"/>
  <c r="P51" i="3" s="1"/>
  <c r="AF191" i="1"/>
  <c r="K94" i="1"/>
  <c r="L94" i="1"/>
  <c r="M94" i="1"/>
  <c r="N94" i="1" s="1"/>
  <c r="V94" i="1"/>
  <c r="Y94" i="1"/>
  <c r="Z94" i="1"/>
  <c r="AB94" i="1"/>
  <c r="AC94" i="1"/>
  <c r="AD94" i="1"/>
  <c r="AE94" i="1"/>
  <c r="AF94" i="1"/>
  <c r="V192" i="1"/>
  <c r="Y192" i="1"/>
  <c r="Z192" i="1"/>
  <c r="AB192" i="1"/>
  <c r="AC192" i="1"/>
  <c r="AD192" i="1"/>
  <c r="AE192" i="1"/>
  <c r="AF192" i="1"/>
  <c r="V193" i="1"/>
  <c r="Y193" i="1"/>
  <c r="Z193" i="1"/>
  <c r="AB193" i="1"/>
  <c r="AC193" i="1"/>
  <c r="AD193" i="1"/>
  <c r="AE193" i="1"/>
  <c r="AF193" i="1"/>
  <c r="V194" i="1"/>
  <c r="Y194" i="1"/>
  <c r="Z194" i="1"/>
  <c r="AB194" i="1"/>
  <c r="AC194" i="1"/>
  <c r="AD194" i="1"/>
  <c r="AE194" i="1"/>
  <c r="AF194" i="1"/>
  <c r="V195" i="1"/>
  <c r="Q52" i="3" s="1"/>
  <c r="Y195" i="1"/>
  <c r="Z195" i="1"/>
  <c r="AB195" i="1"/>
  <c r="AC195" i="1"/>
  <c r="AD195" i="1"/>
  <c r="AE195" i="1"/>
  <c r="P52" i="3" s="1"/>
  <c r="AF195" i="1"/>
  <c r="V196" i="1"/>
  <c r="Y196" i="1"/>
  <c r="Z196" i="1"/>
  <c r="AB196" i="1"/>
  <c r="AC196" i="1"/>
  <c r="AD196" i="1"/>
  <c r="AE196" i="1"/>
  <c r="AF196" i="1"/>
  <c r="V197" i="1"/>
  <c r="Y197" i="1"/>
  <c r="Z197" i="1"/>
  <c r="AB197" i="1"/>
  <c r="AC197" i="1"/>
  <c r="AD197" i="1"/>
  <c r="AE197" i="1"/>
  <c r="AF197" i="1"/>
  <c r="V198" i="1"/>
  <c r="Y198" i="1"/>
  <c r="Z198" i="1"/>
  <c r="AB198" i="1"/>
  <c r="AC198" i="1"/>
  <c r="AD198" i="1"/>
  <c r="AE198" i="1"/>
  <c r="AF198" i="1"/>
  <c r="V199" i="1"/>
  <c r="Y199" i="1"/>
  <c r="Z199" i="1"/>
  <c r="AB199" i="1"/>
  <c r="AC199" i="1"/>
  <c r="AD199" i="1"/>
  <c r="AE199" i="1"/>
  <c r="AF199" i="1"/>
  <c r="V200" i="1"/>
  <c r="Y200" i="1"/>
  <c r="Z200" i="1"/>
  <c r="AB200" i="1"/>
  <c r="AC200" i="1"/>
  <c r="AD200" i="1"/>
  <c r="AE200" i="1"/>
  <c r="AF200" i="1"/>
  <c r="V201" i="1"/>
  <c r="Y201" i="1"/>
  <c r="Z201" i="1"/>
  <c r="AB201" i="1"/>
  <c r="AC201" i="1"/>
  <c r="AD201" i="1"/>
  <c r="AE201" i="1"/>
  <c r="AF201" i="1"/>
  <c r="K95" i="1"/>
  <c r="L95" i="1"/>
  <c r="M95" i="1"/>
  <c r="N95" i="1" s="1"/>
  <c r="V95" i="1"/>
  <c r="Y95" i="1"/>
  <c r="Z95" i="1"/>
  <c r="AB95" i="1"/>
  <c r="AC95" i="1"/>
  <c r="AD95" i="1"/>
  <c r="AE95" i="1"/>
  <c r="AF95" i="1"/>
  <c r="V202" i="1"/>
  <c r="Y202" i="1"/>
  <c r="Z202" i="1"/>
  <c r="AB202" i="1"/>
  <c r="AC202" i="1"/>
  <c r="AD202" i="1"/>
  <c r="AE202" i="1"/>
  <c r="AF202" i="1"/>
  <c r="V203" i="1"/>
  <c r="Q54" i="3" s="1"/>
  <c r="Y203" i="1"/>
  <c r="Z203" i="1"/>
  <c r="AB203" i="1"/>
  <c r="AC203" i="1"/>
  <c r="AD203" i="1"/>
  <c r="AE203" i="1"/>
  <c r="P54" i="3" s="1"/>
  <c r="AF203" i="1"/>
  <c r="V204" i="1"/>
  <c r="Y204" i="1"/>
  <c r="Z204" i="1"/>
  <c r="AB204" i="1"/>
  <c r="AC204" i="1"/>
  <c r="AD204" i="1"/>
  <c r="AE204" i="1"/>
  <c r="AF204" i="1"/>
  <c r="V205" i="1"/>
  <c r="Y205" i="1"/>
  <c r="Z205" i="1"/>
  <c r="AB205" i="1"/>
  <c r="AC205" i="1"/>
  <c r="AD205" i="1"/>
  <c r="AE205" i="1"/>
  <c r="AF205" i="1"/>
  <c r="V206" i="1"/>
  <c r="Y206" i="1"/>
  <c r="Z206" i="1"/>
  <c r="AB206" i="1"/>
  <c r="AC206" i="1"/>
  <c r="AD206" i="1"/>
  <c r="AE206" i="1"/>
  <c r="AF206" i="1"/>
  <c r="V207" i="1"/>
  <c r="Q67" i="3" s="1"/>
  <c r="Y207" i="1"/>
  <c r="Z207" i="1"/>
  <c r="AB207" i="1"/>
  <c r="AC207" i="1"/>
  <c r="AD207" i="1"/>
  <c r="AE207" i="1"/>
  <c r="P67" i="3" s="1"/>
  <c r="AF207" i="1"/>
  <c r="V208" i="1"/>
  <c r="Q57" i="3" s="1"/>
  <c r="Y208" i="1"/>
  <c r="Z208" i="1"/>
  <c r="AB208" i="1"/>
  <c r="AC208" i="1"/>
  <c r="AD208" i="1"/>
  <c r="AE208" i="1"/>
  <c r="P57" i="3" s="1"/>
  <c r="AF208" i="1"/>
  <c r="V209" i="1"/>
  <c r="Y209" i="1"/>
  <c r="Z209" i="1"/>
  <c r="AB209" i="1"/>
  <c r="AC209" i="1"/>
  <c r="AD209" i="1"/>
  <c r="AE209" i="1"/>
  <c r="AF209" i="1"/>
  <c r="V210" i="1"/>
  <c r="Y210" i="1"/>
  <c r="Z210" i="1"/>
  <c r="AB210" i="1"/>
  <c r="AC210" i="1"/>
  <c r="AD210" i="1"/>
  <c r="AE210" i="1"/>
  <c r="AF210" i="1"/>
  <c r="V211" i="1"/>
  <c r="Y211" i="1"/>
  <c r="Z211" i="1"/>
  <c r="AB211" i="1"/>
  <c r="AC211" i="1"/>
  <c r="AD211" i="1"/>
  <c r="AE211" i="1"/>
  <c r="AF211" i="1"/>
  <c r="K96" i="1"/>
  <c r="L96" i="1"/>
  <c r="M96" i="1"/>
  <c r="N96" i="1" s="1"/>
  <c r="V96" i="1"/>
  <c r="Y96" i="1"/>
  <c r="Z96" i="1"/>
  <c r="AB96" i="1"/>
  <c r="AC96" i="1"/>
  <c r="AD96" i="1"/>
  <c r="AE96" i="1"/>
  <c r="AF96" i="1"/>
  <c r="V212" i="1"/>
  <c r="AB212" i="1"/>
  <c r="AC212" i="1"/>
  <c r="AD212" i="1"/>
  <c r="AE212" i="1"/>
  <c r="AF212" i="1"/>
  <c r="V213" i="1"/>
  <c r="AB213" i="1"/>
  <c r="AC213" i="1"/>
  <c r="AD213" i="1"/>
  <c r="AE213" i="1"/>
  <c r="AF213" i="1"/>
  <c r="V214" i="1"/>
  <c r="AB214" i="1"/>
  <c r="AC214" i="1"/>
  <c r="AD214" i="1"/>
  <c r="AE214" i="1"/>
  <c r="AF214" i="1"/>
  <c r="V215" i="1"/>
  <c r="AB215" i="1"/>
  <c r="AC215" i="1"/>
  <c r="AD215" i="1"/>
  <c r="AE215" i="1"/>
  <c r="AF215" i="1"/>
  <c r="V216" i="1"/>
  <c r="AB216" i="1"/>
  <c r="AC216" i="1"/>
  <c r="AD216" i="1"/>
  <c r="AE216" i="1"/>
  <c r="AF216" i="1"/>
  <c r="V217" i="1"/>
  <c r="Y217" i="1"/>
  <c r="Z217" i="1"/>
  <c r="AB217" i="1"/>
  <c r="AC217" i="1"/>
  <c r="AD217" i="1"/>
  <c r="AE217" i="1"/>
  <c r="AF217" i="1"/>
  <c r="V218" i="1"/>
  <c r="Y218" i="1"/>
  <c r="Z218" i="1"/>
  <c r="AB218" i="1"/>
  <c r="AC218" i="1"/>
  <c r="AD218" i="1"/>
  <c r="AE218" i="1"/>
  <c r="AF218" i="1"/>
  <c r="V219" i="1"/>
  <c r="Y219" i="1"/>
  <c r="Z219" i="1"/>
  <c r="AB219" i="1"/>
  <c r="AC219" i="1"/>
  <c r="AD219" i="1"/>
  <c r="AE219" i="1"/>
  <c r="AF219" i="1"/>
  <c r="V220" i="1"/>
  <c r="Y220" i="1"/>
  <c r="Z220" i="1"/>
  <c r="AB220" i="1"/>
  <c r="AC220" i="1"/>
  <c r="AD220" i="1"/>
  <c r="AE220" i="1"/>
  <c r="AF220" i="1"/>
  <c r="V221" i="1"/>
  <c r="Q56" i="3" s="1"/>
  <c r="Y221" i="1"/>
  <c r="Z221" i="1"/>
  <c r="AB221" i="1"/>
  <c r="AC221" i="1"/>
  <c r="AD221" i="1"/>
  <c r="AE221" i="1"/>
  <c r="P56" i="3" s="1"/>
  <c r="AF221" i="1"/>
  <c r="K97" i="1"/>
  <c r="L97" i="1"/>
  <c r="M97" i="1"/>
  <c r="N97" i="1" s="1"/>
  <c r="V97" i="1"/>
  <c r="Y97" i="1"/>
  <c r="Z97" i="1"/>
  <c r="AB97" i="1"/>
  <c r="AC97" i="1"/>
  <c r="AD97" i="1"/>
  <c r="AE97" i="1"/>
  <c r="AF97" i="1"/>
  <c r="V222" i="1"/>
  <c r="Y222" i="1"/>
  <c r="Z222" i="1"/>
  <c r="AB222" i="1"/>
  <c r="AC222" i="1"/>
  <c r="AD222" i="1"/>
  <c r="AE222" i="1"/>
  <c r="AF222" i="1"/>
  <c r="V223" i="1"/>
  <c r="Y223" i="1"/>
  <c r="Z223" i="1"/>
  <c r="AB223" i="1"/>
  <c r="AC223" i="1"/>
  <c r="AD223" i="1"/>
  <c r="AE223" i="1"/>
  <c r="AF223" i="1"/>
  <c r="V224" i="1"/>
  <c r="Y224" i="1"/>
  <c r="Z224" i="1"/>
  <c r="AB224" i="1"/>
  <c r="AC224" i="1"/>
  <c r="AD224" i="1"/>
  <c r="AE224" i="1"/>
  <c r="AF224" i="1"/>
  <c r="V225" i="1"/>
  <c r="Y225" i="1"/>
  <c r="Z225" i="1"/>
  <c r="AB225" i="1"/>
  <c r="AC225" i="1"/>
  <c r="AD225" i="1"/>
  <c r="AE225" i="1"/>
  <c r="AF225" i="1"/>
  <c r="V226" i="1"/>
  <c r="Y226" i="1"/>
  <c r="Z226" i="1"/>
  <c r="AB226" i="1"/>
  <c r="AC226" i="1"/>
  <c r="AD226" i="1"/>
  <c r="AE226" i="1"/>
  <c r="AF226" i="1"/>
  <c r="V227" i="1"/>
  <c r="Y227" i="1"/>
  <c r="Z227" i="1"/>
  <c r="AB227" i="1"/>
  <c r="AC227" i="1"/>
  <c r="AD227" i="1"/>
  <c r="AE227" i="1"/>
  <c r="AF227" i="1"/>
  <c r="V228" i="1"/>
  <c r="Y228" i="1"/>
  <c r="Z228" i="1"/>
  <c r="AB228" i="1"/>
  <c r="AC228" i="1"/>
  <c r="AD228" i="1"/>
  <c r="AE228" i="1"/>
  <c r="AF228" i="1"/>
  <c r="V229" i="1"/>
  <c r="Y229" i="1"/>
  <c r="Z229" i="1"/>
  <c r="AB229" i="1"/>
  <c r="AC229" i="1"/>
  <c r="AD229" i="1"/>
  <c r="AE229" i="1"/>
  <c r="AF229" i="1"/>
  <c r="V230" i="1"/>
  <c r="Y230" i="1"/>
  <c r="Z230" i="1"/>
  <c r="AB230" i="1"/>
  <c r="AC230" i="1"/>
  <c r="AD230" i="1"/>
  <c r="AE230" i="1"/>
  <c r="AF230" i="1"/>
  <c r="V231" i="1"/>
  <c r="Y231" i="1"/>
  <c r="Z231" i="1"/>
  <c r="AB231" i="1"/>
  <c r="AC231" i="1"/>
  <c r="AD231" i="1"/>
  <c r="AE231" i="1"/>
  <c r="AF231" i="1"/>
  <c r="K98" i="1"/>
  <c r="L98" i="1"/>
  <c r="M98" i="1"/>
  <c r="N98" i="1" s="1"/>
  <c r="V98" i="1"/>
  <c r="Q18" i="3" s="1"/>
  <c r="Y98" i="1"/>
  <c r="Z98" i="1"/>
  <c r="AB98" i="1"/>
  <c r="AC98" i="1"/>
  <c r="AD98" i="1"/>
  <c r="AE98" i="1"/>
  <c r="P18" i="3" s="1"/>
  <c r="AF98" i="1"/>
  <c r="V232" i="1"/>
  <c r="Y232" i="1"/>
  <c r="Z232" i="1"/>
  <c r="AB232" i="1"/>
  <c r="AC232" i="1"/>
  <c r="AD232" i="1"/>
  <c r="AE232" i="1"/>
  <c r="AF232" i="1"/>
  <c r="V233" i="1"/>
  <c r="Y233" i="1"/>
  <c r="Z233" i="1"/>
  <c r="AB233" i="1"/>
  <c r="AC233" i="1"/>
  <c r="AD233" i="1"/>
  <c r="AE233" i="1"/>
  <c r="AF233" i="1"/>
  <c r="V234" i="1"/>
  <c r="Q59" i="3" s="1"/>
  <c r="Y234" i="1"/>
  <c r="Z234" i="1"/>
  <c r="AB234" i="1"/>
  <c r="AC234" i="1"/>
  <c r="AD234" i="1"/>
  <c r="AE234" i="1"/>
  <c r="P59" i="3" s="1"/>
  <c r="AF234" i="1"/>
  <c r="V235" i="1"/>
  <c r="Q50" i="3" s="1"/>
  <c r="Y235" i="1"/>
  <c r="Z235" i="1"/>
  <c r="AB235" i="1"/>
  <c r="AC235" i="1"/>
  <c r="AD235" i="1"/>
  <c r="AE235" i="1"/>
  <c r="P50" i="3" s="1"/>
  <c r="AF235" i="1"/>
  <c r="V236" i="1"/>
  <c r="Q58" i="3" s="1"/>
  <c r="Y236" i="1"/>
  <c r="AB236" i="1"/>
  <c r="AC236" i="1"/>
  <c r="AD236" i="1"/>
  <c r="AE236" i="1"/>
  <c r="P58" i="3" s="1"/>
  <c r="AF236" i="1"/>
  <c r="V237" i="1"/>
  <c r="Y237" i="1"/>
  <c r="Z237" i="1"/>
  <c r="AB237" i="1"/>
  <c r="AC237" i="1"/>
  <c r="AD237" i="1"/>
  <c r="AE237" i="1"/>
  <c r="AF237" i="1"/>
  <c r="V238" i="1"/>
  <c r="Y238" i="1"/>
  <c r="Z238" i="1"/>
  <c r="AB238" i="1"/>
  <c r="AC238" i="1"/>
  <c r="AD238" i="1"/>
  <c r="AE238" i="1"/>
  <c r="AF238" i="1"/>
  <c r="V239" i="1"/>
  <c r="Y239" i="1"/>
  <c r="Z239" i="1"/>
  <c r="AB239" i="1"/>
  <c r="AC239" i="1"/>
  <c r="AD239" i="1"/>
  <c r="AE239" i="1"/>
  <c r="AF239" i="1"/>
  <c r="V240" i="1"/>
  <c r="Y240" i="1"/>
  <c r="Z240" i="1"/>
  <c r="AB240" i="1"/>
  <c r="AC240" i="1"/>
  <c r="AD240" i="1"/>
  <c r="AE240" i="1"/>
  <c r="AF240" i="1"/>
  <c r="V241" i="1"/>
  <c r="Q62" i="3" s="1"/>
  <c r="Y241" i="1"/>
  <c r="Z241" i="1"/>
  <c r="AB241" i="1"/>
  <c r="AC241" i="1"/>
  <c r="AD241" i="1"/>
  <c r="AE241" i="1"/>
  <c r="P62" i="3" s="1"/>
  <c r="AF241" i="1"/>
  <c r="K99" i="1"/>
  <c r="L99" i="1"/>
  <c r="M99" i="1"/>
  <c r="N99" i="1" s="1"/>
  <c r="V99" i="1"/>
  <c r="Y99" i="1"/>
  <c r="Z99" i="1"/>
  <c r="AB99" i="1"/>
  <c r="AC99" i="1"/>
  <c r="AD99" i="1"/>
  <c r="AE99" i="1"/>
  <c r="AF99" i="1"/>
  <c r="V242" i="1"/>
  <c r="Q60" i="3" s="1"/>
  <c r="Y242" i="1"/>
  <c r="Z242" i="1"/>
  <c r="AB242" i="1"/>
  <c r="AC242" i="1"/>
  <c r="AD242" i="1"/>
  <c r="AE242" i="1"/>
  <c r="P60" i="3" s="1"/>
  <c r="AF242" i="1"/>
  <c r="V243" i="1"/>
  <c r="Y243" i="1"/>
  <c r="Z243" i="1"/>
  <c r="AB243" i="1"/>
  <c r="AC243" i="1"/>
  <c r="AD243" i="1"/>
  <c r="AE243" i="1"/>
  <c r="AF243" i="1"/>
  <c r="V244" i="1"/>
  <c r="Y244" i="1"/>
  <c r="Z244" i="1"/>
  <c r="AB244" i="1"/>
  <c r="AC244" i="1"/>
  <c r="AD244" i="1"/>
  <c r="AE244" i="1"/>
  <c r="AF244" i="1"/>
  <c r="V245" i="1"/>
  <c r="Y245" i="1"/>
  <c r="Z245" i="1"/>
  <c r="AB245" i="1"/>
  <c r="AC245" i="1"/>
  <c r="AD245" i="1"/>
  <c r="AE245" i="1"/>
  <c r="AF245" i="1"/>
  <c r="K47" i="1"/>
  <c r="L47" i="1"/>
  <c r="M47" i="1"/>
  <c r="N47" i="1" s="1"/>
  <c r="V47" i="1"/>
  <c r="Q33" i="3" s="1"/>
  <c r="Y47" i="1"/>
  <c r="Z47" i="1"/>
  <c r="AB47" i="1"/>
  <c r="AC47" i="1"/>
  <c r="AD47" i="1"/>
  <c r="AE47" i="1"/>
  <c r="P33" i="3" s="1"/>
  <c r="AF47" i="1"/>
  <c r="K48" i="1"/>
  <c r="L48" i="1"/>
  <c r="M48" i="1"/>
  <c r="N48" i="1" s="1"/>
  <c r="V48" i="1"/>
  <c r="Y48" i="1"/>
  <c r="Z48" i="1"/>
  <c r="AB48" i="1"/>
  <c r="AC48" i="1"/>
  <c r="AD48" i="1"/>
  <c r="AE48" i="1"/>
  <c r="AF48" i="1"/>
  <c r="K49" i="1"/>
  <c r="L49" i="1"/>
  <c r="M49" i="1"/>
  <c r="N49" i="1" s="1"/>
  <c r="V49" i="1"/>
  <c r="Y49" i="1"/>
  <c r="Z49" i="1"/>
  <c r="AB49" i="1"/>
  <c r="AC49" i="1"/>
  <c r="AD49" i="1"/>
  <c r="AE49" i="1"/>
  <c r="AF49" i="1"/>
  <c r="K50" i="1"/>
  <c r="L50" i="1"/>
  <c r="M50" i="1"/>
  <c r="N50" i="1" s="1"/>
  <c r="V50" i="1"/>
  <c r="Y50" i="1"/>
  <c r="Z50" i="1"/>
  <c r="AB50" i="1"/>
  <c r="AC50" i="1"/>
  <c r="AD50" i="1"/>
  <c r="AE50" i="1"/>
  <c r="AF50" i="1"/>
  <c r="K51" i="1"/>
  <c r="L51" i="1"/>
  <c r="M51" i="1"/>
  <c r="N51" i="1" s="1"/>
  <c r="V51" i="1"/>
  <c r="Y51" i="1"/>
  <c r="Z51" i="1"/>
  <c r="AB51" i="1"/>
  <c r="AC51" i="1"/>
  <c r="AD51" i="1"/>
  <c r="AE51" i="1"/>
  <c r="AF51" i="1"/>
  <c r="K52" i="1"/>
  <c r="L52" i="1"/>
  <c r="M52" i="1"/>
  <c r="N52" i="1" s="1"/>
  <c r="V52" i="1"/>
  <c r="Y52" i="1"/>
  <c r="Z52" i="1"/>
  <c r="AB52" i="1"/>
  <c r="AC52" i="1"/>
  <c r="AD52" i="1"/>
  <c r="AE52" i="1"/>
  <c r="AF52" i="1"/>
  <c r="K53" i="1"/>
  <c r="L53" i="1"/>
  <c r="M53" i="1"/>
  <c r="N53" i="1" s="1"/>
  <c r="V53" i="1"/>
  <c r="Y53" i="1"/>
  <c r="Z53" i="1"/>
  <c r="AB53" i="1"/>
  <c r="AC53" i="1"/>
  <c r="AD53" i="1"/>
  <c r="AE53" i="1"/>
  <c r="AF53" i="1"/>
  <c r="V246" i="1"/>
  <c r="Y246" i="1"/>
  <c r="Z246" i="1"/>
  <c r="AB246" i="1"/>
  <c r="AC246" i="1"/>
  <c r="AD246" i="1"/>
  <c r="AE246" i="1"/>
  <c r="AF246" i="1"/>
  <c r="V247" i="1"/>
  <c r="Y247" i="1"/>
  <c r="Z247" i="1"/>
  <c r="AB247" i="1"/>
  <c r="AC247" i="1"/>
  <c r="AD247" i="1"/>
  <c r="AE247" i="1"/>
  <c r="AF247" i="1"/>
  <c r="V248" i="1"/>
  <c r="Y248" i="1"/>
  <c r="Z248" i="1"/>
  <c r="AB248" i="1"/>
  <c r="AC248" i="1"/>
  <c r="AD248" i="1"/>
  <c r="AE248" i="1"/>
  <c r="AF248" i="1"/>
  <c r="V249" i="1"/>
  <c r="Q47" i="3" s="1"/>
  <c r="Y249" i="1"/>
  <c r="Z249" i="1"/>
  <c r="AB249" i="1"/>
  <c r="AC249" i="1"/>
  <c r="AD249" i="1"/>
  <c r="AE249" i="1"/>
  <c r="P47" i="3" s="1"/>
  <c r="AF249" i="1"/>
  <c r="V250" i="1"/>
  <c r="Y250" i="1"/>
  <c r="Z250" i="1"/>
  <c r="AB250" i="1"/>
  <c r="AC250" i="1"/>
  <c r="AD250" i="1"/>
  <c r="AE250" i="1"/>
  <c r="AF250" i="1"/>
  <c r="V251" i="1"/>
  <c r="Y251" i="1"/>
  <c r="Z251" i="1"/>
  <c r="AB251" i="1"/>
  <c r="AC251" i="1"/>
  <c r="AD251" i="1"/>
  <c r="AE251" i="1"/>
  <c r="AF251" i="1"/>
  <c r="K100" i="1"/>
  <c r="L100" i="1"/>
  <c r="M100" i="1"/>
  <c r="N100" i="1" s="1"/>
  <c r="V100" i="1"/>
  <c r="Q25" i="3" s="1"/>
  <c r="Y100" i="1"/>
  <c r="Z100" i="1"/>
  <c r="AB100" i="1"/>
  <c r="AC100" i="1"/>
  <c r="AD100" i="1"/>
  <c r="AE100" i="1"/>
  <c r="P25" i="3" s="1"/>
  <c r="AF100" i="1"/>
  <c r="V252" i="1"/>
  <c r="Y252" i="1"/>
  <c r="Z252" i="1"/>
  <c r="AB252" i="1"/>
  <c r="AC252" i="1"/>
  <c r="AD252" i="1"/>
  <c r="AE252" i="1"/>
  <c r="AF252" i="1"/>
  <c r="K54" i="1"/>
  <c r="L54" i="1"/>
  <c r="M54" i="1"/>
  <c r="N54" i="1" s="1"/>
  <c r="V54" i="1"/>
  <c r="Y54" i="1"/>
  <c r="Z54" i="1"/>
  <c r="AB54" i="1"/>
  <c r="AC54" i="1"/>
  <c r="AD54" i="1"/>
  <c r="X55" i="1" s="1"/>
  <c r="AE54" i="1"/>
  <c r="AF54" i="1"/>
  <c r="K56" i="1"/>
  <c r="L56" i="1"/>
  <c r="M56" i="1"/>
  <c r="N56" i="1" s="1"/>
  <c r="AB56" i="1"/>
  <c r="AC56" i="1"/>
  <c r="AD56" i="1"/>
  <c r="X56" i="1" s="1"/>
  <c r="AE56" i="1"/>
  <c r="AF56" i="1"/>
  <c r="K57" i="1"/>
  <c r="L57" i="1"/>
  <c r="M57" i="1"/>
  <c r="P57" i="1" s="1"/>
  <c r="AB57" i="1"/>
  <c r="AC57" i="1"/>
  <c r="AD57" i="1"/>
  <c r="X57" i="1" s="1"/>
  <c r="AE57" i="1"/>
  <c r="AF57" i="1"/>
  <c r="K58" i="1"/>
  <c r="L58" i="1"/>
  <c r="M58" i="1"/>
  <c r="N58" i="1" s="1"/>
  <c r="AB58" i="1"/>
  <c r="AC58" i="1"/>
  <c r="AD58" i="1"/>
  <c r="X58" i="1" s="1"/>
  <c r="AE58" i="1"/>
  <c r="AF58" i="1"/>
  <c r="K59" i="1"/>
  <c r="L59" i="1"/>
  <c r="M59" i="1"/>
  <c r="N59" i="1" s="1"/>
  <c r="V59" i="1"/>
  <c r="Z59" i="1"/>
  <c r="AB59" i="1"/>
  <c r="AC59" i="1"/>
  <c r="AD59" i="1"/>
  <c r="AE59" i="1"/>
  <c r="AF59" i="1"/>
  <c r="K60" i="1"/>
  <c r="L60" i="1"/>
  <c r="M60" i="1"/>
  <c r="N60" i="1" s="1"/>
  <c r="V60" i="1"/>
  <c r="Q21" i="3" s="1"/>
  <c r="Z60" i="1"/>
  <c r="AB60" i="1"/>
  <c r="AC60" i="1"/>
  <c r="AD60" i="1"/>
  <c r="AE60" i="1"/>
  <c r="P21" i="3" s="1"/>
  <c r="AF60" i="1"/>
  <c r="K61" i="1"/>
  <c r="L61" i="1"/>
  <c r="M61" i="1"/>
  <c r="N61" i="1" s="1"/>
  <c r="V61" i="1"/>
  <c r="Z61" i="1"/>
  <c r="AB61" i="1"/>
  <c r="AC61" i="1"/>
  <c r="AD61" i="1"/>
  <c r="AE61" i="1"/>
  <c r="AF61" i="1"/>
  <c r="K62" i="1"/>
  <c r="L62" i="1"/>
  <c r="M62" i="1"/>
  <c r="N62" i="1" s="1"/>
  <c r="V62" i="1"/>
  <c r="Z62" i="1"/>
  <c r="AB62" i="1"/>
  <c r="AC62" i="1"/>
  <c r="AD62" i="1"/>
  <c r="AE62" i="1"/>
  <c r="AF62" i="1"/>
  <c r="K63" i="1"/>
  <c r="L63" i="1"/>
  <c r="M63" i="1"/>
  <c r="N63" i="1" s="1"/>
  <c r="V63" i="1"/>
  <c r="Z63" i="1"/>
  <c r="AB63" i="1"/>
  <c r="AC63" i="1"/>
  <c r="AD63" i="1"/>
  <c r="AE63" i="1"/>
  <c r="AF63" i="1"/>
  <c r="K64" i="1"/>
  <c r="L64" i="1"/>
  <c r="M64" i="1"/>
  <c r="N64" i="1" s="1"/>
  <c r="V64" i="1"/>
  <c r="Y64" i="1"/>
  <c r="Z64" i="1"/>
  <c r="AB64" i="1"/>
  <c r="AC64" i="1"/>
  <c r="AD64" i="1"/>
  <c r="AE64" i="1"/>
  <c r="AF64" i="1"/>
  <c r="K65" i="1"/>
  <c r="L65" i="1"/>
  <c r="M65" i="1"/>
  <c r="N65" i="1" s="1"/>
  <c r="V65" i="1"/>
  <c r="Y65" i="1"/>
  <c r="Z65" i="1"/>
  <c r="AB65" i="1"/>
  <c r="AC65" i="1"/>
  <c r="AD65" i="1"/>
  <c r="AE65" i="1"/>
  <c r="AF65" i="1"/>
  <c r="K66" i="1"/>
  <c r="L66" i="1"/>
  <c r="M66" i="1"/>
  <c r="N66" i="1" s="1"/>
  <c r="V66" i="1"/>
  <c r="Y66" i="1"/>
  <c r="Z66" i="1"/>
  <c r="AB66" i="1"/>
  <c r="AC66" i="1"/>
  <c r="AD66" i="1"/>
  <c r="AE66" i="1"/>
  <c r="AF66" i="1"/>
  <c r="K67" i="1"/>
  <c r="L67" i="1"/>
  <c r="M67" i="1"/>
  <c r="N67" i="1" s="1"/>
  <c r="V67" i="1"/>
  <c r="Y67" i="1"/>
  <c r="Z67" i="1"/>
  <c r="AB67" i="1"/>
  <c r="AC67" i="1"/>
  <c r="AD67" i="1"/>
  <c r="AE67" i="1"/>
  <c r="AF67" i="1"/>
  <c r="K68" i="1"/>
  <c r="L68" i="1"/>
  <c r="M68" i="1"/>
  <c r="N68" i="1" s="1"/>
  <c r="V68" i="1"/>
  <c r="Q17" i="3" s="1"/>
  <c r="Y68" i="1"/>
  <c r="Z68" i="1"/>
  <c r="AB68" i="1"/>
  <c r="AC68" i="1"/>
  <c r="AD68" i="1"/>
  <c r="AE68" i="1"/>
  <c r="AF68" i="1"/>
  <c r="K69" i="1"/>
  <c r="L69" i="1"/>
  <c r="M69" i="1"/>
  <c r="N69" i="1" s="1"/>
  <c r="V69" i="1"/>
  <c r="Y69" i="1"/>
  <c r="Z69" i="1"/>
  <c r="AB69" i="1"/>
  <c r="AC69" i="1"/>
  <c r="AD69" i="1"/>
  <c r="AE69" i="1"/>
  <c r="AF69" i="1"/>
  <c r="K70" i="1"/>
  <c r="L70" i="1"/>
  <c r="M70" i="1"/>
  <c r="N70" i="1" s="1"/>
  <c r="V70" i="1"/>
  <c r="Y70" i="1"/>
  <c r="Z70" i="1"/>
  <c r="AB70" i="1"/>
  <c r="AC70" i="1"/>
  <c r="AD70" i="1"/>
  <c r="AE70" i="1"/>
  <c r="AF70" i="1"/>
  <c r="K71" i="1"/>
  <c r="L71" i="1"/>
  <c r="M71" i="1"/>
  <c r="N71" i="1" s="1"/>
  <c r="V71" i="1"/>
  <c r="Y71" i="1"/>
  <c r="Z71" i="1"/>
  <c r="AB71" i="1"/>
  <c r="AC71" i="1"/>
  <c r="AD71" i="1"/>
  <c r="AE71" i="1"/>
  <c r="AF71" i="1"/>
  <c r="K72" i="1"/>
  <c r="L72" i="1"/>
  <c r="M72" i="1"/>
  <c r="N72" i="1" s="1"/>
  <c r="V72" i="1"/>
  <c r="Y72" i="1"/>
  <c r="Z72" i="1"/>
  <c r="AB72" i="1"/>
  <c r="AC72" i="1"/>
  <c r="AD72" i="1"/>
  <c r="AE72" i="1"/>
  <c r="AF72" i="1"/>
  <c r="K73" i="1"/>
  <c r="L73" i="1"/>
  <c r="M73" i="1"/>
  <c r="N73" i="1" s="1"/>
  <c r="V73" i="1"/>
  <c r="Y73" i="1"/>
  <c r="Z73" i="1"/>
  <c r="AB73" i="1"/>
  <c r="AC73" i="1"/>
  <c r="AD73" i="1"/>
  <c r="AE73" i="1"/>
  <c r="AF73" i="1"/>
  <c r="K74" i="1"/>
  <c r="L74" i="1"/>
  <c r="M74" i="1"/>
  <c r="N74" i="1" s="1"/>
  <c r="V74" i="1"/>
  <c r="Y74" i="1"/>
  <c r="Z74" i="1"/>
  <c r="AB74" i="1"/>
  <c r="AC74" i="1"/>
  <c r="AD74" i="1"/>
  <c r="AE74" i="1"/>
  <c r="AF74" i="1"/>
  <c r="K75" i="1"/>
  <c r="L75" i="1"/>
  <c r="M75" i="1"/>
  <c r="N75" i="1" s="1"/>
  <c r="V75" i="1"/>
  <c r="Y75" i="1"/>
  <c r="Z75" i="1"/>
  <c r="AB75" i="1"/>
  <c r="AC75" i="1"/>
  <c r="AD75" i="1"/>
  <c r="AE75" i="1"/>
  <c r="AF75" i="1"/>
  <c r="K76" i="1"/>
  <c r="L76" i="1"/>
  <c r="M76" i="1"/>
  <c r="N76" i="1" s="1"/>
  <c r="V76" i="1"/>
  <c r="Y76" i="1"/>
  <c r="Z76" i="1"/>
  <c r="AB76" i="1"/>
  <c r="AC76" i="1"/>
  <c r="AD76" i="1"/>
  <c r="AE76" i="1"/>
  <c r="AF76" i="1"/>
  <c r="K77" i="1"/>
  <c r="L77" i="1"/>
  <c r="M77" i="1"/>
  <c r="N77" i="1" s="1"/>
  <c r="V77" i="1"/>
  <c r="Y77" i="1"/>
  <c r="Z77" i="1"/>
  <c r="AB77" i="1"/>
  <c r="AC77" i="1"/>
  <c r="AD77" i="1"/>
  <c r="AE77" i="1"/>
  <c r="AF77" i="1"/>
  <c r="K78" i="1"/>
  <c r="L78" i="1"/>
  <c r="M78" i="1"/>
  <c r="N78" i="1" s="1"/>
  <c r="V78" i="1"/>
  <c r="Y78" i="1"/>
  <c r="Z78" i="1"/>
  <c r="AB78" i="1"/>
  <c r="AC78" i="1"/>
  <c r="AD78" i="1"/>
  <c r="AE78" i="1"/>
  <c r="AF78" i="1"/>
  <c r="K79" i="1"/>
  <c r="L79" i="1"/>
  <c r="M79" i="1"/>
  <c r="N79" i="1" s="1"/>
  <c r="V79" i="1"/>
  <c r="Y79" i="1"/>
  <c r="Z79" i="1"/>
  <c r="AB79" i="1"/>
  <c r="AC79" i="1"/>
  <c r="AD79" i="1"/>
  <c r="AE79" i="1"/>
  <c r="AF79" i="1"/>
  <c r="K80" i="1"/>
  <c r="L80" i="1"/>
  <c r="M80" i="1"/>
  <c r="N80" i="1" s="1"/>
  <c r="V80" i="1"/>
  <c r="Y80" i="1"/>
  <c r="Z80" i="1"/>
  <c r="AB80" i="1"/>
  <c r="AC80" i="1"/>
  <c r="AD80" i="1"/>
  <c r="AE80" i="1"/>
  <c r="AF80" i="1"/>
  <c r="K81" i="1"/>
  <c r="L81" i="1"/>
  <c r="M81" i="1"/>
  <c r="N81" i="1" s="1"/>
  <c r="V81" i="1"/>
  <c r="Y81" i="1"/>
  <c r="Z81" i="1"/>
  <c r="AB81" i="1"/>
  <c r="AC81" i="1"/>
  <c r="AD81" i="1"/>
  <c r="AE81" i="1"/>
  <c r="AF81" i="1"/>
  <c r="K82" i="1"/>
  <c r="L82" i="1"/>
  <c r="M82" i="1"/>
  <c r="N82" i="1" s="1"/>
  <c r="V82" i="1"/>
  <c r="Q23" i="3" s="1"/>
  <c r="Y82" i="1"/>
  <c r="Z82" i="1"/>
  <c r="AB82" i="1"/>
  <c r="AC82" i="1"/>
  <c r="AD82" i="1"/>
  <c r="AE82" i="1"/>
  <c r="P23" i="3" s="1"/>
  <c r="AF82" i="1"/>
  <c r="K83" i="1"/>
  <c r="L83" i="1"/>
  <c r="M83" i="1"/>
  <c r="N83" i="1" s="1"/>
  <c r="V83" i="1"/>
  <c r="Y83" i="1"/>
  <c r="Z83" i="1"/>
  <c r="AB83" i="1"/>
  <c r="AC83" i="1"/>
  <c r="AD83" i="1"/>
  <c r="AE83" i="1"/>
  <c r="AF83" i="1"/>
  <c r="K84" i="1"/>
  <c r="L84" i="1"/>
  <c r="M84" i="1"/>
  <c r="N84" i="1" s="1"/>
  <c r="V84" i="1"/>
  <c r="Y84" i="1"/>
  <c r="Z84" i="1"/>
  <c r="AB84" i="1"/>
  <c r="AC84" i="1"/>
  <c r="AD84" i="1"/>
  <c r="AE84" i="1"/>
  <c r="AF84" i="1"/>
  <c r="K85" i="1"/>
  <c r="L85" i="1"/>
  <c r="M85" i="1"/>
  <c r="N85" i="1" s="1"/>
  <c r="V85" i="1"/>
  <c r="Q34" i="3" s="1"/>
  <c r="Y85" i="1"/>
  <c r="Z85" i="1"/>
  <c r="AB85" i="1"/>
  <c r="AC85" i="1"/>
  <c r="AD85" i="1"/>
  <c r="AE85" i="1"/>
  <c r="P34" i="3" s="1"/>
  <c r="AF85" i="1"/>
  <c r="K86" i="1"/>
  <c r="L86" i="1"/>
  <c r="M86" i="1"/>
  <c r="N86" i="1" s="1"/>
  <c r="V86" i="1"/>
  <c r="Y86" i="1"/>
  <c r="Z86" i="1"/>
  <c r="AB86" i="1"/>
  <c r="AC86" i="1"/>
  <c r="AD86" i="1"/>
  <c r="AE86" i="1"/>
  <c r="AF86" i="1"/>
  <c r="K87" i="1"/>
  <c r="L87" i="1"/>
  <c r="M87" i="1"/>
  <c r="N87" i="1" s="1"/>
  <c r="V87" i="1"/>
  <c r="Y87" i="1"/>
  <c r="Z87" i="1"/>
  <c r="AB87" i="1"/>
  <c r="AC87" i="1"/>
  <c r="AD87" i="1"/>
  <c r="AE87" i="1"/>
  <c r="AF87" i="1"/>
  <c r="K88" i="1"/>
  <c r="L88" i="1"/>
  <c r="M88" i="1"/>
  <c r="N88" i="1" s="1"/>
  <c r="V88" i="1"/>
  <c r="Q16" i="3" s="1"/>
  <c r="Y88" i="1"/>
  <c r="Z88" i="1"/>
  <c r="AB88" i="1"/>
  <c r="AC88" i="1"/>
  <c r="AD88" i="1"/>
  <c r="AE88" i="1"/>
  <c r="P16" i="3" s="1"/>
  <c r="AF88" i="1"/>
  <c r="K89" i="1"/>
  <c r="L89" i="1"/>
  <c r="M89" i="1"/>
  <c r="N89" i="1" s="1"/>
  <c r="V89" i="1"/>
  <c r="Y89" i="1"/>
  <c r="Z89" i="1"/>
  <c r="AB89" i="1"/>
  <c r="AC89" i="1"/>
  <c r="AD89" i="1"/>
  <c r="AE89" i="1"/>
  <c r="AF89" i="1"/>
  <c r="K90" i="1"/>
  <c r="L90" i="1"/>
  <c r="M90" i="1"/>
  <c r="N90" i="1" s="1"/>
  <c r="V90" i="1"/>
  <c r="Y90" i="1"/>
  <c r="Z90" i="1"/>
  <c r="AB90" i="1"/>
  <c r="AC90" i="1"/>
  <c r="AD90" i="1"/>
  <c r="AE90" i="1"/>
  <c r="AF90" i="1"/>
  <c r="K91" i="1"/>
  <c r="L91" i="1"/>
  <c r="M91" i="1"/>
  <c r="N91" i="1" s="1"/>
  <c r="V91" i="1"/>
  <c r="Y91" i="1"/>
  <c r="Z91" i="1"/>
  <c r="AB91" i="1"/>
  <c r="AC91" i="1"/>
  <c r="AD91" i="1"/>
  <c r="AE91" i="1"/>
  <c r="AF91" i="1"/>
  <c r="K92" i="1"/>
  <c r="L92" i="1"/>
  <c r="M92" i="1"/>
  <c r="N92" i="1" s="1"/>
  <c r="V92" i="1"/>
  <c r="Y92" i="1"/>
  <c r="Z92" i="1"/>
  <c r="AB92" i="1"/>
  <c r="AC92" i="1"/>
  <c r="AD92" i="1"/>
  <c r="AE92" i="1"/>
  <c r="AF92" i="1"/>
  <c r="K172" i="1"/>
  <c r="L172" i="1"/>
  <c r="M172" i="1"/>
  <c r="N172" i="1" s="1"/>
  <c r="V172" i="1"/>
  <c r="Y172" i="1"/>
  <c r="Z172" i="1"/>
  <c r="AB172" i="1"/>
  <c r="AC172" i="1"/>
  <c r="AD172" i="1"/>
  <c r="AE172" i="1"/>
  <c r="AF172" i="1"/>
  <c r="K173" i="1"/>
  <c r="L173" i="1"/>
  <c r="M173" i="1"/>
  <c r="N173" i="1" s="1"/>
  <c r="V173" i="1"/>
  <c r="Y173" i="1"/>
  <c r="Z173" i="1"/>
  <c r="AB173" i="1"/>
  <c r="AC173" i="1"/>
  <c r="AD173" i="1"/>
  <c r="AE173" i="1"/>
  <c r="AF173" i="1"/>
  <c r="K174" i="1"/>
  <c r="L174" i="1"/>
  <c r="M174" i="1"/>
  <c r="N174" i="1" s="1"/>
  <c r="V174" i="1"/>
  <c r="Y174" i="1"/>
  <c r="Z174" i="1"/>
  <c r="AB174" i="1"/>
  <c r="AC174" i="1"/>
  <c r="AD174" i="1"/>
  <c r="AE174" i="1"/>
  <c r="AF174" i="1"/>
  <c r="K175" i="1"/>
  <c r="L175" i="1"/>
  <c r="M175" i="1"/>
  <c r="N175" i="1" s="1"/>
  <c r="V175" i="1"/>
  <c r="Y175" i="1"/>
  <c r="Z175" i="1"/>
  <c r="AB175" i="1"/>
  <c r="AC175" i="1"/>
  <c r="AD175" i="1"/>
  <c r="AE175" i="1"/>
  <c r="AF175" i="1"/>
  <c r="K176" i="1"/>
  <c r="L176" i="1"/>
  <c r="M176" i="1"/>
  <c r="N176" i="1" s="1"/>
  <c r="V176" i="1"/>
  <c r="Y176" i="1"/>
  <c r="Z176" i="1"/>
  <c r="AB176" i="1"/>
  <c r="AC176" i="1"/>
  <c r="AD176" i="1"/>
  <c r="AE176" i="1"/>
  <c r="AF176" i="1"/>
  <c r="K177" i="1"/>
  <c r="L177" i="1"/>
  <c r="M177" i="1"/>
  <c r="N177" i="1" s="1"/>
  <c r="V177" i="1"/>
  <c r="Y177" i="1"/>
  <c r="Z177" i="1"/>
  <c r="AB177" i="1"/>
  <c r="AC177" i="1"/>
  <c r="AD177" i="1"/>
  <c r="AE177" i="1"/>
  <c r="AF177" i="1"/>
  <c r="K178" i="1"/>
  <c r="L178" i="1"/>
  <c r="M178" i="1"/>
  <c r="N178" i="1" s="1"/>
  <c r="V178" i="1"/>
  <c r="Y178" i="1"/>
  <c r="Z178" i="1"/>
  <c r="AB178" i="1"/>
  <c r="AC178" i="1"/>
  <c r="AD178" i="1"/>
  <c r="AE178" i="1"/>
  <c r="AF178" i="1"/>
  <c r="K179" i="1"/>
  <c r="L179" i="1"/>
  <c r="M179" i="1"/>
  <c r="N179" i="1" s="1"/>
  <c r="V179" i="1"/>
  <c r="Y179" i="1"/>
  <c r="Z179" i="1"/>
  <c r="AB179" i="1"/>
  <c r="AC179" i="1"/>
  <c r="AD179" i="1"/>
  <c r="AE179" i="1"/>
  <c r="AF179" i="1"/>
  <c r="K180" i="1"/>
  <c r="L180" i="1"/>
  <c r="M180" i="1"/>
  <c r="N180" i="1" s="1"/>
  <c r="V180" i="1"/>
  <c r="Y180" i="1"/>
  <c r="Z180" i="1"/>
  <c r="AB180" i="1"/>
  <c r="AC180" i="1"/>
  <c r="AD180" i="1"/>
  <c r="AE180" i="1"/>
  <c r="AF180" i="1"/>
  <c r="K181" i="1"/>
  <c r="L181" i="1"/>
  <c r="M181" i="1"/>
  <c r="N181" i="1" s="1"/>
  <c r="V181" i="1"/>
  <c r="Q48" i="3" s="1"/>
  <c r="Y181" i="1"/>
  <c r="Z181" i="1"/>
  <c r="AB181" i="1"/>
  <c r="AC181" i="1"/>
  <c r="AD181" i="1"/>
  <c r="AE181" i="1"/>
  <c r="P48" i="3" s="1"/>
  <c r="AF181" i="1"/>
  <c r="K93" i="1"/>
  <c r="L93" i="1"/>
  <c r="M93" i="1"/>
  <c r="N93" i="1" s="1"/>
  <c r="V93" i="1"/>
  <c r="Y93" i="1"/>
  <c r="Z93" i="1"/>
  <c r="AB93" i="1"/>
  <c r="AC93" i="1"/>
  <c r="AD93" i="1"/>
  <c r="AE93" i="1"/>
  <c r="AF93" i="1"/>
  <c r="K182" i="1"/>
  <c r="L182" i="1"/>
  <c r="M182" i="1"/>
  <c r="N182" i="1" s="1"/>
  <c r="V182" i="1"/>
  <c r="Y182" i="1"/>
  <c r="Z182" i="1"/>
  <c r="AB182" i="1"/>
  <c r="AC182" i="1"/>
  <c r="AD182" i="1"/>
  <c r="AE182" i="1"/>
  <c r="AF182" i="1"/>
  <c r="K183" i="1"/>
  <c r="L183" i="1"/>
  <c r="M183" i="1"/>
  <c r="N183" i="1" s="1"/>
  <c r="V183" i="1"/>
  <c r="Y183" i="1"/>
  <c r="Z183" i="1"/>
  <c r="AB183" i="1"/>
  <c r="AC183" i="1"/>
  <c r="AD183" i="1"/>
  <c r="AE183" i="1"/>
  <c r="AF183" i="1"/>
  <c r="X62" i="1" l="1"/>
  <c r="X60" i="1"/>
  <c r="W130" i="1"/>
  <c r="U146" i="1"/>
  <c r="S146" i="1" s="1"/>
  <c r="W165" i="1"/>
  <c r="U115" i="1"/>
  <c r="S115" i="1" s="1"/>
  <c r="X63" i="1"/>
  <c r="X61" i="1"/>
  <c r="X59" i="1"/>
  <c r="X212" i="1"/>
  <c r="W159" i="1"/>
  <c r="U165" i="1"/>
  <c r="S165" i="1" s="1"/>
  <c r="U126" i="1"/>
  <c r="S126" i="1" s="1"/>
  <c r="U170" i="1"/>
  <c r="S170" i="1" s="1"/>
  <c r="X216" i="1"/>
  <c r="X214" i="1"/>
  <c r="W259" i="1"/>
  <c r="W133" i="1"/>
  <c r="W156" i="1"/>
  <c r="U101" i="1"/>
  <c r="S101" i="1" s="1"/>
  <c r="U164" i="1"/>
  <c r="S164" i="1" s="1"/>
  <c r="U141" i="1"/>
  <c r="S141" i="1" s="1"/>
  <c r="U149" i="1"/>
  <c r="S149" i="1" s="1"/>
  <c r="U103" i="1"/>
  <c r="S103" i="1" s="1"/>
  <c r="U155" i="1"/>
  <c r="S155" i="1" s="1"/>
  <c r="AA235" i="1"/>
  <c r="W135" i="1"/>
  <c r="W131" i="1"/>
  <c r="W120" i="1"/>
  <c r="W128" i="1"/>
  <c r="AA96" i="1"/>
  <c r="W105" i="1"/>
  <c r="W132" i="1"/>
  <c r="W134" i="1"/>
  <c r="W152" i="1"/>
  <c r="W148" i="1"/>
  <c r="W137" i="1"/>
  <c r="U261" i="1"/>
  <c r="S261" i="1" s="1"/>
  <c r="U104" i="1"/>
  <c r="S104" i="1" s="1"/>
  <c r="U167" i="1"/>
  <c r="S167" i="1" s="1"/>
  <c r="U128" i="1"/>
  <c r="S128" i="1" s="1"/>
  <c r="U127" i="1"/>
  <c r="S127" i="1" s="1"/>
  <c r="W147" i="1"/>
  <c r="W122" i="1"/>
  <c r="U138" i="1"/>
  <c r="S138" i="1" s="1"/>
  <c r="U154" i="1"/>
  <c r="S154" i="1" s="1"/>
  <c r="U162" i="1"/>
  <c r="S162" i="1" s="1"/>
  <c r="U168" i="1"/>
  <c r="S168" i="1" s="1"/>
  <c r="U166" i="1"/>
  <c r="S166" i="1" s="1"/>
  <c r="U105" i="1"/>
  <c r="S105" i="1" s="1"/>
  <c r="U121" i="1"/>
  <c r="S121" i="1" s="1"/>
  <c r="U137" i="1"/>
  <c r="S137" i="1" s="1"/>
  <c r="U145" i="1"/>
  <c r="S145" i="1" s="1"/>
  <c r="U153" i="1"/>
  <c r="S153" i="1" s="1"/>
  <c r="U157" i="1"/>
  <c r="S157" i="1" s="1"/>
  <c r="U107" i="1"/>
  <c r="S107" i="1" s="1"/>
  <c r="U163" i="1"/>
  <c r="S163" i="1" s="1"/>
  <c r="U108" i="1"/>
  <c r="S108" i="1" s="1"/>
  <c r="U151" i="1"/>
  <c r="S151" i="1" s="1"/>
  <c r="U102" i="1"/>
  <c r="S102" i="1" s="1"/>
  <c r="U110" i="1"/>
  <c r="S110" i="1" s="1"/>
  <c r="U169" i="1"/>
  <c r="S169" i="1" s="1"/>
  <c r="U150" i="1"/>
  <c r="S150" i="1" s="1"/>
  <c r="U158" i="1"/>
  <c r="S158" i="1" s="1"/>
  <c r="W125" i="1"/>
  <c r="U120" i="1"/>
  <c r="S120" i="1" s="1"/>
  <c r="U136" i="1"/>
  <c r="S136" i="1" s="1"/>
  <c r="U144" i="1"/>
  <c r="S144" i="1" s="1"/>
  <c r="U152" i="1"/>
  <c r="S152" i="1" s="1"/>
  <c r="U160" i="1"/>
  <c r="S160" i="1" s="1"/>
  <c r="U143" i="1"/>
  <c r="S143" i="1" s="1"/>
  <c r="X215" i="1"/>
  <c r="X213" i="1"/>
  <c r="W139" i="1"/>
  <c r="W117" i="1"/>
  <c r="W109" i="1"/>
  <c r="W141" i="1"/>
  <c r="U254" i="1"/>
  <c r="S254" i="1" s="1"/>
  <c r="U260" i="1"/>
  <c r="S260" i="1" s="1"/>
  <c r="U262" i="1"/>
  <c r="S262" i="1" s="1"/>
  <c r="U264" i="1"/>
  <c r="S264" i="1" s="1"/>
  <c r="U267" i="1"/>
  <c r="S267" i="1" s="1"/>
  <c r="U271" i="1"/>
  <c r="S271" i="1" s="1"/>
  <c r="U116" i="1"/>
  <c r="S116" i="1" s="1"/>
  <c r="U124" i="1"/>
  <c r="S124" i="1" s="1"/>
  <c r="U140" i="1"/>
  <c r="S140" i="1" s="1"/>
  <c r="U148" i="1"/>
  <c r="S148" i="1" s="1"/>
  <c r="U119" i="1"/>
  <c r="S119" i="1" s="1"/>
  <c r="U131" i="1"/>
  <c r="S131" i="1" s="1"/>
  <c r="U139" i="1"/>
  <c r="S139" i="1" s="1"/>
  <c r="U147" i="1"/>
  <c r="S147" i="1" s="1"/>
  <c r="U159" i="1"/>
  <c r="S159" i="1" s="1"/>
  <c r="U106" i="1"/>
  <c r="S106" i="1" s="1"/>
  <c r="U117" i="1"/>
  <c r="S117" i="1" s="1"/>
  <c r="U109" i="1"/>
  <c r="S109" i="1" s="1"/>
  <c r="U125" i="1"/>
  <c r="S125" i="1" s="1"/>
  <c r="U135" i="1"/>
  <c r="S135" i="1" s="1"/>
  <c r="U113" i="1"/>
  <c r="S113" i="1" s="1"/>
  <c r="U133" i="1"/>
  <c r="S133" i="1" s="1"/>
  <c r="W112" i="1"/>
  <c r="U122" i="1"/>
  <c r="S122" i="1" s="1"/>
  <c r="U130" i="1"/>
  <c r="S130" i="1" s="1"/>
  <c r="U129" i="1"/>
  <c r="S129" i="1" s="1"/>
  <c r="U111" i="1"/>
  <c r="S111" i="1" s="1"/>
  <c r="AG93" i="1"/>
  <c r="T93" i="1"/>
  <c r="AG91" i="1"/>
  <c r="T91" i="1"/>
  <c r="AG87" i="1"/>
  <c r="T87" i="1"/>
  <c r="AG79" i="1"/>
  <c r="T79" i="1"/>
  <c r="AG75" i="1"/>
  <c r="T75" i="1"/>
  <c r="AG67" i="1"/>
  <c r="T67" i="1"/>
  <c r="AG63" i="1"/>
  <c r="T63" i="1"/>
  <c r="AG56" i="1"/>
  <c r="W56" i="1" s="1"/>
  <c r="T56" i="1"/>
  <c r="AG48" i="1"/>
  <c r="T48" i="1"/>
  <c r="AG185" i="1"/>
  <c r="T185" i="1"/>
  <c r="AG36" i="1"/>
  <c r="T36" i="1"/>
  <c r="AG32" i="1"/>
  <c r="T32" i="1"/>
  <c r="AG24" i="1"/>
  <c r="T24" i="1"/>
  <c r="AG20" i="1"/>
  <c r="T20" i="1"/>
  <c r="AG182" i="1"/>
  <c r="T182" i="1"/>
  <c r="AG183" i="1"/>
  <c r="T183" i="1"/>
  <c r="AG180" i="1"/>
  <c r="T180" i="1"/>
  <c r="AG176" i="1"/>
  <c r="T176" i="1"/>
  <c r="AG172" i="1"/>
  <c r="T172" i="1"/>
  <c r="AG89" i="1"/>
  <c r="T89" i="1"/>
  <c r="AG85" i="1"/>
  <c r="T85" i="1"/>
  <c r="AG81" i="1"/>
  <c r="T81" i="1"/>
  <c r="AG77" i="1"/>
  <c r="T77" i="1"/>
  <c r="AG73" i="1"/>
  <c r="T73" i="1"/>
  <c r="AG69" i="1"/>
  <c r="T69" i="1"/>
  <c r="AG65" i="1"/>
  <c r="T65" i="1"/>
  <c r="AG61" i="1"/>
  <c r="T61" i="1"/>
  <c r="AG100" i="1"/>
  <c r="T100" i="1"/>
  <c r="AG50" i="1"/>
  <c r="T50" i="1"/>
  <c r="AG99" i="1"/>
  <c r="T99" i="1"/>
  <c r="AG187" i="1"/>
  <c r="T187" i="1"/>
  <c r="AG46" i="1"/>
  <c r="T46" i="1"/>
  <c r="AG42" i="1"/>
  <c r="T42" i="1"/>
  <c r="AG38" i="1"/>
  <c r="T38" i="1"/>
  <c r="AG34" i="1"/>
  <c r="T34" i="1"/>
  <c r="AG26" i="1"/>
  <c r="T26" i="1"/>
  <c r="AG22" i="1"/>
  <c r="T22" i="1"/>
  <c r="AG18" i="1"/>
  <c r="T18" i="1"/>
  <c r="U156" i="1"/>
  <c r="S156" i="1" s="1"/>
  <c r="U132" i="1"/>
  <c r="S132" i="1" s="1"/>
  <c r="W163" i="1"/>
  <c r="W157" i="1"/>
  <c r="W162" i="1"/>
  <c r="W102" i="1"/>
  <c r="W145" i="1"/>
  <c r="W160" i="1"/>
  <c r="AG181" i="1"/>
  <c r="T181" i="1"/>
  <c r="AG177" i="1"/>
  <c r="T177" i="1"/>
  <c r="AG173" i="1"/>
  <c r="T173" i="1"/>
  <c r="AG90" i="1"/>
  <c r="T90" i="1"/>
  <c r="AG86" i="1"/>
  <c r="T86" i="1"/>
  <c r="AG82" i="1"/>
  <c r="T82" i="1"/>
  <c r="AG78" i="1"/>
  <c r="T78" i="1"/>
  <c r="AG74" i="1"/>
  <c r="T74" i="1"/>
  <c r="AG70" i="1"/>
  <c r="T70" i="1"/>
  <c r="AG66" i="1"/>
  <c r="T66" i="1"/>
  <c r="AG62" i="1"/>
  <c r="T62" i="1"/>
  <c r="AG58" i="1"/>
  <c r="W58" i="1" s="1"/>
  <c r="T58" i="1"/>
  <c r="AG54" i="1"/>
  <c r="T54" i="1"/>
  <c r="AG51" i="1"/>
  <c r="T51" i="1"/>
  <c r="AG47" i="1"/>
  <c r="T47" i="1"/>
  <c r="AG96" i="1"/>
  <c r="T96" i="1"/>
  <c r="AG188" i="1"/>
  <c r="T188" i="1"/>
  <c r="AG184" i="1"/>
  <c r="T184" i="1"/>
  <c r="AG43" i="1"/>
  <c r="T43" i="1"/>
  <c r="AG39" i="1"/>
  <c r="T39" i="1"/>
  <c r="AG35" i="1"/>
  <c r="T35" i="1"/>
  <c r="AG31" i="1"/>
  <c r="T31" i="1"/>
  <c r="AG27" i="1"/>
  <c r="T27" i="1"/>
  <c r="AG23" i="1"/>
  <c r="T23" i="1"/>
  <c r="AG19" i="1"/>
  <c r="T19" i="1"/>
  <c r="AG15" i="1"/>
  <c r="T15" i="1"/>
  <c r="W124" i="1"/>
  <c r="W127" i="1"/>
  <c r="W155" i="1"/>
  <c r="W101" i="1"/>
  <c r="W166" i="1"/>
  <c r="W111" i="1"/>
  <c r="W106" i="1"/>
  <c r="W129" i="1"/>
  <c r="W136" i="1"/>
  <c r="W153" i="1"/>
  <c r="W140" i="1"/>
  <c r="W115" i="1"/>
  <c r="AG178" i="1"/>
  <c r="T178" i="1"/>
  <c r="AG83" i="1"/>
  <c r="T83" i="1"/>
  <c r="AG59" i="1"/>
  <c r="T59" i="1"/>
  <c r="AG52" i="1"/>
  <c r="T52" i="1"/>
  <c r="AG16" i="1"/>
  <c r="T16" i="1"/>
  <c r="AG179" i="1"/>
  <c r="T179" i="1"/>
  <c r="AG175" i="1"/>
  <c r="T175" i="1"/>
  <c r="AG92" i="1"/>
  <c r="T92" i="1"/>
  <c r="AG88" i="1"/>
  <c r="T88" i="1"/>
  <c r="AG84" i="1"/>
  <c r="T84" i="1"/>
  <c r="AG80" i="1"/>
  <c r="T80" i="1"/>
  <c r="AG76" i="1"/>
  <c r="T76" i="1"/>
  <c r="AG72" i="1"/>
  <c r="T72" i="1"/>
  <c r="AG68" i="1"/>
  <c r="T68" i="1"/>
  <c r="AG64" i="1"/>
  <c r="T64" i="1"/>
  <c r="AG60" i="1"/>
  <c r="T60" i="1"/>
  <c r="AG57" i="1"/>
  <c r="W57" i="1" s="1"/>
  <c r="T57" i="1"/>
  <c r="AG53" i="1"/>
  <c r="T53" i="1"/>
  <c r="AA50" i="1"/>
  <c r="W50" i="1" s="1"/>
  <c r="AG49" i="1"/>
  <c r="T49" i="1"/>
  <c r="AG98" i="1"/>
  <c r="T98" i="1"/>
  <c r="AG94" i="1"/>
  <c r="T94" i="1"/>
  <c r="AG186" i="1"/>
  <c r="T186" i="1"/>
  <c r="AG45" i="1"/>
  <c r="T45" i="1"/>
  <c r="AG41" i="1"/>
  <c r="T41" i="1"/>
  <c r="AG37" i="1"/>
  <c r="T37" i="1"/>
  <c r="AG33" i="1"/>
  <c r="T33" i="1"/>
  <c r="AG29" i="1"/>
  <c r="T29" i="1"/>
  <c r="AG25" i="1"/>
  <c r="T25" i="1"/>
  <c r="AG21" i="1"/>
  <c r="T21" i="1"/>
  <c r="AG17" i="1"/>
  <c r="T17" i="1"/>
  <c r="W269" i="1"/>
  <c r="W108" i="1"/>
  <c r="W113" i="1"/>
  <c r="W103" i="1"/>
  <c r="W261" i="1"/>
  <c r="W119" i="1"/>
  <c r="W258" i="1"/>
  <c r="W167" i="1"/>
  <c r="W116" i="1"/>
  <c r="W107" i="1"/>
  <c r="W149" i="1"/>
  <c r="W144" i="1"/>
  <c r="W121" i="1"/>
  <c r="W170" i="1"/>
  <c r="U253" i="1"/>
  <c r="S253" i="1" s="1"/>
  <c r="U256" i="1"/>
  <c r="S256" i="1" s="1"/>
  <c r="U258" i="1"/>
  <c r="S258" i="1" s="1"/>
  <c r="U263" i="1"/>
  <c r="S263" i="1" s="1"/>
  <c r="U265" i="1"/>
  <c r="S265" i="1" s="1"/>
  <c r="AG174" i="1"/>
  <c r="T174" i="1"/>
  <c r="AG71" i="1"/>
  <c r="T71" i="1"/>
  <c r="AG97" i="1"/>
  <c r="T97" i="1"/>
  <c r="AG189" i="1"/>
  <c r="T189" i="1"/>
  <c r="AG44" i="1"/>
  <c r="T44" i="1"/>
  <c r="AG40" i="1"/>
  <c r="T40" i="1"/>
  <c r="AG28" i="1"/>
  <c r="T28" i="1"/>
  <c r="AG95" i="1"/>
  <c r="T95" i="1"/>
  <c r="AG30" i="1"/>
  <c r="T30" i="1"/>
  <c r="W257" i="1"/>
  <c r="W254" i="1"/>
  <c r="W262" i="1"/>
  <c r="U269" i="1"/>
  <c r="S269" i="1" s="1"/>
  <c r="AA207" i="1"/>
  <c r="W263" i="1"/>
  <c r="W267" i="1"/>
  <c r="W265" i="1"/>
  <c r="W264" i="1"/>
  <c r="AA199" i="1"/>
  <c r="W253" i="1"/>
  <c r="U266" i="1"/>
  <c r="S266" i="1" s="1"/>
  <c r="AG231" i="1"/>
  <c r="T231" i="1"/>
  <c r="AG230" i="1"/>
  <c r="T230" i="1"/>
  <c r="AG229" i="1"/>
  <c r="T229" i="1"/>
  <c r="AG228" i="1"/>
  <c r="T228" i="1"/>
  <c r="AG227" i="1"/>
  <c r="T227" i="1"/>
  <c r="AG226" i="1"/>
  <c r="T226" i="1"/>
  <c r="AG225" i="1"/>
  <c r="T225" i="1"/>
  <c r="AG224" i="1"/>
  <c r="T224" i="1"/>
  <c r="AG223" i="1"/>
  <c r="T223" i="1"/>
  <c r="AG222" i="1"/>
  <c r="T222" i="1"/>
  <c r="AG191" i="1"/>
  <c r="T191" i="1"/>
  <c r="AG190" i="1"/>
  <c r="T190" i="1"/>
  <c r="AG251" i="1"/>
  <c r="T251" i="1"/>
  <c r="AG250" i="1"/>
  <c r="T250" i="1"/>
  <c r="AG249" i="1"/>
  <c r="T249" i="1"/>
  <c r="AG248" i="1"/>
  <c r="T248" i="1"/>
  <c r="AG247" i="1"/>
  <c r="T247" i="1"/>
  <c r="AG246" i="1"/>
  <c r="T246" i="1"/>
  <c r="AG241" i="1"/>
  <c r="T241" i="1"/>
  <c r="AG240" i="1"/>
  <c r="T240" i="1"/>
  <c r="AG239" i="1"/>
  <c r="T239" i="1"/>
  <c r="AG238" i="1"/>
  <c r="T238" i="1"/>
  <c r="AG237" i="1"/>
  <c r="T237" i="1"/>
  <c r="AG236" i="1"/>
  <c r="T236" i="1"/>
  <c r="AG235" i="1"/>
  <c r="T235" i="1"/>
  <c r="AG234" i="1"/>
  <c r="T234" i="1"/>
  <c r="AG233" i="1"/>
  <c r="T233" i="1"/>
  <c r="AG232" i="1"/>
  <c r="T232" i="1"/>
  <c r="AG201" i="1"/>
  <c r="T201" i="1"/>
  <c r="AG200" i="1"/>
  <c r="T200" i="1"/>
  <c r="AG199" i="1"/>
  <c r="T199" i="1"/>
  <c r="AG198" i="1"/>
  <c r="T198" i="1"/>
  <c r="AG197" i="1"/>
  <c r="T197" i="1"/>
  <c r="AG196" i="1"/>
  <c r="T196" i="1"/>
  <c r="AG195" i="1"/>
  <c r="T195" i="1"/>
  <c r="AG194" i="1"/>
  <c r="T194" i="1"/>
  <c r="AG193" i="1"/>
  <c r="T193" i="1"/>
  <c r="AG192" i="1"/>
  <c r="T192" i="1"/>
  <c r="AG221" i="1"/>
  <c r="T221" i="1"/>
  <c r="AG220" i="1"/>
  <c r="T220" i="1"/>
  <c r="AG219" i="1"/>
  <c r="T219" i="1"/>
  <c r="AG218" i="1"/>
  <c r="T218" i="1"/>
  <c r="AG217" i="1"/>
  <c r="T217" i="1"/>
  <c r="AG216" i="1"/>
  <c r="T216" i="1"/>
  <c r="AG215" i="1"/>
  <c r="T215" i="1"/>
  <c r="AG214" i="1"/>
  <c r="T214" i="1"/>
  <c r="AG213" i="1"/>
  <c r="T213" i="1"/>
  <c r="AG212" i="1"/>
  <c r="T212" i="1"/>
  <c r="AG252" i="1"/>
  <c r="T252" i="1"/>
  <c r="AG245" i="1"/>
  <c r="T245" i="1"/>
  <c r="AG244" i="1"/>
  <c r="T244" i="1"/>
  <c r="AG243" i="1"/>
  <c r="T243" i="1"/>
  <c r="AG242" i="1"/>
  <c r="T242" i="1"/>
  <c r="AG211" i="1"/>
  <c r="T211" i="1"/>
  <c r="AG210" i="1"/>
  <c r="T210" i="1"/>
  <c r="AG209" i="1"/>
  <c r="T209" i="1"/>
  <c r="AG208" i="1"/>
  <c r="T208" i="1"/>
  <c r="AG207" i="1"/>
  <c r="T207" i="1"/>
  <c r="AG206" i="1"/>
  <c r="T206" i="1"/>
  <c r="AG205" i="1"/>
  <c r="T205" i="1"/>
  <c r="AG204" i="1"/>
  <c r="T204" i="1"/>
  <c r="AG203" i="1"/>
  <c r="T203" i="1"/>
  <c r="AG202" i="1"/>
  <c r="T202" i="1"/>
  <c r="W266" i="1"/>
  <c r="AA19" i="1"/>
  <c r="AA16" i="1"/>
  <c r="W118" i="1"/>
  <c r="AA181" i="1"/>
  <c r="U275" i="1"/>
  <c r="S275" i="1" s="1"/>
  <c r="W104" i="1"/>
  <c r="W123" i="1"/>
  <c r="W138" i="1"/>
  <c r="W150" i="1"/>
  <c r="AA75" i="1"/>
  <c r="AA63" i="1"/>
  <c r="W63" i="1" s="1"/>
  <c r="U118" i="1"/>
  <c r="S118" i="1" s="1"/>
  <c r="W168" i="1"/>
  <c r="W114" i="1"/>
  <c r="Q22" i="3"/>
  <c r="W255" i="1"/>
  <c r="U114" i="1"/>
  <c r="S114" i="1" s="1"/>
  <c r="U255" i="1"/>
  <c r="S255" i="1" s="1"/>
  <c r="W154" i="1"/>
  <c r="Q65" i="3"/>
  <c r="Q46" i="3"/>
  <c r="Q66" i="3"/>
  <c r="P46" i="3"/>
  <c r="P66" i="3"/>
  <c r="P65" i="3"/>
  <c r="Q63" i="3"/>
  <c r="Q55" i="3"/>
  <c r="Q13" i="3"/>
  <c r="Q24" i="3"/>
  <c r="P22" i="3"/>
  <c r="P17" i="3"/>
  <c r="P55" i="3"/>
  <c r="P63" i="3"/>
  <c r="P24" i="3"/>
  <c r="P13" i="3"/>
  <c r="S112" i="1"/>
  <c r="U134" i="1"/>
  <c r="S134" i="1" s="1"/>
  <c r="W164" i="1"/>
  <c r="U123" i="1"/>
  <c r="S123" i="1" s="1"/>
  <c r="W142" i="1"/>
  <c r="U161" i="1"/>
  <c r="S161" i="1" s="1"/>
  <c r="W146" i="1"/>
  <c r="W260" i="1"/>
  <c r="W256" i="1"/>
  <c r="W110" i="1"/>
  <c r="X175" i="1"/>
  <c r="X174" i="1"/>
  <c r="X172" i="1"/>
  <c r="X88" i="1"/>
  <c r="X84" i="1"/>
  <c r="X82" i="1"/>
  <c r="X80" i="1"/>
  <c r="X76" i="1"/>
  <c r="W75" i="1"/>
  <c r="X75" i="1"/>
  <c r="X70" i="1"/>
  <c r="X69" i="1"/>
  <c r="X68" i="1"/>
  <c r="X67" i="1"/>
  <c r="X66" i="1"/>
  <c r="X65" i="1"/>
  <c r="X64" i="1"/>
  <c r="X100" i="1"/>
  <c r="X101" i="1"/>
  <c r="X250" i="1"/>
  <c r="X249" i="1"/>
  <c r="X248" i="1"/>
  <c r="X247" i="1"/>
  <c r="X246" i="1"/>
  <c r="X183" i="1"/>
  <c r="X182" i="1"/>
  <c r="X93" i="1"/>
  <c r="X181" i="1"/>
  <c r="X180" i="1"/>
  <c r="X179" i="1"/>
  <c r="X178" i="1"/>
  <c r="X177" i="1"/>
  <c r="AA173" i="1"/>
  <c r="X53" i="1"/>
  <c r="X52" i="1"/>
  <c r="X51" i="1"/>
  <c r="X50" i="1"/>
  <c r="X49" i="1"/>
  <c r="X48" i="1"/>
  <c r="X47" i="1"/>
  <c r="X245" i="1"/>
  <c r="X244" i="1"/>
  <c r="X243" i="1"/>
  <c r="X242" i="1"/>
  <c r="X99" i="1"/>
  <c r="X241" i="1"/>
  <c r="X240" i="1"/>
  <c r="X239" i="1"/>
  <c r="X238" i="1"/>
  <c r="X237" i="1"/>
  <c r="X236" i="1"/>
  <c r="X235" i="1"/>
  <c r="X234" i="1"/>
  <c r="X233" i="1"/>
  <c r="X232" i="1"/>
  <c r="X98" i="1"/>
  <c r="X231" i="1"/>
  <c r="X230" i="1"/>
  <c r="X229" i="1"/>
  <c r="X228" i="1"/>
  <c r="X227" i="1"/>
  <c r="X226" i="1"/>
  <c r="X225" i="1"/>
  <c r="X224" i="1"/>
  <c r="X223" i="1"/>
  <c r="AA220" i="1"/>
  <c r="X173" i="1"/>
  <c r="X222" i="1"/>
  <c r="X97" i="1"/>
  <c r="X221" i="1"/>
  <c r="X220" i="1"/>
  <c r="X219" i="1"/>
  <c r="X218" i="1"/>
  <c r="X217" i="1"/>
  <c r="W271" i="1"/>
  <c r="X92" i="1"/>
  <c r="X91" i="1"/>
  <c r="X90" i="1"/>
  <c r="X89" i="1"/>
  <c r="AA85" i="1"/>
  <c r="AA70" i="1"/>
  <c r="AA66" i="1"/>
  <c r="X54" i="1"/>
  <c r="X96" i="1"/>
  <c r="X211" i="1"/>
  <c r="X210" i="1"/>
  <c r="X209" i="1"/>
  <c r="X208" i="1"/>
  <c r="X207" i="1"/>
  <c r="X206" i="1"/>
  <c r="X205" i="1"/>
  <c r="X204" i="1"/>
  <c r="X203" i="1"/>
  <c r="X202" i="1"/>
  <c r="X95" i="1"/>
  <c r="X201" i="1"/>
  <c r="X200" i="1"/>
  <c r="X199" i="1"/>
  <c r="X198" i="1"/>
  <c r="X197" i="1"/>
  <c r="X196" i="1"/>
  <c r="X195" i="1"/>
  <c r="X194" i="1"/>
  <c r="X193" i="1"/>
  <c r="X192" i="1"/>
  <c r="X94" i="1"/>
  <c r="X191" i="1"/>
  <c r="X190" i="1"/>
  <c r="X189" i="1"/>
  <c r="X188" i="1"/>
  <c r="X187" i="1"/>
  <c r="X186" i="1"/>
  <c r="X185" i="1"/>
  <c r="U184" i="1"/>
  <c r="S184" i="1" s="1"/>
  <c r="X184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U24" i="1"/>
  <c r="S24" i="1" s="1"/>
  <c r="X24" i="1"/>
  <c r="X23" i="1"/>
  <c r="X22" i="1"/>
  <c r="X21" i="1"/>
  <c r="X20" i="1"/>
  <c r="X19" i="1"/>
  <c r="X18" i="1"/>
  <c r="X17" i="1"/>
  <c r="X16" i="1"/>
  <c r="X176" i="1"/>
  <c r="X87" i="1"/>
  <c r="X86" i="1"/>
  <c r="X85" i="1"/>
  <c r="X83" i="1"/>
  <c r="X81" i="1"/>
  <c r="X79" i="1"/>
  <c r="X78" i="1"/>
  <c r="X77" i="1"/>
  <c r="X74" i="1"/>
  <c r="X73" i="1"/>
  <c r="X72" i="1"/>
  <c r="X71" i="1"/>
  <c r="X252" i="1"/>
  <c r="X253" i="1"/>
  <c r="X251" i="1"/>
  <c r="AA203" i="1"/>
  <c r="AA35" i="1"/>
  <c r="W35" i="1" s="1"/>
  <c r="AA84" i="1"/>
  <c r="AA241" i="1"/>
  <c r="AA233" i="1"/>
  <c r="AA201" i="1"/>
  <c r="AA82" i="1"/>
  <c r="W82" i="1" s="1"/>
  <c r="AA78" i="1"/>
  <c r="AA251" i="1"/>
  <c r="AA228" i="1"/>
  <c r="AA200" i="1"/>
  <c r="AA196" i="1"/>
  <c r="AA192" i="1"/>
  <c r="AA185" i="1"/>
  <c r="AA33" i="1"/>
  <c r="AA32" i="1"/>
  <c r="AA25" i="1"/>
  <c r="AA24" i="1"/>
  <c r="AA17" i="1"/>
  <c r="AA65" i="1"/>
  <c r="AA51" i="1"/>
  <c r="AA236" i="1"/>
  <c r="AA221" i="1"/>
  <c r="AA208" i="1"/>
  <c r="AA45" i="1"/>
  <c r="AA44" i="1"/>
  <c r="AA72" i="1"/>
  <c r="AA91" i="1"/>
  <c r="AA40" i="1"/>
  <c r="AA178" i="1"/>
  <c r="U174" i="1"/>
  <c r="S174" i="1" s="1"/>
  <c r="AA88" i="1"/>
  <c r="AA87" i="1"/>
  <c r="AA74" i="1"/>
  <c r="AA67" i="1"/>
  <c r="AA249" i="1"/>
  <c r="AA52" i="1"/>
  <c r="AA49" i="1"/>
  <c r="AA242" i="1"/>
  <c r="AA234" i="1"/>
  <c r="AA226" i="1"/>
  <c r="AA97" i="1"/>
  <c r="AA219" i="1"/>
  <c r="AA213" i="1"/>
  <c r="AA204" i="1"/>
  <c r="AA188" i="1"/>
  <c r="AA187" i="1"/>
  <c r="AA183" i="1"/>
  <c r="AA177" i="1"/>
  <c r="AA92" i="1"/>
  <c r="AA90" i="1"/>
  <c r="W90" i="1" s="1"/>
  <c r="AA86" i="1"/>
  <c r="AA81" i="1"/>
  <c r="AA76" i="1"/>
  <c r="AA68" i="1"/>
  <c r="W68" i="1" s="1"/>
  <c r="AA47" i="1"/>
  <c r="AA245" i="1"/>
  <c r="AA99" i="1"/>
  <c r="AA237" i="1"/>
  <c r="AA232" i="1"/>
  <c r="AA217" i="1"/>
  <c r="AA216" i="1"/>
  <c r="AA212" i="1"/>
  <c r="W212" i="1" s="1"/>
  <c r="AA209" i="1"/>
  <c r="AA195" i="1"/>
  <c r="AA94" i="1"/>
  <c r="AA189" i="1"/>
  <c r="AA41" i="1"/>
  <c r="AA27" i="1"/>
  <c r="AA93" i="1"/>
  <c r="W93" i="1" s="1"/>
  <c r="AA179" i="1"/>
  <c r="AA172" i="1"/>
  <c r="AA89" i="1"/>
  <c r="AA83" i="1"/>
  <c r="AA77" i="1"/>
  <c r="AA62" i="1"/>
  <c r="AA54" i="1"/>
  <c r="AA250" i="1"/>
  <c r="W250" i="1" s="1"/>
  <c r="AA53" i="1"/>
  <c r="AA48" i="1"/>
  <c r="AA98" i="1"/>
  <c r="AA231" i="1"/>
  <c r="AA227" i="1"/>
  <c r="AA222" i="1"/>
  <c r="AA218" i="1"/>
  <c r="AA206" i="1"/>
  <c r="AA186" i="1"/>
  <c r="AA43" i="1"/>
  <c r="AA20" i="1"/>
  <c r="AA80" i="1"/>
  <c r="AA21" i="1"/>
  <c r="AA182" i="1"/>
  <c r="AA64" i="1"/>
  <c r="AA60" i="1"/>
  <c r="W60" i="1" s="1"/>
  <c r="AA190" i="1"/>
  <c r="AA180" i="1"/>
  <c r="AA176" i="1"/>
  <c r="AA175" i="1"/>
  <c r="AA174" i="1"/>
  <c r="W174" i="1" s="1"/>
  <c r="AA73" i="1"/>
  <c r="AA71" i="1"/>
  <c r="AA59" i="1"/>
  <c r="AA252" i="1"/>
  <c r="AA244" i="1"/>
  <c r="AA230" i="1"/>
  <c r="AA215" i="1"/>
  <c r="AA95" i="1"/>
  <c r="AA193" i="1"/>
  <c r="AA34" i="1"/>
  <c r="AA29" i="1"/>
  <c r="AA28" i="1"/>
  <c r="AA79" i="1"/>
  <c r="AA61" i="1"/>
  <c r="AA100" i="1"/>
  <c r="W100" i="1" s="1"/>
  <c r="AA248" i="1"/>
  <c r="AA247" i="1"/>
  <c r="AA246" i="1"/>
  <c r="AA243" i="1"/>
  <c r="AA240" i="1"/>
  <c r="AA239" i="1"/>
  <c r="AA238" i="1"/>
  <c r="AA229" i="1"/>
  <c r="AA225" i="1"/>
  <c r="AA224" i="1"/>
  <c r="AA223" i="1"/>
  <c r="AA214" i="1"/>
  <c r="W214" i="1" s="1"/>
  <c r="AA211" i="1"/>
  <c r="AA210" i="1"/>
  <c r="AA202" i="1"/>
  <c r="AA197" i="1"/>
  <c r="AA37" i="1"/>
  <c r="AA36" i="1"/>
  <c r="AA31" i="1"/>
  <c r="AA26" i="1"/>
  <c r="W26" i="1" s="1"/>
  <c r="AA23" i="1"/>
  <c r="AA18" i="1"/>
  <c r="U182" i="1"/>
  <c r="S182" i="1" s="1"/>
  <c r="AA69" i="1"/>
  <c r="AA39" i="1"/>
  <c r="AA194" i="1"/>
  <c r="AA184" i="1"/>
  <c r="AA42" i="1"/>
  <c r="AA15" i="1"/>
  <c r="AA205" i="1"/>
  <c r="AA198" i="1"/>
  <c r="AA191" i="1"/>
  <c r="AA46" i="1"/>
  <c r="AA38" i="1"/>
  <c r="AA30" i="1"/>
  <c r="AA22" i="1"/>
  <c r="L9" i="3"/>
  <c r="S9" i="3"/>
  <c r="R9" i="3" s="1"/>
  <c r="T9" i="3"/>
  <c r="V9" i="3"/>
  <c r="L10" i="3"/>
  <c r="S10" i="3"/>
  <c r="R10" i="3" s="1"/>
  <c r="T10" i="3"/>
  <c r="V10" i="3"/>
  <c r="U28" i="1" l="1"/>
  <c r="S28" i="1" s="1"/>
  <c r="U97" i="1"/>
  <c r="S97" i="1" s="1"/>
  <c r="U208" i="1"/>
  <c r="S208" i="1" s="1"/>
  <c r="U201" i="1"/>
  <c r="S201" i="1" s="1"/>
  <c r="U229" i="1"/>
  <c r="S229" i="1" s="1"/>
  <c r="U202" i="1"/>
  <c r="S202" i="1" s="1"/>
  <c r="U210" i="1"/>
  <c r="S210" i="1" s="1"/>
  <c r="U244" i="1"/>
  <c r="S244" i="1" s="1"/>
  <c r="U213" i="1"/>
  <c r="S213" i="1" s="1"/>
  <c r="U199" i="1"/>
  <c r="S199" i="1" s="1"/>
  <c r="U233" i="1"/>
  <c r="S233" i="1" s="1"/>
  <c r="U237" i="1"/>
  <c r="S237" i="1" s="1"/>
  <c r="U249" i="1"/>
  <c r="S249" i="1" s="1"/>
  <c r="U74" i="1"/>
  <c r="S74" i="1" s="1"/>
  <c r="W38" i="1"/>
  <c r="U30" i="1"/>
  <c r="S30" i="1" s="1"/>
  <c r="U172" i="1"/>
  <c r="S172" i="1" s="1"/>
  <c r="W45" i="1"/>
  <c r="W49" i="1"/>
  <c r="U80" i="1"/>
  <c r="S80" i="1" s="1"/>
  <c r="U88" i="1"/>
  <c r="S88" i="1" s="1"/>
  <c r="U175" i="1"/>
  <c r="S175" i="1" s="1"/>
  <c r="U178" i="1"/>
  <c r="S178" i="1" s="1"/>
  <c r="U188" i="1"/>
  <c r="S188" i="1" s="1"/>
  <c r="U62" i="1"/>
  <c r="S62" i="1" s="1"/>
  <c r="U78" i="1"/>
  <c r="S78" i="1" s="1"/>
  <c r="U86" i="1"/>
  <c r="S86" i="1" s="1"/>
  <c r="U173" i="1"/>
  <c r="S173" i="1" s="1"/>
  <c r="U181" i="1"/>
  <c r="S181" i="1" s="1"/>
  <c r="U187" i="1"/>
  <c r="S187" i="1" s="1"/>
  <c r="W205" i="1"/>
  <c r="W16" i="1"/>
  <c r="U45" i="1"/>
  <c r="S45" i="1" s="1"/>
  <c r="U94" i="1"/>
  <c r="S94" i="1" s="1"/>
  <c r="W85" i="1"/>
  <c r="U36" i="1"/>
  <c r="S36" i="1" s="1"/>
  <c r="W180" i="1"/>
  <c r="W177" i="1"/>
  <c r="W226" i="1"/>
  <c r="W87" i="1"/>
  <c r="W51" i="1"/>
  <c r="W53" i="1"/>
  <c r="W179" i="1"/>
  <c r="U245" i="1"/>
  <c r="S245" i="1" s="1"/>
  <c r="U214" i="1"/>
  <c r="S214" i="1" s="1"/>
  <c r="U226" i="1"/>
  <c r="S226" i="1" s="1"/>
  <c r="U41" i="1"/>
  <c r="S41" i="1" s="1"/>
  <c r="U53" i="1"/>
  <c r="S53" i="1" s="1"/>
  <c r="U60" i="1"/>
  <c r="S60" i="1" s="1"/>
  <c r="U68" i="1"/>
  <c r="S68" i="1" s="1"/>
  <c r="U76" i="1"/>
  <c r="S76" i="1" s="1"/>
  <c r="U84" i="1"/>
  <c r="S84" i="1" s="1"/>
  <c r="U92" i="1"/>
  <c r="S92" i="1" s="1"/>
  <c r="U179" i="1"/>
  <c r="S179" i="1" s="1"/>
  <c r="U52" i="1"/>
  <c r="S52" i="1" s="1"/>
  <c r="U83" i="1"/>
  <c r="S83" i="1" s="1"/>
  <c r="U15" i="1"/>
  <c r="S15" i="1" s="1"/>
  <c r="U23" i="1"/>
  <c r="S23" i="1" s="1"/>
  <c r="U31" i="1"/>
  <c r="S31" i="1" s="1"/>
  <c r="U39" i="1"/>
  <c r="S39" i="1" s="1"/>
  <c r="U96" i="1"/>
  <c r="S96" i="1" s="1"/>
  <c r="U51" i="1"/>
  <c r="S51" i="1" s="1"/>
  <c r="U58" i="1"/>
  <c r="S58" i="1" s="1"/>
  <c r="U66" i="1"/>
  <c r="S66" i="1" s="1"/>
  <c r="U82" i="1"/>
  <c r="S82" i="1" s="1"/>
  <c r="U90" i="1"/>
  <c r="S90" i="1" s="1"/>
  <c r="U177" i="1"/>
  <c r="S177" i="1" s="1"/>
  <c r="U18" i="1"/>
  <c r="S18" i="1" s="1"/>
  <c r="U26" i="1"/>
  <c r="S26" i="1" s="1"/>
  <c r="U38" i="1"/>
  <c r="S38" i="1" s="1"/>
  <c r="U46" i="1"/>
  <c r="S46" i="1" s="1"/>
  <c r="U99" i="1"/>
  <c r="S99" i="1" s="1"/>
  <c r="U100" i="1"/>
  <c r="S100" i="1" s="1"/>
  <c r="U61" i="1"/>
  <c r="S61" i="1" s="1"/>
  <c r="U69" i="1"/>
  <c r="S69" i="1" s="1"/>
  <c r="U77" i="1"/>
  <c r="S77" i="1" s="1"/>
  <c r="U85" i="1"/>
  <c r="S85" i="1" s="1"/>
  <c r="U180" i="1"/>
  <c r="S180" i="1" s="1"/>
  <c r="U48" i="1"/>
  <c r="S48" i="1" s="1"/>
  <c r="U63" i="1"/>
  <c r="S63" i="1" s="1"/>
  <c r="U75" i="1"/>
  <c r="S75" i="1" s="1"/>
  <c r="U87" i="1"/>
  <c r="S87" i="1" s="1"/>
  <c r="U93" i="1"/>
  <c r="S93" i="1" s="1"/>
  <c r="W39" i="1"/>
  <c r="W31" i="1"/>
  <c r="W230" i="1"/>
  <c r="W216" i="1"/>
  <c r="W76" i="1"/>
  <c r="W92" i="1"/>
  <c r="W74" i="1"/>
  <c r="W66" i="1"/>
  <c r="W69" i="1"/>
  <c r="W224" i="1"/>
  <c r="W182" i="1"/>
  <c r="W172" i="1"/>
  <c r="U81" i="1"/>
  <c r="S81" i="1" s="1"/>
  <c r="U89" i="1"/>
  <c r="S89" i="1" s="1"/>
  <c r="U176" i="1"/>
  <c r="S176" i="1" s="1"/>
  <c r="U183" i="1"/>
  <c r="S183" i="1" s="1"/>
  <c r="U185" i="1"/>
  <c r="S185" i="1" s="1"/>
  <c r="U67" i="1"/>
  <c r="S67" i="1" s="1"/>
  <c r="U79" i="1"/>
  <c r="S79" i="1" s="1"/>
  <c r="U91" i="1"/>
  <c r="S91" i="1" s="1"/>
  <c r="W181" i="1"/>
  <c r="W70" i="1"/>
  <c r="W19" i="1"/>
  <c r="U40" i="1"/>
  <c r="S40" i="1" s="1"/>
  <c r="U186" i="1"/>
  <c r="S186" i="1" s="1"/>
  <c r="W244" i="1"/>
  <c r="W22" i="1"/>
  <c r="W42" i="1"/>
  <c r="W173" i="1"/>
  <c r="W47" i="1"/>
  <c r="W221" i="1"/>
  <c r="W78" i="1"/>
  <c r="W215" i="1"/>
  <c r="W213" i="1"/>
  <c r="W88" i="1"/>
  <c r="U205" i="1"/>
  <c r="S205" i="1" s="1"/>
  <c r="U212" i="1"/>
  <c r="S212" i="1" s="1"/>
  <c r="U194" i="1"/>
  <c r="S194" i="1" s="1"/>
  <c r="U200" i="1"/>
  <c r="S200" i="1" s="1"/>
  <c r="U234" i="1"/>
  <c r="S234" i="1" s="1"/>
  <c r="U240" i="1"/>
  <c r="S240" i="1" s="1"/>
  <c r="U248" i="1"/>
  <c r="S248" i="1" s="1"/>
  <c r="U250" i="1"/>
  <c r="S250" i="1" s="1"/>
  <c r="U190" i="1"/>
  <c r="S190" i="1" s="1"/>
  <c r="W98" i="1"/>
  <c r="U44" i="1"/>
  <c r="S44" i="1" s="1"/>
  <c r="U21" i="1"/>
  <c r="S21" i="1" s="1"/>
  <c r="U29" i="1"/>
  <c r="S29" i="1" s="1"/>
  <c r="U37" i="1"/>
  <c r="S37" i="1" s="1"/>
  <c r="U49" i="1"/>
  <c r="S49" i="1" s="1"/>
  <c r="W207" i="1"/>
  <c r="U189" i="1"/>
  <c r="S189" i="1" s="1"/>
  <c r="U34" i="1"/>
  <c r="S34" i="1" s="1"/>
  <c r="U32" i="1"/>
  <c r="S32" i="1" s="1"/>
  <c r="U56" i="1"/>
  <c r="S56" i="1" s="1"/>
  <c r="U95" i="1"/>
  <c r="S95" i="1" s="1"/>
  <c r="U71" i="1"/>
  <c r="S71" i="1" s="1"/>
  <c r="U25" i="1"/>
  <c r="S25" i="1" s="1"/>
  <c r="U33" i="1"/>
  <c r="S33" i="1" s="1"/>
  <c r="U98" i="1"/>
  <c r="S98" i="1" s="1"/>
  <c r="W17" i="1"/>
  <c r="W29" i="1"/>
  <c r="U57" i="1"/>
  <c r="S57" i="1" s="1"/>
  <c r="U64" i="1"/>
  <c r="S64" i="1" s="1"/>
  <c r="U72" i="1"/>
  <c r="S72" i="1" s="1"/>
  <c r="U59" i="1"/>
  <c r="S59" i="1" s="1"/>
  <c r="U27" i="1"/>
  <c r="S27" i="1" s="1"/>
  <c r="U35" i="1"/>
  <c r="S35" i="1" s="1"/>
  <c r="U43" i="1"/>
  <c r="S43" i="1" s="1"/>
  <c r="U47" i="1"/>
  <c r="S47" i="1" s="1"/>
  <c r="U54" i="1"/>
  <c r="S54" i="1" s="1"/>
  <c r="U70" i="1"/>
  <c r="S70" i="1" s="1"/>
  <c r="U22" i="1"/>
  <c r="S22" i="1" s="1"/>
  <c r="U42" i="1"/>
  <c r="S42" i="1" s="1"/>
  <c r="U65" i="1"/>
  <c r="S65" i="1" s="1"/>
  <c r="U20" i="1"/>
  <c r="S20" i="1" s="1"/>
  <c r="W72" i="1"/>
  <c r="W252" i="1"/>
  <c r="W231" i="1"/>
  <c r="W59" i="1"/>
  <c r="W175" i="1"/>
  <c r="W178" i="1"/>
  <c r="W185" i="1"/>
  <c r="W64" i="1"/>
  <c r="W81" i="1"/>
  <c r="W219" i="1"/>
  <c r="W242" i="1"/>
  <c r="W65" i="1"/>
  <c r="U193" i="1"/>
  <c r="S193" i="1" s="1"/>
  <c r="U239" i="1"/>
  <c r="S239" i="1" s="1"/>
  <c r="W199" i="1"/>
  <c r="W183" i="1"/>
  <c r="U207" i="1"/>
  <c r="S207" i="1" s="1"/>
  <c r="W204" i="1"/>
  <c r="W248" i="1"/>
  <c r="W234" i="1"/>
  <c r="W228" i="1"/>
  <c r="U195" i="1"/>
  <c r="S195" i="1" s="1"/>
  <c r="U241" i="1"/>
  <c r="S241" i="1" s="1"/>
  <c r="U251" i="1"/>
  <c r="S251" i="1" s="1"/>
  <c r="U191" i="1"/>
  <c r="S191" i="1" s="1"/>
  <c r="U206" i="1"/>
  <c r="S206" i="1" s="1"/>
  <c r="U243" i="1"/>
  <c r="S243" i="1" s="1"/>
  <c r="U216" i="1"/>
  <c r="S216" i="1" s="1"/>
  <c r="U220" i="1"/>
  <c r="S220" i="1" s="1"/>
  <c r="U192" i="1"/>
  <c r="S192" i="1" s="1"/>
  <c r="U196" i="1"/>
  <c r="S196" i="1" s="1"/>
  <c r="U198" i="1"/>
  <c r="S198" i="1" s="1"/>
  <c r="U232" i="1"/>
  <c r="S232" i="1" s="1"/>
  <c r="U236" i="1"/>
  <c r="S236" i="1" s="1"/>
  <c r="U238" i="1"/>
  <c r="S238" i="1" s="1"/>
  <c r="U246" i="1"/>
  <c r="S246" i="1" s="1"/>
  <c r="U222" i="1"/>
  <c r="S222" i="1" s="1"/>
  <c r="U224" i="1"/>
  <c r="S224" i="1" s="1"/>
  <c r="U228" i="1"/>
  <c r="S228" i="1" s="1"/>
  <c r="U230" i="1"/>
  <c r="S230" i="1" s="1"/>
  <c r="W202" i="1"/>
  <c r="W243" i="1"/>
  <c r="U204" i="1"/>
  <c r="S204" i="1" s="1"/>
  <c r="W233" i="1"/>
  <c r="U209" i="1"/>
  <c r="S209" i="1" s="1"/>
  <c r="U211" i="1"/>
  <c r="S211" i="1" s="1"/>
  <c r="U242" i="1"/>
  <c r="S242" i="1" s="1"/>
  <c r="U252" i="1"/>
  <c r="S252" i="1" s="1"/>
  <c r="U215" i="1"/>
  <c r="S215" i="1" s="1"/>
  <c r="U217" i="1"/>
  <c r="S217" i="1" s="1"/>
  <c r="U219" i="1"/>
  <c r="S219" i="1" s="1"/>
  <c r="U221" i="1"/>
  <c r="S221" i="1" s="1"/>
  <c r="U197" i="1"/>
  <c r="S197" i="1" s="1"/>
  <c r="W201" i="1"/>
  <c r="W195" i="1"/>
  <c r="U235" i="1"/>
  <c r="S235" i="1" s="1"/>
  <c r="W191" i="1"/>
  <c r="W239" i="1"/>
  <c r="W247" i="1"/>
  <c r="W237" i="1"/>
  <c r="W241" i="1"/>
  <c r="U223" i="1"/>
  <c r="S223" i="1" s="1"/>
  <c r="U231" i="1"/>
  <c r="S231" i="1" s="1"/>
  <c r="U227" i="1"/>
  <c r="S227" i="1" s="1"/>
  <c r="U247" i="1"/>
  <c r="S247" i="1" s="1"/>
  <c r="W229" i="1"/>
  <c r="W235" i="1"/>
  <c r="W251" i="1"/>
  <c r="U225" i="1"/>
  <c r="S225" i="1" s="1"/>
  <c r="W184" i="1"/>
  <c r="W210" i="1"/>
  <c r="U17" i="1"/>
  <c r="S17" i="1" s="1"/>
  <c r="W43" i="1"/>
  <c r="U19" i="1"/>
  <c r="S19" i="1" s="1"/>
  <c r="W94" i="1"/>
  <c r="W217" i="1"/>
  <c r="W249" i="1"/>
  <c r="W33" i="1"/>
  <c r="W200" i="1"/>
  <c r="W15" i="1"/>
  <c r="W190" i="1"/>
  <c r="W23" i="1"/>
  <c r="W37" i="1"/>
  <c r="W186" i="1"/>
  <c r="W197" i="1"/>
  <c r="W193" i="1"/>
  <c r="W21" i="1"/>
  <c r="W206" i="1"/>
  <c r="W222" i="1"/>
  <c r="W41" i="1"/>
  <c r="W188" i="1"/>
  <c r="W208" i="1"/>
  <c r="W73" i="1"/>
  <c r="W225" i="1"/>
  <c r="U73" i="1"/>
  <c r="S73" i="1" s="1"/>
  <c r="W240" i="1"/>
  <c r="W227" i="1"/>
  <c r="W48" i="1"/>
  <c r="W89" i="1"/>
  <c r="W52" i="1"/>
  <c r="W67" i="1"/>
  <c r="W91" i="1"/>
  <c r="W236" i="1"/>
  <c r="W84" i="1"/>
  <c r="W203" i="1"/>
  <c r="W218" i="1"/>
  <c r="W80" i="1"/>
  <c r="W86" i="1"/>
  <c r="W24" i="1"/>
  <c r="W79" i="1"/>
  <c r="W62" i="1"/>
  <c r="W83" i="1"/>
  <c r="W27" i="1"/>
  <c r="W99" i="1"/>
  <c r="W44" i="1"/>
  <c r="W25" i="1"/>
  <c r="U218" i="1"/>
  <c r="S218" i="1" s="1"/>
  <c r="W54" i="1"/>
  <c r="W30" i="1"/>
  <c r="W46" i="1"/>
  <c r="W198" i="1"/>
  <c r="U203" i="1"/>
  <c r="S203" i="1" s="1"/>
  <c r="W77" i="1"/>
  <c r="W18" i="1"/>
  <c r="W36" i="1"/>
  <c r="W223" i="1"/>
  <c r="W238" i="1"/>
  <c r="W246" i="1"/>
  <c r="W71" i="1"/>
  <c r="W232" i="1"/>
  <c r="W245" i="1"/>
  <c r="W97" i="1"/>
  <c r="U50" i="1"/>
  <c r="S50" i="1" s="1"/>
  <c r="W32" i="1"/>
  <c r="W192" i="1"/>
  <c r="W194" i="1"/>
  <c r="W28" i="1"/>
  <c r="W209" i="1"/>
  <c r="U16" i="1"/>
  <c r="S16" i="1" s="1"/>
  <c r="W96" i="1"/>
  <c r="W211" i="1"/>
  <c r="W61" i="1"/>
  <c r="W34" i="1"/>
  <c r="W95" i="1"/>
  <c r="W176" i="1"/>
  <c r="W20" i="1"/>
  <c r="W189" i="1"/>
  <c r="W187" i="1"/>
  <c r="W40" i="1"/>
  <c r="W196" i="1"/>
  <c r="W220" i="1"/>
  <c r="Q9" i="3"/>
  <c r="P9" i="3"/>
  <c r="Q10" i="3" l="1"/>
  <c r="P10" i="3"/>
  <c r="E5" i="6"/>
  <c r="F5" i="6"/>
  <c r="G5" i="6"/>
  <c r="H5" i="6"/>
  <c r="E4" i="6"/>
  <c r="F4" i="6"/>
  <c r="G4" i="6"/>
  <c r="H4" i="6"/>
  <c r="E3" i="6"/>
  <c r="F3" i="6"/>
  <c r="G3" i="6"/>
  <c r="H3" i="6"/>
  <c r="X6" i="1" l="1"/>
  <c r="W6" i="1"/>
  <c r="V6" i="1"/>
  <c r="S6" i="1"/>
  <c r="R2" i="1"/>
  <c r="I2" i="1"/>
  <c r="O6" i="1"/>
  <c r="N6" i="1"/>
  <c r="M6" i="1"/>
  <c r="J6" i="1"/>
  <c r="P3" i="5" l="1"/>
  <c r="V14" i="1" l="1"/>
  <c r="V13" i="1"/>
  <c r="J7" i="1" l="1"/>
  <c r="S7" i="1" l="1"/>
  <c r="L7" i="3" l="1"/>
  <c r="S7" i="3"/>
  <c r="R7" i="3" s="1"/>
  <c r="T7" i="3"/>
  <c r="V7" i="3"/>
  <c r="Q7" i="3"/>
  <c r="P7" i="3" l="1"/>
  <c r="L8" i="3"/>
  <c r="S8" i="3"/>
  <c r="R8" i="3" s="1"/>
  <c r="T8" i="3"/>
  <c r="V8" i="3"/>
  <c r="Q8" i="3" l="1"/>
  <c r="P8" i="3"/>
  <c r="AF14" i="1" l="1"/>
  <c r="AF13" i="1"/>
  <c r="AE13" i="1" l="1"/>
  <c r="AE14" i="1"/>
  <c r="M19" i="5" l="1"/>
  <c r="M18" i="5"/>
  <c r="AD14" i="1" l="1"/>
  <c r="AD13" i="1"/>
  <c r="AG13" i="1" l="1"/>
  <c r="T13" i="1"/>
  <c r="AG14" i="1"/>
  <c r="V5" i="1" s="1"/>
  <c r="V8" i="1" s="1"/>
  <c r="T14" i="1"/>
  <c r="X13" i="1"/>
  <c r="X14" i="1"/>
  <c r="X15" i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Y14" i="1" l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<sst xmlns="http://schemas.openxmlformats.org/spreadsheetml/2006/main" count="2937" uniqueCount="940">
  <si>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</si>
  <si>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</si>
  <si>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</si>
  <si>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</si>
  <si>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</si>
  <si>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</si>
  <si>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</si>
  <si>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</si>
  <si>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</si>
  <si>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</si>
  <si>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</si>
  <si>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</si>
  <si>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</si>
  <si>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</si>
  <si>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</si>
  <si>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</si>
  <si>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</si>
  <si>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</si>
  <si>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</si>
  <si>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</si>
  <si>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</si>
  <si>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</si>
  <si>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</si>
  <si>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</si>
  <si>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</si>
  <si>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</si>
  <si>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</si>
  <si>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</si>
  <si>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</si>
  <si>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</si>
  <si>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</si>
  <si>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</si>
  <si>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</si>
  <si>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</si>
  <si>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</si>
  <si>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</si>
  <si>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</si>
  <si>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</si>
  <si>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</si>
  <si>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</si>
  <si>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</si>
  <si>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</si>
  <si>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</si>
  <si>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</si>
  <si>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</si>
  <si>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</si>
  <si>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</si>
  <si>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</si>
  <si>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</si>
  <si>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</si>
  <si>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</si>
  <si>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</si>
  <si>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</si>
  <si>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</si>
  <si>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</si>
  <si>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</si>
  <si>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</si>
  <si>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</si>
  <si>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</si>
  <si>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</si>
  <si>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</si>
  <si>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</si>
  <si>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</si>
  <si>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</si>
  <si>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</si>
  <si>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</si>
  <si>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</si>
  <si>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</si>
  <si>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</si>
  <si>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</si>
  <si>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</si>
  <si>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</si>
  <si>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</si>
  <si>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</si>
  <si>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</si>
  <si>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</si>
  <si>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</si>
  <si>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</si>
  <si>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</si>
  <si>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</si>
  <si>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</si>
  <si>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</si>
  <si>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</si>
  <si>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</si>
  <si>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</si>
  <si>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</si>
  <si>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</si>
  <si>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</si>
  <si>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</si>
  <si>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</si>
  <si>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</si>
  <si>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</si>
  <si>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</si>
  <si>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</si>
  <si>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</si>
  <si>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</si>
  <si>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</si>
  <si>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</si>
  <si>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</si>
  <si>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</si>
  <si>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</si>
  <si>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</si>
  <si>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</si>
  <si>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</si>
  <si>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</si>
  <si>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</si>
  <si>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</si>
  <si>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</si>
  <si>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</si>
  <si>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</si>
  <si>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</si>
  <si>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</si>
  <si>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</si>
  <si>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</si>
  <si>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</si>
  <si>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</si>
  <si>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</si>
  <si>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</si>
  <si>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</si>
  <si>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</si>
  <si>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</si>
  <si>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</si>
  <si>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</si>
  <si>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</si>
  <si>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</si>
  <si>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</si>
  <si>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</si>
  <si>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</si>
  <si>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</si>
  <si>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</si>
  <si>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</si>
  <si>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</si>
  <si>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</si>
  <si>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</si>
  <si>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</si>
  <si>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</si>
  <si>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</si>
  <si>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</si>
  <si>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</si>
  <si>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</si>
  <si>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</si>
  <si>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</si>
  <si>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</si>
  <si>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</si>
  <si>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</si>
  <si>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</si>
  <si>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</si>
  <si>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BRANNON</t>
  </si>
  <si>
    <t>rtdc.l.rtdc.4041:itc</t>
  </si>
  <si>
    <t>204:141</t>
  </si>
  <si>
    <t>LEVIN</t>
  </si>
  <si>
    <t>204:233293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</si>
  <si>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</si>
  <si>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</si>
  <si>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</si>
  <si>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</si>
  <si>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</si>
  <si>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</si>
  <si>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</si>
  <si>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</si>
  <si>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</si>
  <si>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204:233302</t>
  </si>
  <si>
    <t>204:453</t>
  </si>
  <si>
    <t>204:233315</t>
  </si>
  <si>
    <t>204:475</t>
  </si>
  <si>
    <t>204:149</t>
  </si>
  <si>
    <t>204:158</t>
  </si>
  <si>
    <t>204:232978</t>
  </si>
  <si>
    <t>GEBRETEKLE</t>
  </si>
  <si>
    <t>rtdc.l.rtdc.4014:itc</t>
  </si>
  <si>
    <t>DE.1.0.7.0</t>
  </si>
  <si>
    <t>204:233291</t>
  </si>
  <si>
    <t>204:232989</t>
  </si>
  <si>
    <t>204:147</t>
  </si>
  <si>
    <t>1828-24</t>
  </si>
  <si>
    <t>224-24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</si>
  <si>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</si>
  <si>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</si>
  <si>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</si>
  <si>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</si>
  <si>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</si>
  <si>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</si>
  <si>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</si>
  <si>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</si>
  <si>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</si>
  <si>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</si>
  <si>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</si>
  <si>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</si>
  <si>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</si>
  <si>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</si>
  <si>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</si>
  <si>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</si>
  <si>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</si>
  <si>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</si>
  <si>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204:466</t>
  </si>
  <si>
    <t>204:134</t>
  </si>
  <si>
    <t>204:233000</t>
  </si>
  <si>
    <t>204:136</t>
  </si>
  <si>
    <t>143-25</t>
  </si>
  <si>
    <t>204:469</t>
  </si>
  <si>
    <t>176-25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</si>
  <si>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</si>
  <si>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</si>
  <si>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</si>
  <si>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</si>
  <si>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</si>
  <si>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</si>
  <si>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</si>
  <si>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</si>
  <si>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</si>
  <si>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</si>
  <si>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</si>
  <si>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</si>
  <si>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</si>
  <si>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</si>
  <si>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</si>
  <si>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</si>
  <si>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</si>
  <si>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</si>
  <si>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</si>
  <si>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</si>
  <si>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</si>
  <si>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</si>
  <si>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</si>
  <si>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</si>
  <si>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</si>
  <si>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</si>
  <si>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</si>
  <si>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</si>
  <si>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</si>
  <si>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</si>
  <si>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</si>
  <si>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</si>
  <si>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</si>
  <si>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</si>
  <si>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</si>
  <si>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</si>
  <si>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</si>
  <si>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</si>
  <si>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</si>
  <si>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</si>
  <si>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</si>
  <si>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124-26</t>
  </si>
  <si>
    <t>204:233306</t>
  </si>
  <si>
    <t>137-26</t>
  </si>
  <si>
    <t>140-26</t>
  </si>
  <si>
    <t>141-26</t>
  </si>
  <si>
    <t>144-26</t>
  </si>
  <si>
    <t>204:232993</t>
  </si>
  <si>
    <t>152-26</t>
  </si>
  <si>
    <t>157-26</t>
  </si>
  <si>
    <t>159-26</t>
  </si>
  <si>
    <t>204:232987</t>
  </si>
  <si>
    <t>163-26</t>
  </si>
  <si>
    <t>171-26</t>
  </si>
  <si>
    <t>173-26</t>
  </si>
  <si>
    <t>204:233310</t>
  </si>
  <si>
    <t>175-26</t>
  </si>
  <si>
    <t>176-26</t>
  </si>
  <si>
    <t>177-26</t>
  </si>
  <si>
    <t>181-26</t>
  </si>
  <si>
    <t>183-26</t>
  </si>
  <si>
    <t>204:232988</t>
  </si>
  <si>
    <t>187-26</t>
  </si>
  <si>
    <t>204:233278</t>
  </si>
  <si>
    <t>188-26</t>
  </si>
  <si>
    <t>195-26</t>
  </si>
  <si>
    <t>197-26</t>
  </si>
  <si>
    <t>198-26</t>
  </si>
  <si>
    <t>199-26</t>
  </si>
  <si>
    <t>207-26</t>
  </si>
  <si>
    <t>209-26</t>
  </si>
  <si>
    <t>217-26</t>
  </si>
  <si>
    <t>204:232967</t>
  </si>
  <si>
    <t>230-26</t>
  </si>
  <si>
    <t>238-26</t>
  </si>
  <si>
    <t>241-26</t>
  </si>
  <si>
    <t>307-26</t>
  </si>
  <si>
    <t>315-26</t>
  </si>
  <si>
    <t>807-26</t>
  </si>
  <si>
    <t>809-26</t>
  </si>
  <si>
    <t>813-26</t>
  </si>
  <si>
    <t>814-26</t>
  </si>
  <si>
    <t>815-26</t>
  </si>
  <si>
    <t>819-26</t>
  </si>
  <si>
    <t>827-26</t>
  </si>
  <si>
    <t>830-26</t>
  </si>
  <si>
    <t>831-26</t>
  </si>
  <si>
    <t>833-26</t>
  </si>
  <si>
    <t>835-26</t>
  </si>
  <si>
    <t>840-26</t>
  </si>
  <si>
    <t>842-26</t>
  </si>
  <si>
    <t>843-26</t>
  </si>
  <si>
    <t>844-26</t>
  </si>
  <si>
    <t>845-26</t>
  </si>
  <si>
    <t>906-26</t>
  </si>
  <si>
    <t>908-26</t>
  </si>
  <si>
    <t>WEBSTER</t>
  </si>
  <si>
    <t>807-27</t>
  </si>
  <si>
    <t>119-27</t>
  </si>
  <si>
    <t>SANTIZO</t>
  </si>
  <si>
    <t>302-27</t>
  </si>
  <si>
    <t>MAELZER</t>
  </si>
  <si>
    <t>129-27</t>
  </si>
  <si>
    <t>NELSON</t>
  </si>
  <si>
    <t>DE LA ROSA</t>
  </si>
  <si>
    <t>102-27</t>
  </si>
  <si>
    <t>804-27</t>
  </si>
  <si>
    <t>126-27</t>
  </si>
  <si>
    <t>:.+((SYSTEM_STATE.+slice.+state.+changed )|(ment ac)|(system.+state.+changed )|(\|lc)|(penalty)|(\[timeout)|(PRM\|1\|D))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</si>
  <si>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</si>
  <si>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</si>
  <si>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</si>
  <si>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</si>
  <si>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</si>
  <si>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</si>
  <si>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</si>
  <si>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</si>
  <si>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</si>
  <si>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204:735</t>
  </si>
  <si>
    <t>204:757</t>
  </si>
  <si>
    <t>204:232976</t>
  </si>
  <si>
    <t>156-27</t>
  </si>
  <si>
    <t>204:165</t>
  </si>
  <si>
    <t>204:451</t>
  </si>
  <si>
    <t>204:478</t>
  </si>
  <si>
    <t>204:232985</t>
  </si>
  <si>
    <t>204:488</t>
  </si>
  <si>
    <t>300:58609</t>
  </si>
  <si>
    <t>204:705</t>
  </si>
  <si>
    <t>300:58929</t>
  </si>
  <si>
    <t>300:58901</t>
  </si>
  <si>
    <t>204:698</t>
  </si>
  <si>
    <t>SWANSON</t>
  </si>
  <si>
    <t>MALAVE</t>
  </si>
  <si>
    <t>MOSES</t>
  </si>
  <si>
    <t>YORK</t>
  </si>
  <si>
    <t>ADANE</t>
  </si>
  <si>
    <t>rtdc.l.rtdc.4043:itc</t>
  </si>
  <si>
    <t>302-28</t>
  </si>
  <si>
    <t>101-28</t>
  </si>
  <si>
    <t>102-28</t>
  </si>
  <si>
    <t>802-28</t>
  </si>
  <si>
    <t>806-28</t>
  </si>
  <si>
    <t>204:743</t>
  </si>
  <si>
    <t>204:232692</t>
  </si>
  <si>
    <t>204:107</t>
  </si>
  <si>
    <t>204:232667</t>
  </si>
  <si>
    <t>204:703</t>
  </si>
  <si>
    <t>204:783</t>
  </si>
  <si>
    <t>204:232965</t>
  </si>
  <si>
    <t>204:447</t>
  </si>
  <si>
    <t>204:170</t>
  </si>
  <si>
    <t>204:233282</t>
  </si>
  <si>
    <t>204:233300</t>
  </si>
  <si>
    <t>204:233304</t>
  </si>
  <si>
    <t>204:233363</t>
  </si>
  <si>
    <t>204:232982</t>
  </si>
  <si>
    <t>204:232975</t>
  </si>
  <si>
    <t>204:180</t>
  </si>
  <si>
    <t>204:161</t>
  </si>
  <si>
    <t>204:457</t>
  </si>
  <si>
    <t>204:187</t>
  </si>
  <si>
    <t>300:23306</t>
  </si>
  <si>
    <t>204:762</t>
  </si>
  <si>
    <t>300:58600</t>
  </si>
  <si>
    <t>300:58577</t>
  </si>
  <si>
    <t>204:962</t>
  </si>
  <si>
    <t>300:58912</t>
  </si>
  <si>
    <t>204:1041</t>
  </si>
  <si>
    <t>204:701</t>
  </si>
  <si>
    <t>300:58624</t>
  </si>
  <si>
    <t>204:675</t>
  </si>
  <si>
    <t>204:1004</t>
  </si>
  <si>
    <t>300:58608</t>
  </si>
  <si>
    <t>300:58604</t>
  </si>
  <si>
    <t>TEMPORARY SPEED RESTRICTION</t>
  </si>
  <si>
    <t>STRICKLAND</t>
  </si>
  <si>
    <t>204:712</t>
  </si>
  <si>
    <t>204:132</t>
  </si>
  <si>
    <t>204:766</t>
  </si>
  <si>
    <t>204:233309</t>
  </si>
  <si>
    <t>204:233289</t>
  </si>
  <si>
    <t>204:232969</t>
  </si>
  <si>
    <t>204:435</t>
  </si>
  <si>
    <t>204:233312</t>
  </si>
  <si>
    <t>204:232998</t>
  </si>
  <si>
    <t>204:233288</t>
  </si>
  <si>
    <t>204:160</t>
  </si>
  <si>
    <t>204:232971</t>
  </si>
  <si>
    <t>204:233332</t>
  </si>
  <si>
    <t>204:169</t>
  </si>
  <si>
    <t>204:440</t>
  </si>
  <si>
    <t>204:482</t>
  </si>
  <si>
    <t>246-29</t>
  </si>
  <si>
    <t>300:58634</t>
  </si>
  <si>
    <t>204:776</t>
  </si>
  <si>
    <t>204:1058</t>
  </si>
  <si>
    <t>300:58924</t>
  </si>
  <si>
    <t>204:1051</t>
  </si>
  <si>
    <t>300:58914</t>
  </si>
  <si>
    <t>204:787</t>
  </si>
  <si>
    <t>204:773</t>
  </si>
  <si>
    <t>300:58918</t>
  </si>
  <si>
    <t>300:58903</t>
  </si>
  <si>
    <t>204:664</t>
  </si>
  <si>
    <t>300:58647</t>
  </si>
  <si>
    <t>300:58899</t>
  </si>
  <si>
    <t>300:58585</t>
  </si>
  <si>
    <t>204:717</t>
  </si>
  <si>
    <t>204:974</t>
  </si>
  <si>
    <t>300:58992</t>
  </si>
  <si>
    <t>204:689</t>
  </si>
  <si>
    <t>300:28795</t>
  </si>
  <si>
    <t>101-30</t>
  </si>
  <si>
    <t>204:233341</t>
  </si>
  <si>
    <t>102-30</t>
  </si>
  <si>
    <t>204:232685</t>
  </si>
  <si>
    <t>204:112</t>
  </si>
  <si>
    <t>103-30</t>
  </si>
  <si>
    <t>204:765</t>
  </si>
  <si>
    <t>104-30</t>
  </si>
  <si>
    <t>204:232662</t>
  </si>
  <si>
    <t>204:907</t>
  </si>
  <si>
    <t>105-30</t>
  </si>
  <si>
    <t>204:233311</t>
  </si>
  <si>
    <t>106-30</t>
  </si>
  <si>
    <t>107-30</t>
  </si>
  <si>
    <t>204:641</t>
  </si>
  <si>
    <t>108-30</t>
  </si>
  <si>
    <t>204:232679</t>
  </si>
  <si>
    <t>109-30</t>
  </si>
  <si>
    <t>110-30</t>
  </si>
  <si>
    <t>111-30</t>
  </si>
  <si>
    <t>112-30</t>
  </si>
  <si>
    <t>113-30</t>
  </si>
  <si>
    <t>204:233326</t>
  </si>
  <si>
    <t>114-30</t>
  </si>
  <si>
    <t>204:232669</t>
  </si>
  <si>
    <t>115-30</t>
  </si>
  <si>
    <t>116-30</t>
  </si>
  <si>
    <t>117-30</t>
  </si>
  <si>
    <t>204:1486</t>
  </si>
  <si>
    <t>118-30</t>
  </si>
  <si>
    <t>119-30</t>
  </si>
  <si>
    <t>120-30</t>
  </si>
  <si>
    <t>121-30</t>
  </si>
  <si>
    <t>204:233328</t>
  </si>
  <si>
    <t>122-30</t>
  </si>
  <si>
    <t>204:232677</t>
  </si>
  <si>
    <t>204:116</t>
  </si>
  <si>
    <t>123-30</t>
  </si>
  <si>
    <t>124-30</t>
  </si>
  <si>
    <t>125-30</t>
  </si>
  <si>
    <t>126-30</t>
  </si>
  <si>
    <t>127-30</t>
  </si>
  <si>
    <t>204:755</t>
  </si>
  <si>
    <t>128-30</t>
  </si>
  <si>
    <t>129-30</t>
  </si>
  <si>
    <t>204:500</t>
  </si>
  <si>
    <t>130-30</t>
  </si>
  <si>
    <t>131-30</t>
  </si>
  <si>
    <t>133-30</t>
  </si>
  <si>
    <t>135-30</t>
  </si>
  <si>
    <t>137-30</t>
  </si>
  <si>
    <t>1800-30</t>
  </si>
  <si>
    <t>204:834</t>
  </si>
  <si>
    <t>1801-30</t>
  </si>
  <si>
    <t>204:1125</t>
  </si>
  <si>
    <t>1802-30</t>
  </si>
  <si>
    <t>300:58560</t>
  </si>
  <si>
    <t>1803-30</t>
  </si>
  <si>
    <t>204:1006</t>
  </si>
  <si>
    <t>300:58890</t>
  </si>
  <si>
    <t>1804-30</t>
  </si>
  <si>
    <t>300:58566</t>
  </si>
  <si>
    <t>204:792</t>
  </si>
  <si>
    <t>1805-30</t>
  </si>
  <si>
    <t>204:1086</t>
  </si>
  <si>
    <t>300:58895</t>
  </si>
  <si>
    <t>1806-30</t>
  </si>
  <si>
    <t>300:58591</t>
  </si>
  <si>
    <t>204:822</t>
  </si>
  <si>
    <t>1807-30</t>
  </si>
  <si>
    <t>204:1133</t>
  </si>
  <si>
    <t>1808-30</t>
  </si>
  <si>
    <t>300:58556</t>
  </si>
  <si>
    <t>1809-30</t>
  </si>
  <si>
    <t>300:58892</t>
  </si>
  <si>
    <t>1810-30</t>
  </si>
  <si>
    <t>1811-30</t>
  </si>
  <si>
    <t>204:1072</t>
  </si>
  <si>
    <t>1812-30</t>
  </si>
  <si>
    <t>300:58579</t>
  </si>
  <si>
    <t>204:857</t>
  </si>
  <si>
    <t>1813-30</t>
  </si>
  <si>
    <t>1814-30</t>
  </si>
  <si>
    <t>300:57307</t>
  </si>
  <si>
    <t>1815-30</t>
  </si>
  <si>
    <t>1816-30</t>
  </si>
  <si>
    <t>300:57343</t>
  </si>
  <si>
    <t>204:764</t>
  </si>
  <si>
    <t>1817-30</t>
  </si>
  <si>
    <t>204:1042</t>
  </si>
  <si>
    <t>300:30436</t>
  </si>
  <si>
    <t>1818-30</t>
  </si>
  <si>
    <t>204:841</t>
  </si>
  <si>
    <t>1861-30</t>
  </si>
  <si>
    <t>300:58967</t>
  </si>
  <si>
    <t>1863-30</t>
  </si>
  <si>
    <t>204:918</t>
  </si>
  <si>
    <t>300:58973</t>
  </si>
  <si>
    <t>1864-30</t>
  </si>
  <si>
    <t>300:11363</t>
  </si>
  <si>
    <t>1865-30</t>
  </si>
  <si>
    <t>204:955</t>
  </si>
  <si>
    <t>300:57597</t>
  </si>
  <si>
    <t>1866-30</t>
  </si>
  <si>
    <t>300:58649</t>
  </si>
  <si>
    <t>1867-30</t>
  </si>
  <si>
    <t>204:1069</t>
  </si>
  <si>
    <t>300:58977</t>
  </si>
  <si>
    <t>1868-30</t>
  </si>
  <si>
    <t>204:663</t>
  </si>
  <si>
    <t>1869-30</t>
  </si>
  <si>
    <t>204:969</t>
  </si>
  <si>
    <t>300:58950</t>
  </si>
  <si>
    <t>1870-30</t>
  </si>
  <si>
    <t>300:58668</t>
  </si>
  <si>
    <t>1871-30</t>
  </si>
  <si>
    <t>204:960</t>
  </si>
  <si>
    <t>300:57603</t>
  </si>
  <si>
    <t>1872-30</t>
  </si>
  <si>
    <t>300:58661</t>
  </si>
  <si>
    <t>1873-30</t>
  </si>
  <si>
    <t>204:1053</t>
  </si>
  <si>
    <t>1874-30</t>
  </si>
  <si>
    <t>300:58638</t>
  </si>
  <si>
    <t>1875-30</t>
  </si>
  <si>
    <t>204:1002</t>
  </si>
  <si>
    <t>1876-30</t>
  </si>
  <si>
    <t>300:58691</t>
  </si>
  <si>
    <t>204:937</t>
  </si>
  <si>
    <t>1877-30</t>
  </si>
  <si>
    <t>300:57599</t>
  </si>
  <si>
    <t>1878-30</t>
  </si>
  <si>
    <t>300:58670</t>
  </si>
  <si>
    <t>204:726</t>
  </si>
  <si>
    <t>1879-30</t>
  </si>
  <si>
    <t>204:1014</t>
  </si>
  <si>
    <t>300:58956</t>
  </si>
  <si>
    <t>1880-30</t>
  </si>
  <si>
    <t>1881-30</t>
  </si>
  <si>
    <t>204:993</t>
  </si>
  <si>
    <t>300:58946</t>
  </si>
  <si>
    <t>1882-30</t>
  </si>
  <si>
    <t>204:645</t>
  </si>
  <si>
    <t>1883-30</t>
  </si>
  <si>
    <t>204:953</t>
  </si>
  <si>
    <t>300:57631</t>
  </si>
  <si>
    <t>1884-30</t>
  </si>
  <si>
    <t>300:58628</t>
  </si>
  <si>
    <t>1885-30</t>
  </si>
  <si>
    <t>204:1007</t>
  </si>
  <si>
    <t>300:58978</t>
  </si>
  <si>
    <t>1886-30</t>
  </si>
  <si>
    <t>300:58630</t>
  </si>
  <si>
    <t>1887-30</t>
  </si>
  <si>
    <t>300:58965</t>
  </si>
  <si>
    <t>1888-30</t>
  </si>
  <si>
    <t>300:58685</t>
  </si>
  <si>
    <t>204:673</t>
  </si>
  <si>
    <t>1889-30</t>
  </si>
  <si>
    <t>300:57606</t>
  </si>
  <si>
    <t>1890-30</t>
  </si>
  <si>
    <t>300:58655</t>
  </si>
  <si>
    <t>1891-30</t>
  </si>
  <si>
    <t>300:58969</t>
  </si>
  <si>
    <t>1892-30</t>
  </si>
  <si>
    <t>204:694</t>
  </si>
  <si>
    <t>1893-30</t>
  </si>
  <si>
    <t>204:965</t>
  </si>
  <si>
    <t>1894-30</t>
  </si>
  <si>
    <t>300:58653</t>
  </si>
  <si>
    <t>1895-30</t>
  </si>
  <si>
    <t>300:24159</t>
  </si>
  <si>
    <t>1896-30</t>
  </si>
  <si>
    <t>300:58651</t>
  </si>
  <si>
    <t>204:708</t>
  </si>
  <si>
    <t>1897-30</t>
  </si>
  <si>
    <t>204:988</t>
  </si>
  <si>
    <t>300:58933</t>
  </si>
  <si>
    <t>1899-30</t>
  </si>
  <si>
    <t>204:1105</t>
  </si>
  <si>
    <t>1900-30</t>
  </si>
  <si>
    <t>1901-30</t>
  </si>
  <si>
    <t>204:1013</t>
  </si>
  <si>
    <t>1902-30</t>
  </si>
  <si>
    <t>300:58615</t>
  </si>
  <si>
    <t>1903-30</t>
  </si>
  <si>
    <t>300:58948</t>
  </si>
  <si>
    <t>1904-30</t>
  </si>
  <si>
    <t>1905-30</t>
  </si>
  <si>
    <t>1906-30</t>
  </si>
  <si>
    <t>1907-30</t>
  </si>
  <si>
    <t>1908-30</t>
  </si>
  <si>
    <t>204:801</t>
  </si>
  <si>
    <t>1910-30</t>
  </si>
  <si>
    <t>1911-30</t>
  </si>
  <si>
    <t>192-30</t>
  </si>
  <si>
    <t>194-30</t>
  </si>
  <si>
    <t>196-30</t>
  </si>
  <si>
    <t>197-30</t>
  </si>
  <si>
    <t>204:788</t>
  </si>
  <si>
    <t>198-30</t>
  </si>
  <si>
    <t>199-30</t>
  </si>
  <si>
    <t>204:233325</t>
  </si>
  <si>
    <t>200-30</t>
  </si>
  <si>
    <t>204:233004</t>
  </si>
  <si>
    <t>2000-30</t>
  </si>
  <si>
    <t>2001-30</t>
  </si>
  <si>
    <t>300:28515</t>
  </si>
  <si>
    <t>300:28926</t>
  </si>
  <si>
    <t>300:31095</t>
  </si>
  <si>
    <t>2002-30</t>
  </si>
  <si>
    <t>204:1102</t>
  </si>
  <si>
    <t>2003-30</t>
  </si>
  <si>
    <t>300:28702</t>
  </si>
  <si>
    <t>300:58880</t>
  </si>
  <si>
    <t>2004-30</t>
  </si>
  <si>
    <t>300:58574</t>
  </si>
  <si>
    <t>300:28769</t>
  </si>
  <si>
    <t>2005-30</t>
  </si>
  <si>
    <t>300:28570</t>
  </si>
  <si>
    <t>300:29120</t>
  </si>
  <si>
    <t>300:31235</t>
  </si>
  <si>
    <t>300:58884</t>
  </si>
  <si>
    <t>201-30</t>
  </si>
  <si>
    <t>204:233261</t>
  </si>
  <si>
    <t>202-30</t>
  </si>
  <si>
    <t>204:232942</t>
  </si>
  <si>
    <t>203-30</t>
  </si>
  <si>
    <t>204:495</t>
  </si>
  <si>
    <t>204-30</t>
  </si>
  <si>
    <t>205-30</t>
  </si>
  <si>
    <t>206-30</t>
  </si>
  <si>
    <t>204:232658</t>
  </si>
  <si>
    <t>207-30</t>
  </si>
  <si>
    <t>208-30</t>
  </si>
  <si>
    <t>204:233010</t>
  </si>
  <si>
    <t>209-30</t>
  </si>
  <si>
    <t>210-30</t>
  </si>
  <si>
    <t>211-30</t>
  </si>
  <si>
    <t>212-30</t>
  </si>
  <si>
    <t>204:232681</t>
  </si>
  <si>
    <t>213-30</t>
  </si>
  <si>
    <t>214-30</t>
  </si>
  <si>
    <t>215-30</t>
  </si>
  <si>
    <t>216-30</t>
  </si>
  <si>
    <t>217-30</t>
  </si>
  <si>
    <t>218-30</t>
  </si>
  <si>
    <t>219-30</t>
  </si>
  <si>
    <t>204:686</t>
  </si>
  <si>
    <t>204:233287</t>
  </si>
  <si>
    <t>220-30</t>
  </si>
  <si>
    <t>204:232649</t>
  </si>
  <si>
    <t>222-30</t>
  </si>
  <si>
    <t>223-30</t>
  </si>
  <si>
    <t>204:233301</t>
  </si>
  <si>
    <t>224-30</t>
  </si>
  <si>
    <t>225-30</t>
  </si>
  <si>
    <t>226-30</t>
  </si>
  <si>
    <t>227-30</t>
  </si>
  <si>
    <t>228-30</t>
  </si>
  <si>
    <t>204:232641</t>
  </si>
  <si>
    <t>229-30</t>
  </si>
  <si>
    <t>204:752</t>
  </si>
  <si>
    <t>204:233272</t>
  </si>
  <si>
    <t>230-30</t>
  </si>
  <si>
    <t>231-30</t>
  </si>
  <si>
    <t>204:233330</t>
  </si>
  <si>
    <t>232-30</t>
  </si>
  <si>
    <t>204:232953</t>
  </si>
  <si>
    <t>233-30</t>
  </si>
  <si>
    <t>204:233259</t>
  </si>
  <si>
    <t>234-30</t>
  </si>
  <si>
    <t>235-30</t>
  </si>
  <si>
    <t>236-30</t>
  </si>
  <si>
    <t>204:232631</t>
  </si>
  <si>
    <t>237-30</t>
  </si>
  <si>
    <t>204:770</t>
  </si>
  <si>
    <t>238-30</t>
  </si>
  <si>
    <t>239-30</t>
  </si>
  <si>
    <t>204:233324</t>
  </si>
  <si>
    <t>240-30</t>
  </si>
  <si>
    <t>241-30</t>
  </si>
  <si>
    <t>242-30</t>
  </si>
  <si>
    <t>243-30</t>
  </si>
  <si>
    <t>244-30</t>
  </si>
  <si>
    <t>204:232633</t>
  </si>
  <si>
    <t>245-30</t>
  </si>
  <si>
    <t>204:744</t>
  </si>
  <si>
    <t>246-30</t>
  </si>
  <si>
    <t>247-30</t>
  </si>
  <si>
    <t>303-30</t>
  </si>
  <si>
    <t>300:23310</t>
  </si>
  <si>
    <t>305-30</t>
  </si>
  <si>
    <t>309-30</t>
  </si>
  <si>
    <t>300:23297</t>
  </si>
  <si>
    <t>311-30</t>
  </si>
  <si>
    <t>300:23346</t>
  </si>
  <si>
    <t>315-30</t>
  </si>
  <si>
    <t>309-29</t>
  </si>
  <si>
    <t>1826-30</t>
  </si>
  <si>
    <t>MADLOM</t>
  </si>
  <si>
    <t>144-30</t>
  </si>
  <si>
    <t>1854-30</t>
  </si>
  <si>
    <t>184-30</t>
  </si>
  <si>
    <t>STAMBAUGH</t>
  </si>
  <si>
    <t>STORY</t>
  </si>
  <si>
    <t>KILLION</t>
  </si>
  <si>
    <t>153-30</t>
  </si>
  <si>
    <t>150-30</t>
  </si>
  <si>
    <t>1844-30</t>
  </si>
  <si>
    <t>NATION</t>
  </si>
  <si>
    <t>1821-30</t>
  </si>
  <si>
    <t>1845-30</t>
  </si>
  <si>
    <t>183-30</t>
  </si>
  <si>
    <t>187-30</t>
  </si>
  <si>
    <t>311-29</t>
  </si>
  <si>
    <t>188-30</t>
  </si>
  <si>
    <t>138-30</t>
  </si>
  <si>
    <t>157-30</t>
  </si>
  <si>
    <t>1848-30</t>
  </si>
  <si>
    <t>1828-30</t>
  </si>
  <si>
    <t>1847-30</t>
  </si>
  <si>
    <t>1820-30</t>
  </si>
  <si>
    <t>1853-30</t>
  </si>
  <si>
    <t>132-30</t>
  </si>
  <si>
    <t>302-30</t>
  </si>
  <si>
    <t>147-30</t>
  </si>
  <si>
    <t>146-30</t>
  </si>
  <si>
    <t>1830-30</t>
  </si>
  <si>
    <t>175-30</t>
  </si>
  <si>
    <t>185-30</t>
  </si>
  <si>
    <t>1859-30</t>
  </si>
  <si>
    <t>178-30</t>
  </si>
  <si>
    <t>190-30</t>
  </si>
  <si>
    <t>179-30</t>
  </si>
  <si>
    <t>1846-30</t>
  </si>
  <si>
    <t>102-31</t>
  </si>
  <si>
    <t>139-30</t>
  </si>
  <si>
    <t>1832-30</t>
  </si>
  <si>
    <t>154-30</t>
  </si>
  <si>
    <t>1837-30</t>
  </si>
  <si>
    <t>1839-30</t>
  </si>
  <si>
    <t>171-30</t>
  </si>
  <si>
    <t>182-30</t>
  </si>
  <si>
    <t>1850-30</t>
  </si>
  <si>
    <t>1852-30</t>
  </si>
  <si>
    <t>1851-30</t>
  </si>
  <si>
    <t>1843-30</t>
  </si>
  <si>
    <t>1855-30</t>
  </si>
  <si>
    <t>1841-30</t>
  </si>
  <si>
    <t>1857-30</t>
  </si>
  <si>
    <t>167-30</t>
  </si>
  <si>
    <t>1824-30</t>
  </si>
  <si>
    <t>151-30</t>
  </si>
  <si>
    <t>1829-30</t>
  </si>
  <si>
    <t>158-30</t>
  </si>
  <si>
    <t>160-30</t>
  </si>
  <si>
    <t>rtdc.l.rtdc.4021:itc</t>
  </si>
  <si>
    <t>1858-30</t>
  </si>
  <si>
    <t>1849-30</t>
  </si>
  <si>
    <t>195-30</t>
  </si>
  <si>
    <t>172-30</t>
  </si>
  <si>
    <t>315-29</t>
  </si>
  <si>
    <t>162-30</t>
  </si>
  <si>
    <t>1827-30</t>
  </si>
  <si>
    <t>1825-30</t>
  </si>
  <si>
    <t>140-30</t>
  </si>
  <si>
    <t>136-30</t>
  </si>
  <si>
    <t>145-30</t>
  </si>
  <si>
    <t>314-30</t>
  </si>
  <si>
    <t>161-30</t>
  </si>
  <si>
    <t>1822-30</t>
  </si>
  <si>
    <t>156-30</t>
  </si>
  <si>
    <t>1819-30</t>
  </si>
  <si>
    <t>165-30</t>
  </si>
  <si>
    <t>174-30</t>
  </si>
  <si>
    <t>313-29</t>
  </si>
  <si>
    <t>148-30</t>
  </si>
  <si>
    <t>1840-30</t>
  </si>
  <si>
    <t>163-30</t>
  </si>
  <si>
    <t>103-31</t>
  </si>
  <si>
    <t>101-31</t>
  </si>
  <si>
    <t>307-30</t>
  </si>
  <si>
    <t>191-30</t>
  </si>
  <si>
    <t>1856-30</t>
  </si>
  <si>
    <t>180-30</t>
  </si>
  <si>
    <t>168-30</t>
  </si>
  <si>
    <t>1823-30</t>
  </si>
  <si>
    <t>155-30</t>
  </si>
  <si>
    <t>1838-30</t>
  </si>
  <si>
    <t>170-30</t>
  </si>
  <si>
    <t>189-30</t>
  </si>
  <si>
    <t>186-30</t>
  </si>
  <si>
    <t>177-30</t>
  </si>
  <si>
    <t>164-30</t>
  </si>
  <si>
    <t>159-30</t>
  </si>
  <si>
    <t>1909-30</t>
  </si>
  <si>
    <t>1842-30</t>
  </si>
  <si>
    <t>1831-30</t>
  </si>
  <si>
    <t>193-30</t>
  </si>
  <si>
    <t>176-30</t>
  </si>
  <si>
    <t>173-30</t>
  </si>
  <si>
    <t>1836-30</t>
  </si>
  <si>
    <t>134-30</t>
  </si>
  <si>
    <t>152-30</t>
  </si>
  <si>
    <t>166-30</t>
  </si>
  <si>
    <t>142-30</t>
  </si>
  <si>
    <t>181-30</t>
  </si>
  <si>
    <t>1860-30</t>
  </si>
  <si>
    <t>1862-30</t>
  </si>
  <si>
    <t>1833-30</t>
  </si>
  <si>
    <t>1834-30</t>
  </si>
  <si>
    <t>149-30</t>
  </si>
  <si>
    <t>169-30</t>
  </si>
  <si>
    <t>141-30</t>
  </si>
  <si>
    <t>1898-30</t>
  </si>
  <si>
    <t>313-30</t>
  </si>
  <si>
    <t>244-29</t>
  </si>
  <si>
    <t>1835-30</t>
  </si>
  <si>
    <t>306-30</t>
  </si>
  <si>
    <t>204:232968</t>
  </si>
  <si>
    <t>204:232994</t>
  </si>
  <si>
    <t>204:167</t>
  </si>
  <si>
    <t>204:232687</t>
  </si>
  <si>
    <t>204:232986</t>
  </si>
  <si>
    <t>204:437</t>
  </si>
  <si>
    <t>204:232689</t>
  </si>
  <si>
    <t>204:37179</t>
  </si>
  <si>
    <t>204:232957</t>
  </si>
  <si>
    <t>204:233327</t>
  </si>
  <si>
    <t>204:721</t>
  </si>
  <si>
    <t>204:233316</t>
  </si>
  <si>
    <t>204:438</t>
  </si>
  <si>
    <t>204:233323</t>
  </si>
  <si>
    <t>204:232983</t>
  </si>
  <si>
    <t>204:232666</t>
  </si>
  <si>
    <t>204:218</t>
  </si>
  <si>
    <t>204:233297</t>
  </si>
  <si>
    <t>204:232979</t>
  </si>
  <si>
    <t>204:129</t>
  </si>
  <si>
    <t>204:449</t>
  </si>
  <si>
    <t>204:233334</t>
  </si>
  <si>
    <t>204:232683</t>
  </si>
  <si>
    <t>204:446</t>
  </si>
  <si>
    <t>204:232992</t>
  </si>
  <si>
    <t>204:870</t>
  </si>
  <si>
    <t>204:232644</t>
  </si>
  <si>
    <t>204:185</t>
  </si>
  <si>
    <t>204:233317</t>
  </si>
  <si>
    <t>204:233270</t>
  </si>
  <si>
    <t>204:232948</t>
  </si>
  <si>
    <t>204:233285</t>
  </si>
  <si>
    <t>204:746</t>
  </si>
  <si>
    <t>204:233353</t>
  </si>
  <si>
    <t>204:455</t>
  </si>
  <si>
    <t>300:58910</t>
  </si>
  <si>
    <t>204:232973</t>
  </si>
  <si>
    <t>204:1074</t>
  </si>
  <si>
    <t>300:58911</t>
  </si>
  <si>
    <t>204:1067</t>
  </si>
  <si>
    <t>300:58594</t>
  </si>
  <si>
    <t>204:825</t>
  </si>
  <si>
    <t>300:58909</t>
  </si>
  <si>
    <t>204:804</t>
  </si>
  <si>
    <t>204:1613</t>
  </si>
  <si>
    <t>300:58897</t>
  </si>
  <si>
    <t>300:58583</t>
  </si>
  <si>
    <t>204:1070</t>
  </si>
  <si>
    <t>204:1229</t>
  </si>
  <si>
    <t>300:58592</t>
  </si>
  <si>
    <t>204:1039</t>
  </si>
  <si>
    <t>204:806</t>
  </si>
  <si>
    <t>204:797</t>
  </si>
  <si>
    <t>204:1100</t>
  </si>
  <si>
    <t>300:58905</t>
  </si>
  <si>
    <t>300:58596</t>
  </si>
  <si>
    <t>204:811</t>
  </si>
  <si>
    <t>204:838</t>
  </si>
  <si>
    <t>204:1126</t>
  </si>
  <si>
    <t>204:172</t>
  </si>
  <si>
    <t>204:780</t>
  </si>
  <si>
    <t>204:1065</t>
  </si>
  <si>
    <t>300:58879</t>
  </si>
  <si>
    <t>204:815</t>
  </si>
  <si>
    <t>204:1112</t>
  </si>
  <si>
    <t>204:839</t>
  </si>
  <si>
    <t>204:1132</t>
  </si>
  <si>
    <t>204:1060</t>
  </si>
  <si>
    <t>300:58867</t>
  </si>
  <si>
    <t>204:829</t>
  </si>
  <si>
    <t>204:1118</t>
  </si>
  <si>
    <t>300:30123</t>
  </si>
  <si>
    <t>300:58551</t>
  </si>
  <si>
    <t>204:813</t>
  </si>
  <si>
    <t>204:1107</t>
  </si>
  <si>
    <t>300:57608</t>
  </si>
  <si>
    <t>300:58640</t>
  </si>
  <si>
    <t>204:824</t>
  </si>
  <si>
    <t>204:1116</t>
  </si>
  <si>
    <t>300:58958</t>
  </si>
  <si>
    <t>300:58606</t>
  </si>
  <si>
    <t>204:647</t>
  </si>
  <si>
    <t>204:906</t>
  </si>
  <si>
    <t>300:58960</t>
  </si>
  <si>
    <t>300:58619</t>
  </si>
  <si>
    <t>204:1030</t>
  </si>
  <si>
    <t>204:232984</t>
  </si>
  <si>
    <t>204:768</t>
  </si>
  <si>
    <t>204:628</t>
  </si>
  <si>
    <t>204:497</t>
  </si>
  <si>
    <t>204:1550</t>
  </si>
  <si>
    <t>SWITCH UNKNOWN</t>
  </si>
  <si>
    <t>Track device (7)</t>
  </si>
  <si>
    <t>Onboard in-route failure</t>
  </si>
  <si>
    <t>CRMFN 2N cleared 2 minutes after cutting out</t>
  </si>
  <si>
    <t>Wi-MAX outage</t>
  </si>
  <si>
    <t>Early arrival</t>
  </si>
  <si>
    <t>Comm failure caused by triplex issue</t>
  </si>
  <si>
    <t>Pena 4S was STOP, cleared less than a minute later</t>
  </si>
  <si>
    <t>Pena 4S was STOP, cleared ~2 minutes later</t>
  </si>
  <si>
    <t>143-30</t>
  </si>
  <si>
    <t>-</t>
  </si>
  <si>
    <t>Replaced by 2002-30 (pull train)</t>
  </si>
  <si>
    <t>221-30</t>
  </si>
  <si>
    <t>Did not make it into initial TMDS load</t>
  </si>
  <si>
    <t>Wi-MAX outage prevented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</si>
</sst>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30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0" fillId="0" borderId="17" xfId="0" applyFill="1" applyBorder="1" applyAlignment="1">
      <alignment horizontal="left"/>
    </xf>
    <xf numFmtId="169" fontId="0" fillId="0" borderId="17" xfId="0" applyFill="1" applyBorder="1" applyAlignment="1">
      <alignment horizontal="left" vertical="center"/>
    </xf>
    <xf numFmtId="169" fontId="1" fillId="0" borderId="17" xfId="0" applyFont="1" applyBorder="1" applyAlignment="1">
      <alignment horizontal="left" vertical="center" wrapText="1"/>
    </xf>
    <xf numFmtId="0" fontId="10" fillId="0" borderId="0" xfId="0" applyNumberFormat="1" applyFont="1" applyFill="1" applyBorder="1"/>
    <xf numFmtId="167" fontId="0" fillId="0" borderId="5" xfId="0" quotePrefix="1" applyNumberFormat="1" applyBorder="1" applyAlignment="1">
      <alignment horizontal="left"/>
    </xf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5"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M282"/>
  <sheetViews>
    <sheetView tabSelected="1" workbookViewId="0">
      <selection activeCell="R55" sqref="R55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2" customWidth="1"/>
    <col min="22" max="22" width="5.7109375" style="23" customWidth="1"/>
    <col min="23" max="23" width="3.85546875" style="23" customWidth="1"/>
    <col min="24" max="24" width="4.140625" style="80" customWidth="1"/>
    <col min="25" max="25" width="9.140625" style="77"/>
    <col min="26" max="26" width="7.28515625" style="77" customWidth="1"/>
    <col min="27" max="27" width="9.140625" style="77"/>
    <col min="28" max="28" width="10.7109375" style="74" bestFit="1" customWidth="1"/>
    <col min="29" max="29" width="9.42578125" style="68" customWidth="1"/>
    <col min="30" max="30" width="9.140625" style="69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316</v>
      </c>
      <c r="J1" s="49"/>
      <c r="K1" s="34"/>
      <c r="L1" s="34"/>
      <c r="M1" s="48"/>
      <c r="N1" s="49"/>
      <c r="O1" s="2"/>
      <c r="P1" s="2"/>
      <c r="R1" s="46" t="s">
        <v>317</v>
      </c>
      <c r="S1" s="49"/>
      <c r="T1" s="34"/>
      <c r="U1" s="34"/>
      <c r="V1" s="48"/>
      <c r="W1" s="49"/>
      <c r="X1" s="2"/>
      <c r="Y1" s="77"/>
      <c r="Z1" s="77"/>
      <c r="AA1" s="77"/>
      <c r="AB1" s="74"/>
      <c r="AC1" s="68"/>
      <c r="AD1" s="69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09">
        <f>Variables!$A$2</f>
        <v>42581</v>
      </c>
      <c r="J2" s="110"/>
      <c r="K2" s="111"/>
      <c r="L2" s="111"/>
      <c r="M2" s="112" t="s">
        <v>8</v>
      </c>
      <c r="N2" s="113"/>
      <c r="O2" s="114"/>
      <c r="P2" s="2"/>
      <c r="R2" s="109">
        <f>Variables!$A$2</f>
        <v>42581</v>
      </c>
      <c r="S2" s="110"/>
      <c r="T2" s="111"/>
      <c r="U2" s="111"/>
      <c r="V2" s="112" t="s">
        <v>8</v>
      </c>
      <c r="W2" s="113"/>
      <c r="X2" s="114"/>
      <c r="Y2" s="77"/>
      <c r="Z2" s="77"/>
      <c r="AA2" s="77"/>
      <c r="AB2" s="74"/>
      <c r="AC2" s="68"/>
      <c r="AD2" s="69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5" t="s">
        <v>10</v>
      </c>
      <c r="J3" s="116"/>
      <c r="K3" s="117"/>
      <c r="L3" s="117"/>
      <c r="M3" s="50" t="s">
        <v>11</v>
      </c>
      <c r="N3" s="51" t="s">
        <v>12</v>
      </c>
      <c r="O3" s="3" t="s">
        <v>13</v>
      </c>
      <c r="P3" s="2"/>
      <c r="R3" s="115" t="s">
        <v>10</v>
      </c>
      <c r="S3" s="116"/>
      <c r="T3" s="117"/>
      <c r="U3" s="117"/>
      <c r="V3" s="50" t="s">
        <v>11</v>
      </c>
      <c r="W3" s="51" t="s">
        <v>12</v>
      </c>
      <c r="X3" s="3" t="s">
        <v>13</v>
      </c>
      <c r="Y3" s="77"/>
      <c r="Z3" s="77"/>
      <c r="AA3" s="77"/>
      <c r="AB3" s="74"/>
      <c r="AC3" s="68"/>
      <c r="AD3" s="69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18" t="s">
        <v>14</v>
      </c>
      <c r="J4" s="67">
        <f>SUM(J5:J7)</f>
        <v>146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18" t="s">
        <v>14</v>
      </c>
      <c r="S4" s="67">
        <f>SUM(S5:S7)</f>
        <v>111</v>
      </c>
      <c r="T4" s="52"/>
      <c r="U4" s="52"/>
      <c r="V4" s="53" t="s">
        <v>15</v>
      </c>
      <c r="W4" s="51" t="s">
        <v>15</v>
      </c>
      <c r="X4" s="3" t="s">
        <v>15</v>
      </c>
      <c r="Y4" s="77"/>
      <c r="Z4" s="77"/>
      <c r="AA4" s="77"/>
      <c r="AB4" s="74"/>
      <c r="AC4" s="68"/>
      <c r="AD4" s="69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18" t="s">
        <v>17</v>
      </c>
      <c r="J5" s="67">
        <f>COUNTIFS($N$13:$N$9944,"&gt;0",$AG$13:$AG$9944,I1)</f>
        <v>144</v>
      </c>
      <c r="K5" s="52"/>
      <c r="L5" s="52"/>
      <c r="M5" s="53">
        <f>AVERAGEIFS($N$13:$N$9944,$AG$13:$AG$9944,I1)</f>
        <v>43.780092592714936</v>
      </c>
      <c r="N5" s="51">
        <f t="array" ref="N5">MIN(IF($AG$13:$AG$9944=I1,IF(ISNUMBER($N$13:$N$9944),IF($N$13:$N$9944&gt;0,$N$13:$N$9944))))</f>
        <v>34.883333336329088</v>
      </c>
      <c r="O5" s="3">
        <f t="array" ref="O5">MAX(IF($AG$13:$AG$9944=I1,IF(ISNUMBER($N$13:$N$9944),IF($N$13:$N$9944&gt;0,$N$13:$N$9944))))</f>
        <v>55.833333330228925</v>
      </c>
      <c r="P5" s="2"/>
      <c r="R5" s="118" t="s">
        <v>17</v>
      </c>
      <c r="S5" s="67">
        <f>COUNTIFS($N$13:$N$9944,"&gt;0",$AG$13:$AG$9944,R1)</f>
        <v>108</v>
      </c>
      <c r="T5" s="52"/>
      <c r="U5" s="52"/>
      <c r="V5" s="53">
        <f>AVERAGEIFS($N$13:$N$9944,$AG$13:$AG$9944,R1)</f>
        <v>20.625771605866721</v>
      </c>
      <c r="W5" s="51">
        <f t="array" ref="W5">MIN(IF($AG$13:$AG$9944=R1,IF(ISNUMBER($N$13:$N$9944),IF($N$13:$N$9944&gt;0,$N$13:$N$9944))))</f>
        <v>12.983333329902962</v>
      </c>
      <c r="X5" s="3">
        <f t="array" ref="X5">MAX(IF($AG$13:$AG$9944=R1,IF(ISNUMBER($N$13:$N$9944),IF($N$13:$N$9944&gt;0,$N$13:$N$9944))))</f>
        <v>78.050000004004687</v>
      </c>
      <c r="Y5" s="77"/>
      <c r="Z5" s="77"/>
      <c r="AA5" s="77"/>
      <c r="AB5" s="74"/>
      <c r="AC5" s="68"/>
      <c r="AD5" s="69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19" t="s">
        <v>43</v>
      </c>
      <c r="J6" s="67">
        <f>COUNT($O$13:$O$644)</f>
        <v>0</v>
      </c>
      <c r="K6" s="52"/>
      <c r="L6" s="52"/>
      <c r="M6" s="53">
        <f>IFERROR(AVERAGE($O$13:$O$644),0)</f>
        <v>0</v>
      </c>
      <c r="N6" s="51">
        <f>MIN($O$13:$O$644)</f>
        <v>0</v>
      </c>
      <c r="O6" s="3">
        <f>MAX($O$13:$O$644)</f>
        <v>0</v>
      </c>
      <c r="P6" s="2"/>
      <c r="R6" s="119" t="s">
        <v>43</v>
      </c>
      <c r="S6" s="67">
        <f>COUNT($O$13:$O$644)</f>
        <v>0</v>
      </c>
      <c r="T6" s="52"/>
      <c r="U6" s="52"/>
      <c r="V6" s="53">
        <f>IFERROR(AVERAGE($O$13:$O$644),0)</f>
        <v>0</v>
      </c>
      <c r="W6" s="51">
        <f>MIN($O$13:$O$644)</f>
        <v>0</v>
      </c>
      <c r="X6" s="3">
        <f>MAX($O$13:$O$644)</f>
        <v>0</v>
      </c>
      <c r="Y6" s="77"/>
      <c r="Z6" s="77"/>
      <c r="AA6" s="77"/>
      <c r="AB6" s="74"/>
      <c r="AC6" s="68"/>
      <c r="AD6" s="69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0" t="s">
        <v>9</v>
      </c>
      <c r="J7" s="67">
        <f>COUNTIFS($P$13:$P$9944,"&gt;0",$AG$13:$AG$9944,I1)</f>
        <v>2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0" t="s">
        <v>9</v>
      </c>
      <c r="S7" s="67">
        <f>COUNTIFS($P$13:$P$9944,"&gt;0",$AG$13:$AG$9944,R1)</f>
        <v>3</v>
      </c>
      <c r="T7" s="52"/>
      <c r="U7" s="52"/>
      <c r="V7" s="53" t="s">
        <v>15</v>
      </c>
      <c r="W7" s="51" t="s">
        <v>15</v>
      </c>
      <c r="X7" s="3" t="s">
        <v>15</v>
      </c>
      <c r="Y7" s="77"/>
      <c r="Z7" s="77"/>
      <c r="AA7" s="77"/>
      <c r="AB7" s="74"/>
      <c r="AC7" s="68"/>
      <c r="AD7" s="69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18" t="s">
        <v>16</v>
      </c>
      <c r="J8" s="67">
        <f>J5</f>
        <v>144</v>
      </c>
      <c r="K8" s="52"/>
      <c r="L8" s="52"/>
      <c r="M8" s="53">
        <f>M5</f>
        <v>43.780092592714936</v>
      </c>
      <c r="N8" s="51">
        <f>N5</f>
        <v>34.883333336329088</v>
      </c>
      <c r="O8" s="3">
        <f>O5</f>
        <v>55.833333330228925</v>
      </c>
      <c r="P8" s="2"/>
      <c r="R8" s="118" t="s">
        <v>16</v>
      </c>
      <c r="S8" s="67">
        <f>S5</f>
        <v>108</v>
      </c>
      <c r="T8" s="52"/>
      <c r="U8" s="52"/>
      <c r="V8" s="53">
        <f>V5</f>
        <v>20.625771605866721</v>
      </c>
      <c r="W8" s="51">
        <f>W5</f>
        <v>12.983333329902962</v>
      </c>
      <c r="X8" s="3">
        <f>X5</f>
        <v>78.050000004004687</v>
      </c>
      <c r="Y8" s="77"/>
      <c r="Z8" s="77"/>
      <c r="AA8" s="77"/>
      <c r="AB8" s="74"/>
      <c r="AC8" s="68"/>
      <c r="AD8" s="69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18" t="s">
        <v>19</v>
      </c>
      <c r="J9" s="85">
        <f>J8/J4</f>
        <v>0.98630136986301364</v>
      </c>
      <c r="K9" s="54"/>
      <c r="L9" s="54"/>
      <c r="M9" s="121"/>
      <c r="N9" s="49"/>
      <c r="O9" s="122"/>
      <c r="P9" s="2"/>
      <c r="R9" s="118" t="s">
        <v>19</v>
      </c>
      <c r="S9" s="85">
        <f>S8/S4</f>
        <v>0.97297297297297303</v>
      </c>
      <c r="T9" s="54"/>
      <c r="U9" s="54"/>
      <c r="V9" s="121"/>
      <c r="W9" s="49"/>
      <c r="X9" s="122"/>
      <c r="Y9" s="77"/>
      <c r="Z9" s="77"/>
      <c r="AA9" s="77"/>
      <c r="AB9" s="74"/>
      <c r="AC9" s="68"/>
      <c r="AD9" s="69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2"/>
      <c r="V10" s="23"/>
      <c r="W10" s="23"/>
      <c r="X10" s="80"/>
      <c r="Y10" s="77"/>
      <c r="Z10" s="77"/>
      <c r="AA10" s="77"/>
      <c r="AB10" s="74"/>
      <c r="AC10" s="68"/>
      <c r="AD10" s="69"/>
    </row>
    <row r="11" spans="1:91" ht="57.75" customHeight="1" thickBot="1" x14ac:dyDescent="0.3">
      <c r="A11" s="128" t="str">
        <f>"Eagle P3 System Performance - "&amp;TEXT(Variables!A2,"yyyy-mm-dd")</f>
        <v>Eagle P3 System Performance - 2016-07-30</v>
      </c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S11" s="95">
        <f>AVERAGE(S13:S158)</f>
        <v>0.99143835616438358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25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6" t="s">
        <v>80</v>
      </c>
      <c r="U12" s="83" t="s">
        <v>81</v>
      </c>
      <c r="V12" s="63" t="s">
        <v>45</v>
      </c>
      <c r="W12" s="63" t="s">
        <v>23</v>
      </c>
      <c r="X12" s="81" t="s">
        <v>48</v>
      </c>
      <c r="Y12" s="78" t="s">
        <v>20</v>
      </c>
      <c r="Z12" s="78" t="s">
        <v>21</v>
      </c>
      <c r="AA12" s="78" t="s">
        <v>22</v>
      </c>
      <c r="AB12" s="75" t="s">
        <v>39</v>
      </c>
      <c r="AC12" s="71" t="s">
        <v>40</v>
      </c>
      <c r="AD12" s="70" t="s">
        <v>115</v>
      </c>
      <c r="AE12" s="63" t="s">
        <v>124</v>
      </c>
      <c r="AF12" s="63" t="s">
        <v>129</v>
      </c>
      <c r="AG12" s="4" t="s">
        <v>318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hidden="1" x14ac:dyDescent="0.25">
      <c r="A13" s="45" t="s">
        <v>414</v>
      </c>
      <c r="B13" s="7">
        <v>4014</v>
      </c>
      <c r="C13" s="25" t="s">
        <v>170</v>
      </c>
      <c r="D13" s="25" t="s">
        <v>370</v>
      </c>
      <c r="E13" s="16">
        <v>42581.129386574074</v>
      </c>
      <c r="F13" s="16">
        <v>42581.130462962959</v>
      </c>
      <c r="G13" s="7">
        <v>1</v>
      </c>
      <c r="H13" s="16" t="s">
        <v>415</v>
      </c>
      <c r="I13" s="16">
        <v>42581.162187499998</v>
      </c>
      <c r="J13" s="7">
        <v>0</v>
      </c>
      <c r="K13" s="123" t="str">
        <f t="shared" ref="K13:K76" si="0">IF(ISEVEN(B13),(B13-1)&amp;"/"&amp;B13,B13&amp;"/"&amp;(B13+1))</f>
        <v>4013/4014</v>
      </c>
      <c r="L13" s="25" t="str">
        <f>VLOOKUP(A13,'Trips&amp;Operators'!$C$1:$E$10000,3,FALSE)</f>
        <v>MAELZER</v>
      </c>
      <c r="M13" s="6">
        <f t="shared" ref="M13:M76" si="1">I13-F13</f>
        <v>3.1724537038826384E-2</v>
      </c>
      <c r="N13" s="7">
        <f t="shared" ref="N13:P76" si="2">24*60*SUM($M13:$M13)</f>
        <v>45.683333335909992</v>
      </c>
      <c r="O13" s="7"/>
      <c r="P13" s="7"/>
      <c r="Q13" s="26"/>
      <c r="R13" s="26"/>
      <c r="S13" s="41">
        <f t="shared" ref="S13:S76" si="3">SUM(U13:U13)/IF(AG13="EC",12,1)</f>
        <v>1</v>
      </c>
      <c r="T13" s="59" t="str">
        <f>IF(ISEVEN(LEFT(AD13,4)),"Southbound","NorthBound")</f>
        <v>NorthBound</v>
      </c>
      <c r="U13" s="84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4" t="str">
        <f t="shared" ref="V13:V76" si="4"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https://search-rtdc-monitor-bjffxe2xuh6vdkpspy63sjmuny.us-east-1.es.amazonaws.com/_plugin/kibana/#/discover/Steve-Slow-Train-Analysis-(2080s-and-2083s)?_g=(refreshInterval:(display:Off,section:0,value:0),time:(from:'2016-07-30 02:06:19-0600',mode:absolute,to:'2016-07-30 04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3" s="64" t="str">
        <f t="shared" ref="W13:W76" si="5">IF(AA13&lt;IF(AG13="EC",23,5.65),"Y","N")</f>
        <v>N</v>
      </c>
      <c r="X13" s="126" t="e">
        <f>VALUE(LEFT(AD13,4))-VALUE(LEFT(AD12,4))</f>
        <v>#VALUE!</v>
      </c>
      <c r="Y13" s="79">
        <f t="shared" ref="Y13:Y76" si="6">RIGHT(D13,LEN(D13)-4)/10000</f>
        <v>7.0099999999999996E-2</v>
      </c>
      <c r="Z13" s="79">
        <f t="shared" ref="Z13:Z76" si="7">RIGHT(H13,LEN(H13)-4)/10000</f>
        <v>23.334099999999999</v>
      </c>
      <c r="AA13" s="79">
        <f t="shared" ref="AA13:AA76" si="8">ABS(Z13-Y13)</f>
        <v>23.263999999999999</v>
      </c>
      <c r="AB13" s="76" t="e">
        <f>VLOOKUP(A13,Enforcements!$C$7:$J$24,8,0)</f>
        <v>#N/A</v>
      </c>
      <c r="AC13" s="72" t="e">
        <f>VLOOKUP(A13,Enforcements!$C$7:$E$24,3,0)</f>
        <v>#N/A</v>
      </c>
      <c r="AD13" s="73" t="str">
        <f t="shared" ref="AD13:AD76" si="9">IF(LEN(A13)=6,"0"&amp;A13,A13)</f>
        <v>0101-30</v>
      </c>
      <c r="AE13" s="65" t="str">
        <f t="shared" ref="AE13:AE76" si="10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3" s="65" t="str">
        <f t="shared" ref="AF13:AF76" si="11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/stypes="*4014*20160730*" /stext=" 09:.+((SYSTEM_STATE.+slice.+state.+changed )|(ment ac)|(system.+state.+changed )|(\|lc)|(penalty)|(\[timeout)|(PRM\|1\|D))" /e /r /s</v>
      </c>
      <c r="AG13" s="1" t="str">
        <f>IF(VALUE(LEFT(AD13,2))&lt;=2,"EC",IF(OR(VALUE(LEFT(AD13,2))=8,VALUE(LEFT(AD13,2))=18),"NW","GL"))</f>
        <v>EC</v>
      </c>
    </row>
    <row r="14" spans="1:91" s="1" customFormat="1" hidden="1" x14ac:dyDescent="0.25">
      <c r="A14" s="45" t="s">
        <v>416</v>
      </c>
      <c r="B14" s="7">
        <v>4012</v>
      </c>
      <c r="C14" s="25" t="s">
        <v>170</v>
      </c>
      <c r="D14" s="25" t="s">
        <v>417</v>
      </c>
      <c r="E14" s="16">
        <v>42581.168680555558</v>
      </c>
      <c r="F14" s="16">
        <v>42581.169687499998</v>
      </c>
      <c r="G14" s="7">
        <v>1</v>
      </c>
      <c r="H14" s="16" t="s">
        <v>418</v>
      </c>
      <c r="I14" s="16">
        <v>42581.205601851849</v>
      </c>
      <c r="J14" s="7">
        <v>0</v>
      </c>
      <c r="K14" s="123" t="str">
        <f t="shared" si="0"/>
        <v>4011/4012</v>
      </c>
      <c r="L14" s="25" t="str">
        <f>VLOOKUP(A14,'Trips&amp;Operators'!$C$1:$E$10000,3,FALSE)</f>
        <v>MAELZER</v>
      </c>
      <c r="M14" s="6">
        <f t="shared" si="1"/>
        <v>3.591435185080627E-2</v>
      </c>
      <c r="N14" s="7">
        <f t="shared" si="2"/>
        <v>51.716666665161029</v>
      </c>
      <c r="O14" s="7"/>
      <c r="P14" s="7"/>
      <c r="Q14" s="26"/>
      <c r="R14" s="26"/>
      <c r="S14" s="41">
        <f t="shared" si="3"/>
        <v>1</v>
      </c>
      <c r="T14" s="59" t="str">
        <f t="shared" ref="T14:T77" si="12">IF(ISEVEN(LEFT(AD14,4)),"Southbound","NorthBound")</f>
        <v>Southbound</v>
      </c>
      <c r="U14" s="84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03:02:54-0600',mode:absolute,to:'2016-07-30 05:56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4" s="64" t="str">
        <f t="shared" si="5"/>
        <v>N</v>
      </c>
      <c r="X14" s="126">
        <f t="shared" ref="X14:X77" si="13">VALUE(LEFT(AD14,4))-VALUE(LEFT(AD13,4))</f>
        <v>1</v>
      </c>
      <c r="Y14" s="79">
        <f t="shared" si="6"/>
        <v>23.2685</v>
      </c>
      <c r="Z14" s="79">
        <f t="shared" si="7"/>
        <v>1.12E-2</v>
      </c>
      <c r="AA14" s="79">
        <f t="shared" si="8"/>
        <v>23.257300000000001</v>
      </c>
      <c r="AB14" s="76" t="e">
        <f>VLOOKUP(A14,Enforcements!$C$7:$J$24,8,0)</f>
        <v>#N/A</v>
      </c>
      <c r="AC14" s="72" t="e">
        <f>VLOOKUP(A14,Enforcements!$C$7:$E$24,3,0)</f>
        <v>#N/A</v>
      </c>
      <c r="AD14" s="73" t="str">
        <f t="shared" si="9"/>
        <v>0102-30</v>
      </c>
      <c r="AE14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14" s="65" t="str">
        <f t="shared" si="11"/>
        <v>"C:\Program Files (x86)\AstroGrep\AstroGrep.exe" /spath="C:\Users\stu\Documents\Analysis\2016-02-23 RTDC Observations" /stypes="*4012*20160730*" /stext=" 10:.+((SYSTEM_STATE.+slice.+state.+changed )|(ment ac)|(system.+state.+changed )|(\|lc)|(penalty)|(\[timeout)|(PRM\|1\|D))" /e /r /s</v>
      </c>
      <c r="AG14" s="1" t="str">
        <f t="shared" ref="AG14:AG77" si="14">IF(VALUE(LEFT(AD14,2))&lt;=2,"EC",IF(OR(VALUE(LEFT(AD14,2))=8,VALUE(LEFT(AD14,2))=18),"NW","GL"))</f>
        <v>EC</v>
      </c>
    </row>
    <row r="15" spans="1:91" s="1" customFormat="1" hidden="1" x14ac:dyDescent="0.25">
      <c r="A15" s="45" t="s">
        <v>419</v>
      </c>
      <c r="B15" s="7">
        <v>4027</v>
      </c>
      <c r="C15" s="25" t="s">
        <v>170</v>
      </c>
      <c r="D15" s="25" t="s">
        <v>420</v>
      </c>
      <c r="E15" s="16">
        <v>42581.155416666668</v>
      </c>
      <c r="F15" s="16">
        <v>42581.156666666669</v>
      </c>
      <c r="G15" s="7">
        <v>1</v>
      </c>
      <c r="H15" s="16" t="s">
        <v>390</v>
      </c>
      <c r="I15" s="16">
        <v>42581.182951388888</v>
      </c>
      <c r="J15" s="7">
        <v>0</v>
      </c>
      <c r="K15" s="123" t="str">
        <f t="shared" si="0"/>
        <v>4027/4028</v>
      </c>
      <c r="L15" s="25" t="str">
        <f>VLOOKUP(A15,'Trips&amp;Operators'!$C$1:$E$10000,3,FALSE)</f>
        <v>MALAVE</v>
      </c>
      <c r="M15" s="6">
        <f t="shared" si="1"/>
        <v>2.6284722218406387E-2</v>
      </c>
      <c r="N15" s="7">
        <f t="shared" si="2"/>
        <v>37.849999994505197</v>
      </c>
      <c r="O15" s="7"/>
      <c r="P15" s="7"/>
      <c r="Q15" s="26"/>
      <c r="R15" s="26"/>
      <c r="S15" s="41">
        <f t="shared" si="3"/>
        <v>1</v>
      </c>
      <c r="T15" s="59" t="str">
        <f t="shared" si="12"/>
        <v>NorthBound</v>
      </c>
      <c r="U15" s="84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02:43:48-0600',mode:absolute,to:'2016-07-30 05:23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" s="64" t="str">
        <f t="shared" si="5"/>
        <v>N</v>
      </c>
      <c r="X15" s="126">
        <f t="shared" si="13"/>
        <v>1</v>
      </c>
      <c r="Y15" s="79">
        <f t="shared" si="6"/>
        <v>7.6499999999999999E-2</v>
      </c>
      <c r="Z15" s="79">
        <f t="shared" si="7"/>
        <v>23.333200000000001</v>
      </c>
      <c r="AA15" s="79">
        <f t="shared" si="8"/>
        <v>23.256700000000002</v>
      </c>
      <c r="AB15" s="76" t="e">
        <f>VLOOKUP(A15,Enforcements!$C$7:$J$24,8,0)</f>
        <v>#N/A</v>
      </c>
      <c r="AC15" s="72" t="e">
        <f>VLOOKUP(A15,Enforcements!$C$7:$E$24,3,0)</f>
        <v>#N/A</v>
      </c>
      <c r="AD15" s="73" t="str">
        <f t="shared" si="9"/>
        <v>0103-30</v>
      </c>
      <c r="AE15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15" s="65" t="str">
        <f t="shared" si="11"/>
        <v>"C:\Program Files (x86)\AstroGrep\AstroGrep.exe" /spath="C:\Users\stu\Documents\Analysis\2016-02-23 RTDC Observations" /stypes="*4027*20160730*" /stext=" 10:.+((SYSTEM_STATE.+slice.+state.+changed )|(ment ac)|(system.+state.+changed )|(\|lc)|(penalty)|(\[timeout)|(PRM\|1\|D))" /e /r /s</v>
      </c>
      <c r="AG15" s="1" t="str">
        <f t="shared" si="14"/>
        <v>EC</v>
      </c>
    </row>
    <row r="16" spans="1:91" s="1" customFormat="1" hidden="1" x14ac:dyDescent="0.25">
      <c r="A16" s="45" t="s">
        <v>421</v>
      </c>
      <c r="B16" s="7">
        <v>4010</v>
      </c>
      <c r="C16" s="25" t="s">
        <v>170</v>
      </c>
      <c r="D16" s="25" t="s">
        <v>422</v>
      </c>
      <c r="E16" s="16">
        <v>42581.19394675926</v>
      </c>
      <c r="F16" s="16">
        <v>42581.1953125</v>
      </c>
      <c r="G16" s="7">
        <v>1</v>
      </c>
      <c r="H16" s="16" t="s">
        <v>423</v>
      </c>
      <c r="I16" s="16">
        <v>42581.224166666667</v>
      </c>
      <c r="J16" s="7">
        <v>0</v>
      </c>
      <c r="K16" s="123" t="str">
        <f t="shared" si="0"/>
        <v>4009/4010</v>
      </c>
      <c r="L16" s="25" t="str">
        <f>VLOOKUP(A16,'Trips&amp;Operators'!$C$1:$E$10000,3,FALSE)</f>
        <v>MALAVE</v>
      </c>
      <c r="M16" s="6">
        <f t="shared" si="1"/>
        <v>2.8854166666860692E-2</v>
      </c>
      <c r="N16" s="7">
        <f t="shared" si="2"/>
        <v>41.550000000279397</v>
      </c>
      <c r="O16" s="7"/>
      <c r="P16" s="7"/>
      <c r="Q16" s="26"/>
      <c r="R16" s="26"/>
      <c r="S16" s="41">
        <f t="shared" si="3"/>
        <v>1</v>
      </c>
      <c r="T16" s="59" t="str">
        <f t="shared" si="12"/>
        <v>Southbound</v>
      </c>
      <c r="U16" s="84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03:39:17-0600',mode:absolute,to:'2016-07-30 06:22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6" s="64" t="str">
        <f t="shared" si="5"/>
        <v>N</v>
      </c>
      <c r="X16" s="126">
        <f t="shared" si="13"/>
        <v>1</v>
      </c>
      <c r="Y16" s="79">
        <f t="shared" si="6"/>
        <v>23.266200000000001</v>
      </c>
      <c r="Z16" s="79">
        <f t="shared" si="7"/>
        <v>9.0700000000000003E-2</v>
      </c>
      <c r="AA16" s="79">
        <f t="shared" si="8"/>
        <v>23.1755</v>
      </c>
      <c r="AB16" s="76" t="e">
        <f>VLOOKUP(A16,Enforcements!$C$7:$J$24,8,0)</f>
        <v>#N/A</v>
      </c>
      <c r="AC16" s="72" t="e">
        <f>VLOOKUP(A16,Enforcements!$C$7:$E$24,3,0)</f>
        <v>#N/A</v>
      </c>
      <c r="AD16" s="73" t="str">
        <f t="shared" si="9"/>
        <v>0104-30</v>
      </c>
      <c r="AE16" s="65" t="str">
        <f t="shared" si="10"/>
        <v>aws s3 cp s3://rtdc.mdm.uploadarchive/RTDC4010/2016-07-30/ "C:\Users\stu\Documents\Analysis\2016-02-23 RTDC Observations"\RTDC4010\2016-07-30 --recursive &amp; "C:\Users\stu\Documents\GitHub\mrs-test-scripts\Headless Mode &amp; Sideloading\WalkAndUnGZ.bat" "C:\Users\stu\Documents\Analysis\2016-02-23 RTDC Observations"\RTDC4010\2016-07-30 &amp; aws s3 cp s3://rtdc.mdm.uploadarchive/RTDC4010/2016-07-31/ "C:\Users\stu\Documents\Analysis\2016-02-23 RTDC Observations"\RTDC4010\2016-07-31 --recursive &amp; "C:\Users\stu\Documents\GitHub\mrs-test-scripts\Headless Mode &amp; Sideloading\WalkAndUnGZ.bat" "C:\Users\stu\Documents\Analysis\2016-02-23 RTDC Observations"\RTDC4010\2016-07-31</v>
      </c>
      <c r="AF16" s="65" t="str">
        <f t="shared" si="11"/>
        <v>"C:\Program Files (x86)\AstroGrep\AstroGrep.exe" /spath="C:\Users\stu\Documents\Analysis\2016-02-23 RTDC Observations" /stypes="*4010*20160730*" /stext=" 11:.+((SYSTEM_STATE.+slice.+state.+changed )|(ment ac)|(system.+state.+changed )|(\|lc)|(penalty)|(\[timeout)|(PRM\|1\|D))" /e /r /s</v>
      </c>
      <c r="AG16" s="1" t="str">
        <f t="shared" si="14"/>
        <v>EC</v>
      </c>
    </row>
    <row r="17" spans="1:33" s="1" customFormat="1" hidden="1" x14ac:dyDescent="0.25">
      <c r="A17" s="45" t="s">
        <v>424</v>
      </c>
      <c r="B17" s="7">
        <v>4031</v>
      </c>
      <c r="C17" s="25" t="s">
        <v>170</v>
      </c>
      <c r="D17" s="25" t="s">
        <v>392</v>
      </c>
      <c r="E17" s="16">
        <v>42581.169548611113</v>
      </c>
      <c r="F17" s="16">
        <v>42581.171064814815</v>
      </c>
      <c r="G17" s="7">
        <v>2</v>
      </c>
      <c r="H17" s="16" t="s">
        <v>425</v>
      </c>
      <c r="I17" s="16">
        <v>42581.202766203707</v>
      </c>
      <c r="J17" s="7">
        <v>0</v>
      </c>
      <c r="K17" s="123" t="str">
        <f t="shared" si="0"/>
        <v>4031/4032</v>
      </c>
      <c r="L17" s="25" t="str">
        <f>VLOOKUP(A17,'Trips&amp;Operators'!$C$1:$E$10000,3,FALSE)</f>
        <v>ACKERMAN</v>
      </c>
      <c r="M17" s="6">
        <f t="shared" si="1"/>
        <v>3.1701388892543036E-2</v>
      </c>
      <c r="N17" s="7">
        <f t="shared" si="2"/>
        <v>45.650000005261973</v>
      </c>
      <c r="O17" s="7"/>
      <c r="P17" s="7"/>
      <c r="Q17" s="26"/>
      <c r="R17" s="26"/>
      <c r="S17" s="41">
        <f t="shared" si="3"/>
        <v>1</v>
      </c>
      <c r="T17" s="59" t="str">
        <f t="shared" si="12"/>
        <v>NorthBound</v>
      </c>
      <c r="U17" s="84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03:04:09-0600',mode:absolute,to:'2016-07-30 05:51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7" s="64" t="str">
        <f t="shared" si="5"/>
        <v>N</v>
      </c>
      <c r="X17" s="126">
        <f t="shared" si="13"/>
        <v>1</v>
      </c>
      <c r="Y17" s="79">
        <f t="shared" si="6"/>
        <v>4.3999999999999997E-2</v>
      </c>
      <c r="Z17" s="79">
        <f t="shared" si="7"/>
        <v>23.331099999999999</v>
      </c>
      <c r="AA17" s="79">
        <f t="shared" si="8"/>
        <v>23.287099999999999</v>
      </c>
      <c r="AB17" s="76" t="e">
        <f>VLOOKUP(A17,Enforcements!$C$7:$J$24,8,0)</f>
        <v>#N/A</v>
      </c>
      <c r="AC17" s="72" t="e">
        <f>VLOOKUP(A17,Enforcements!$C$7:$E$24,3,0)</f>
        <v>#N/A</v>
      </c>
      <c r="AD17" s="73" t="str">
        <f t="shared" si="9"/>
        <v>0105-30</v>
      </c>
      <c r="AE17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7" s="65" t="str">
        <f t="shared" si="11"/>
        <v>"C:\Program Files (x86)\AstroGrep\AstroGrep.exe" /spath="C:\Users\stu\Documents\Analysis\2016-02-23 RTDC Observations" /stypes="*4031*20160730*" /stext=" 10:.+((SYSTEM_STATE.+slice.+state.+changed )|(ment ac)|(system.+state.+changed )|(\|lc)|(penalty)|(\[timeout)|(PRM\|1\|D))" /e /r /s</v>
      </c>
      <c r="AG17" s="1" t="str">
        <f t="shared" si="14"/>
        <v>EC</v>
      </c>
    </row>
    <row r="18" spans="1:33" s="1" customFormat="1" ht="16.5" hidden="1" customHeight="1" x14ac:dyDescent="0.25">
      <c r="A18" s="45" t="s">
        <v>426</v>
      </c>
      <c r="B18" s="7">
        <v>4032</v>
      </c>
      <c r="C18" s="25" t="s">
        <v>170</v>
      </c>
      <c r="D18" s="25" t="s">
        <v>357</v>
      </c>
      <c r="E18" s="16">
        <v>42581.211608796293</v>
      </c>
      <c r="F18" s="16">
        <v>42581.212453703702</v>
      </c>
      <c r="G18" s="7">
        <v>1</v>
      </c>
      <c r="H18" s="16" t="s">
        <v>58</v>
      </c>
      <c r="I18" s="16">
        <v>42581.243773148148</v>
      </c>
      <c r="J18" s="7">
        <v>0</v>
      </c>
      <c r="K18" s="123" t="str">
        <f t="shared" si="0"/>
        <v>4031/4032</v>
      </c>
      <c r="L18" s="25" t="str">
        <f>VLOOKUP(A18,'Trips&amp;Operators'!$C$1:$E$10000,3,FALSE)</f>
        <v>ACKERMAN</v>
      </c>
      <c r="M18" s="6">
        <f t="shared" si="1"/>
        <v>3.1319444446125999E-2</v>
      </c>
      <c r="N18" s="7">
        <f t="shared" si="2"/>
        <v>45.100000002421439</v>
      </c>
      <c r="O18" s="7"/>
      <c r="P18" s="7"/>
      <c r="Q18" s="26"/>
      <c r="R18" s="26"/>
      <c r="S18" s="41">
        <f t="shared" si="3"/>
        <v>1</v>
      </c>
      <c r="T18" s="59" t="str">
        <f t="shared" si="12"/>
        <v>Southbound</v>
      </c>
      <c r="U18" s="84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04:04:43-0600',mode:absolute,to:'2016-07-30 06:51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8" s="64" t="str">
        <f t="shared" si="5"/>
        <v>N</v>
      </c>
      <c r="X18" s="126">
        <f t="shared" si="13"/>
        <v>1</v>
      </c>
      <c r="Y18" s="79">
        <f t="shared" si="6"/>
        <v>23.298200000000001</v>
      </c>
      <c r="Z18" s="79">
        <f t="shared" si="7"/>
        <v>1.4500000000000001E-2</v>
      </c>
      <c r="AA18" s="79">
        <f t="shared" si="8"/>
        <v>23.2837</v>
      </c>
      <c r="AB18" s="76" t="e">
        <f>VLOOKUP(A18,Enforcements!$C$7:$J$24,8,0)</f>
        <v>#N/A</v>
      </c>
      <c r="AC18" s="72" t="e">
        <f>VLOOKUP(A18,Enforcements!$C$7:$E$24,3,0)</f>
        <v>#N/A</v>
      </c>
      <c r="AD18" s="73" t="str">
        <f t="shared" si="9"/>
        <v>0106-30</v>
      </c>
      <c r="AE18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8" s="65" t="str">
        <f t="shared" si="11"/>
        <v>"C:\Program Files (x86)\AstroGrep\AstroGrep.exe" /spath="C:\Users\stu\Documents\Analysis\2016-02-23 RTDC Observations" /stypes="*4032*20160730*" /stext=" 11:.+((SYSTEM_STATE.+slice.+state.+changed )|(ment ac)|(system.+state.+changed )|(\|lc)|(penalty)|(\[timeout)|(PRM\|1\|D))" /e /r /s</v>
      </c>
      <c r="AG18" s="1" t="str">
        <f t="shared" si="14"/>
        <v>EC</v>
      </c>
    </row>
    <row r="19" spans="1:33" s="1" customFormat="1" hidden="1" x14ac:dyDescent="0.25">
      <c r="A19" s="45" t="s">
        <v>427</v>
      </c>
      <c r="B19" s="7">
        <v>4007</v>
      </c>
      <c r="C19" s="25" t="s">
        <v>170</v>
      </c>
      <c r="D19" s="25" t="s">
        <v>428</v>
      </c>
      <c r="E19" s="16">
        <v>42581.182511574072</v>
      </c>
      <c r="F19" s="16">
        <v>42581.183657407404</v>
      </c>
      <c r="G19" s="7">
        <v>1</v>
      </c>
      <c r="H19" s="16" t="s">
        <v>161</v>
      </c>
      <c r="I19" s="16">
        <v>42581.21366898148</v>
      </c>
      <c r="J19" s="7">
        <v>0</v>
      </c>
      <c r="K19" s="123" t="str">
        <f t="shared" si="0"/>
        <v>4007/4008</v>
      </c>
      <c r="L19" s="25" t="str">
        <f>VLOOKUP(A19,'Trips&amp;Operators'!$C$1:$E$10000,3,FALSE)</f>
        <v>SANTIZO</v>
      </c>
      <c r="M19" s="6">
        <f t="shared" si="1"/>
        <v>3.0011574075615499E-2</v>
      </c>
      <c r="N19" s="7">
        <f t="shared" si="2"/>
        <v>43.216666668886319</v>
      </c>
      <c r="O19" s="7"/>
      <c r="P19" s="7"/>
      <c r="Q19" s="26"/>
      <c r="R19" s="26"/>
      <c r="S19" s="41">
        <f t="shared" si="3"/>
        <v>1</v>
      </c>
      <c r="T19" s="59" t="str">
        <f t="shared" si="12"/>
        <v>NorthBound</v>
      </c>
      <c r="U19" s="84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03:22:49-0600',mode:absolute,to:'2016-07-30 06:07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9" s="64" t="str">
        <f t="shared" si="5"/>
        <v>N</v>
      </c>
      <c r="X19" s="126">
        <f t="shared" si="13"/>
        <v>1</v>
      </c>
      <c r="Y19" s="79">
        <f t="shared" si="6"/>
        <v>6.4100000000000004E-2</v>
      </c>
      <c r="Z19" s="79">
        <f t="shared" si="7"/>
        <v>23.330200000000001</v>
      </c>
      <c r="AA19" s="79">
        <f t="shared" si="8"/>
        <v>23.266100000000002</v>
      </c>
      <c r="AB19" s="76" t="e">
        <f>VLOOKUP(A19,Enforcements!$C$7:$J$24,8,0)</f>
        <v>#N/A</v>
      </c>
      <c r="AC19" s="72" t="e">
        <f>VLOOKUP(A19,Enforcements!$C$7:$E$24,3,0)</f>
        <v>#N/A</v>
      </c>
      <c r="AD19" s="73" t="str">
        <f t="shared" si="9"/>
        <v>0107-30</v>
      </c>
      <c r="AE19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9" s="65" t="str">
        <f t="shared" si="11"/>
        <v>"C:\Program Files (x86)\AstroGrep\AstroGrep.exe" /spath="C:\Users\stu\Documents\Analysis\2016-02-23 RTDC Observations" /stypes="*4007*20160730*" /stext=" 11:.+((SYSTEM_STATE.+slice.+state.+changed )|(ment ac)|(system.+state.+changed )|(\|lc)|(penalty)|(\[timeout)|(PRM\|1\|D))" /e /r /s</v>
      </c>
      <c r="AG19" s="1" t="str">
        <f t="shared" si="14"/>
        <v>EC</v>
      </c>
    </row>
    <row r="20" spans="1:33" s="1" customFormat="1" hidden="1" x14ac:dyDescent="0.25">
      <c r="A20" s="45" t="s">
        <v>429</v>
      </c>
      <c r="B20" s="7">
        <v>4043</v>
      </c>
      <c r="C20" s="25" t="s">
        <v>170</v>
      </c>
      <c r="D20" s="25" t="s">
        <v>430</v>
      </c>
      <c r="E20" s="16">
        <v>42581.217349537037</v>
      </c>
      <c r="F20" s="16">
        <v>42581.218090277776</v>
      </c>
      <c r="G20" s="7">
        <v>1</v>
      </c>
      <c r="H20" s="16" t="s">
        <v>173</v>
      </c>
      <c r="I20" s="16">
        <v>42581.25309027778</v>
      </c>
      <c r="J20" s="7">
        <v>0</v>
      </c>
      <c r="K20" s="123" t="str">
        <f t="shared" si="0"/>
        <v>4043/4044</v>
      </c>
      <c r="L20" s="25" t="str">
        <f>VLOOKUP(A20,'Trips&amp;Operators'!$C$1:$E$10000,3,FALSE)</f>
        <v>SANTIZO</v>
      </c>
      <c r="M20" s="6">
        <f t="shared" si="1"/>
        <v>3.500000000349246E-2</v>
      </c>
      <c r="N20" s="7">
        <f t="shared" si="2"/>
        <v>50.400000005029142</v>
      </c>
      <c r="O20" s="7"/>
      <c r="P20" s="7"/>
      <c r="Q20" s="26"/>
      <c r="R20" s="26"/>
      <c r="S20" s="41">
        <f t="shared" si="3"/>
        <v>1</v>
      </c>
      <c r="T20" s="59" t="str">
        <f t="shared" si="12"/>
        <v>Southbound</v>
      </c>
      <c r="U20" s="84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04:12:59-0600',mode:absolute,to:'2016-07-30 07:04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20" s="64" t="str">
        <f t="shared" si="5"/>
        <v>N</v>
      </c>
      <c r="X20" s="126">
        <f t="shared" si="13"/>
        <v>1</v>
      </c>
      <c r="Y20" s="79">
        <f t="shared" si="6"/>
        <v>23.267900000000001</v>
      </c>
      <c r="Z20" s="79">
        <f t="shared" si="7"/>
        <v>1.47E-2</v>
      </c>
      <c r="AA20" s="79">
        <f t="shared" si="8"/>
        <v>23.2532</v>
      </c>
      <c r="AB20" s="76" t="e">
        <f>VLOOKUP(A20,Enforcements!$C$7:$J$24,8,0)</f>
        <v>#N/A</v>
      </c>
      <c r="AC20" s="72" t="e">
        <f>VLOOKUP(A20,Enforcements!$C$7:$E$24,3,0)</f>
        <v>#N/A</v>
      </c>
      <c r="AD20" s="73" t="str">
        <f t="shared" si="9"/>
        <v>0108-30</v>
      </c>
      <c r="AE20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20" s="65" t="str">
        <f t="shared" si="11"/>
        <v>"C:\Program Files (x86)\AstroGrep\AstroGrep.exe" /spath="C:\Users\stu\Documents\Analysis\2016-02-23 RTDC Observations" /stypes="*4043*20160730*" /stext=" 12:.+((SYSTEM_STATE.+slice.+state.+changed )|(ment ac)|(system.+state.+changed )|(\|lc)|(penalty)|(\[timeout)|(PRM\|1\|D))" /e /r /s</v>
      </c>
      <c r="AG20" s="1" t="str">
        <f t="shared" si="14"/>
        <v>EC</v>
      </c>
    </row>
    <row r="21" spans="1:33" s="35" customFormat="1" hidden="1" x14ac:dyDescent="0.25">
      <c r="A21" s="45" t="s">
        <v>431</v>
      </c>
      <c r="B21" s="7">
        <v>4016</v>
      </c>
      <c r="C21" s="25" t="s">
        <v>170</v>
      </c>
      <c r="D21" s="25" t="s">
        <v>152</v>
      </c>
      <c r="E21" s="16">
        <v>42581.195798611108</v>
      </c>
      <c r="F21" s="16">
        <v>42581.197974537034</v>
      </c>
      <c r="G21" s="7">
        <v>3</v>
      </c>
      <c r="H21" s="16" t="s">
        <v>381</v>
      </c>
      <c r="I21" s="16">
        <v>42581.224374999998</v>
      </c>
      <c r="J21" s="7">
        <v>0</v>
      </c>
      <c r="K21" s="123" t="str">
        <f t="shared" si="0"/>
        <v>4015/4016</v>
      </c>
      <c r="L21" s="25" t="str">
        <f>VLOOKUP(A21,'Trips&amp;Operators'!$C$1:$E$10000,3,FALSE)</f>
        <v>NELSON</v>
      </c>
      <c r="M21" s="6">
        <f t="shared" si="1"/>
        <v>2.6400462964375038E-2</v>
      </c>
      <c r="N21" s="7">
        <f t="shared" si="2"/>
        <v>38.016666668700054</v>
      </c>
      <c r="O21" s="7"/>
      <c r="P21" s="7"/>
      <c r="Q21" s="26"/>
      <c r="R21" s="26"/>
      <c r="S21" s="41">
        <f t="shared" si="3"/>
        <v>1</v>
      </c>
      <c r="T21" s="59" t="str">
        <f t="shared" si="12"/>
        <v>NorthBound</v>
      </c>
      <c r="U21" s="84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03:41:57-0600',mode:absolute,to:'2016-07-30 06:23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21" s="64" t="str">
        <f t="shared" si="5"/>
        <v>N</v>
      </c>
      <c r="X21" s="126">
        <f t="shared" si="13"/>
        <v>1</v>
      </c>
      <c r="Y21" s="79">
        <f t="shared" si="6"/>
        <v>4.6699999999999998E-2</v>
      </c>
      <c r="Z21" s="79">
        <f t="shared" si="7"/>
        <v>23.3309</v>
      </c>
      <c r="AA21" s="79">
        <f t="shared" si="8"/>
        <v>23.284199999999998</v>
      </c>
      <c r="AB21" s="76" t="e">
        <f>VLOOKUP(A21,Enforcements!$C$7:$J$24,8,0)</f>
        <v>#N/A</v>
      </c>
      <c r="AC21" s="72" t="e">
        <f>VLOOKUP(A21,Enforcements!$C$7:$E$24,3,0)</f>
        <v>#N/A</v>
      </c>
      <c r="AD21" s="73" t="str">
        <f t="shared" si="9"/>
        <v>0109-30</v>
      </c>
      <c r="AE21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21" s="65" t="str">
        <f t="shared" si="11"/>
        <v>"C:\Program Files (x86)\AstroGrep\AstroGrep.exe" /spath="C:\Users\stu\Documents\Analysis\2016-02-23 RTDC Observations" /stypes="*4016*20160730*" /stext=" 11:.+((SYSTEM_STATE.+slice.+state.+changed )|(ment ac)|(system.+state.+changed )|(\|lc)|(penalty)|(\[timeout)|(PRM\|1\|D))" /e /r /s</v>
      </c>
      <c r="AG21" s="1" t="str">
        <f t="shared" si="14"/>
        <v>EC</v>
      </c>
    </row>
    <row r="22" spans="1:33" s="1" customFormat="1" hidden="1" x14ac:dyDescent="0.25">
      <c r="A22" s="45" t="s">
        <v>432</v>
      </c>
      <c r="B22" s="7">
        <v>4015</v>
      </c>
      <c r="C22" s="25" t="s">
        <v>170</v>
      </c>
      <c r="D22" s="25" t="s">
        <v>167</v>
      </c>
      <c r="E22" s="16">
        <v>42581.230312500003</v>
      </c>
      <c r="F22" s="16">
        <v>42581.23164351852</v>
      </c>
      <c r="G22" s="7">
        <v>1</v>
      </c>
      <c r="H22" s="16" t="s">
        <v>165</v>
      </c>
      <c r="I22" s="16">
        <v>42581.265416666669</v>
      </c>
      <c r="J22" s="7">
        <v>0</v>
      </c>
      <c r="K22" s="123" t="str">
        <f t="shared" si="0"/>
        <v>4015/4016</v>
      </c>
      <c r="L22" s="25" t="str">
        <f>VLOOKUP(A22,'Trips&amp;Operators'!$C$1:$E$10000,3,FALSE)</f>
        <v>NELSON</v>
      </c>
      <c r="M22" s="6">
        <f t="shared" si="1"/>
        <v>3.3773148148611654E-2</v>
      </c>
      <c r="N22" s="7">
        <f t="shared" si="2"/>
        <v>48.633333334000781</v>
      </c>
      <c r="O22" s="7"/>
      <c r="P22" s="7"/>
      <c r="Q22" s="26"/>
      <c r="R22" s="26"/>
      <c r="S22" s="41">
        <f t="shared" si="3"/>
        <v>1</v>
      </c>
      <c r="T22" s="59" t="str">
        <f t="shared" si="12"/>
        <v>Southbound</v>
      </c>
      <c r="U22" s="84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12</v>
      </c>
      <c r="V2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04:31:39-0600',mode:absolute,to:'2016-07-30 07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2" s="64" t="str">
        <f t="shared" si="5"/>
        <v>N</v>
      </c>
      <c r="X22" s="126">
        <f t="shared" si="13"/>
        <v>1</v>
      </c>
      <c r="Y22" s="79">
        <f t="shared" si="6"/>
        <v>23.297799999999999</v>
      </c>
      <c r="Z22" s="79">
        <f t="shared" si="7"/>
        <v>1.49E-2</v>
      </c>
      <c r="AA22" s="79">
        <f t="shared" si="8"/>
        <v>23.282899999999998</v>
      </c>
      <c r="AB22" s="76" t="e">
        <f>VLOOKUP(A22,Enforcements!$C$7:$J$24,8,0)</f>
        <v>#N/A</v>
      </c>
      <c r="AC22" s="72" t="e">
        <f>VLOOKUP(A22,Enforcements!$C$7:$E$24,3,0)</f>
        <v>#N/A</v>
      </c>
      <c r="AD22" s="73" t="str">
        <f t="shared" si="9"/>
        <v>0110-30</v>
      </c>
      <c r="AE22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22" s="65" t="str">
        <f t="shared" si="11"/>
        <v>"C:\Program Files (x86)\AstroGrep\AstroGrep.exe" /spath="C:\Users\stu\Documents\Analysis\2016-02-23 RTDC Observations" /stypes="*4015*20160730*" /stext=" 12:.+((SYSTEM_STATE.+slice.+state.+changed )|(ment ac)|(system.+state.+changed )|(\|lc)|(penalty)|(\[timeout)|(PRM\|1\|D))" /e /r /s</v>
      </c>
      <c r="AG22" s="1" t="str">
        <f t="shared" si="14"/>
        <v>EC</v>
      </c>
    </row>
    <row r="23" spans="1:33" s="1" customFormat="1" ht="14.25" hidden="1" customHeight="1" x14ac:dyDescent="0.25">
      <c r="A23" s="45" t="s">
        <v>433</v>
      </c>
      <c r="B23" s="7">
        <v>4029</v>
      </c>
      <c r="C23" s="25" t="s">
        <v>170</v>
      </c>
      <c r="D23" s="25" t="s">
        <v>116</v>
      </c>
      <c r="E23" s="16">
        <v>42581.201435185183</v>
      </c>
      <c r="F23" s="16">
        <v>42581.202847222223</v>
      </c>
      <c r="G23" s="7">
        <v>2</v>
      </c>
      <c r="H23" s="16" t="s">
        <v>243</v>
      </c>
      <c r="I23" s="16">
        <v>42581.233958333331</v>
      </c>
      <c r="J23" s="7">
        <v>0</v>
      </c>
      <c r="K23" s="123" t="str">
        <f t="shared" si="0"/>
        <v>4029/4030</v>
      </c>
      <c r="L23" s="25" t="str">
        <f>VLOOKUP(A23,'Trips&amp;Operators'!$C$1:$E$10000,3,FALSE)</f>
        <v>GEBRETEKLE</v>
      </c>
      <c r="M23" s="6">
        <f t="shared" si="1"/>
        <v>3.1111111107748002E-2</v>
      </c>
      <c r="N23" s="7">
        <f t="shared" si="2"/>
        <v>44.799999995157123</v>
      </c>
      <c r="O23" s="7"/>
      <c r="P23" s="7"/>
      <c r="Q23" s="26"/>
      <c r="R23" s="26"/>
      <c r="S23" s="41">
        <f t="shared" si="3"/>
        <v>1</v>
      </c>
      <c r="T23" s="59" t="str">
        <f t="shared" si="12"/>
        <v>NorthBound</v>
      </c>
      <c r="U23" s="84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03:50:04-0600',mode:absolute,to:'2016-07-30 06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3" s="64" t="str">
        <f t="shared" si="5"/>
        <v>N</v>
      </c>
      <c r="X23" s="126">
        <f t="shared" si="13"/>
        <v>1</v>
      </c>
      <c r="Y23" s="79">
        <f t="shared" si="6"/>
        <v>4.58E-2</v>
      </c>
      <c r="Z23" s="79">
        <f t="shared" si="7"/>
        <v>23.3306</v>
      </c>
      <c r="AA23" s="79">
        <f t="shared" si="8"/>
        <v>23.284800000000001</v>
      </c>
      <c r="AB23" s="76" t="e">
        <f>VLOOKUP(A23,Enforcements!$C$7:$J$24,8,0)</f>
        <v>#N/A</v>
      </c>
      <c r="AC23" s="72" t="e">
        <f>VLOOKUP(A23,Enforcements!$C$7:$E$24,3,0)</f>
        <v>#N/A</v>
      </c>
      <c r="AD23" s="73" t="str">
        <f t="shared" si="9"/>
        <v>0111-30</v>
      </c>
      <c r="AE23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23" s="65" t="str">
        <f t="shared" si="11"/>
        <v>"C:\Program Files (x86)\AstroGrep\AstroGrep.exe" /spath="C:\Users\stu\Documents\Analysis\2016-02-23 RTDC Observations" /stypes="*4029*20160730*" /stext=" 11:.+((SYSTEM_STATE.+slice.+state.+changed )|(ment ac)|(system.+state.+changed )|(\|lc)|(penalty)|(\[timeout)|(PRM\|1\|D))" /e /r /s</v>
      </c>
      <c r="AG23" s="1" t="str">
        <f t="shared" si="14"/>
        <v>EC</v>
      </c>
    </row>
    <row r="24" spans="1:33" s="1" customFormat="1" hidden="1" x14ac:dyDescent="0.25">
      <c r="A24" s="45" t="s">
        <v>434</v>
      </c>
      <c r="B24" s="7">
        <v>4030</v>
      </c>
      <c r="C24" s="25" t="s">
        <v>170</v>
      </c>
      <c r="D24" s="25" t="s">
        <v>321</v>
      </c>
      <c r="E24" s="16">
        <v>42581.241631944446</v>
      </c>
      <c r="F24" s="16">
        <v>42581.242939814816</v>
      </c>
      <c r="G24" s="7">
        <v>1</v>
      </c>
      <c r="H24" s="16" t="s">
        <v>58</v>
      </c>
      <c r="I24" s="16">
        <v>42581.278078703705</v>
      </c>
      <c r="J24" s="7">
        <v>0</v>
      </c>
      <c r="K24" s="123" t="str">
        <f t="shared" si="0"/>
        <v>4029/4030</v>
      </c>
      <c r="L24" s="25" t="str">
        <f>VLOOKUP(A24,'Trips&amp;Operators'!$C$1:$E$10000,3,FALSE)</f>
        <v>GEBRETEKLE</v>
      </c>
      <c r="M24" s="6">
        <f t="shared" si="1"/>
        <v>3.51388888884685E-2</v>
      </c>
      <c r="N24" s="7">
        <f t="shared" si="2"/>
        <v>50.59999999939464</v>
      </c>
      <c r="O24" s="7"/>
      <c r="P24" s="7"/>
      <c r="Q24" s="26"/>
      <c r="R24" s="26"/>
      <c r="S24" s="41">
        <f t="shared" si="3"/>
        <v>1</v>
      </c>
      <c r="T24" s="59" t="str">
        <f t="shared" si="12"/>
        <v>Southbound</v>
      </c>
      <c r="U24" s="84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04:47:57-0600',mode:absolute,to:'2016-07-30 07:40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24" s="64" t="str">
        <f t="shared" si="5"/>
        <v>N</v>
      </c>
      <c r="X24" s="126">
        <f t="shared" si="13"/>
        <v>1</v>
      </c>
      <c r="Y24" s="79">
        <f t="shared" si="6"/>
        <v>23.297599999999999</v>
      </c>
      <c r="Z24" s="79">
        <f t="shared" si="7"/>
        <v>1.4500000000000001E-2</v>
      </c>
      <c r="AA24" s="79">
        <f t="shared" si="8"/>
        <v>23.283099999999997</v>
      </c>
      <c r="AB24" s="76" t="e">
        <f>VLOOKUP(A24,Enforcements!$C$7:$J$24,8,0)</f>
        <v>#N/A</v>
      </c>
      <c r="AC24" s="72" t="e">
        <f>VLOOKUP(A24,Enforcements!$C$7:$E$24,3,0)</f>
        <v>#N/A</v>
      </c>
      <c r="AD24" s="73" t="str">
        <f t="shared" si="9"/>
        <v>0112-30</v>
      </c>
      <c r="AE24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24" s="65" t="str">
        <f t="shared" si="11"/>
        <v>"C:\Program Files (x86)\AstroGrep\AstroGrep.exe" /spath="C:\Users\stu\Documents\Analysis\2016-02-23 RTDC Observations" /stypes="*4030*20160730*" /stext=" 12:.+((SYSTEM_STATE.+slice.+state.+changed )|(ment ac)|(system.+state.+changed )|(\|lc)|(penalty)|(\[timeout)|(PRM\|1\|D))" /e /r /s</v>
      </c>
      <c r="AG24" s="1" t="str">
        <f t="shared" si="14"/>
        <v>EC</v>
      </c>
    </row>
    <row r="25" spans="1:33" s="1" customFormat="1" hidden="1" x14ac:dyDescent="0.25">
      <c r="A25" s="45" t="s">
        <v>435</v>
      </c>
      <c r="B25" s="7">
        <v>4014</v>
      </c>
      <c r="C25" s="25" t="s">
        <v>170</v>
      </c>
      <c r="D25" s="25" t="s">
        <v>344</v>
      </c>
      <c r="E25" s="16">
        <v>42581.214224537034</v>
      </c>
      <c r="F25" s="16">
        <v>42581.215358796297</v>
      </c>
      <c r="G25" s="7">
        <v>1</v>
      </c>
      <c r="H25" s="16" t="s">
        <v>436</v>
      </c>
      <c r="I25" s="16">
        <v>42581.244120370371</v>
      </c>
      <c r="J25" s="7">
        <v>0</v>
      </c>
      <c r="K25" s="123" t="str">
        <f t="shared" si="0"/>
        <v>4013/4014</v>
      </c>
      <c r="L25" s="25" t="str">
        <f>VLOOKUP(A25,'Trips&amp;Operators'!$C$1:$E$10000,3,FALSE)</f>
        <v>MAELZER</v>
      </c>
      <c r="M25" s="6">
        <f t="shared" si="1"/>
        <v>2.8761574074451346E-2</v>
      </c>
      <c r="N25" s="7">
        <f t="shared" si="2"/>
        <v>41.416666667209938</v>
      </c>
      <c r="O25" s="7"/>
      <c r="P25" s="7"/>
      <c r="Q25" s="26"/>
      <c r="R25" s="26"/>
      <c r="S25" s="41">
        <f t="shared" si="3"/>
        <v>1</v>
      </c>
      <c r="T25" s="59" t="str">
        <f t="shared" si="12"/>
        <v>NorthBound</v>
      </c>
      <c r="U25" s="84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12</v>
      </c>
      <c r="V2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04:08:29-0600',mode:absolute,to:'2016-07-30 06:51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25" s="64" t="str">
        <f t="shared" si="5"/>
        <v>N</v>
      </c>
      <c r="X25" s="126">
        <f t="shared" si="13"/>
        <v>1</v>
      </c>
      <c r="Y25" s="79">
        <f t="shared" si="6"/>
        <v>7.4300000000000005E-2</v>
      </c>
      <c r="Z25" s="79">
        <f t="shared" si="7"/>
        <v>23.332599999999999</v>
      </c>
      <c r="AA25" s="79">
        <f t="shared" si="8"/>
        <v>23.258299999999998</v>
      </c>
      <c r="AB25" s="76" t="e">
        <f>VLOOKUP(A25,Enforcements!$C$7:$J$24,8,0)</f>
        <v>#N/A</v>
      </c>
      <c r="AC25" s="72" t="e">
        <f>VLOOKUP(A25,Enforcements!$C$7:$E$24,3,0)</f>
        <v>#N/A</v>
      </c>
      <c r="AD25" s="73" t="str">
        <f t="shared" si="9"/>
        <v>0113-30</v>
      </c>
      <c r="AE25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25" s="65" t="str">
        <f t="shared" si="11"/>
        <v>"C:\Program Files (x86)\AstroGrep\AstroGrep.exe" /spath="C:\Users\stu\Documents\Analysis\2016-02-23 RTDC Observations" /stypes="*4014*20160730*" /stext=" 11:.+((SYSTEM_STATE.+slice.+state.+changed )|(ment ac)|(system.+state.+changed )|(\|lc)|(penalty)|(\[timeout)|(PRM\|1\|D))" /e /r /s</v>
      </c>
      <c r="AG25" s="1" t="str">
        <f t="shared" si="14"/>
        <v>EC</v>
      </c>
    </row>
    <row r="26" spans="1:33" s="1" customFormat="1" hidden="1" x14ac:dyDescent="0.25">
      <c r="A26" s="45" t="s">
        <v>437</v>
      </c>
      <c r="B26" s="7">
        <v>4012</v>
      </c>
      <c r="C26" s="25" t="s">
        <v>170</v>
      </c>
      <c r="D26" s="25" t="s">
        <v>438</v>
      </c>
      <c r="E26" s="16">
        <v>42581.254328703704</v>
      </c>
      <c r="F26" s="16">
        <v>42581.255150462966</v>
      </c>
      <c r="G26" s="7">
        <v>1</v>
      </c>
      <c r="H26" s="16" t="s">
        <v>352</v>
      </c>
      <c r="I26" s="16">
        <v>42581.284166666665</v>
      </c>
      <c r="J26" s="7">
        <v>0</v>
      </c>
      <c r="K26" s="123" t="str">
        <f t="shared" si="0"/>
        <v>4011/4012</v>
      </c>
      <c r="L26" s="25" t="str">
        <f>VLOOKUP(A26,'Trips&amp;Operators'!$C$1:$E$10000,3,FALSE)</f>
        <v>MAELZER</v>
      </c>
      <c r="M26" s="6">
        <f t="shared" si="1"/>
        <v>2.901620369812008E-2</v>
      </c>
      <c r="N26" s="7">
        <f t="shared" si="2"/>
        <v>41.783333325292915</v>
      </c>
      <c r="O26" s="7"/>
      <c r="P26" s="7"/>
      <c r="Q26" s="26"/>
      <c r="R26" s="26"/>
      <c r="S26" s="41">
        <f t="shared" si="3"/>
        <v>1</v>
      </c>
      <c r="T26" s="59" t="str">
        <f t="shared" si="12"/>
        <v>Southbound</v>
      </c>
      <c r="U26" s="84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12</v>
      </c>
      <c r="V2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05:06:14-0600',mode:absolute,to:'2016-07-30 07:49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26" s="64" t="str">
        <f t="shared" si="5"/>
        <v>N</v>
      </c>
      <c r="X26" s="126">
        <f t="shared" si="13"/>
        <v>1</v>
      </c>
      <c r="Y26" s="79">
        <f t="shared" si="6"/>
        <v>23.2669</v>
      </c>
      <c r="Z26" s="79">
        <f t="shared" si="7"/>
        <v>1.7000000000000001E-2</v>
      </c>
      <c r="AA26" s="79">
        <f t="shared" si="8"/>
        <v>23.2499</v>
      </c>
      <c r="AB26" s="76" t="e">
        <f>VLOOKUP(A26,Enforcements!$C$7:$J$24,8,0)</f>
        <v>#N/A</v>
      </c>
      <c r="AC26" s="72" t="e">
        <f>VLOOKUP(A26,Enforcements!$C$7:$E$24,3,0)</f>
        <v>#N/A</v>
      </c>
      <c r="AD26" s="73" t="str">
        <f t="shared" si="9"/>
        <v>0114-30</v>
      </c>
      <c r="AE26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26" s="65" t="str">
        <f t="shared" si="11"/>
        <v>"C:\Program Files (x86)\AstroGrep\AstroGrep.exe" /spath="C:\Users\stu\Documents\Analysis\2016-02-23 RTDC Observations" /stypes="*4012*20160730*" /stext=" 12:.+((SYSTEM_STATE.+slice.+state.+changed )|(ment ac)|(system.+state.+changed )|(\|lc)|(penalty)|(\[timeout)|(PRM\|1\|D))" /e /r /s</v>
      </c>
      <c r="AG26" s="1" t="str">
        <f t="shared" si="14"/>
        <v>EC</v>
      </c>
    </row>
    <row r="27" spans="1:33" s="1" customFormat="1" hidden="1" x14ac:dyDescent="0.25">
      <c r="A27" s="45" t="s">
        <v>439</v>
      </c>
      <c r="B27" s="7">
        <v>4018</v>
      </c>
      <c r="C27" s="25" t="s">
        <v>170</v>
      </c>
      <c r="D27" s="25" t="s">
        <v>324</v>
      </c>
      <c r="E27" s="16">
        <v>42581.229641203703</v>
      </c>
      <c r="F27" s="16">
        <v>42581.230833333335</v>
      </c>
      <c r="G27" s="7">
        <v>1</v>
      </c>
      <c r="H27" s="16" t="s">
        <v>243</v>
      </c>
      <c r="I27" s="16">
        <v>42581.258240740739</v>
      </c>
      <c r="J27" s="7">
        <v>0</v>
      </c>
      <c r="K27" s="123" t="str">
        <f t="shared" si="0"/>
        <v>4017/4018</v>
      </c>
      <c r="L27" s="25" t="str">
        <f>VLOOKUP(A27,'Trips&amp;Operators'!$C$1:$E$10000,3,FALSE)</f>
        <v>STRICKLAND</v>
      </c>
      <c r="M27" s="6">
        <f t="shared" si="1"/>
        <v>2.7407407404098194E-2</v>
      </c>
      <c r="N27" s="7">
        <f t="shared" si="2"/>
        <v>39.466666661901399</v>
      </c>
      <c r="O27" s="7"/>
      <c r="P27" s="7"/>
      <c r="Q27" s="26"/>
      <c r="R27" s="26"/>
      <c r="S27" s="41">
        <f t="shared" si="3"/>
        <v>1</v>
      </c>
      <c r="T27" s="59" t="str">
        <f t="shared" si="12"/>
        <v>NorthBound</v>
      </c>
      <c r="U27" s="84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04:30:41-0600',mode:absolute,to:'2016-07-30 07:11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7" s="64" t="str">
        <f t="shared" si="5"/>
        <v>N</v>
      </c>
      <c r="X27" s="126">
        <f t="shared" si="13"/>
        <v>1</v>
      </c>
      <c r="Y27" s="79">
        <f t="shared" si="6"/>
        <v>4.5100000000000001E-2</v>
      </c>
      <c r="Z27" s="79">
        <f t="shared" si="7"/>
        <v>23.3306</v>
      </c>
      <c r="AA27" s="79">
        <f t="shared" si="8"/>
        <v>23.285499999999999</v>
      </c>
      <c r="AB27" s="76" t="e">
        <f>VLOOKUP(A27,Enforcements!$C$7:$J$24,8,0)</f>
        <v>#N/A</v>
      </c>
      <c r="AC27" s="72" t="e">
        <f>VLOOKUP(A27,Enforcements!$C$7:$E$24,3,0)</f>
        <v>#N/A</v>
      </c>
      <c r="AD27" s="73" t="str">
        <f t="shared" si="9"/>
        <v>0115-30</v>
      </c>
      <c r="AE27" s="65" t="str">
        <f t="shared" si="10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27" s="65" t="str">
        <f t="shared" si="11"/>
        <v>"C:\Program Files (x86)\AstroGrep\AstroGrep.exe" /spath="C:\Users\stu\Documents\Analysis\2016-02-23 RTDC Observations" /stypes="*4018*20160730*" /stext=" 12:.+((SYSTEM_STATE.+slice.+state.+changed )|(ment ac)|(system.+state.+changed )|(\|lc)|(penalty)|(\[timeout)|(PRM\|1\|D))" /e /r /s</v>
      </c>
      <c r="AG27" s="1" t="str">
        <f t="shared" si="14"/>
        <v>EC</v>
      </c>
    </row>
    <row r="28" spans="1:33" s="1" customFormat="1" hidden="1" x14ac:dyDescent="0.25">
      <c r="A28" s="45" t="s">
        <v>440</v>
      </c>
      <c r="B28" s="7">
        <v>4017</v>
      </c>
      <c r="C28" s="25" t="s">
        <v>170</v>
      </c>
      <c r="D28" s="25" t="s">
        <v>65</v>
      </c>
      <c r="E28" s="16">
        <v>42581.265115740738</v>
      </c>
      <c r="F28" s="16">
        <v>42581.266111111108</v>
      </c>
      <c r="G28" s="7">
        <v>1</v>
      </c>
      <c r="H28" s="16" t="s">
        <v>362</v>
      </c>
      <c r="I28" s="16">
        <v>42581.296469907407</v>
      </c>
      <c r="J28" s="7">
        <v>1</v>
      </c>
      <c r="K28" s="123" t="str">
        <f t="shared" si="0"/>
        <v>4017/4018</v>
      </c>
      <c r="L28" s="25" t="str">
        <f>VLOOKUP(A28,'Trips&amp;Operators'!$C$1:$E$10000,3,FALSE)</f>
        <v>STRICKLAND</v>
      </c>
      <c r="M28" s="6">
        <f t="shared" si="1"/>
        <v>3.0358796298969537E-2</v>
      </c>
      <c r="N28" s="7">
        <f t="shared" si="2"/>
        <v>43.716666670516133</v>
      </c>
      <c r="O28" s="7"/>
      <c r="P28" s="7"/>
      <c r="Q28" s="26"/>
      <c r="R28" s="26"/>
      <c r="S28" s="41">
        <f t="shared" si="3"/>
        <v>1</v>
      </c>
      <c r="T28" s="59" t="str">
        <f t="shared" si="12"/>
        <v>Southbound</v>
      </c>
      <c r="U28" s="84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05:21:46-0600',mode:absolute,to:'2016-07-30 08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8" s="64" t="str">
        <f t="shared" si="5"/>
        <v>N</v>
      </c>
      <c r="X28" s="126">
        <f t="shared" si="13"/>
        <v>1</v>
      </c>
      <c r="Y28" s="79">
        <f t="shared" si="6"/>
        <v>23.297699999999999</v>
      </c>
      <c r="Z28" s="79">
        <f t="shared" si="7"/>
        <v>1.8700000000000001E-2</v>
      </c>
      <c r="AA28" s="79">
        <f t="shared" si="8"/>
        <v>23.279</v>
      </c>
      <c r="AB28" s="76">
        <f>VLOOKUP(A28,Enforcements!$C$7:$J$24,8,0)</f>
        <v>1</v>
      </c>
      <c r="AC28" s="72" t="str">
        <f>VLOOKUP(A28,Enforcements!$C$7:$E$24,3,0)</f>
        <v>TRACK WARRANT AUTHORITY</v>
      </c>
      <c r="AD28" s="73" t="str">
        <f t="shared" si="9"/>
        <v>0116-30</v>
      </c>
      <c r="AE28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28" s="65" t="str">
        <f t="shared" si="11"/>
        <v>"C:\Program Files (x86)\AstroGrep\AstroGrep.exe" /spath="C:\Users\stu\Documents\Analysis\2016-02-23 RTDC Observations" /stypes="*4017*20160730*" /stext=" 13:.+((SYSTEM_STATE.+slice.+state.+changed )|(ment ac)|(system.+state.+changed )|(\|lc)|(penalty)|(\[timeout)|(PRM\|1\|D))" /e /r /s</v>
      </c>
      <c r="AG28" s="1" t="str">
        <f t="shared" si="14"/>
        <v>EC</v>
      </c>
    </row>
    <row r="29" spans="1:33" s="1" customFormat="1" hidden="1" x14ac:dyDescent="0.25">
      <c r="A29" s="45" t="s">
        <v>441</v>
      </c>
      <c r="B29" s="7">
        <v>4027</v>
      </c>
      <c r="C29" s="25" t="s">
        <v>170</v>
      </c>
      <c r="D29" s="25" t="s">
        <v>442</v>
      </c>
      <c r="E29" s="16">
        <v>42581.238680555558</v>
      </c>
      <c r="F29" s="16">
        <v>42581.239641203705</v>
      </c>
      <c r="G29" s="7">
        <v>1</v>
      </c>
      <c r="H29" s="16" t="s">
        <v>387</v>
      </c>
      <c r="I29" s="16">
        <v>42581.265405092592</v>
      </c>
      <c r="J29" s="7">
        <v>0</v>
      </c>
      <c r="K29" s="123" t="str">
        <f t="shared" si="0"/>
        <v>4027/4028</v>
      </c>
      <c r="L29" s="25" t="str">
        <f>VLOOKUP(A29,'Trips&amp;Operators'!$C$1:$E$10000,3,FALSE)</f>
        <v>MALAVE</v>
      </c>
      <c r="M29" s="6">
        <f t="shared" si="1"/>
        <v>2.5763888887013309E-2</v>
      </c>
      <c r="N29" s="7">
        <f t="shared" si="2"/>
        <v>37.099999997299165</v>
      </c>
      <c r="O29" s="7"/>
      <c r="P29" s="7"/>
      <c r="Q29" s="26"/>
      <c r="R29" s="26"/>
      <c r="S29" s="41">
        <f t="shared" si="3"/>
        <v>1</v>
      </c>
      <c r="T29" s="59" t="str">
        <f t="shared" si="12"/>
        <v>NorthBound</v>
      </c>
      <c r="U29" s="84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04:43:42-0600',mode:absolute,to:'2016-07-30 07:22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29" s="64" t="str">
        <f t="shared" si="5"/>
        <v>N</v>
      </c>
      <c r="X29" s="126">
        <f t="shared" si="13"/>
        <v>1</v>
      </c>
      <c r="Y29" s="79">
        <f t="shared" si="6"/>
        <v>0.14860000000000001</v>
      </c>
      <c r="Z29" s="79">
        <f t="shared" si="7"/>
        <v>23.328800000000001</v>
      </c>
      <c r="AA29" s="79">
        <f t="shared" si="8"/>
        <v>23.180200000000003</v>
      </c>
      <c r="AB29" s="76" t="e">
        <f>VLOOKUP(A29,Enforcements!$C$7:$J$24,8,0)</f>
        <v>#N/A</v>
      </c>
      <c r="AC29" s="72" t="e">
        <f>VLOOKUP(A29,Enforcements!$C$7:$E$24,3,0)</f>
        <v>#N/A</v>
      </c>
      <c r="AD29" s="73" t="str">
        <f t="shared" si="9"/>
        <v>0117-30</v>
      </c>
      <c r="AE29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29" s="65" t="str">
        <f t="shared" si="11"/>
        <v>"C:\Program Files (x86)\AstroGrep\AstroGrep.exe" /spath="C:\Users\stu\Documents\Analysis\2016-02-23 RTDC Observations" /stypes="*4027*20160730*" /stext=" 12:.+((SYSTEM_STATE.+slice.+state.+changed )|(ment ac)|(system.+state.+changed )|(\|lc)|(penalty)|(\[timeout)|(PRM\|1\|D))" /e /r /s</v>
      </c>
      <c r="AG29" s="1" t="str">
        <f t="shared" si="14"/>
        <v>EC</v>
      </c>
    </row>
    <row r="30" spans="1:33" s="1" customFormat="1" hidden="1" x14ac:dyDescent="0.25">
      <c r="A30" s="45" t="s">
        <v>443</v>
      </c>
      <c r="B30" s="7">
        <v>4028</v>
      </c>
      <c r="C30" s="25" t="s">
        <v>170</v>
      </c>
      <c r="D30" s="25" t="s">
        <v>383</v>
      </c>
      <c r="E30" s="16">
        <v>42581.275671296295</v>
      </c>
      <c r="F30" s="16">
        <v>42581.276875000003</v>
      </c>
      <c r="G30" s="7">
        <v>1</v>
      </c>
      <c r="H30" s="16" t="s">
        <v>59</v>
      </c>
      <c r="I30" s="16">
        <v>42581.305833333332</v>
      </c>
      <c r="J30" s="7">
        <v>0</v>
      </c>
      <c r="K30" s="123" t="str">
        <f t="shared" si="0"/>
        <v>4027/4028</v>
      </c>
      <c r="L30" s="25" t="str">
        <f>VLOOKUP(A30,'Trips&amp;Operators'!$C$1:$E$10000,3,FALSE)</f>
        <v>MALAVE</v>
      </c>
      <c r="M30" s="6">
        <f t="shared" si="1"/>
        <v>2.8958333328773733E-2</v>
      </c>
      <c r="N30" s="7">
        <f t="shared" si="2"/>
        <v>41.699999993434176</v>
      </c>
      <c r="O30" s="7"/>
      <c r="P30" s="7"/>
      <c r="Q30" s="26"/>
      <c r="R30" s="26"/>
      <c r="S30" s="41">
        <f t="shared" si="3"/>
        <v>1</v>
      </c>
      <c r="T30" s="59" t="str">
        <f t="shared" si="12"/>
        <v>Southbound</v>
      </c>
      <c r="U30" s="84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05:36:58-0600',mode:absolute,to:'2016-07-30 08:20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0" s="64" t="str">
        <f t="shared" si="5"/>
        <v>N</v>
      </c>
      <c r="X30" s="126">
        <f t="shared" si="13"/>
        <v>1</v>
      </c>
      <c r="Y30" s="79">
        <f t="shared" si="6"/>
        <v>23.296900000000001</v>
      </c>
      <c r="Z30" s="79">
        <f t="shared" si="7"/>
        <v>1.52E-2</v>
      </c>
      <c r="AA30" s="79">
        <f t="shared" si="8"/>
        <v>23.281700000000001</v>
      </c>
      <c r="AB30" s="76" t="e">
        <f>VLOOKUP(A30,Enforcements!$C$7:$J$24,8,0)</f>
        <v>#N/A</v>
      </c>
      <c r="AC30" s="72" t="e">
        <f>VLOOKUP(A30,Enforcements!$C$7:$E$24,3,0)</f>
        <v>#N/A</v>
      </c>
      <c r="AD30" s="73" t="str">
        <f t="shared" si="9"/>
        <v>0118-30</v>
      </c>
      <c r="AE30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30" s="65" t="str">
        <f t="shared" si="11"/>
        <v>"C:\Program Files (x86)\AstroGrep\AstroGrep.exe" /spath="C:\Users\stu\Documents\Analysis\2016-02-23 RTDC Observations" /stypes="*4028*20160730*" /stext=" 13:.+((SYSTEM_STATE.+slice.+state.+changed )|(ment ac)|(system.+state.+changed )|(\|lc)|(penalty)|(\[timeout)|(PRM\|1\|D))" /e /r /s</v>
      </c>
      <c r="AG30" s="1" t="str">
        <f t="shared" si="14"/>
        <v>EC</v>
      </c>
    </row>
    <row r="31" spans="1:33" s="1" customFormat="1" hidden="1" x14ac:dyDescent="0.25">
      <c r="A31" s="45" t="s">
        <v>444</v>
      </c>
      <c r="B31" s="7">
        <v>4031</v>
      </c>
      <c r="C31" s="25" t="s">
        <v>170</v>
      </c>
      <c r="D31" s="25" t="s">
        <v>324</v>
      </c>
      <c r="E31" s="16">
        <v>42581.24527777778</v>
      </c>
      <c r="F31" s="16">
        <v>42581.246539351851</v>
      </c>
      <c r="G31" s="7">
        <v>1</v>
      </c>
      <c r="H31" s="16" t="s">
        <v>256</v>
      </c>
      <c r="I31" s="16">
        <v>42581.275509259256</v>
      </c>
      <c r="J31" s="7">
        <v>0</v>
      </c>
      <c r="K31" s="123" t="str">
        <f t="shared" si="0"/>
        <v>4031/4032</v>
      </c>
      <c r="L31" s="25" t="str">
        <f>VLOOKUP(A31,'Trips&amp;Operators'!$C$1:$E$10000,3,FALSE)</f>
        <v>ACKERMAN</v>
      </c>
      <c r="M31" s="6">
        <f t="shared" si="1"/>
        <v>2.8969907405553386E-2</v>
      </c>
      <c r="N31" s="7">
        <f t="shared" si="2"/>
        <v>41.716666663996875</v>
      </c>
      <c r="O31" s="7"/>
      <c r="P31" s="7"/>
      <c r="Q31" s="26"/>
      <c r="R31" s="26"/>
      <c r="S31" s="41">
        <f t="shared" si="3"/>
        <v>1</v>
      </c>
      <c r="T31" s="59" t="str">
        <f t="shared" si="12"/>
        <v>NorthBound</v>
      </c>
      <c r="U31" s="84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04:53:12-0600',mode:absolute,to:'2016-07-30 07:36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31" s="64" t="str">
        <f t="shared" si="5"/>
        <v>N</v>
      </c>
      <c r="X31" s="126">
        <f t="shared" si="13"/>
        <v>1</v>
      </c>
      <c r="Y31" s="79">
        <f t="shared" si="6"/>
        <v>4.5100000000000001E-2</v>
      </c>
      <c r="Z31" s="79">
        <f t="shared" si="7"/>
        <v>23.331</v>
      </c>
      <c r="AA31" s="79">
        <f t="shared" si="8"/>
        <v>23.285899999999998</v>
      </c>
      <c r="AB31" s="76" t="e">
        <f>VLOOKUP(A31,Enforcements!$C$7:$J$24,8,0)</f>
        <v>#N/A</v>
      </c>
      <c r="AC31" s="72" t="e">
        <f>VLOOKUP(A31,Enforcements!$C$7:$E$24,3,0)</f>
        <v>#N/A</v>
      </c>
      <c r="AD31" s="73" t="str">
        <f t="shared" si="9"/>
        <v>0119-30</v>
      </c>
      <c r="AE31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31" s="65" t="str">
        <f t="shared" si="11"/>
        <v>"C:\Program Files (x86)\AstroGrep\AstroGrep.exe" /spath="C:\Users\stu\Documents\Analysis\2016-02-23 RTDC Observations" /stypes="*4031*20160730*" /stext=" 12:.+((SYSTEM_STATE.+slice.+state.+changed )|(ment ac)|(system.+state.+changed )|(\|lc)|(penalty)|(\[timeout)|(PRM\|1\|D))" /e /r /s</v>
      </c>
      <c r="AG31" s="1" t="str">
        <f t="shared" si="14"/>
        <v>EC</v>
      </c>
    </row>
    <row r="32" spans="1:33" s="1" customFormat="1" hidden="1" x14ac:dyDescent="0.25">
      <c r="A32" s="45" t="s">
        <v>445</v>
      </c>
      <c r="B32" s="7">
        <v>4032</v>
      </c>
      <c r="C32" s="25" t="s">
        <v>170</v>
      </c>
      <c r="D32" s="25" t="s">
        <v>252</v>
      </c>
      <c r="E32" s="16">
        <v>42581.282731481479</v>
      </c>
      <c r="F32" s="16">
        <v>42581.283807870372</v>
      </c>
      <c r="G32" s="7">
        <v>1</v>
      </c>
      <c r="H32" s="16" t="s">
        <v>149</v>
      </c>
      <c r="I32" s="16">
        <v>42581.315787037034</v>
      </c>
      <c r="J32" s="7">
        <v>0</v>
      </c>
      <c r="K32" s="123" t="str">
        <f t="shared" si="0"/>
        <v>4031/4032</v>
      </c>
      <c r="L32" s="25" t="str">
        <f>VLOOKUP(A32,'Trips&amp;Operators'!$C$1:$E$10000,3,FALSE)</f>
        <v>ACKERMAN</v>
      </c>
      <c r="M32" s="6">
        <f t="shared" si="1"/>
        <v>3.1979166662495118E-2</v>
      </c>
      <c r="N32" s="7">
        <f t="shared" si="2"/>
        <v>46.049999993992969</v>
      </c>
      <c r="O32" s="7"/>
      <c r="P32" s="7"/>
      <c r="Q32" s="26"/>
      <c r="R32" s="26"/>
      <c r="S32" s="41">
        <f t="shared" si="3"/>
        <v>1</v>
      </c>
      <c r="T32" s="59" t="str">
        <f t="shared" si="12"/>
        <v>Southbound</v>
      </c>
      <c r="U32" s="84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05:47:08-0600',mode:absolute,to:'2016-07-30 08:34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32" s="64" t="str">
        <f t="shared" si="5"/>
        <v>N</v>
      </c>
      <c r="X32" s="126">
        <f t="shared" si="13"/>
        <v>1</v>
      </c>
      <c r="Y32" s="79">
        <f t="shared" si="6"/>
        <v>23.2987</v>
      </c>
      <c r="Z32" s="79">
        <f t="shared" si="7"/>
        <v>1.41E-2</v>
      </c>
      <c r="AA32" s="79">
        <f t="shared" si="8"/>
        <v>23.284600000000001</v>
      </c>
      <c r="AB32" s="76" t="e">
        <f>VLOOKUP(A32,Enforcements!$C$7:$J$24,8,0)</f>
        <v>#N/A</v>
      </c>
      <c r="AC32" s="72" t="e">
        <f>VLOOKUP(A32,Enforcements!$C$7:$E$24,3,0)</f>
        <v>#N/A</v>
      </c>
      <c r="AD32" s="73" t="str">
        <f t="shared" si="9"/>
        <v>0120-30</v>
      </c>
      <c r="AE32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32" s="65" t="str">
        <f t="shared" si="11"/>
        <v>"C:\Program Files (x86)\AstroGrep\AstroGrep.exe" /spath="C:\Users\stu\Documents\Analysis\2016-02-23 RTDC Observations" /stypes="*4032*20160730*" /stext=" 13:.+((SYSTEM_STATE.+slice.+state.+changed )|(ment ac)|(system.+state.+changed )|(\|lc)|(penalty)|(\[timeout)|(PRM\|1\|D))" /e /r /s</v>
      </c>
      <c r="AG32" s="1" t="str">
        <f t="shared" si="14"/>
        <v>EC</v>
      </c>
    </row>
    <row r="33" spans="1:33" s="1" customFormat="1" hidden="1" x14ac:dyDescent="0.25">
      <c r="A33" s="45" t="s">
        <v>446</v>
      </c>
      <c r="B33" s="7">
        <v>4007</v>
      </c>
      <c r="C33" s="25" t="s">
        <v>170</v>
      </c>
      <c r="D33" s="25" t="s">
        <v>420</v>
      </c>
      <c r="E33" s="16">
        <v>42581.259270833332</v>
      </c>
      <c r="F33" s="16">
        <v>42581.260127314818</v>
      </c>
      <c r="G33" s="7">
        <v>1</v>
      </c>
      <c r="H33" s="16" t="s">
        <v>447</v>
      </c>
      <c r="I33" s="16">
        <v>42581.286180555559</v>
      </c>
      <c r="J33" s="7">
        <v>0</v>
      </c>
      <c r="K33" s="123" t="str">
        <f t="shared" si="0"/>
        <v>4007/4008</v>
      </c>
      <c r="L33" s="25" t="str">
        <f>VLOOKUP(A33,'Trips&amp;Operators'!$C$1:$E$10000,3,FALSE)</f>
        <v>SANTIZO</v>
      </c>
      <c r="M33" s="6">
        <f t="shared" si="1"/>
        <v>2.6053240741021E-2</v>
      </c>
      <c r="N33" s="7">
        <f t="shared" si="2"/>
        <v>37.51666666707024</v>
      </c>
      <c r="O33" s="7"/>
      <c r="P33" s="7"/>
      <c r="Q33" s="26"/>
      <c r="R33" s="26"/>
      <c r="S33" s="41">
        <f t="shared" si="3"/>
        <v>1</v>
      </c>
      <c r="T33" s="59" t="str">
        <f t="shared" si="12"/>
        <v>NorthBound</v>
      </c>
      <c r="U33" s="84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05:13:21-0600',mode:absolute,to:'2016-07-30 07:52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3" s="64" t="str">
        <f t="shared" si="5"/>
        <v>N</v>
      </c>
      <c r="X33" s="126">
        <f t="shared" si="13"/>
        <v>1</v>
      </c>
      <c r="Y33" s="79">
        <f t="shared" si="6"/>
        <v>7.6499999999999999E-2</v>
      </c>
      <c r="Z33" s="79">
        <f t="shared" si="7"/>
        <v>23.332799999999999</v>
      </c>
      <c r="AA33" s="79">
        <f t="shared" si="8"/>
        <v>23.2563</v>
      </c>
      <c r="AB33" s="76" t="e">
        <f>VLOOKUP(A33,Enforcements!$C$7:$J$24,8,0)</f>
        <v>#N/A</v>
      </c>
      <c r="AC33" s="72" t="e">
        <f>VLOOKUP(A33,Enforcements!$C$7:$E$24,3,0)</f>
        <v>#N/A</v>
      </c>
      <c r="AD33" s="73" t="str">
        <f t="shared" si="9"/>
        <v>0121-30</v>
      </c>
      <c r="AE33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33" s="65" t="str">
        <f t="shared" si="11"/>
        <v>"C:\Program Files (x86)\AstroGrep\AstroGrep.exe" /spath="C:\Users\stu\Documents\Analysis\2016-02-23 RTDC Observations" /stypes="*4007*20160730*" /stext=" 12:.+((SYSTEM_STATE.+slice.+state.+changed )|(ment ac)|(system.+state.+changed )|(\|lc)|(penalty)|(\[timeout)|(PRM\|1\|D))" /e /r /s</v>
      </c>
      <c r="AG33" s="1" t="str">
        <f t="shared" si="14"/>
        <v>EC</v>
      </c>
    </row>
    <row r="34" spans="1:33" s="1" customFormat="1" hidden="1" x14ac:dyDescent="0.25">
      <c r="A34" s="45" t="s">
        <v>448</v>
      </c>
      <c r="B34" s="7">
        <v>4043</v>
      </c>
      <c r="C34" s="25" t="s">
        <v>170</v>
      </c>
      <c r="D34" s="25" t="s">
        <v>449</v>
      </c>
      <c r="E34" s="16">
        <v>42581.287824074076</v>
      </c>
      <c r="F34" s="16">
        <v>42581.288622685184</v>
      </c>
      <c r="G34" s="7">
        <v>1</v>
      </c>
      <c r="H34" s="16" t="s">
        <v>450</v>
      </c>
      <c r="I34" s="16">
        <v>42581.325648148151</v>
      </c>
      <c r="J34" s="7">
        <v>0</v>
      </c>
      <c r="K34" s="123" t="str">
        <f t="shared" si="0"/>
        <v>4043/4044</v>
      </c>
      <c r="L34" s="25" t="str">
        <f>VLOOKUP(A34,'Trips&amp;Operators'!$C$1:$E$10000,3,FALSE)</f>
        <v>SANTIZO</v>
      </c>
      <c r="M34" s="6">
        <f t="shared" si="1"/>
        <v>3.7025462966994382E-2</v>
      </c>
      <c r="N34" s="7">
        <f t="shared" si="2"/>
        <v>53.316666672471911</v>
      </c>
      <c r="O34" s="7"/>
      <c r="P34" s="7"/>
      <c r="Q34" s="26"/>
      <c r="R34" s="26"/>
      <c r="S34" s="41">
        <f t="shared" si="3"/>
        <v>1</v>
      </c>
      <c r="T34" s="59" t="str">
        <f t="shared" si="12"/>
        <v>Southbound</v>
      </c>
      <c r="U34" s="84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12</v>
      </c>
      <c r="V3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05:54:28-0600',mode:absolute,to:'2016-07-30 08:48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34" s="64" t="str">
        <f t="shared" si="5"/>
        <v>N</v>
      </c>
      <c r="X34" s="126">
        <f t="shared" si="13"/>
        <v>1</v>
      </c>
      <c r="Y34" s="79">
        <f t="shared" si="6"/>
        <v>23.267700000000001</v>
      </c>
      <c r="Z34" s="79">
        <f t="shared" si="7"/>
        <v>1.1599999999999999E-2</v>
      </c>
      <c r="AA34" s="79">
        <f t="shared" si="8"/>
        <v>23.2561</v>
      </c>
      <c r="AB34" s="76" t="e">
        <f>VLOOKUP(A34,Enforcements!$C$7:$J$24,8,0)</f>
        <v>#N/A</v>
      </c>
      <c r="AC34" s="72" t="e">
        <f>VLOOKUP(A34,Enforcements!$C$7:$E$24,3,0)</f>
        <v>#N/A</v>
      </c>
      <c r="AD34" s="73" t="str">
        <f t="shared" si="9"/>
        <v>0122-30</v>
      </c>
      <c r="AE34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34" s="65" t="str">
        <f t="shared" si="11"/>
        <v>"C:\Program Files (x86)\AstroGrep\AstroGrep.exe" /spath="C:\Users\stu\Documents\Analysis\2016-02-23 RTDC Observations" /stypes="*4043*20160730*" /stext=" 13:.+((SYSTEM_STATE.+slice.+state.+changed )|(ment ac)|(system.+state.+changed )|(\|lc)|(penalty)|(\[timeout)|(PRM\|1\|D))" /e /r /s</v>
      </c>
      <c r="AG34" s="1" t="str">
        <f t="shared" si="14"/>
        <v>EC</v>
      </c>
    </row>
    <row r="35" spans="1:33" s="1" customFormat="1" hidden="1" x14ac:dyDescent="0.25">
      <c r="A35" s="45" t="s">
        <v>451</v>
      </c>
      <c r="B35" s="7">
        <v>4016</v>
      </c>
      <c r="C35" s="25" t="s">
        <v>170</v>
      </c>
      <c r="D35" s="25" t="s">
        <v>202</v>
      </c>
      <c r="E35" s="16">
        <v>42581.266782407409</v>
      </c>
      <c r="F35" s="16">
        <v>42581.268090277779</v>
      </c>
      <c r="G35" s="7">
        <v>1</v>
      </c>
      <c r="H35" s="16" t="s">
        <v>355</v>
      </c>
      <c r="I35" s="16">
        <v>42581.296053240738</v>
      </c>
      <c r="J35" s="7">
        <v>0</v>
      </c>
      <c r="K35" s="123" t="str">
        <f t="shared" si="0"/>
        <v>4015/4016</v>
      </c>
      <c r="L35" s="25" t="str">
        <f>VLOOKUP(A35,'Trips&amp;Operators'!$C$1:$E$10000,3,FALSE)</f>
        <v>NELSON</v>
      </c>
      <c r="M35" s="6">
        <f t="shared" si="1"/>
        <v>2.7962962958554272E-2</v>
      </c>
      <c r="N35" s="7">
        <f t="shared" si="2"/>
        <v>40.266666660318151</v>
      </c>
      <c r="O35" s="7"/>
      <c r="P35" s="7"/>
      <c r="Q35" s="26"/>
      <c r="R35" s="26"/>
      <c r="S35" s="41">
        <f t="shared" si="3"/>
        <v>1</v>
      </c>
      <c r="T35" s="59" t="str">
        <f t="shared" si="12"/>
        <v>NorthBound</v>
      </c>
      <c r="U35" s="84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12</v>
      </c>
      <c r="V3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05:24:10-0600',mode:absolute,to:'2016-07-30 08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35" s="64" t="str">
        <f t="shared" si="5"/>
        <v>N</v>
      </c>
      <c r="X35" s="126">
        <f t="shared" si="13"/>
        <v>1</v>
      </c>
      <c r="Y35" s="79">
        <f t="shared" si="6"/>
        <v>4.4200000000000003E-2</v>
      </c>
      <c r="Z35" s="79">
        <f t="shared" si="7"/>
        <v>23.330400000000001</v>
      </c>
      <c r="AA35" s="79">
        <f t="shared" si="8"/>
        <v>23.286200000000001</v>
      </c>
      <c r="AB35" s="76" t="e">
        <f>VLOOKUP(A35,Enforcements!$C$7:$J$24,8,0)</f>
        <v>#N/A</v>
      </c>
      <c r="AC35" s="72" t="e">
        <f>VLOOKUP(A35,Enforcements!$C$7:$E$24,3,0)</f>
        <v>#N/A</v>
      </c>
      <c r="AD35" s="73" t="str">
        <f t="shared" si="9"/>
        <v>0123-30</v>
      </c>
      <c r="AE35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35" s="65" t="str">
        <f t="shared" si="11"/>
        <v>"C:\Program Files (x86)\AstroGrep\AstroGrep.exe" /spath="C:\Users\stu\Documents\Analysis\2016-02-23 RTDC Observations" /stypes="*4016*20160730*" /stext=" 13:.+((SYSTEM_STATE.+slice.+state.+changed )|(ment ac)|(system.+state.+changed )|(\|lc)|(penalty)|(\[timeout)|(PRM\|1\|D))" /e /r /s</v>
      </c>
      <c r="AG35" s="1" t="str">
        <f t="shared" si="14"/>
        <v>EC</v>
      </c>
    </row>
    <row r="36" spans="1:33" s="1" customFormat="1" hidden="1" x14ac:dyDescent="0.25">
      <c r="A36" s="45" t="s">
        <v>452</v>
      </c>
      <c r="B36" s="7">
        <v>4015</v>
      </c>
      <c r="C36" s="25" t="s">
        <v>170</v>
      </c>
      <c r="D36" s="25" t="s">
        <v>386</v>
      </c>
      <c r="E36" s="16">
        <v>42581.302939814814</v>
      </c>
      <c r="F36" s="16">
        <v>42581.304537037038</v>
      </c>
      <c r="G36" s="7">
        <v>2</v>
      </c>
      <c r="H36" s="16" t="s">
        <v>140</v>
      </c>
      <c r="I36" s="16">
        <v>42581.336365740739</v>
      </c>
      <c r="J36" s="7">
        <v>0</v>
      </c>
      <c r="K36" s="123" t="str">
        <f t="shared" si="0"/>
        <v>4015/4016</v>
      </c>
      <c r="L36" s="25" t="str">
        <f>VLOOKUP(A36,'Trips&amp;Operators'!$C$1:$E$10000,3,FALSE)</f>
        <v>NELSON</v>
      </c>
      <c r="M36" s="6">
        <f t="shared" si="1"/>
        <v>3.1828703700739425E-2</v>
      </c>
      <c r="N36" s="7">
        <f t="shared" si="2"/>
        <v>45.833333329064772</v>
      </c>
      <c r="O36" s="7"/>
      <c r="P36" s="7"/>
      <c r="Q36" s="26"/>
      <c r="R36" s="26"/>
      <c r="S36" s="41">
        <f t="shared" si="3"/>
        <v>1</v>
      </c>
      <c r="T36" s="59" t="str">
        <f t="shared" si="12"/>
        <v>Southbound</v>
      </c>
      <c r="U36" s="84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06:16:14-0600',mode:absolute,to:'2016-07-30 09:04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6" s="64" t="str">
        <f t="shared" si="5"/>
        <v>N</v>
      </c>
      <c r="X36" s="126">
        <f t="shared" si="13"/>
        <v>1</v>
      </c>
      <c r="Y36" s="79">
        <f t="shared" si="6"/>
        <v>23.299800000000001</v>
      </c>
      <c r="Z36" s="79">
        <f t="shared" si="7"/>
        <v>1.3899999999999999E-2</v>
      </c>
      <c r="AA36" s="79">
        <f t="shared" si="8"/>
        <v>23.285900000000002</v>
      </c>
      <c r="AB36" s="76" t="e">
        <f>VLOOKUP(A36,Enforcements!$C$7:$J$24,8,0)</f>
        <v>#N/A</v>
      </c>
      <c r="AC36" s="72" t="e">
        <f>VLOOKUP(A36,Enforcements!$C$7:$E$24,3,0)</f>
        <v>#N/A</v>
      </c>
      <c r="AD36" s="73" t="str">
        <f t="shared" si="9"/>
        <v>0124-30</v>
      </c>
      <c r="AE36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36" s="65" t="str">
        <f t="shared" si="11"/>
        <v>"C:\Program Files (x86)\AstroGrep\AstroGrep.exe" /spath="C:\Users\stu\Documents\Analysis\2016-02-23 RTDC Observations" /stypes="*4015*20160730*" /stext=" 14:.+((SYSTEM_STATE.+slice.+state.+changed )|(ment ac)|(system.+state.+changed )|(\|lc)|(penalty)|(\[timeout)|(PRM\|1\|D))" /e /r /s</v>
      </c>
      <c r="AG36" s="1" t="str">
        <f t="shared" si="14"/>
        <v>EC</v>
      </c>
    </row>
    <row r="37" spans="1:33" s="1" customFormat="1" hidden="1" x14ac:dyDescent="0.25">
      <c r="A37" s="45" t="s">
        <v>453</v>
      </c>
      <c r="B37" s="7">
        <v>4029</v>
      </c>
      <c r="C37" s="25" t="s">
        <v>170</v>
      </c>
      <c r="D37" s="25" t="s">
        <v>351</v>
      </c>
      <c r="E37" s="16">
        <v>42581.278912037036</v>
      </c>
      <c r="F37" s="16">
        <v>42581.280011574076</v>
      </c>
      <c r="G37" s="7">
        <v>1</v>
      </c>
      <c r="H37" s="16" t="s">
        <v>171</v>
      </c>
      <c r="I37" s="16">
        <v>42581.305798611109</v>
      </c>
      <c r="J37" s="7">
        <v>0</v>
      </c>
      <c r="K37" s="123" t="str">
        <f t="shared" si="0"/>
        <v>4029/4030</v>
      </c>
      <c r="L37" s="25" t="str">
        <f>VLOOKUP(A37,'Trips&amp;Operators'!$C$1:$E$10000,3,FALSE)</f>
        <v>GEBRETEKLE</v>
      </c>
      <c r="M37" s="6">
        <f t="shared" si="1"/>
        <v>2.5787037033296656E-2</v>
      </c>
      <c r="N37" s="7">
        <f t="shared" si="2"/>
        <v>37.133333327947184</v>
      </c>
      <c r="O37" s="7"/>
      <c r="P37" s="7"/>
      <c r="Q37" s="26"/>
      <c r="R37" s="26"/>
      <c r="S37" s="41">
        <f t="shared" si="3"/>
        <v>1</v>
      </c>
      <c r="T37" s="59" t="str">
        <f t="shared" si="12"/>
        <v>NorthBound</v>
      </c>
      <c r="U37" s="84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05:41:38-0600',mode:absolute,to:'2016-07-30 08:20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37" s="64" t="str">
        <f t="shared" si="5"/>
        <v>N</v>
      </c>
      <c r="X37" s="126">
        <f t="shared" si="13"/>
        <v>1</v>
      </c>
      <c r="Y37" s="79">
        <f t="shared" si="6"/>
        <v>4.4699999999999997E-2</v>
      </c>
      <c r="Z37" s="79">
        <f t="shared" si="7"/>
        <v>23.3291</v>
      </c>
      <c r="AA37" s="79">
        <f t="shared" si="8"/>
        <v>23.284400000000002</v>
      </c>
      <c r="AB37" s="76" t="e">
        <f>VLOOKUP(A37,Enforcements!$C$7:$J$24,8,0)</f>
        <v>#N/A</v>
      </c>
      <c r="AC37" s="72" t="e">
        <f>VLOOKUP(A37,Enforcements!$C$7:$E$24,3,0)</f>
        <v>#N/A</v>
      </c>
      <c r="AD37" s="73" t="str">
        <f t="shared" si="9"/>
        <v>0125-30</v>
      </c>
      <c r="AE37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37" s="65" t="str">
        <f t="shared" si="11"/>
        <v>"C:\Program Files (x86)\AstroGrep\AstroGrep.exe" /spath="C:\Users\stu\Documents\Analysis\2016-02-23 RTDC Observations" /stypes="*4029*20160730*" /stext=" 13:.+((SYSTEM_STATE.+slice.+state.+changed )|(ment ac)|(system.+state.+changed )|(\|lc)|(penalty)|(\[timeout)|(PRM\|1\|D))" /e /r /s</v>
      </c>
      <c r="AG37" s="1" t="str">
        <f t="shared" si="14"/>
        <v>EC</v>
      </c>
    </row>
    <row r="38" spans="1:33" s="1" customFormat="1" hidden="1" x14ac:dyDescent="0.25">
      <c r="A38" s="45" t="s">
        <v>454</v>
      </c>
      <c r="B38" s="7">
        <v>4030</v>
      </c>
      <c r="C38" s="25" t="s">
        <v>170</v>
      </c>
      <c r="D38" s="25" t="s">
        <v>389</v>
      </c>
      <c r="E38" s="16">
        <v>42581.317141203705</v>
      </c>
      <c r="F38" s="16">
        <v>42581.319444444445</v>
      </c>
      <c r="G38" s="7">
        <v>3</v>
      </c>
      <c r="H38" s="16" t="s">
        <v>173</v>
      </c>
      <c r="I38" s="16">
        <v>42581.347708333335</v>
      </c>
      <c r="J38" s="7">
        <v>0</v>
      </c>
      <c r="K38" s="123" t="str">
        <f t="shared" si="0"/>
        <v>4029/4030</v>
      </c>
      <c r="L38" s="25" t="str">
        <f>VLOOKUP(A38,'Trips&amp;Operators'!$C$1:$E$10000,3,FALSE)</f>
        <v>GEBRETEKLE</v>
      </c>
      <c r="M38" s="6">
        <f t="shared" si="1"/>
        <v>2.8263888889341615E-2</v>
      </c>
      <c r="N38" s="7">
        <f t="shared" si="2"/>
        <v>40.700000000651926</v>
      </c>
      <c r="O38" s="7"/>
      <c r="P38" s="7"/>
      <c r="Q38" s="26"/>
      <c r="R38" s="26"/>
      <c r="S38" s="41">
        <f t="shared" si="3"/>
        <v>1</v>
      </c>
      <c r="T38" s="59" t="str">
        <f t="shared" si="12"/>
        <v>Southbound</v>
      </c>
      <c r="U38" s="84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06:36:41-0600',mode:absolute,to:'2016-07-30 09:20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38" s="64" t="str">
        <f t="shared" si="5"/>
        <v>N</v>
      </c>
      <c r="X38" s="126">
        <f t="shared" si="13"/>
        <v>1</v>
      </c>
      <c r="Y38" s="79">
        <f t="shared" si="6"/>
        <v>23.2971</v>
      </c>
      <c r="Z38" s="79">
        <f t="shared" si="7"/>
        <v>1.47E-2</v>
      </c>
      <c r="AA38" s="79">
        <f t="shared" si="8"/>
        <v>23.282399999999999</v>
      </c>
      <c r="AB38" s="76" t="e">
        <f>VLOOKUP(A38,Enforcements!$C$7:$J$24,8,0)</f>
        <v>#N/A</v>
      </c>
      <c r="AC38" s="72" t="e">
        <f>VLOOKUP(A38,Enforcements!$C$7:$E$24,3,0)</f>
        <v>#N/A</v>
      </c>
      <c r="AD38" s="73" t="str">
        <f t="shared" si="9"/>
        <v>0126-30</v>
      </c>
      <c r="AE38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38" s="65" t="str">
        <f t="shared" si="11"/>
        <v>"C:\Program Files (x86)\AstroGrep\AstroGrep.exe" /spath="C:\Users\stu\Documents\Analysis\2016-02-23 RTDC Observations" /stypes="*4030*20160730*" /stext=" 14:.+((SYSTEM_STATE.+slice.+state.+changed )|(ment ac)|(system.+state.+changed )|(\|lc)|(penalty)|(\[timeout)|(PRM\|1\|D))" /e /r /s</v>
      </c>
      <c r="AG38" s="1" t="str">
        <f t="shared" si="14"/>
        <v>EC</v>
      </c>
    </row>
    <row r="39" spans="1:33" s="1" customFormat="1" hidden="1" x14ac:dyDescent="0.25">
      <c r="A39" s="45" t="s">
        <v>455</v>
      </c>
      <c r="B39" s="7">
        <v>4014</v>
      </c>
      <c r="C39" s="25" t="s">
        <v>170</v>
      </c>
      <c r="D39" s="25" t="s">
        <v>456</v>
      </c>
      <c r="E39" s="16">
        <v>42581.288217592592</v>
      </c>
      <c r="F39" s="16">
        <v>42581.289305555554</v>
      </c>
      <c r="G39" s="7">
        <v>1</v>
      </c>
      <c r="H39" s="16" t="s">
        <v>356</v>
      </c>
      <c r="I39" s="16">
        <v>42581.317337962966</v>
      </c>
      <c r="J39" s="7">
        <v>0</v>
      </c>
      <c r="K39" s="123" t="str">
        <f t="shared" si="0"/>
        <v>4013/4014</v>
      </c>
      <c r="L39" s="25" t="str">
        <f>VLOOKUP(A39,'Trips&amp;Operators'!$C$1:$E$10000,3,FALSE)</f>
        <v>MAELZER</v>
      </c>
      <c r="M39" s="6">
        <f t="shared" si="1"/>
        <v>2.8032407411956228E-2</v>
      </c>
      <c r="N39" s="7">
        <f t="shared" si="2"/>
        <v>40.366666673216969</v>
      </c>
      <c r="O39" s="7"/>
      <c r="P39" s="7"/>
      <c r="Q39" s="26"/>
      <c r="R39" s="26"/>
      <c r="S39" s="41">
        <f t="shared" si="3"/>
        <v>1</v>
      </c>
      <c r="T39" s="59" t="str">
        <f t="shared" si="12"/>
        <v>NorthBound</v>
      </c>
      <c r="U39" s="84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05:55:02-0600',mode:absolute,to:'2016-07-30 08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39" s="64" t="str">
        <f t="shared" si="5"/>
        <v>N</v>
      </c>
      <c r="X39" s="126">
        <f t="shared" si="13"/>
        <v>1</v>
      </c>
      <c r="Y39" s="79">
        <f t="shared" si="6"/>
        <v>7.5499999999999998E-2</v>
      </c>
      <c r="Z39" s="79">
        <f t="shared" si="7"/>
        <v>23.336300000000001</v>
      </c>
      <c r="AA39" s="79">
        <f t="shared" si="8"/>
        <v>23.2608</v>
      </c>
      <c r="AB39" s="76" t="e">
        <f>VLOOKUP(A39,Enforcements!$C$7:$J$24,8,0)</f>
        <v>#N/A</v>
      </c>
      <c r="AC39" s="72" t="e">
        <f>VLOOKUP(A39,Enforcements!$C$7:$E$24,3,0)</f>
        <v>#N/A</v>
      </c>
      <c r="AD39" s="73" t="str">
        <f t="shared" si="9"/>
        <v>0127-30</v>
      </c>
      <c r="AE39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39" s="65" t="str">
        <f t="shared" si="11"/>
        <v>"C:\Program Files (x86)\AstroGrep\AstroGrep.exe" /spath="C:\Users\stu\Documents\Analysis\2016-02-23 RTDC Observations" /stypes="*4014*20160730*" /stext=" 13:.+((SYSTEM_STATE.+slice.+state.+changed )|(ment ac)|(system.+state.+changed )|(\|lc)|(penalty)|(\[timeout)|(PRM\|1\|D))" /e /r /s</v>
      </c>
      <c r="AG39" s="1" t="str">
        <f t="shared" si="14"/>
        <v>EC</v>
      </c>
    </row>
    <row r="40" spans="1:33" s="1" customFormat="1" hidden="1" x14ac:dyDescent="0.25">
      <c r="A40" s="45" t="s">
        <v>457</v>
      </c>
      <c r="B40" s="7">
        <v>4012</v>
      </c>
      <c r="C40" s="25" t="s">
        <v>170</v>
      </c>
      <c r="D40" s="25" t="s">
        <v>345</v>
      </c>
      <c r="E40" s="16">
        <v>42581.326944444445</v>
      </c>
      <c r="F40" s="16">
        <v>42581.327731481484</v>
      </c>
      <c r="G40" s="7">
        <v>1</v>
      </c>
      <c r="H40" s="16" t="s">
        <v>346</v>
      </c>
      <c r="I40" s="16">
        <v>42581.356932870367</v>
      </c>
      <c r="J40" s="7">
        <v>0</v>
      </c>
      <c r="K40" s="123" t="str">
        <f t="shared" si="0"/>
        <v>4011/4012</v>
      </c>
      <c r="L40" s="25" t="str">
        <f>VLOOKUP(A40,'Trips&amp;Operators'!$C$1:$E$10000,3,FALSE)</f>
        <v>MAELZER</v>
      </c>
      <c r="M40" s="6">
        <f t="shared" si="1"/>
        <v>2.9201388882938772E-2</v>
      </c>
      <c r="N40" s="7">
        <f t="shared" si="2"/>
        <v>42.049999991431832</v>
      </c>
      <c r="O40" s="7"/>
      <c r="P40" s="7"/>
      <c r="Q40" s="26"/>
      <c r="R40" s="26"/>
      <c r="S40" s="41">
        <f t="shared" si="3"/>
        <v>1</v>
      </c>
      <c r="T40" s="59" t="str">
        <f t="shared" si="12"/>
        <v>Southbound</v>
      </c>
      <c r="U40" s="84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06:50:48-0600',mode:absolute,to:'2016-07-30 09:33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40" s="64" t="str">
        <f t="shared" si="5"/>
        <v>N</v>
      </c>
      <c r="X40" s="126">
        <f t="shared" si="13"/>
        <v>1</v>
      </c>
      <c r="Y40" s="79">
        <f t="shared" si="6"/>
        <v>23.269200000000001</v>
      </c>
      <c r="Z40" s="79">
        <f t="shared" si="7"/>
        <v>1.0699999999999999E-2</v>
      </c>
      <c r="AA40" s="79">
        <f t="shared" si="8"/>
        <v>23.258500000000002</v>
      </c>
      <c r="AB40" s="76" t="e">
        <f>VLOOKUP(A40,Enforcements!$C$7:$J$24,8,0)</f>
        <v>#N/A</v>
      </c>
      <c r="AC40" s="72" t="e">
        <f>VLOOKUP(A40,Enforcements!$C$7:$E$24,3,0)</f>
        <v>#N/A</v>
      </c>
      <c r="AD40" s="73" t="str">
        <f t="shared" si="9"/>
        <v>0128-30</v>
      </c>
      <c r="AE40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40" s="65" t="str">
        <f t="shared" si="11"/>
        <v>"C:\Program Files (x86)\AstroGrep\AstroGrep.exe" /spath="C:\Users\stu\Documents\Analysis\2016-02-23 RTDC Observations" /stypes="*4012*20160730*" /stext=" 14:.+((SYSTEM_STATE.+slice.+state.+changed )|(ment ac)|(system.+state.+changed )|(\|lc)|(penalty)|(\[timeout)|(PRM\|1\|D))" /e /r /s</v>
      </c>
      <c r="AG40" s="1" t="str">
        <f t="shared" si="14"/>
        <v>EC</v>
      </c>
    </row>
    <row r="41" spans="1:33" s="1" customFormat="1" hidden="1" x14ac:dyDescent="0.25">
      <c r="A41" s="45" t="s">
        <v>458</v>
      </c>
      <c r="B41" s="7">
        <v>4018</v>
      </c>
      <c r="C41" s="25" t="s">
        <v>170</v>
      </c>
      <c r="D41" s="25" t="s">
        <v>459</v>
      </c>
      <c r="E41" s="16">
        <v>42581.298252314817</v>
      </c>
      <c r="F41" s="16">
        <v>42581.299398148149</v>
      </c>
      <c r="G41" s="7">
        <v>1</v>
      </c>
      <c r="H41" s="16" t="s">
        <v>171</v>
      </c>
      <c r="I41" s="16">
        <v>42581.32953703704</v>
      </c>
      <c r="J41" s="7">
        <v>1</v>
      </c>
      <c r="K41" s="123" t="str">
        <f t="shared" si="0"/>
        <v>4017/4018</v>
      </c>
      <c r="L41" s="25" t="str">
        <f>VLOOKUP(A41,'Trips&amp;Operators'!$C$1:$E$10000,3,FALSE)</f>
        <v>STRICKLAND</v>
      </c>
      <c r="M41" s="6">
        <f t="shared" si="1"/>
        <v>3.0138888891087845E-2</v>
      </c>
      <c r="N41" s="7">
        <f t="shared" si="2"/>
        <v>43.400000003166497</v>
      </c>
      <c r="O41" s="7"/>
      <c r="P41" s="7"/>
      <c r="Q41" s="26"/>
      <c r="R41" s="26"/>
      <c r="S41" s="41">
        <f t="shared" si="3"/>
        <v>1</v>
      </c>
      <c r="T41" s="59" t="str">
        <f t="shared" si="12"/>
        <v>NorthBound</v>
      </c>
      <c r="U41" s="84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06:09:29-0600',mode:absolute,to:'2016-07-30 08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41" s="64" t="str">
        <f t="shared" si="5"/>
        <v>N</v>
      </c>
      <c r="X41" s="126">
        <f t="shared" si="13"/>
        <v>1</v>
      </c>
      <c r="Y41" s="79">
        <f t="shared" si="6"/>
        <v>0.05</v>
      </c>
      <c r="Z41" s="79">
        <f t="shared" si="7"/>
        <v>23.3291</v>
      </c>
      <c r="AA41" s="79">
        <f t="shared" si="8"/>
        <v>23.2791</v>
      </c>
      <c r="AB41" s="76">
        <f>VLOOKUP(A41,Enforcements!$C$7:$J$24,8,0)</f>
        <v>232080</v>
      </c>
      <c r="AC41" s="72" t="str">
        <f>VLOOKUP(A41,Enforcements!$C$7:$E$24,3,0)</f>
        <v>PERMANENT SPEED RESTRICTION</v>
      </c>
      <c r="AD41" s="73" t="str">
        <f t="shared" si="9"/>
        <v>0129-30</v>
      </c>
      <c r="AE41" s="65" t="str">
        <f t="shared" si="10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41" s="65" t="str">
        <f t="shared" si="11"/>
        <v>"C:\Program Files (x86)\AstroGrep\AstroGrep.exe" /spath="C:\Users\stu\Documents\Analysis\2016-02-23 RTDC Observations" /stypes="*4018*20160730*" /stext=" 13:.+((SYSTEM_STATE.+slice.+state.+changed )|(ment ac)|(system.+state.+changed )|(\|lc)|(penalty)|(\[timeout)|(PRM\|1\|D))" /e /r /s</v>
      </c>
      <c r="AG41" s="1" t="str">
        <f t="shared" si="14"/>
        <v>EC</v>
      </c>
    </row>
    <row r="42" spans="1:33" s="1" customFormat="1" hidden="1" x14ac:dyDescent="0.25">
      <c r="A42" s="45" t="s">
        <v>460</v>
      </c>
      <c r="B42" s="7">
        <v>4017</v>
      </c>
      <c r="C42" s="25" t="s">
        <v>170</v>
      </c>
      <c r="D42" s="25" t="s">
        <v>273</v>
      </c>
      <c r="E42" s="16">
        <v>42581.331122685187</v>
      </c>
      <c r="F42" s="16">
        <v>42581.332129629627</v>
      </c>
      <c r="G42" s="7">
        <v>1</v>
      </c>
      <c r="H42" s="16" t="s">
        <v>58</v>
      </c>
      <c r="I42" s="16">
        <v>42581.369293981479</v>
      </c>
      <c r="J42" s="7">
        <v>0</v>
      </c>
      <c r="K42" s="123" t="str">
        <f t="shared" si="0"/>
        <v>4017/4018</v>
      </c>
      <c r="L42" s="25" t="str">
        <f>VLOOKUP(A42,'Trips&amp;Operators'!$C$1:$E$10000,3,FALSE)</f>
        <v>STRICKLAND</v>
      </c>
      <c r="M42" s="6">
        <f t="shared" si="1"/>
        <v>3.7164351851970423E-2</v>
      </c>
      <c r="N42" s="7">
        <f t="shared" si="2"/>
        <v>53.516666666837409</v>
      </c>
      <c r="O42" s="7"/>
      <c r="P42" s="7"/>
      <c r="Q42" s="26"/>
      <c r="R42" s="26"/>
      <c r="S42" s="41">
        <f t="shared" si="3"/>
        <v>1</v>
      </c>
      <c r="T42" s="59" t="str">
        <f t="shared" si="12"/>
        <v>Southbound</v>
      </c>
      <c r="U42" s="84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06:56:49-0600',mode:absolute,to:'2016-07-30 09:51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42" s="64" t="str">
        <f t="shared" si="5"/>
        <v>N</v>
      </c>
      <c r="X42" s="126">
        <f t="shared" si="13"/>
        <v>1</v>
      </c>
      <c r="Y42" s="79">
        <f t="shared" si="6"/>
        <v>23.296700000000001</v>
      </c>
      <c r="Z42" s="79">
        <f t="shared" si="7"/>
        <v>1.4500000000000001E-2</v>
      </c>
      <c r="AA42" s="79">
        <f t="shared" si="8"/>
        <v>23.2822</v>
      </c>
      <c r="AB42" s="76" t="e">
        <f>VLOOKUP(A42,Enforcements!$C$7:$J$24,8,0)</f>
        <v>#N/A</v>
      </c>
      <c r="AC42" s="72" t="e">
        <f>VLOOKUP(A42,Enforcements!$C$7:$E$24,3,0)</f>
        <v>#N/A</v>
      </c>
      <c r="AD42" s="73" t="str">
        <f t="shared" si="9"/>
        <v>0130-30</v>
      </c>
      <c r="AE42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42" s="65" t="str">
        <f t="shared" si="11"/>
        <v>"C:\Program Files (x86)\AstroGrep\AstroGrep.exe" /spath="C:\Users\stu\Documents\Analysis\2016-02-23 RTDC Observations" /stypes="*4017*20160730*" /stext=" 14:.+((SYSTEM_STATE.+slice.+state.+changed )|(ment ac)|(system.+state.+changed )|(\|lc)|(penalty)|(\[timeout)|(PRM\|1\|D))" /e /r /s</v>
      </c>
      <c r="AG42" s="1" t="str">
        <f t="shared" si="14"/>
        <v>EC</v>
      </c>
    </row>
    <row r="43" spans="1:33" s="1" customFormat="1" hidden="1" x14ac:dyDescent="0.25">
      <c r="A43" s="45" t="s">
        <v>461</v>
      </c>
      <c r="B43" s="7">
        <v>4027</v>
      </c>
      <c r="C43" s="25" t="s">
        <v>170</v>
      </c>
      <c r="D43" s="25" t="s">
        <v>64</v>
      </c>
      <c r="E43" s="16">
        <v>42581.310972222222</v>
      </c>
      <c r="F43" s="16">
        <v>42581.312094907407</v>
      </c>
      <c r="G43" s="7">
        <v>1</v>
      </c>
      <c r="H43" s="16" t="s">
        <v>151</v>
      </c>
      <c r="I43" s="16">
        <v>42581.338784722226</v>
      </c>
      <c r="J43" s="7">
        <v>1</v>
      </c>
      <c r="K43" s="123" t="str">
        <f t="shared" si="0"/>
        <v>4027/4028</v>
      </c>
      <c r="L43" s="25" t="str">
        <f>VLOOKUP(A43,'Trips&amp;Operators'!$C$1:$E$10000,3,FALSE)</f>
        <v>MALAVE</v>
      </c>
      <c r="M43" s="6">
        <f t="shared" si="1"/>
        <v>2.6689814818382729E-2</v>
      </c>
      <c r="N43" s="7">
        <f t="shared" si="2"/>
        <v>38.43333333847113</v>
      </c>
      <c r="O43" s="7"/>
      <c r="P43" s="7"/>
      <c r="Q43" s="26"/>
      <c r="R43" s="26"/>
      <c r="S43" s="41">
        <f t="shared" si="3"/>
        <v>1</v>
      </c>
      <c r="T43" s="59" t="str">
        <f t="shared" si="12"/>
        <v>NorthBound</v>
      </c>
      <c r="U43" s="84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06:27:48-0600',mode:absolute,to:'2016-07-30 09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3" s="64" t="str">
        <f t="shared" si="5"/>
        <v>N</v>
      </c>
      <c r="X43" s="126">
        <f t="shared" si="13"/>
        <v>1</v>
      </c>
      <c r="Y43" s="79">
        <f t="shared" si="6"/>
        <v>4.5999999999999999E-2</v>
      </c>
      <c r="Z43" s="79">
        <f t="shared" si="7"/>
        <v>23.3293</v>
      </c>
      <c r="AA43" s="79">
        <f t="shared" si="8"/>
        <v>23.283300000000001</v>
      </c>
      <c r="AB43" s="76" t="e">
        <f>VLOOKUP(A43,Enforcements!$C$7:$J$24,8,0)</f>
        <v>#N/A</v>
      </c>
      <c r="AC43" s="72" t="e">
        <f>VLOOKUP(A43,Enforcements!$C$7:$E$24,3,0)</f>
        <v>#N/A</v>
      </c>
      <c r="AD43" s="73" t="str">
        <f t="shared" si="9"/>
        <v>0131-30</v>
      </c>
      <c r="AE43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43" s="65" t="str">
        <f t="shared" si="11"/>
        <v>"C:\Program Files (x86)\AstroGrep\AstroGrep.exe" /spath="C:\Users\stu\Documents\Analysis\2016-02-23 RTDC Observations" /stypes="*4027*20160730*" /stext=" 14:.+((SYSTEM_STATE.+slice.+state.+changed )|(ment ac)|(system.+state.+changed )|(\|lc)|(penalty)|(\[timeout)|(PRM\|1\|D))" /e /r /s</v>
      </c>
      <c r="AG43" s="1" t="str">
        <f t="shared" si="14"/>
        <v>EC</v>
      </c>
    </row>
    <row r="44" spans="1:33" s="1" customFormat="1" hidden="1" x14ac:dyDescent="0.25">
      <c r="A44" s="45" t="s">
        <v>738</v>
      </c>
      <c r="B44" s="7">
        <v>4028</v>
      </c>
      <c r="C44" s="25" t="s">
        <v>170</v>
      </c>
      <c r="D44" s="25" t="s">
        <v>834</v>
      </c>
      <c r="E44" s="16">
        <v>42581.349745370368</v>
      </c>
      <c r="F44" s="16">
        <v>42581.351631944446</v>
      </c>
      <c r="G44" s="7">
        <v>2</v>
      </c>
      <c r="H44" s="16" t="s">
        <v>360</v>
      </c>
      <c r="I44" s="16">
        <v>42581.379560185182</v>
      </c>
      <c r="J44" s="7">
        <v>1</v>
      </c>
      <c r="K44" s="123" t="str">
        <f t="shared" si="0"/>
        <v>4027/4028</v>
      </c>
      <c r="L44" s="25" t="str">
        <f>VLOOKUP(A44,'Trips&amp;Operators'!$C$1:$E$10000,3,FALSE)</f>
        <v>MALAVE</v>
      </c>
      <c r="M44" s="6">
        <f t="shared" si="1"/>
        <v>2.7928240735491272E-2</v>
      </c>
      <c r="N44" s="7">
        <f t="shared" si="2"/>
        <v>40.216666659107432</v>
      </c>
      <c r="O44" s="7"/>
      <c r="P44" s="7"/>
      <c r="Q44" s="26"/>
      <c r="R44" s="26"/>
      <c r="S44" s="41">
        <f t="shared" si="3"/>
        <v>1</v>
      </c>
      <c r="T44" s="59" t="str">
        <f t="shared" si="12"/>
        <v>Southbound</v>
      </c>
      <c r="U44" s="84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07:23:38-0600',mode:absolute,to:'2016-07-30 10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4" s="64" t="str">
        <f t="shared" si="5"/>
        <v>N</v>
      </c>
      <c r="X44" s="126">
        <f t="shared" si="13"/>
        <v>1</v>
      </c>
      <c r="Y44" s="79">
        <f t="shared" si="6"/>
        <v>23.296800000000001</v>
      </c>
      <c r="Z44" s="79">
        <f t="shared" si="7"/>
        <v>1.61E-2</v>
      </c>
      <c r="AA44" s="79">
        <f t="shared" si="8"/>
        <v>23.2807</v>
      </c>
      <c r="AB44" s="76">
        <f>VLOOKUP(A44,Enforcements!$C$7:$J$24,8,0)</f>
        <v>42961</v>
      </c>
      <c r="AC44" s="72" t="str">
        <f>VLOOKUP(A44,Enforcements!$C$7:$E$24,3,0)</f>
        <v>GRADE CROSSING</v>
      </c>
      <c r="AD44" s="73" t="str">
        <f t="shared" si="9"/>
        <v>0132-30</v>
      </c>
      <c r="AE44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44" s="65" t="str">
        <f t="shared" si="11"/>
        <v>"C:\Program Files (x86)\AstroGrep\AstroGrep.exe" /spath="C:\Users\stu\Documents\Analysis\2016-02-23 RTDC Observations" /stypes="*4028*20160730*" /stext=" 15:.+((SYSTEM_STATE.+slice.+state.+changed )|(ment ac)|(system.+state.+changed )|(\|lc)|(penalty)|(\[timeout)|(PRM\|1\|D))" /e /r /s</v>
      </c>
      <c r="AG44" s="1" t="str">
        <f t="shared" si="14"/>
        <v>EC</v>
      </c>
    </row>
    <row r="45" spans="1:33" s="1" customFormat="1" hidden="1" x14ac:dyDescent="0.25">
      <c r="A45" s="45" t="s">
        <v>462</v>
      </c>
      <c r="B45" s="7">
        <v>4031</v>
      </c>
      <c r="C45" s="25" t="s">
        <v>170</v>
      </c>
      <c r="D45" s="25" t="s">
        <v>324</v>
      </c>
      <c r="E45" s="16">
        <v>42581.317766203705</v>
      </c>
      <c r="F45" s="16">
        <v>42581.319143518522</v>
      </c>
      <c r="G45" s="7">
        <v>1</v>
      </c>
      <c r="H45" s="16" t="s">
        <v>155</v>
      </c>
      <c r="I45" s="16">
        <v>42581.347731481481</v>
      </c>
      <c r="J45" s="7">
        <v>0</v>
      </c>
      <c r="K45" s="123" t="str">
        <f t="shared" si="0"/>
        <v>4031/4032</v>
      </c>
      <c r="L45" s="25" t="str">
        <f>VLOOKUP(A45,'Trips&amp;Operators'!$C$1:$E$10000,3,FALSE)</f>
        <v>ACKERMAN</v>
      </c>
      <c r="M45" s="6">
        <f t="shared" si="1"/>
        <v>2.8587962959136348E-2</v>
      </c>
      <c r="N45" s="7">
        <f t="shared" si="2"/>
        <v>41.166666661156341</v>
      </c>
      <c r="O45" s="7"/>
      <c r="P45" s="7"/>
      <c r="Q45" s="26"/>
      <c r="R45" s="26"/>
      <c r="S45" s="41">
        <f t="shared" si="3"/>
        <v>1</v>
      </c>
      <c r="T45" s="59" t="str">
        <f t="shared" si="12"/>
        <v>NorthBound</v>
      </c>
      <c r="U45" s="84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06:37:35-0600',mode:absolute,to:'2016-07-30 09:20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45" s="64" t="str">
        <f t="shared" si="5"/>
        <v>N</v>
      </c>
      <c r="X45" s="126">
        <f t="shared" si="13"/>
        <v>1</v>
      </c>
      <c r="Y45" s="79">
        <f t="shared" si="6"/>
        <v>4.5100000000000001E-2</v>
      </c>
      <c r="Z45" s="79">
        <f t="shared" si="7"/>
        <v>23.330300000000001</v>
      </c>
      <c r="AA45" s="79">
        <f t="shared" si="8"/>
        <v>23.2852</v>
      </c>
      <c r="AB45" s="76" t="e">
        <f>VLOOKUP(A45,Enforcements!$C$7:$J$24,8,0)</f>
        <v>#N/A</v>
      </c>
      <c r="AC45" s="72" t="e">
        <f>VLOOKUP(A45,Enforcements!$C$7:$E$24,3,0)</f>
        <v>#N/A</v>
      </c>
      <c r="AD45" s="73" t="str">
        <f t="shared" si="9"/>
        <v>0133-30</v>
      </c>
      <c r="AE45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45" s="65" t="str">
        <f t="shared" si="11"/>
        <v>"C:\Program Files (x86)\AstroGrep\AstroGrep.exe" /spath="C:\Users\stu\Documents\Analysis\2016-02-23 RTDC Observations" /stypes="*4031*20160730*" /stext=" 14:.+((SYSTEM_STATE.+slice.+state.+changed )|(ment ac)|(system.+state.+changed )|(\|lc)|(penalty)|(\[timeout)|(PRM\|1\|D))" /e /r /s</v>
      </c>
      <c r="AG45" s="1" t="str">
        <f t="shared" si="14"/>
        <v>EC</v>
      </c>
    </row>
    <row r="46" spans="1:33" s="1" customFormat="1" hidden="1" x14ac:dyDescent="0.25">
      <c r="A46" s="45" t="s">
        <v>817</v>
      </c>
      <c r="B46" s="7">
        <v>4032</v>
      </c>
      <c r="C46" s="25" t="s">
        <v>170</v>
      </c>
      <c r="D46" s="25" t="s">
        <v>835</v>
      </c>
      <c r="E46" s="16">
        <v>42581.354502314818</v>
      </c>
      <c r="F46" s="16">
        <v>42581.356030092589</v>
      </c>
      <c r="G46" s="7">
        <v>2</v>
      </c>
      <c r="H46" s="16" t="s">
        <v>836</v>
      </c>
      <c r="I46" s="16">
        <v>42581.388668981483</v>
      </c>
      <c r="J46" s="7">
        <v>1</v>
      </c>
      <c r="K46" s="123" t="str">
        <f t="shared" si="0"/>
        <v>4031/4032</v>
      </c>
      <c r="L46" s="25" t="str">
        <f>VLOOKUP(A46,'Trips&amp;Operators'!$C$1:$E$10000,3,FALSE)</f>
        <v>ACKERMAN</v>
      </c>
      <c r="M46" s="6">
        <f t="shared" si="1"/>
        <v>3.2638888893416151E-2</v>
      </c>
      <c r="N46" s="7">
        <f t="shared" si="2"/>
        <v>47.000000006519258</v>
      </c>
      <c r="O46" s="7"/>
      <c r="P46" s="7"/>
      <c r="Q46" s="26"/>
      <c r="R46" s="26"/>
      <c r="S46" s="41">
        <f t="shared" si="3"/>
        <v>1</v>
      </c>
      <c r="T46" s="59" t="str">
        <f t="shared" si="12"/>
        <v>Southbound</v>
      </c>
      <c r="U46" s="84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07:30:29-0600',mode:absolute,to:'2016-07-30 10:19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46" s="64" t="str">
        <f t="shared" si="5"/>
        <v>N</v>
      </c>
      <c r="X46" s="126">
        <f t="shared" si="13"/>
        <v>1</v>
      </c>
      <c r="Y46" s="79">
        <f t="shared" si="6"/>
        <v>23.299399999999999</v>
      </c>
      <c r="Z46" s="79">
        <f t="shared" si="7"/>
        <v>1.67E-2</v>
      </c>
      <c r="AA46" s="79">
        <f t="shared" si="8"/>
        <v>23.282699999999998</v>
      </c>
      <c r="AB46" s="76">
        <f>VLOOKUP(A46,Enforcements!$C$7:$J$24,8,0)</f>
        <v>1</v>
      </c>
      <c r="AC46" s="72" t="str">
        <f>VLOOKUP(A46,Enforcements!$C$7:$E$24,3,0)</f>
        <v>TRACK WARRANT AUTHORITY</v>
      </c>
      <c r="AD46" s="73" t="str">
        <f t="shared" si="9"/>
        <v>0134-30</v>
      </c>
      <c r="AE46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46" s="65" t="str">
        <f t="shared" si="11"/>
        <v>"C:\Program Files (x86)\AstroGrep\AstroGrep.exe" /spath="C:\Users\stu\Documents\Analysis\2016-02-23 RTDC Observations" /stypes="*4032*20160730*" /stext=" 15:.+((SYSTEM_STATE.+slice.+state.+changed )|(ment ac)|(system.+state.+changed )|(\|lc)|(penalty)|(\[timeout)|(PRM\|1\|D))" /e /r /s</v>
      </c>
      <c r="AG46" s="1" t="str">
        <f t="shared" si="14"/>
        <v>EC</v>
      </c>
    </row>
    <row r="47" spans="1:33" s="1" customFormat="1" hidden="1" x14ac:dyDescent="0.25">
      <c r="A47" s="45" t="s">
        <v>463</v>
      </c>
      <c r="B47" s="7">
        <v>4007</v>
      </c>
      <c r="C47" s="25" t="s">
        <v>170</v>
      </c>
      <c r="D47" s="25" t="s">
        <v>319</v>
      </c>
      <c r="E47" s="16">
        <v>42581.331006944441</v>
      </c>
      <c r="F47" s="16">
        <v>42581.331944444442</v>
      </c>
      <c r="G47" s="7">
        <v>1</v>
      </c>
      <c r="H47" s="16" t="s">
        <v>160</v>
      </c>
      <c r="I47" s="16">
        <v>42581.358495370368</v>
      </c>
      <c r="J47" s="7">
        <v>1</v>
      </c>
      <c r="K47" s="123" t="str">
        <f t="shared" si="0"/>
        <v>4007/4008</v>
      </c>
      <c r="L47" s="25" t="str">
        <f>VLOOKUP(A47,'Trips&amp;Operators'!$C$1:$E$10000,3,FALSE)</f>
        <v>SANTIZO</v>
      </c>
      <c r="M47" s="6">
        <f t="shared" si="1"/>
        <v>2.6550925926130731E-2</v>
      </c>
      <c r="N47" s="7">
        <f t="shared" si="2"/>
        <v>38.233333333628252</v>
      </c>
      <c r="O47" s="7"/>
      <c r="P47" s="7"/>
      <c r="Q47" s="26"/>
      <c r="R47" s="26"/>
      <c r="S47" s="41">
        <f t="shared" si="3"/>
        <v>1</v>
      </c>
      <c r="T47" s="59" t="str">
        <f t="shared" si="12"/>
        <v>NorthBound</v>
      </c>
      <c r="U47" s="84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06:56:39-0600',mode:absolute,to:'2016-07-30 09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47" s="64" t="str">
        <f t="shared" si="5"/>
        <v>N</v>
      </c>
      <c r="X47" s="126">
        <f t="shared" si="13"/>
        <v>1</v>
      </c>
      <c r="Y47" s="79">
        <f t="shared" si="6"/>
        <v>7.3499999999999996E-2</v>
      </c>
      <c r="Z47" s="79">
        <f t="shared" si="7"/>
        <v>23.3308</v>
      </c>
      <c r="AA47" s="79">
        <f t="shared" si="8"/>
        <v>23.257300000000001</v>
      </c>
      <c r="AB47" s="76" t="e">
        <f>VLOOKUP(A47,Enforcements!$C$7:$J$24,8,0)</f>
        <v>#N/A</v>
      </c>
      <c r="AC47" s="72" t="e">
        <f>VLOOKUP(A47,Enforcements!$C$7:$E$24,3,0)</f>
        <v>#N/A</v>
      </c>
      <c r="AD47" s="73" t="str">
        <f t="shared" si="9"/>
        <v>0135-30</v>
      </c>
      <c r="AE47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47" s="65" t="str">
        <f t="shared" si="11"/>
        <v>"C:\Program Files (x86)\AstroGrep\AstroGrep.exe" /spath="C:\Users\stu\Documents\Analysis\2016-02-23 RTDC Observations" /stypes="*4007*20160730*" /stext=" 14:.+((SYSTEM_STATE.+slice.+state.+changed )|(ment ac)|(system.+state.+changed )|(\|lc)|(penalty)|(\[timeout)|(PRM\|1\|D))" /e /r /s</v>
      </c>
      <c r="AG47" s="1" t="str">
        <f t="shared" si="14"/>
        <v>EC</v>
      </c>
    </row>
    <row r="48" spans="1:33" s="1" customFormat="1" hidden="1" x14ac:dyDescent="0.25">
      <c r="A48" s="45" t="s">
        <v>781</v>
      </c>
      <c r="B48" s="7">
        <v>4043</v>
      </c>
      <c r="C48" s="25" t="s">
        <v>170</v>
      </c>
      <c r="D48" s="25" t="s">
        <v>837</v>
      </c>
      <c r="E48" s="16">
        <v>42581.360625000001</v>
      </c>
      <c r="F48" s="16">
        <v>42581.36142361111</v>
      </c>
      <c r="G48" s="7">
        <v>1</v>
      </c>
      <c r="H48" s="16" t="s">
        <v>450</v>
      </c>
      <c r="I48" s="16">
        <v>42581.398634259262</v>
      </c>
      <c r="J48" s="7">
        <v>0</v>
      </c>
      <c r="K48" s="123" t="str">
        <f t="shared" si="0"/>
        <v>4043/4044</v>
      </c>
      <c r="L48" s="25" t="str">
        <f>VLOOKUP(A48,'Trips&amp;Operators'!$C$1:$E$10000,3,FALSE)</f>
        <v>SANTIZO</v>
      </c>
      <c r="M48" s="6">
        <f t="shared" si="1"/>
        <v>3.7210648151813075E-2</v>
      </c>
      <c r="N48" s="7">
        <f t="shared" si="2"/>
        <v>53.583333338610828</v>
      </c>
      <c r="O48" s="7"/>
      <c r="P48" s="7"/>
      <c r="Q48" s="26"/>
      <c r="R48" s="26"/>
      <c r="S48" s="41">
        <f t="shared" si="3"/>
        <v>1</v>
      </c>
      <c r="T48" s="59" t="str">
        <f t="shared" si="12"/>
        <v>Southbound</v>
      </c>
      <c r="U48" s="84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07:39:18-0600',mode:absolute,to:'2016-07-30 10:34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48" s="64" t="str">
        <f t="shared" si="5"/>
        <v>N</v>
      </c>
      <c r="X48" s="126">
        <f t="shared" si="13"/>
        <v>1</v>
      </c>
      <c r="Y48" s="79">
        <f t="shared" si="6"/>
        <v>23.268699999999999</v>
      </c>
      <c r="Z48" s="79">
        <f t="shared" si="7"/>
        <v>1.1599999999999999E-2</v>
      </c>
      <c r="AA48" s="79">
        <f t="shared" si="8"/>
        <v>23.257099999999998</v>
      </c>
      <c r="AB48" s="76" t="e">
        <f>VLOOKUP(A48,Enforcements!$C$7:$J$24,8,0)</f>
        <v>#N/A</v>
      </c>
      <c r="AC48" s="72" t="e">
        <f>VLOOKUP(A48,Enforcements!$C$7:$E$24,3,0)</f>
        <v>#N/A</v>
      </c>
      <c r="AD48" s="73" t="str">
        <f t="shared" si="9"/>
        <v>0136-30</v>
      </c>
      <c r="AE48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48" s="65" t="str">
        <f t="shared" si="11"/>
        <v>"C:\Program Files (x86)\AstroGrep\AstroGrep.exe" /spath="C:\Users\stu\Documents\Analysis\2016-02-23 RTDC Observations" /stypes="*4043*20160730*" /stext=" 15:.+((SYSTEM_STATE.+slice.+state.+changed )|(ment ac)|(system.+state.+changed )|(\|lc)|(penalty)|(\[timeout)|(PRM\|1\|D))" /e /r /s</v>
      </c>
      <c r="AG48" s="1" t="str">
        <f t="shared" si="14"/>
        <v>EC</v>
      </c>
    </row>
    <row r="49" spans="1:33" s="1" customFormat="1" hidden="1" x14ac:dyDescent="0.25">
      <c r="A49" s="45" t="s">
        <v>464</v>
      </c>
      <c r="B49" s="7">
        <v>4016</v>
      </c>
      <c r="C49" s="25" t="s">
        <v>170</v>
      </c>
      <c r="D49" s="25" t="s">
        <v>324</v>
      </c>
      <c r="E49" s="16">
        <v>42581.338402777779</v>
      </c>
      <c r="F49" s="16">
        <v>42581.339930555558</v>
      </c>
      <c r="G49" s="7">
        <v>2</v>
      </c>
      <c r="H49" s="16" t="s">
        <v>171</v>
      </c>
      <c r="I49" s="16">
        <v>42581.369085648148</v>
      </c>
      <c r="J49" s="7">
        <v>0</v>
      </c>
      <c r="K49" s="123" t="str">
        <f t="shared" si="0"/>
        <v>4015/4016</v>
      </c>
      <c r="L49" s="25" t="str">
        <f>VLOOKUP(A49,'Trips&amp;Operators'!$C$1:$E$10000,3,FALSE)</f>
        <v>NELSON</v>
      </c>
      <c r="M49" s="6">
        <f t="shared" si="1"/>
        <v>2.9155092590372078E-2</v>
      </c>
      <c r="N49" s="7">
        <f t="shared" si="2"/>
        <v>41.983333330135792</v>
      </c>
      <c r="O49" s="7"/>
      <c r="P49" s="7"/>
      <c r="Q49" s="26"/>
      <c r="R49" s="26"/>
      <c r="S49" s="41">
        <f t="shared" si="3"/>
        <v>1</v>
      </c>
      <c r="T49" s="59" t="str">
        <f t="shared" si="12"/>
        <v>NorthBound</v>
      </c>
      <c r="U49" s="84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07:07:18-0600',mode:absolute,to:'2016-07-30 09:51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9" s="64" t="str">
        <f t="shared" si="5"/>
        <v>N</v>
      </c>
      <c r="X49" s="126">
        <f t="shared" si="13"/>
        <v>1</v>
      </c>
      <c r="Y49" s="79">
        <f t="shared" si="6"/>
        <v>4.5100000000000001E-2</v>
      </c>
      <c r="Z49" s="79">
        <f t="shared" si="7"/>
        <v>23.3291</v>
      </c>
      <c r="AA49" s="79">
        <f t="shared" si="8"/>
        <v>23.283999999999999</v>
      </c>
      <c r="AB49" s="76" t="e">
        <f>VLOOKUP(A49,Enforcements!$C$7:$J$24,8,0)</f>
        <v>#N/A</v>
      </c>
      <c r="AC49" s="72" t="e">
        <f>VLOOKUP(A49,Enforcements!$C$7:$E$24,3,0)</f>
        <v>#N/A</v>
      </c>
      <c r="AD49" s="73" t="str">
        <f t="shared" si="9"/>
        <v>0137-30</v>
      </c>
      <c r="AE49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49" s="65" t="str">
        <f t="shared" si="11"/>
        <v>"C:\Program Files (x86)\AstroGrep\AstroGrep.exe" /spath="C:\Users\stu\Documents\Analysis\2016-02-23 RTDC Observations" /stypes="*4016*20160730*" /stext=" 14:.+((SYSTEM_STATE.+slice.+state.+changed )|(ment ac)|(system.+state.+changed )|(\|lc)|(penalty)|(\[timeout)|(PRM\|1\|D))" /e /r /s</v>
      </c>
      <c r="AG49" s="1" t="str">
        <f t="shared" si="14"/>
        <v>EC</v>
      </c>
    </row>
    <row r="50" spans="1:33" s="1" customFormat="1" hidden="1" x14ac:dyDescent="0.25">
      <c r="A50" s="45" t="s">
        <v>731</v>
      </c>
      <c r="B50" s="7">
        <v>4015</v>
      </c>
      <c r="C50" s="25" t="s">
        <v>170</v>
      </c>
      <c r="D50" s="25" t="s">
        <v>838</v>
      </c>
      <c r="E50" s="16">
        <v>42581.378865740742</v>
      </c>
      <c r="F50" s="16">
        <v>42581.38013888889</v>
      </c>
      <c r="G50" s="7">
        <v>1</v>
      </c>
      <c r="H50" s="16" t="s">
        <v>58</v>
      </c>
      <c r="I50" s="16">
        <v>42581.410312499997</v>
      </c>
      <c r="J50" s="7">
        <v>0</v>
      </c>
      <c r="K50" s="123" t="str">
        <f t="shared" si="0"/>
        <v>4015/4016</v>
      </c>
      <c r="L50" s="25" t="str">
        <f>VLOOKUP(A50,'Trips&amp;Operators'!$C$1:$E$10000,3,FALSE)</f>
        <v>NELSON</v>
      </c>
      <c r="M50" s="6">
        <f t="shared" si="1"/>
        <v>3.0173611106874887E-2</v>
      </c>
      <c r="N50" s="7">
        <f t="shared" si="2"/>
        <v>43.449999993899837</v>
      </c>
      <c r="O50" s="7"/>
      <c r="P50" s="7"/>
      <c r="Q50" s="26"/>
      <c r="R50" s="26"/>
      <c r="S50" s="41">
        <f t="shared" si="3"/>
        <v>1</v>
      </c>
      <c r="T50" s="59" t="str">
        <f t="shared" si="12"/>
        <v>Southbound</v>
      </c>
      <c r="U50" s="84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08:05:34-0600',mode:absolute,to:'2016-07-30 10:50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50" s="64" t="str">
        <f t="shared" si="5"/>
        <v>N</v>
      </c>
      <c r="X50" s="126">
        <f t="shared" si="13"/>
        <v>1</v>
      </c>
      <c r="Y50" s="79">
        <f t="shared" si="6"/>
        <v>23.2986</v>
      </c>
      <c r="Z50" s="79">
        <f t="shared" si="7"/>
        <v>1.4500000000000001E-2</v>
      </c>
      <c r="AA50" s="79">
        <f t="shared" si="8"/>
        <v>23.284099999999999</v>
      </c>
      <c r="AB50" s="76" t="e">
        <f>VLOOKUP(A50,Enforcements!$C$7:$J$24,8,0)</f>
        <v>#N/A</v>
      </c>
      <c r="AC50" s="72" t="e">
        <f>VLOOKUP(A50,Enforcements!$C$7:$E$24,3,0)</f>
        <v>#N/A</v>
      </c>
      <c r="AD50" s="73" t="str">
        <f t="shared" si="9"/>
        <v>0138-30</v>
      </c>
      <c r="AE50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50" s="65" t="str">
        <f t="shared" si="11"/>
        <v>"C:\Program Files (x86)\AstroGrep\AstroGrep.exe" /spath="C:\Users\stu\Documents\Analysis\2016-02-23 RTDC Observations" /stypes="*4015*20160730*" /stext=" 15:.+((SYSTEM_STATE.+slice.+state.+changed )|(ment ac)|(system.+state.+changed )|(\|lc)|(penalty)|(\[timeout)|(PRM\|1\|D))" /e /r /s</v>
      </c>
      <c r="AG50" s="1" t="str">
        <f t="shared" si="14"/>
        <v>EC</v>
      </c>
    </row>
    <row r="51" spans="1:33" s="1" customFormat="1" hidden="1" x14ac:dyDescent="0.25">
      <c r="A51" s="45" t="s">
        <v>751</v>
      </c>
      <c r="B51" s="7">
        <v>4029</v>
      </c>
      <c r="C51" s="25" t="s">
        <v>170</v>
      </c>
      <c r="D51" s="25" t="s">
        <v>839</v>
      </c>
      <c r="E51" s="16">
        <v>42581.349872685183</v>
      </c>
      <c r="F51" s="16">
        <v>42581.354224537034</v>
      </c>
      <c r="G51" s="7">
        <v>6</v>
      </c>
      <c r="H51" s="16" t="s">
        <v>385</v>
      </c>
      <c r="I51" s="16">
        <v>42581.379745370374</v>
      </c>
      <c r="J51" s="7">
        <v>0</v>
      </c>
      <c r="K51" s="123" t="str">
        <f t="shared" si="0"/>
        <v>4029/4030</v>
      </c>
      <c r="L51" s="25" t="str">
        <f>VLOOKUP(A51,'Trips&amp;Operators'!$C$1:$E$10000,3,FALSE)</f>
        <v>GEBRETEKLE</v>
      </c>
      <c r="M51" s="6">
        <f t="shared" si="1"/>
        <v>2.5520833340124227E-2</v>
      </c>
      <c r="N51" s="7">
        <f t="shared" si="2"/>
        <v>36.750000009778887</v>
      </c>
      <c r="O51" s="7"/>
      <c r="P51" s="7"/>
      <c r="Q51" s="26"/>
      <c r="R51" s="26"/>
      <c r="S51" s="41">
        <f t="shared" si="3"/>
        <v>1</v>
      </c>
      <c r="T51" s="59" t="str">
        <f t="shared" si="12"/>
        <v>NorthBound</v>
      </c>
      <c r="U51" s="84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07:23:49-0600',mode:absolute,to:'2016-07-30 10:06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1" s="64" t="str">
        <f t="shared" si="5"/>
        <v>N</v>
      </c>
      <c r="X51" s="126">
        <f t="shared" si="13"/>
        <v>1</v>
      </c>
      <c r="Y51" s="79">
        <f t="shared" si="6"/>
        <v>4.3700000000000003E-2</v>
      </c>
      <c r="Z51" s="79">
        <f t="shared" si="7"/>
        <v>23.331199999999999</v>
      </c>
      <c r="AA51" s="79">
        <f t="shared" si="8"/>
        <v>23.287499999999998</v>
      </c>
      <c r="AB51" s="76" t="e">
        <f>VLOOKUP(A51,Enforcements!$C$7:$J$24,8,0)</f>
        <v>#N/A</v>
      </c>
      <c r="AC51" s="72" t="e">
        <f>VLOOKUP(A51,Enforcements!$C$7:$E$24,3,0)</f>
        <v>#N/A</v>
      </c>
      <c r="AD51" s="73" t="str">
        <f t="shared" si="9"/>
        <v>0139-30</v>
      </c>
      <c r="AE51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51" s="65" t="str">
        <f t="shared" si="11"/>
        <v>"C:\Program Files (x86)\AstroGrep\AstroGrep.exe" /spath="C:\Users\stu\Documents\Analysis\2016-02-23 RTDC Observations" /stypes="*4029*20160730*" /stext=" 15:.+((SYSTEM_STATE.+slice.+state.+changed )|(ment ac)|(system.+state.+changed )|(\|lc)|(penalty)|(\[timeout)|(PRM\|1\|D))" /e /r /s</v>
      </c>
      <c r="AG51" s="1" t="str">
        <f t="shared" si="14"/>
        <v>EC</v>
      </c>
    </row>
    <row r="52" spans="1:33" hidden="1" x14ac:dyDescent="0.25">
      <c r="A52" s="45" t="s">
        <v>780</v>
      </c>
      <c r="B52" s="7">
        <v>4030</v>
      </c>
      <c r="C52" s="25" t="s">
        <v>170</v>
      </c>
      <c r="D52" s="25" t="s">
        <v>196</v>
      </c>
      <c r="E52" s="16">
        <v>42581.388495370367</v>
      </c>
      <c r="F52" s="16">
        <v>42581.389432870368</v>
      </c>
      <c r="G52" s="7">
        <v>1</v>
      </c>
      <c r="H52" s="16" t="s">
        <v>149</v>
      </c>
      <c r="I52" s="16">
        <v>42581.423310185186</v>
      </c>
      <c r="J52" s="7">
        <v>0</v>
      </c>
      <c r="K52" s="123" t="str">
        <f t="shared" si="0"/>
        <v>4029/4030</v>
      </c>
      <c r="L52" s="25" t="str">
        <f>VLOOKUP(A52,'Trips&amp;Operators'!$C$1:$E$10000,3,FALSE)</f>
        <v>GEBRETEKLE</v>
      </c>
      <c r="M52" s="6">
        <f t="shared" si="1"/>
        <v>3.3877314817800652E-2</v>
      </c>
      <c r="N52" s="7">
        <f t="shared" si="2"/>
        <v>48.783333337632939</v>
      </c>
      <c r="O52" s="7"/>
      <c r="P52" s="7"/>
      <c r="Q52" s="26"/>
      <c r="R52" s="26"/>
      <c r="S52" s="41">
        <f t="shared" si="3"/>
        <v>1</v>
      </c>
      <c r="T52" s="59" t="str">
        <f t="shared" si="12"/>
        <v>Southbound</v>
      </c>
      <c r="U52" s="84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08:19:26-0600',mode:absolute,to:'2016-07-30 11:09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2" s="64" t="str">
        <f t="shared" si="5"/>
        <v>N</v>
      </c>
      <c r="X52" s="126">
        <f t="shared" si="13"/>
        <v>1</v>
      </c>
      <c r="Y52" s="79">
        <f t="shared" si="6"/>
        <v>23.3</v>
      </c>
      <c r="Z52" s="79">
        <f t="shared" si="7"/>
        <v>1.41E-2</v>
      </c>
      <c r="AA52" s="79">
        <f t="shared" si="8"/>
        <v>23.285900000000002</v>
      </c>
      <c r="AB52" s="76" t="e">
        <f>VLOOKUP(A52,Enforcements!$C$7:$J$24,8,0)</f>
        <v>#N/A</v>
      </c>
      <c r="AC52" s="72" t="e">
        <f>VLOOKUP(A52,Enforcements!$C$7:$E$24,3,0)</f>
        <v>#N/A</v>
      </c>
      <c r="AD52" s="73" t="str">
        <f t="shared" si="9"/>
        <v>0140-30</v>
      </c>
      <c r="AE52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52" s="65" t="str">
        <f t="shared" si="11"/>
        <v>"C:\Program Files (x86)\AstroGrep\AstroGrep.exe" /spath="C:\Users\stu\Documents\Analysis\2016-02-23 RTDC Observations" /stypes="*4030*20160730*" /stext=" 16:.+((SYSTEM_STATE.+slice.+state.+changed )|(ment ac)|(system.+state.+changed )|(\|lc)|(penalty)|(\[timeout)|(PRM\|1\|D))" /e /r /s</v>
      </c>
      <c r="AG52" s="1" t="str">
        <f t="shared" si="14"/>
        <v>EC</v>
      </c>
    </row>
    <row r="53" spans="1:33" hidden="1" x14ac:dyDescent="0.25">
      <c r="A53" s="45" t="s">
        <v>828</v>
      </c>
      <c r="B53" s="7">
        <v>4014</v>
      </c>
      <c r="C53" s="25" t="s">
        <v>170</v>
      </c>
      <c r="D53" s="25" t="s">
        <v>420</v>
      </c>
      <c r="E53" s="16">
        <v>42581.36136574074</v>
      </c>
      <c r="F53" s="16">
        <v>42581.362268518518</v>
      </c>
      <c r="G53" s="7">
        <v>1</v>
      </c>
      <c r="H53" s="16" t="s">
        <v>447</v>
      </c>
      <c r="I53" s="16">
        <v>42581.390497685185</v>
      </c>
      <c r="J53" s="7">
        <v>0</v>
      </c>
      <c r="K53" s="123" t="str">
        <f t="shared" si="0"/>
        <v>4013/4014</v>
      </c>
      <c r="L53" s="25" t="str">
        <f>VLOOKUP(A53,'Trips&amp;Operators'!$C$1:$E$10000,3,FALSE)</f>
        <v>MAELZER</v>
      </c>
      <c r="M53" s="6">
        <f t="shared" si="1"/>
        <v>2.8229166666278616E-2</v>
      </c>
      <c r="N53" s="7">
        <f t="shared" si="2"/>
        <v>40.649999999441206</v>
      </c>
      <c r="O53" s="7"/>
      <c r="P53" s="7"/>
      <c r="Q53" s="26"/>
      <c r="R53" s="26"/>
      <c r="S53" s="41">
        <f t="shared" si="3"/>
        <v>1</v>
      </c>
      <c r="T53" s="59" t="str">
        <f t="shared" si="12"/>
        <v>NorthBound</v>
      </c>
      <c r="U53" s="84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12</v>
      </c>
      <c r="V5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07:40:22-0600',mode:absolute,to:'2016-07-30 10:22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53" s="64" t="str">
        <f t="shared" si="5"/>
        <v>N</v>
      </c>
      <c r="X53" s="126">
        <f t="shared" si="13"/>
        <v>1</v>
      </c>
      <c r="Y53" s="79">
        <f t="shared" si="6"/>
        <v>7.6499999999999999E-2</v>
      </c>
      <c r="Z53" s="79">
        <f t="shared" si="7"/>
        <v>23.332799999999999</v>
      </c>
      <c r="AA53" s="79">
        <f t="shared" si="8"/>
        <v>23.2563</v>
      </c>
      <c r="AB53" s="76" t="e">
        <f>VLOOKUP(A53,Enforcements!$C$7:$J$24,8,0)</f>
        <v>#N/A</v>
      </c>
      <c r="AC53" s="72" t="e">
        <f>VLOOKUP(A53,Enforcements!$C$7:$E$24,3,0)</f>
        <v>#N/A</v>
      </c>
      <c r="AD53" s="73" t="str">
        <f t="shared" si="9"/>
        <v>0141-30</v>
      </c>
      <c r="AE53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53" s="65" t="str">
        <f t="shared" si="11"/>
        <v>"C:\Program Files (x86)\AstroGrep\AstroGrep.exe" /spath="C:\Users\stu\Documents\Analysis\2016-02-23 RTDC Observations" /stypes="*4014*20160730*" /stext=" 15:.+((SYSTEM_STATE.+slice.+state.+changed )|(ment ac)|(system.+state.+changed )|(\|lc)|(penalty)|(\[timeout)|(PRM\|1\|D))" /e /r /s</v>
      </c>
      <c r="AG53" s="1" t="str">
        <f t="shared" si="14"/>
        <v>EC</v>
      </c>
    </row>
    <row r="54" spans="1:33" s="1" customFormat="1" hidden="1" x14ac:dyDescent="0.25">
      <c r="A54" s="25" t="s">
        <v>820</v>
      </c>
      <c r="B54" s="96">
        <v>4012</v>
      </c>
      <c r="C54" s="97" t="s">
        <v>170</v>
      </c>
      <c r="D54" s="97" t="s">
        <v>840</v>
      </c>
      <c r="E54" s="98">
        <v>42581.3981712963</v>
      </c>
      <c r="F54" s="98">
        <v>42581.399224537039</v>
      </c>
      <c r="G54" s="96">
        <v>1</v>
      </c>
      <c r="H54" s="98" t="s">
        <v>346</v>
      </c>
      <c r="I54" s="98">
        <v>42581.434178240743</v>
      </c>
      <c r="J54" s="96">
        <v>0</v>
      </c>
      <c r="K54" s="123" t="str">
        <f t="shared" si="0"/>
        <v>4011/4012</v>
      </c>
      <c r="L54" s="25" t="str">
        <f>VLOOKUP(A54,'Trips&amp;Operators'!$C$1:$E$10000,3,FALSE)</f>
        <v>MAELZER</v>
      </c>
      <c r="M54" s="6">
        <f t="shared" si="1"/>
        <v>3.4953703703649808E-2</v>
      </c>
      <c r="N54" s="7">
        <f t="shared" si="2"/>
        <v>50.333333333255723</v>
      </c>
      <c r="O54" s="7"/>
      <c r="P54" s="7"/>
      <c r="Q54" s="26"/>
      <c r="R54" s="26"/>
      <c r="S54" s="41">
        <f t="shared" si="3"/>
        <v>1</v>
      </c>
      <c r="T54" s="59" t="str">
        <f t="shared" si="12"/>
        <v>Southbound</v>
      </c>
      <c r="U54" s="84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08:33:22-0600',mode:absolute,to:'2016-07-30 11:25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54" s="64" t="str">
        <f t="shared" si="5"/>
        <v>N</v>
      </c>
      <c r="X54" s="126">
        <f t="shared" si="13"/>
        <v>1</v>
      </c>
      <c r="Y54" s="79">
        <f t="shared" si="6"/>
        <v>23.268899999999999</v>
      </c>
      <c r="Z54" s="79">
        <f t="shared" si="7"/>
        <v>1.0699999999999999E-2</v>
      </c>
      <c r="AA54" s="79">
        <f t="shared" si="8"/>
        <v>23.258199999999999</v>
      </c>
      <c r="AB54" s="76" t="e">
        <f>VLOOKUP(A54,Enforcements!$C$7:$J$24,8,0)</f>
        <v>#N/A</v>
      </c>
      <c r="AC54" s="72" t="e">
        <f>VLOOKUP(A54,Enforcements!$C$7:$E$24,3,0)</f>
        <v>#N/A</v>
      </c>
      <c r="AD54" s="73" t="str">
        <f t="shared" si="9"/>
        <v>0142-30</v>
      </c>
      <c r="AE54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54" s="65" t="str">
        <f t="shared" si="11"/>
        <v>"C:\Program Files (x86)\AstroGrep\AstroGrep.exe" /spath="C:\Users\stu\Documents\Analysis\2016-02-23 RTDC Observations" /stypes="*4012*20160730*" /stext=" 16:.+((SYSTEM_STATE.+slice.+state.+changed )|(ment ac)|(system.+state.+changed )|(\|lc)|(penalty)|(\[timeout)|(PRM\|1\|D))" /e /r /s</v>
      </c>
      <c r="AG54" s="1" t="str">
        <f t="shared" si="14"/>
        <v>EC</v>
      </c>
    </row>
    <row r="55" spans="1:33" s="1" customFormat="1" x14ac:dyDescent="0.25">
      <c r="A55" s="25" t="s">
        <v>934</v>
      </c>
      <c r="B55" s="96">
        <v>4018</v>
      </c>
      <c r="C55" s="97" t="s">
        <v>170</v>
      </c>
      <c r="D55" s="97" t="s">
        <v>840</v>
      </c>
      <c r="E55" s="98">
        <v>42581.3981712963</v>
      </c>
      <c r="F55" s="98">
        <v>42581.399224537039</v>
      </c>
      <c r="G55" s="96">
        <v>1</v>
      </c>
      <c r="H55" s="98" t="s">
        <v>346</v>
      </c>
      <c r="I55" s="98">
        <v>42581.434178240743</v>
      </c>
      <c r="J55" s="127" t="s">
        <v>935</v>
      </c>
      <c r="K55" s="123" t="str">
        <f t="shared" si="0"/>
        <v>4017/4018</v>
      </c>
      <c r="L55" s="25" t="e">
        <f>VLOOKUP(A55,'Trips&amp;Operators'!$C$1:$E$10000,3,FALSE)</f>
        <v>#N/A</v>
      </c>
      <c r="M55" s="127" t="s">
        <v>935</v>
      </c>
      <c r="N55" s="7"/>
      <c r="O55" s="7"/>
      <c r="P55" s="7">
        <v>1</v>
      </c>
      <c r="Q55" s="26"/>
      <c r="R55" s="26" t="s">
        <v>939</v>
      </c>
      <c r="S55" s="41">
        <f t="shared" ref="S55" si="15">SUM(U55:U55)/IF(AG55="EC",12,1)</f>
        <v>0</v>
      </c>
      <c r="T55" s="59" t="str">
        <f t="shared" ref="T55" si="16">IF(ISEVEN(LEFT(AD55,4)),"Southbound","NorthBound")</f>
        <v>NorthBound</v>
      </c>
      <c r="U55" s="84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0</v>
      </c>
      <c r="V55" s="64" t="str">
        <f t="shared" ref="V55:V58" si="17">"https://search-rtdc-monitor-bjffxe2xuh6vdkpspy63sjmuny.us-east-1.es.amazonaws.com/_plugin/kibana/#/discover/Steve-Slow-Train-Analysis-(2080s-and-2083s)?_g=(refreshInterval:(display:Off,section:0,value:0),time:(from:'"&amp;TEXT(E55-1/24,"yyyy-MM-DD hh:mm:ss")&amp;"-0600',mode:absolute,to:'"&amp;TEXT(I55+1/24,"yyyy-MM-DD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55&amp;"%22')),sort:!(Time,asc))"</f>
        <v>https://search-rtdc-monitor-bjffxe2xuh6vdkpspy63sjmuny.us-east-1.es.amazonaws.com/_plugin/kibana/#/discover/Steve-Slow-Train-Analysis-(2080s-and-2083s)?_g=(refreshInterval:(display:Off,section:0,value:0),time:(from:'2016-07-30 08:33:22-0600',mode:absolute,to:'2016-07-30 11:25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55" s="64" t="str">
        <f t="shared" ref="W55:W58" si="18">IF(AA55&lt;IF(AG55="EC",23,5.65),"Y","N")</f>
        <v>N</v>
      </c>
      <c r="X55" s="126">
        <f t="shared" ref="X55" si="19">VALUE(LEFT(AD55,4))-VALUE(LEFT(AD54,4))</f>
        <v>1</v>
      </c>
      <c r="Y55" s="79">
        <f t="shared" ref="Y55" si="20">RIGHT(D55,LEN(D55)-4)/10000</f>
        <v>23.268899999999999</v>
      </c>
      <c r="Z55" s="79">
        <f t="shared" ref="Z55:Z58" si="21">RIGHT(H55,LEN(H55)-4)/10000</f>
        <v>1.0699999999999999E-2</v>
      </c>
      <c r="AA55" s="79">
        <f t="shared" ref="AA55:AA58" si="22">ABS(Z55-Y55)</f>
        <v>23.258199999999999</v>
      </c>
      <c r="AB55" s="76" t="e">
        <f>VLOOKUP(A55,Enforcements!$C$7:$J$24,8,0)</f>
        <v>#N/A</v>
      </c>
      <c r="AC55" s="72" t="e">
        <f>VLOOKUP(A55,Enforcements!$C$7:$E$24,3,0)</f>
        <v>#N/A</v>
      </c>
      <c r="AD55" s="73" t="str">
        <f t="shared" ref="AD55" si="23">IF(LEN(A55)=6,"0"&amp;A55,A55)</f>
        <v>0143-30</v>
      </c>
      <c r="AE55" s="65" t="str">
        <f t="shared" ref="AE55" si="24">"aws s3 cp "&amp;s3_bucket&amp;"/RTDC"&amp;B55&amp;"/"&amp;TEXT(F55,"YYYY-MM-DD")&amp;"/ "&amp;search_path&amp;"\RTDC"&amp;B55&amp;"\"&amp;TEXT(F55,"YYYY-MM-DD")&amp;" --recursive &amp; """&amp;walkandungz&amp;""" "&amp;search_path&amp;"\RTDC"&amp;B55&amp;"\"&amp;TEXT(F55,"YYYY-MM-DD")
&amp;" &amp; "&amp;"aws s3 cp "&amp;s3_bucket&amp;"/RTDC"&amp;B55&amp;"/"&amp;TEXT(F55+1,"YYYY-MM-DD")&amp;"/ "&amp;search_path&amp;"\RTDC"&amp;B55&amp;"\"&amp;TEXT(F55+1,"YYYY-MM-DD")&amp;" --recursive &amp; """&amp;walkandungz&amp;""" "&amp;search_path&amp;"\RTDC"&amp;B55&amp;"\"&amp;TEXT(F55+1,"YYYY-MM-DD")</f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55" s="65" t="str">
        <f t="shared" ref="AF55" si="25">astrogrep_path&amp;" /spath="&amp;search_path&amp;" /stypes=""*"&amp;B55&amp;"*"&amp;TEXT(I55-utc_offset/24,"YYYYMMDD")&amp;"*"" /stext="" "&amp;TEXT(I55-utc_offset/24,"HH")&amp;search_regexp&amp;""" /e /r /s"</f>
        <v>"C:\Program Files (x86)\AstroGrep\AstroGrep.exe" /spath="C:\Users\stu\Documents\Analysis\2016-02-23 RTDC Observations" /stypes="*4018*20160730*" /stext=" 16:.+((SYSTEM_STATE.+slice.+state.+changed )|(ment ac)|(system.+state.+changed )|(\|lc)|(penalty)|(\[timeout)|(PRM\|1\|D))" /e /r /s</v>
      </c>
      <c r="AG55" s="1" t="str">
        <f t="shared" ref="AG55" si="26">IF(VALUE(LEFT(AD55,2))&lt;=2,"EC",IF(OR(VALUE(LEFT(AD55,2))=8,VALUE(LEFT(AD55,2))=18),"NW","GL"))</f>
        <v>EC</v>
      </c>
    </row>
    <row r="56" spans="1:33" hidden="1" x14ac:dyDescent="0.25">
      <c r="A56" s="25" t="s">
        <v>715</v>
      </c>
      <c r="B56" s="96">
        <v>4017</v>
      </c>
      <c r="C56" s="97" t="s">
        <v>170</v>
      </c>
      <c r="D56" s="97" t="s">
        <v>252</v>
      </c>
      <c r="E56" s="98">
        <v>42581.410671296297</v>
      </c>
      <c r="F56" s="98">
        <v>42581.412152777775</v>
      </c>
      <c r="G56" s="96">
        <v>2</v>
      </c>
      <c r="H56" s="98" t="s">
        <v>142</v>
      </c>
      <c r="I56" s="98">
        <v>42581.444965277777</v>
      </c>
      <c r="J56" s="96">
        <v>0</v>
      </c>
      <c r="K56" s="123" t="str">
        <f t="shared" si="0"/>
        <v>4017/4018</v>
      </c>
      <c r="L56" s="25" t="str">
        <f>VLOOKUP(A56,'Trips&amp;Operators'!$C$1:$E$10000,3,FALSE)</f>
        <v>STRICKLAND</v>
      </c>
      <c r="M56" s="6">
        <f t="shared" si="1"/>
        <v>3.2812500001455192E-2</v>
      </c>
      <c r="N56" s="7">
        <f t="shared" si="2"/>
        <v>47.250000002095476</v>
      </c>
      <c r="O56" s="7"/>
      <c r="P56" s="7"/>
      <c r="Q56" s="26"/>
      <c r="R56" s="26"/>
      <c r="S56" s="41">
        <f t="shared" si="3"/>
        <v>1</v>
      </c>
      <c r="T56" s="59" t="str">
        <f t="shared" si="12"/>
        <v>Southbound</v>
      </c>
      <c r="U56" s="84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4" t="str">
        <f t="shared" si="17"/>
        <v>https://search-rtdc-monitor-bjffxe2xuh6vdkpspy63sjmuny.us-east-1.es.amazonaws.com/_plugin/kibana/#/discover/Steve-Slow-Train-Analysis-(2080s-and-2083s)?_g=(refreshInterval:(display:Off,section:0,value:0),time:(from:'2016-07-30 08:51:22-0600',mode:absolute,to:'2016-07-30 11:40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56" s="64" t="str">
        <f t="shared" si="18"/>
        <v>N</v>
      </c>
      <c r="X56" s="126">
        <f t="shared" ref="X56:X63" si="27">VALUE(LEFT(AD56,4))-VALUE(LEFT(AD55,4))</f>
        <v>1</v>
      </c>
      <c r="Y56" s="79">
        <f t="shared" ref="Y56:Y63" si="28">RIGHT(D56,LEN(D56)-4)/10000</f>
        <v>23.2987</v>
      </c>
      <c r="Z56" s="79">
        <f t="shared" si="21"/>
        <v>1.38E-2</v>
      </c>
      <c r="AA56" s="79">
        <f t="shared" si="22"/>
        <v>23.2849</v>
      </c>
      <c r="AB56" s="76" t="e">
        <f>VLOOKUP(A56,Enforcements!$C$7:$J$24,8,0)</f>
        <v>#N/A</v>
      </c>
      <c r="AC56" s="72" t="e">
        <f>VLOOKUP(A56,Enforcements!$C$7:$E$24,3,0)</f>
        <v>#N/A</v>
      </c>
      <c r="AD56" s="73" t="str">
        <f t="shared" si="9"/>
        <v>0144-30</v>
      </c>
      <c r="AE56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56" s="65" t="str">
        <f t="shared" si="11"/>
        <v>"C:\Program Files (x86)\AstroGrep\AstroGrep.exe" /spath="C:\Users\stu\Documents\Analysis\2016-02-23 RTDC Observations" /stypes="*4017*20160730*" /stext=" 16:.+((SYSTEM_STATE.+slice.+state.+changed )|(ment ac)|(system.+state.+changed )|(\|lc)|(penalty)|(\[timeout)|(PRM\|1\|D))" /e /r /s</v>
      </c>
      <c r="AG56" s="1" t="str">
        <f t="shared" si="14"/>
        <v>EC</v>
      </c>
    </row>
    <row r="57" spans="1:33" x14ac:dyDescent="0.25">
      <c r="A57" s="25" t="s">
        <v>782</v>
      </c>
      <c r="B57" s="96">
        <v>4027</v>
      </c>
      <c r="C57" s="97" t="s">
        <v>170</v>
      </c>
      <c r="D57" s="97" t="s">
        <v>841</v>
      </c>
      <c r="E57" s="98">
        <v>42581.395046296297</v>
      </c>
      <c r="F57" s="98">
        <v>42581.396238425928</v>
      </c>
      <c r="G57" s="96">
        <v>1</v>
      </c>
      <c r="H57" s="98" t="s">
        <v>136</v>
      </c>
      <c r="I57" s="98">
        <v>42581.41678240741</v>
      </c>
      <c r="J57" s="96">
        <v>0</v>
      </c>
      <c r="K57" s="123" t="str">
        <f t="shared" si="0"/>
        <v>4027/4028</v>
      </c>
      <c r="L57" s="25" t="str">
        <f>VLOOKUP(A57,'Trips&amp;Operators'!$C$1:$E$10000,3,FALSE)</f>
        <v>MALAVE</v>
      </c>
      <c r="M57" s="6">
        <f t="shared" si="1"/>
        <v>2.0543981481750961E-2</v>
      </c>
      <c r="N57" s="7"/>
      <c r="O57" s="7"/>
      <c r="P57" s="7">
        <f t="shared" si="2"/>
        <v>29.583333333721384</v>
      </c>
      <c r="Q57" s="26"/>
      <c r="R57" s="26" t="s">
        <v>927</v>
      </c>
      <c r="S57" s="41">
        <f t="shared" si="3"/>
        <v>0.75</v>
      </c>
      <c r="T57" s="59" t="str">
        <f t="shared" si="12"/>
        <v>NorthBound</v>
      </c>
      <c r="U57" s="84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9</v>
      </c>
      <c r="V57" s="64" t="str">
        <f t="shared" si="17"/>
        <v>https://search-rtdc-monitor-bjffxe2xuh6vdkpspy63sjmuny.us-east-1.es.amazonaws.com/_plugin/kibana/#/discover/Steve-Slow-Train-Analysis-(2080s-and-2083s)?_g=(refreshInterval:(display:Off,section:0,value:0),time:(from:'2016-07-30 08:28:52-0600',mode:absolute,to:'2016-07-30 11:00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57" s="64" t="str">
        <f t="shared" si="18"/>
        <v>Y</v>
      </c>
      <c r="X57" s="126">
        <f t="shared" si="27"/>
        <v>1</v>
      </c>
      <c r="Y57" s="79">
        <f t="shared" si="28"/>
        <v>3.7179000000000002</v>
      </c>
      <c r="Z57" s="79">
        <f t="shared" si="21"/>
        <v>23.329899999999999</v>
      </c>
      <c r="AA57" s="79">
        <f t="shared" si="22"/>
        <v>19.611999999999998</v>
      </c>
      <c r="AB57" s="76" t="e">
        <f>VLOOKUP(A57,Enforcements!$C$7:$J$24,8,0)</f>
        <v>#N/A</v>
      </c>
      <c r="AC57" s="72" t="e">
        <f>VLOOKUP(A57,Enforcements!$C$7:$E$24,3,0)</f>
        <v>#N/A</v>
      </c>
      <c r="AD57" s="73" t="str">
        <f t="shared" si="9"/>
        <v>0145-30</v>
      </c>
      <c r="AE57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57" s="65" t="str">
        <f t="shared" si="11"/>
        <v>"C:\Program Files (x86)\AstroGrep\AstroGrep.exe" /spath="C:\Users\stu\Documents\Analysis\2016-02-23 RTDC Observations" /stypes="*4027*20160730*" /stext=" 16:.+((SYSTEM_STATE.+slice.+state.+changed )|(ment ac)|(system.+state.+changed )|(\|lc)|(penalty)|(\[timeout)|(PRM\|1\|D))" /e /r /s</v>
      </c>
      <c r="AG57" s="1" t="str">
        <f t="shared" si="14"/>
        <v>EC</v>
      </c>
    </row>
    <row r="58" spans="1:33" hidden="1" x14ac:dyDescent="0.25">
      <c r="A58" s="25" t="s">
        <v>741</v>
      </c>
      <c r="B58" s="96">
        <v>4028</v>
      </c>
      <c r="C58" s="97" t="s">
        <v>170</v>
      </c>
      <c r="D58" s="97" t="s">
        <v>842</v>
      </c>
      <c r="E58" s="98">
        <v>42581.423020833332</v>
      </c>
      <c r="F58" s="98">
        <v>42581.424004629633</v>
      </c>
      <c r="G58" s="96">
        <v>1</v>
      </c>
      <c r="H58" s="98" t="s">
        <v>166</v>
      </c>
      <c r="I58" s="98">
        <v>42581.451458333337</v>
      </c>
      <c r="J58" s="96">
        <v>0</v>
      </c>
      <c r="K58" s="123" t="str">
        <f t="shared" si="0"/>
        <v>4027/4028</v>
      </c>
      <c r="L58" s="25" t="str">
        <f>VLOOKUP(A58,'Trips&amp;Operators'!$C$1:$E$10000,3,FALSE)</f>
        <v>MALAVE</v>
      </c>
      <c r="M58" s="6">
        <f t="shared" si="1"/>
        <v>2.7453703703940846E-2</v>
      </c>
      <c r="N58" s="7">
        <f t="shared" si="2"/>
        <v>39.533333333674818</v>
      </c>
      <c r="O58" s="7"/>
      <c r="P58" s="7"/>
      <c r="Q58" s="26"/>
      <c r="R58" s="26"/>
      <c r="S58" s="41">
        <f t="shared" si="3"/>
        <v>1</v>
      </c>
      <c r="T58" s="59" t="str">
        <f t="shared" si="12"/>
        <v>Southbound</v>
      </c>
      <c r="U58" s="84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4" t="str">
        <f t="shared" si="17"/>
        <v>https://search-rtdc-monitor-bjffxe2xuh6vdkpspy63sjmuny.us-east-1.es.amazonaws.com/_plugin/kibana/#/discover/Steve-Slow-Train-Analysis-(2080s-and-2083s)?_g=(refreshInterval:(display:Off,section:0,value:0),time:(from:'2016-07-30 09:09:09-0600',mode:absolute,to:'2016-07-30 11:50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58" s="64" t="str">
        <f t="shared" si="18"/>
        <v>N</v>
      </c>
      <c r="X58" s="126">
        <f t="shared" si="27"/>
        <v>1</v>
      </c>
      <c r="Y58" s="79">
        <f t="shared" si="28"/>
        <v>23.2957</v>
      </c>
      <c r="Z58" s="79">
        <f t="shared" si="21"/>
        <v>1.5800000000000002E-2</v>
      </c>
      <c r="AA58" s="79">
        <f t="shared" si="22"/>
        <v>23.279900000000001</v>
      </c>
      <c r="AB58" s="76" t="e">
        <f>VLOOKUP(A58,Enforcements!$C$7:$J$24,8,0)</f>
        <v>#N/A</v>
      </c>
      <c r="AC58" s="72" t="e">
        <f>VLOOKUP(A58,Enforcements!$C$7:$E$24,3,0)</f>
        <v>#N/A</v>
      </c>
      <c r="AD58" s="73" t="str">
        <f t="shared" si="9"/>
        <v>0146-30</v>
      </c>
      <c r="AE58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58" s="65" t="str">
        <f t="shared" si="11"/>
        <v>"C:\Program Files (x86)\AstroGrep\AstroGrep.exe" /spath="C:\Users\stu\Documents\Analysis\2016-02-23 RTDC Observations" /stypes="*4028*20160730*" /stext=" 16:.+((SYSTEM_STATE.+slice.+state.+changed )|(ment ac)|(system.+state.+changed )|(\|lc)|(penalty)|(\[timeout)|(PRM\|1\|D))" /e /r /s</v>
      </c>
      <c r="AG58" s="1" t="str">
        <f t="shared" si="14"/>
        <v>EC</v>
      </c>
    </row>
    <row r="59" spans="1:33" hidden="1" x14ac:dyDescent="0.25">
      <c r="A59" s="25" t="s">
        <v>740</v>
      </c>
      <c r="B59" s="96">
        <v>4031</v>
      </c>
      <c r="C59" s="97" t="s">
        <v>170</v>
      </c>
      <c r="D59" s="97" t="s">
        <v>164</v>
      </c>
      <c r="E59" s="98">
        <v>42581.3908912037</v>
      </c>
      <c r="F59" s="98">
        <v>42581.391828703701</v>
      </c>
      <c r="G59" s="96">
        <v>1</v>
      </c>
      <c r="H59" s="98" t="s">
        <v>843</v>
      </c>
      <c r="I59" s="98">
        <v>42581.422175925924</v>
      </c>
      <c r="J59" s="96">
        <v>0</v>
      </c>
      <c r="K59" s="123" t="str">
        <f t="shared" si="0"/>
        <v>4031/4032</v>
      </c>
      <c r="L59" s="25" t="str">
        <f>VLOOKUP(A59,'Trips&amp;Operators'!$C$1:$E$10000,3,FALSE)</f>
        <v>ACKERMAN</v>
      </c>
      <c r="M59" s="6">
        <f t="shared" si="1"/>
        <v>3.0347222222189885E-2</v>
      </c>
      <c r="N59" s="7">
        <f t="shared" si="2"/>
        <v>43.699999999953434</v>
      </c>
      <c r="O59" s="7"/>
      <c r="P59" s="7"/>
      <c r="Q59" s="26"/>
      <c r="R59" s="26"/>
      <c r="S59" s="41">
        <f t="shared" si="3"/>
        <v>1</v>
      </c>
      <c r="T59" s="59" t="str">
        <f t="shared" si="12"/>
        <v>NorthBound</v>
      </c>
      <c r="U59" s="84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08:22:53-0600',mode:absolute,to:'2016-07-30 11:07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59" s="64" t="str">
        <f t="shared" si="5"/>
        <v>N</v>
      </c>
      <c r="X59" s="126">
        <f t="shared" si="27"/>
        <v>1</v>
      </c>
      <c r="Y59" s="79">
        <f t="shared" si="28"/>
        <v>4.7500000000000001E-2</v>
      </c>
      <c r="Z59" s="79">
        <f t="shared" si="7"/>
        <v>23.332699999999999</v>
      </c>
      <c r="AA59" s="79">
        <f t="shared" si="8"/>
        <v>23.2852</v>
      </c>
      <c r="AB59" s="76" t="e">
        <f>VLOOKUP(A59,Enforcements!$C$7:$J$24,8,0)</f>
        <v>#N/A</v>
      </c>
      <c r="AC59" s="72" t="e">
        <f>VLOOKUP(A59,Enforcements!$C$7:$E$24,3,0)</f>
        <v>#N/A</v>
      </c>
      <c r="AD59" s="73" t="str">
        <f t="shared" si="9"/>
        <v>0147-30</v>
      </c>
      <c r="AE59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59" s="65" t="str">
        <f t="shared" si="11"/>
        <v>"C:\Program Files (x86)\AstroGrep\AstroGrep.exe" /spath="C:\Users\stu\Documents\Analysis\2016-02-23 RTDC Observations" /stypes="*4031*20160730*" /stext=" 16:.+((SYSTEM_STATE.+slice.+state.+changed )|(ment ac)|(system.+state.+changed )|(\|lc)|(penalty)|(\[timeout)|(PRM\|1\|D))" /e /r /s</v>
      </c>
      <c r="AG59" s="1" t="str">
        <f t="shared" si="14"/>
        <v>EC</v>
      </c>
    </row>
    <row r="60" spans="1:33" hidden="1" x14ac:dyDescent="0.25">
      <c r="A60" s="25" t="s">
        <v>791</v>
      </c>
      <c r="B60" s="96">
        <v>4032</v>
      </c>
      <c r="C60" s="97" t="s">
        <v>170</v>
      </c>
      <c r="D60" s="97" t="s">
        <v>618</v>
      </c>
      <c r="E60" s="98">
        <v>42581.429097222222</v>
      </c>
      <c r="F60" s="98">
        <v>42581.43005787037</v>
      </c>
      <c r="G60" s="96">
        <v>1</v>
      </c>
      <c r="H60" s="98" t="s">
        <v>195</v>
      </c>
      <c r="I60" s="98">
        <v>42581.461724537039</v>
      </c>
      <c r="J60" s="96">
        <v>1</v>
      </c>
      <c r="K60" s="123" t="str">
        <f t="shared" si="0"/>
        <v>4031/4032</v>
      </c>
      <c r="L60" s="25" t="str">
        <f>VLOOKUP(A60,'Trips&amp;Operators'!$C$1:$E$10000,3,FALSE)</f>
        <v>ACKERMAN</v>
      </c>
      <c r="M60" s="6">
        <f t="shared" si="1"/>
        <v>3.1666666669480037E-2</v>
      </c>
      <c r="N60" s="7">
        <f t="shared" si="2"/>
        <v>45.600000004051253</v>
      </c>
      <c r="O60" s="7"/>
      <c r="P60" s="7"/>
      <c r="Q60" s="26"/>
      <c r="R60" s="26"/>
      <c r="S60" s="41">
        <f t="shared" si="3"/>
        <v>1</v>
      </c>
      <c r="T60" s="59" t="str">
        <f t="shared" si="12"/>
        <v>Southbound</v>
      </c>
      <c r="U60" s="84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09:17:54-0600',mode:absolute,to:'2016-07-30 12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60" s="64" t="str">
        <f t="shared" si="5"/>
        <v>N</v>
      </c>
      <c r="X60" s="126">
        <f t="shared" si="27"/>
        <v>1</v>
      </c>
      <c r="Y60" s="79">
        <f t="shared" si="28"/>
        <v>23.3004</v>
      </c>
      <c r="Z60" s="79">
        <f t="shared" si="7"/>
        <v>1.34E-2</v>
      </c>
      <c r="AA60" s="79">
        <f t="shared" si="8"/>
        <v>23.286999999999999</v>
      </c>
      <c r="AB60" s="76">
        <f>VLOOKUP(A60,Enforcements!$C$7:$J$24,8,0)</f>
        <v>1</v>
      </c>
      <c r="AC60" s="72" t="str">
        <f>VLOOKUP(A60,Enforcements!$C$7:$E$24,3,0)</f>
        <v>TRACK WARRANT AUTHORITY</v>
      </c>
      <c r="AD60" s="73" t="str">
        <f t="shared" si="9"/>
        <v>0148-30</v>
      </c>
      <c r="AE60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60" s="65" t="str">
        <f t="shared" si="11"/>
        <v>"C:\Program Files (x86)\AstroGrep\AstroGrep.exe" /spath="C:\Users\stu\Documents\Analysis\2016-02-23 RTDC Observations" /stypes="*4032*20160730*" /stext=" 17:.+((SYSTEM_STATE.+slice.+state.+changed )|(ment ac)|(system.+state.+changed )|(\|lc)|(penalty)|(\[timeout)|(PRM\|1\|D))" /e /r /s</v>
      </c>
      <c r="AG60" s="1" t="str">
        <f t="shared" si="14"/>
        <v>EC</v>
      </c>
    </row>
    <row r="61" spans="1:33" hidden="1" x14ac:dyDescent="0.25">
      <c r="A61" s="25" t="s">
        <v>826</v>
      </c>
      <c r="B61" s="96">
        <v>4007</v>
      </c>
      <c r="C61" s="97" t="s">
        <v>170</v>
      </c>
      <c r="D61" s="97" t="s">
        <v>844</v>
      </c>
      <c r="E61" s="98">
        <v>42581.403287037036</v>
      </c>
      <c r="F61" s="98">
        <v>42581.404317129629</v>
      </c>
      <c r="G61" s="96">
        <v>1</v>
      </c>
      <c r="H61" s="98" t="s">
        <v>845</v>
      </c>
      <c r="I61" s="98">
        <v>42581.43209490741</v>
      </c>
      <c r="J61" s="96">
        <v>0</v>
      </c>
      <c r="K61" s="123" t="str">
        <f t="shared" si="0"/>
        <v>4007/4008</v>
      </c>
      <c r="L61" s="25" t="str">
        <f>VLOOKUP(A61,'Trips&amp;Operators'!$C$1:$E$10000,3,FALSE)</f>
        <v>SANTIZO</v>
      </c>
      <c r="M61" s="6">
        <f t="shared" si="1"/>
        <v>2.7777777781011537E-2</v>
      </c>
      <c r="N61" s="7">
        <f t="shared" si="2"/>
        <v>40.000000004656613</v>
      </c>
      <c r="O61" s="7"/>
      <c r="P61" s="7"/>
      <c r="Q61" s="26"/>
      <c r="R61" s="26"/>
      <c r="S61" s="41">
        <f t="shared" si="3"/>
        <v>1</v>
      </c>
      <c r="T61" s="59" t="str">
        <f t="shared" si="12"/>
        <v>NorthBound</v>
      </c>
      <c r="U61" s="84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08:40:44-0600',mode:absolute,to:'2016-07-30 11:22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1" s="64" t="str">
        <f t="shared" si="5"/>
        <v>N</v>
      </c>
      <c r="X61" s="126">
        <f t="shared" si="27"/>
        <v>1</v>
      </c>
      <c r="Y61" s="79">
        <f t="shared" si="28"/>
        <v>7.2099999999999997E-2</v>
      </c>
      <c r="Z61" s="79">
        <f t="shared" si="7"/>
        <v>23.331600000000002</v>
      </c>
      <c r="AA61" s="79">
        <f t="shared" si="8"/>
        <v>23.259500000000003</v>
      </c>
      <c r="AB61" s="76" t="e">
        <f>VLOOKUP(A61,Enforcements!$C$7:$J$24,8,0)</f>
        <v>#N/A</v>
      </c>
      <c r="AC61" s="72" t="e">
        <f>VLOOKUP(A61,Enforcements!$C$7:$E$24,3,0)</f>
        <v>#N/A</v>
      </c>
      <c r="AD61" s="73" t="str">
        <f t="shared" si="9"/>
        <v>0149-30</v>
      </c>
      <c r="AE61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61" s="65" t="str">
        <f t="shared" si="11"/>
        <v>"C:\Program Files (x86)\AstroGrep\AstroGrep.exe" /spath="C:\Users\stu\Documents\Analysis\2016-02-23 RTDC Observations" /stypes="*4007*20160730*" /stext=" 16:.+((SYSTEM_STATE.+slice.+state.+changed )|(ment ac)|(system.+state.+changed )|(\|lc)|(penalty)|(\[timeout)|(PRM\|1\|D))" /e /r /s</v>
      </c>
      <c r="AG61" s="1" t="str">
        <f t="shared" si="14"/>
        <v>EC</v>
      </c>
    </row>
    <row r="62" spans="1:33" hidden="1" x14ac:dyDescent="0.25">
      <c r="A62" s="25" t="s">
        <v>722</v>
      </c>
      <c r="B62" s="96">
        <v>4043</v>
      </c>
      <c r="C62" s="97" t="s">
        <v>170</v>
      </c>
      <c r="D62" s="97" t="s">
        <v>449</v>
      </c>
      <c r="E62" s="98">
        <v>42581.433761574073</v>
      </c>
      <c r="F62" s="98">
        <v>42581.434594907405</v>
      </c>
      <c r="G62" s="96">
        <v>1</v>
      </c>
      <c r="H62" s="98" t="s">
        <v>140</v>
      </c>
      <c r="I62" s="98">
        <v>42581.472094907411</v>
      </c>
      <c r="J62" s="96">
        <v>0</v>
      </c>
      <c r="K62" s="123" t="str">
        <f t="shared" si="0"/>
        <v>4043/4044</v>
      </c>
      <c r="L62" s="25" t="str">
        <f>VLOOKUP(A62,'Trips&amp;Operators'!$C$1:$E$10000,3,FALSE)</f>
        <v>SANTIZO</v>
      </c>
      <c r="M62" s="6">
        <f t="shared" si="1"/>
        <v>3.7500000005820766E-2</v>
      </c>
      <c r="N62" s="7">
        <f t="shared" si="2"/>
        <v>54.000000008381903</v>
      </c>
      <c r="O62" s="7"/>
      <c r="P62" s="7"/>
      <c r="Q62" s="26"/>
      <c r="R62" s="26"/>
      <c r="S62" s="41">
        <f t="shared" si="3"/>
        <v>1</v>
      </c>
      <c r="T62" s="59" t="str">
        <f t="shared" si="12"/>
        <v>Southbound</v>
      </c>
      <c r="U62" s="84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09:24:37-0600',mode:absolute,to:'2016-07-30 12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62" s="64" t="str">
        <f t="shared" si="5"/>
        <v>N</v>
      </c>
      <c r="X62" s="126">
        <f t="shared" si="27"/>
        <v>1</v>
      </c>
      <c r="Y62" s="79">
        <f t="shared" si="28"/>
        <v>23.267700000000001</v>
      </c>
      <c r="Z62" s="79">
        <f t="shared" si="7"/>
        <v>1.3899999999999999E-2</v>
      </c>
      <c r="AA62" s="79">
        <f t="shared" si="8"/>
        <v>23.253800000000002</v>
      </c>
      <c r="AB62" s="76" t="e">
        <f>VLOOKUP(A62,Enforcements!$C$7:$J$24,8,0)</f>
        <v>#N/A</v>
      </c>
      <c r="AC62" s="72" t="e">
        <f>VLOOKUP(A62,Enforcements!$C$7:$E$24,3,0)</f>
        <v>#N/A</v>
      </c>
      <c r="AD62" s="73" t="str">
        <f t="shared" si="9"/>
        <v>0150-30</v>
      </c>
      <c r="AE62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62" s="65" t="str">
        <f t="shared" si="11"/>
        <v>"C:\Program Files (x86)\AstroGrep\AstroGrep.exe" /spath="C:\Users\stu\Documents\Analysis\2016-02-23 RTDC Observations" /stypes="*4043*20160730*" /stext=" 17:.+((SYSTEM_STATE.+slice.+state.+changed )|(ment ac)|(system.+state.+changed )|(\|lc)|(penalty)|(\[timeout)|(PRM\|1\|D))" /e /r /s</v>
      </c>
      <c r="AG62" s="1" t="str">
        <f t="shared" si="14"/>
        <v>EC</v>
      </c>
    </row>
    <row r="63" spans="1:33" hidden="1" x14ac:dyDescent="0.25">
      <c r="A63" s="25" t="s">
        <v>767</v>
      </c>
      <c r="B63" s="96">
        <v>4016</v>
      </c>
      <c r="C63" s="97" t="s">
        <v>170</v>
      </c>
      <c r="D63" s="97" t="s">
        <v>846</v>
      </c>
      <c r="E63" s="98">
        <v>42581.411874999998</v>
      </c>
      <c r="F63" s="98">
        <v>42581.413148148145</v>
      </c>
      <c r="G63" s="96">
        <v>1</v>
      </c>
      <c r="H63" s="98" t="s">
        <v>847</v>
      </c>
      <c r="I63" s="98">
        <v>42581.442048611112</v>
      </c>
      <c r="J63" s="96">
        <v>0</v>
      </c>
      <c r="K63" s="123" t="str">
        <f t="shared" si="0"/>
        <v>4015/4016</v>
      </c>
      <c r="L63" s="25" t="str">
        <f>VLOOKUP(A63,'Trips&amp;Operators'!$C$1:$E$10000,3,FALSE)</f>
        <v>NELSON</v>
      </c>
      <c r="M63" s="6">
        <f t="shared" si="1"/>
        <v>2.8900462966703344E-2</v>
      </c>
      <c r="N63" s="7">
        <f t="shared" si="2"/>
        <v>41.616666672052816</v>
      </c>
      <c r="O63" s="7"/>
      <c r="P63" s="7"/>
      <c r="Q63" s="26"/>
      <c r="R63" s="26"/>
      <c r="S63" s="41">
        <f t="shared" si="3"/>
        <v>1</v>
      </c>
      <c r="T63" s="59" t="str">
        <f t="shared" si="12"/>
        <v>NorthBound</v>
      </c>
      <c r="U63" s="84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08:53:06-0600',mode:absolute,to:'2016-07-30 11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3" s="64" t="str">
        <f t="shared" si="5"/>
        <v>N</v>
      </c>
      <c r="X63" s="126">
        <f t="shared" si="27"/>
        <v>1</v>
      </c>
      <c r="Y63" s="79">
        <f t="shared" si="28"/>
        <v>4.3799999999999999E-2</v>
      </c>
      <c r="Z63" s="79">
        <f t="shared" si="7"/>
        <v>23.3323</v>
      </c>
      <c r="AA63" s="79">
        <f t="shared" si="8"/>
        <v>23.288499999999999</v>
      </c>
      <c r="AB63" s="76" t="e">
        <f>VLOOKUP(A63,Enforcements!$C$7:$J$24,8,0)</f>
        <v>#N/A</v>
      </c>
      <c r="AC63" s="72" t="e">
        <f>VLOOKUP(A63,Enforcements!$C$7:$E$24,3,0)</f>
        <v>#N/A</v>
      </c>
      <c r="AD63" s="73" t="str">
        <f t="shared" si="9"/>
        <v>0151-30</v>
      </c>
      <c r="AE63" s="65" t="str">
        <f t="shared" si="10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63" s="65" t="str">
        <f t="shared" si="11"/>
        <v>"C:\Program Files (x86)\AstroGrep\AstroGrep.exe" /spath="C:\Users\stu\Documents\Analysis\2016-02-23 RTDC Observations" /stypes="*4016*20160730*" /stext=" 16:.+((SYSTEM_STATE.+slice.+state.+changed )|(ment ac)|(system.+state.+changed )|(\|lc)|(penalty)|(\[timeout)|(PRM\|1\|D))" /e /r /s</v>
      </c>
      <c r="AG63" s="1" t="str">
        <f t="shared" si="14"/>
        <v>EC</v>
      </c>
    </row>
    <row r="64" spans="1:33" hidden="1" x14ac:dyDescent="0.25">
      <c r="A64" s="25" t="s">
        <v>818</v>
      </c>
      <c r="B64" s="96">
        <v>4015</v>
      </c>
      <c r="C64" s="97" t="s">
        <v>170</v>
      </c>
      <c r="D64" s="97" t="s">
        <v>848</v>
      </c>
      <c r="E64" s="98">
        <v>42581.449687499997</v>
      </c>
      <c r="F64" s="98">
        <v>42581.450706018521</v>
      </c>
      <c r="G64" s="96">
        <v>1</v>
      </c>
      <c r="H64" s="98" t="s">
        <v>58</v>
      </c>
      <c r="I64" s="98">
        <v>42581.484375</v>
      </c>
      <c r="J64" s="96">
        <v>0</v>
      </c>
      <c r="K64" s="123" t="str">
        <f t="shared" si="0"/>
        <v>4015/4016</v>
      </c>
      <c r="L64" s="25" t="str">
        <f>VLOOKUP(A64,'Trips&amp;Operators'!$C$1:$E$10000,3,FALSE)</f>
        <v>NELSON</v>
      </c>
      <c r="M64" s="6">
        <f t="shared" si="1"/>
        <v>3.3668981479422655E-2</v>
      </c>
      <c r="N64" s="7">
        <f t="shared" si="2"/>
        <v>48.483333330368623</v>
      </c>
      <c r="O64" s="7"/>
      <c r="P64" s="7"/>
      <c r="Q64" s="26"/>
      <c r="R64" s="26"/>
      <c r="S64" s="41">
        <f t="shared" si="3"/>
        <v>1</v>
      </c>
      <c r="T64" s="59" t="str">
        <f t="shared" si="12"/>
        <v>Southbound</v>
      </c>
      <c r="U64" s="84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09:47:33-0600',mode:absolute,to:'2016-07-30 12:37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4" s="64" t="str">
        <f t="shared" si="5"/>
        <v>N</v>
      </c>
      <c r="X64" s="126">
        <f t="shared" si="13"/>
        <v>1</v>
      </c>
      <c r="Y64" s="79">
        <f t="shared" si="6"/>
        <v>23.298300000000001</v>
      </c>
      <c r="Z64" s="79">
        <f t="shared" si="7"/>
        <v>1.4500000000000001E-2</v>
      </c>
      <c r="AA64" s="79">
        <f t="shared" si="8"/>
        <v>23.283799999999999</v>
      </c>
      <c r="AB64" s="76" t="e">
        <f>VLOOKUP(A64,Enforcements!$C$7:$J$24,8,0)</f>
        <v>#N/A</v>
      </c>
      <c r="AC64" s="72" t="e">
        <f>VLOOKUP(A64,Enforcements!$C$7:$E$24,3,0)</f>
        <v>#N/A</v>
      </c>
      <c r="AD64" s="73" t="str">
        <f t="shared" si="9"/>
        <v>0152-30</v>
      </c>
      <c r="AE64" s="65" t="str">
        <f t="shared" si="10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64" s="65" t="str">
        <f t="shared" si="11"/>
        <v>"C:\Program Files (x86)\AstroGrep\AstroGrep.exe" /spath="C:\Users\stu\Documents\Analysis\2016-02-23 RTDC Observations" /stypes="*4015*20160730*" /stext=" 17:.+((SYSTEM_STATE.+slice.+state.+changed )|(ment ac)|(system.+state.+changed )|(\|lc)|(penalty)|(\[timeout)|(PRM\|1\|D))" /e /r /s</v>
      </c>
      <c r="AG64" s="1" t="str">
        <f t="shared" si="14"/>
        <v>EC</v>
      </c>
    </row>
    <row r="65" spans="1:33" hidden="1" x14ac:dyDescent="0.25">
      <c r="A65" s="25" t="s">
        <v>721</v>
      </c>
      <c r="B65" s="96">
        <v>4029</v>
      </c>
      <c r="C65" s="97" t="s">
        <v>170</v>
      </c>
      <c r="D65" s="97" t="s">
        <v>116</v>
      </c>
      <c r="E65" s="98">
        <v>42581.424768518518</v>
      </c>
      <c r="F65" s="98">
        <v>42581.427349537036</v>
      </c>
      <c r="G65" s="96">
        <v>3</v>
      </c>
      <c r="H65" s="98" t="s">
        <v>382</v>
      </c>
      <c r="I65" s="98">
        <v>42581.451574074075</v>
      </c>
      <c r="J65" s="96">
        <v>0</v>
      </c>
      <c r="K65" s="123" t="str">
        <f t="shared" si="0"/>
        <v>4029/4030</v>
      </c>
      <c r="L65" s="25" t="str">
        <f>VLOOKUP(A65,'Trips&amp;Operators'!$C$1:$E$10000,3,FALSE)</f>
        <v>GEBRETEKLE</v>
      </c>
      <c r="M65" s="6">
        <f t="shared" si="1"/>
        <v>2.4224537039117422E-2</v>
      </c>
      <c r="N65" s="7">
        <f t="shared" si="2"/>
        <v>34.883333336329088</v>
      </c>
      <c r="O65" s="7"/>
      <c r="P65" s="7"/>
      <c r="Q65" s="26"/>
      <c r="R65" s="26"/>
      <c r="S65" s="41">
        <f t="shared" si="3"/>
        <v>1</v>
      </c>
      <c r="T65" s="59" t="str">
        <f t="shared" si="12"/>
        <v>NorthBound</v>
      </c>
      <c r="U65" s="84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09:11:40-0600',mode:absolute,to:'2016-07-30 11:50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65" s="64" t="str">
        <f t="shared" si="5"/>
        <v>N</v>
      </c>
      <c r="X65" s="126">
        <f t="shared" si="13"/>
        <v>1</v>
      </c>
      <c r="Y65" s="79">
        <f t="shared" si="6"/>
        <v>4.58E-2</v>
      </c>
      <c r="Z65" s="79">
        <f t="shared" si="7"/>
        <v>23.328900000000001</v>
      </c>
      <c r="AA65" s="79">
        <f t="shared" si="8"/>
        <v>23.283100000000001</v>
      </c>
      <c r="AB65" s="76" t="e">
        <f>VLOOKUP(A65,Enforcements!$C$7:$J$24,8,0)</f>
        <v>#N/A</v>
      </c>
      <c r="AC65" s="72" t="e">
        <f>VLOOKUP(A65,Enforcements!$C$7:$E$24,3,0)</f>
        <v>#N/A</v>
      </c>
      <c r="AD65" s="73" t="str">
        <f t="shared" si="9"/>
        <v>0153-30</v>
      </c>
      <c r="AE65" s="65" t="str">
        <f t="shared" si="10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65" s="65" t="str">
        <f t="shared" si="11"/>
        <v>"C:\Program Files (x86)\AstroGrep\AstroGrep.exe" /spath="C:\Users\stu\Documents\Analysis\2016-02-23 RTDC Observations" /stypes="*4029*20160730*" /stext=" 16:.+((SYSTEM_STATE.+slice.+state.+changed )|(ment ac)|(system.+state.+changed )|(\|lc)|(penalty)|(\[timeout)|(PRM\|1\|D))" /e /r /s</v>
      </c>
      <c r="AG65" s="1" t="str">
        <f t="shared" si="14"/>
        <v>EC</v>
      </c>
    </row>
    <row r="66" spans="1:33" hidden="1" x14ac:dyDescent="0.25">
      <c r="A66" s="25" t="s">
        <v>753</v>
      </c>
      <c r="B66" s="96">
        <v>4030</v>
      </c>
      <c r="C66" s="97" t="s">
        <v>170</v>
      </c>
      <c r="D66" s="97" t="s">
        <v>273</v>
      </c>
      <c r="E66" s="98">
        <v>42581.460196759261</v>
      </c>
      <c r="F66" s="98">
        <v>42581.461296296293</v>
      </c>
      <c r="G66" s="96">
        <v>1</v>
      </c>
      <c r="H66" s="98" t="s">
        <v>323</v>
      </c>
      <c r="I66" s="98">
        <v>42581.49590277778</v>
      </c>
      <c r="J66" s="96">
        <v>0</v>
      </c>
      <c r="K66" s="123" t="str">
        <f t="shared" si="0"/>
        <v>4029/4030</v>
      </c>
      <c r="L66" s="25" t="str">
        <f>VLOOKUP(A66,'Trips&amp;Operators'!$C$1:$E$10000,3,FALSE)</f>
        <v>GEBRETEKLE</v>
      </c>
      <c r="M66" s="6">
        <f t="shared" si="1"/>
        <v>3.4606481487571727E-2</v>
      </c>
      <c r="N66" s="7">
        <f t="shared" si="2"/>
        <v>49.833333342103288</v>
      </c>
      <c r="O66" s="7"/>
      <c r="P66" s="7"/>
      <c r="Q66" s="26"/>
      <c r="R66" s="26"/>
      <c r="S66" s="41">
        <f t="shared" si="3"/>
        <v>1</v>
      </c>
      <c r="T66" s="59" t="str">
        <f t="shared" si="12"/>
        <v>Southbound</v>
      </c>
      <c r="U66" s="84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10:02:41-0600',mode:absolute,to:'2016-07-30 12:54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66" s="64" t="str">
        <f t="shared" si="5"/>
        <v>N</v>
      </c>
      <c r="X66" s="126">
        <f t="shared" si="13"/>
        <v>1</v>
      </c>
      <c r="Y66" s="79">
        <f t="shared" si="6"/>
        <v>23.296700000000001</v>
      </c>
      <c r="Z66" s="79">
        <f t="shared" si="7"/>
        <v>1.6500000000000001E-2</v>
      </c>
      <c r="AA66" s="79">
        <f t="shared" si="8"/>
        <v>23.280200000000001</v>
      </c>
      <c r="AB66" s="76" t="e">
        <f>VLOOKUP(A66,Enforcements!$C$7:$J$24,8,0)</f>
        <v>#N/A</v>
      </c>
      <c r="AC66" s="72" t="e">
        <f>VLOOKUP(A66,Enforcements!$C$7:$E$24,3,0)</f>
        <v>#N/A</v>
      </c>
      <c r="AD66" s="73" t="str">
        <f t="shared" si="9"/>
        <v>0154-30</v>
      </c>
      <c r="AE66" s="65" t="str">
        <f t="shared" si="10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66" s="65" t="str">
        <f t="shared" si="11"/>
        <v>"C:\Program Files (x86)\AstroGrep\AstroGrep.exe" /spath="C:\Users\stu\Documents\Analysis\2016-02-23 RTDC Observations" /stypes="*4030*20160730*" /stext=" 17:.+((SYSTEM_STATE.+slice.+state.+changed )|(ment ac)|(system.+state.+changed )|(\|lc)|(penalty)|(\[timeout)|(PRM\|1\|D))" /e /r /s</v>
      </c>
      <c r="AG66" s="1" t="str">
        <f t="shared" si="14"/>
        <v>EC</v>
      </c>
    </row>
    <row r="67" spans="1:33" hidden="1" x14ac:dyDescent="0.25">
      <c r="A67" s="25" t="s">
        <v>802</v>
      </c>
      <c r="B67" s="96">
        <v>4014</v>
      </c>
      <c r="C67" s="97" t="s">
        <v>170</v>
      </c>
      <c r="D67" s="97" t="s">
        <v>409</v>
      </c>
      <c r="E67" s="98">
        <v>42581.437245370369</v>
      </c>
      <c r="F67" s="98">
        <v>42581.43822916667</v>
      </c>
      <c r="G67" s="96">
        <v>1</v>
      </c>
      <c r="H67" s="98" t="s">
        <v>663</v>
      </c>
      <c r="I67" s="98">
        <v>42581.46471064815</v>
      </c>
      <c r="J67" s="96">
        <v>0</v>
      </c>
      <c r="K67" s="123" t="str">
        <f t="shared" si="0"/>
        <v>4013/4014</v>
      </c>
      <c r="L67" s="25" t="str">
        <f>VLOOKUP(A67,'Trips&amp;Operators'!$C$1:$E$10000,3,FALSE)</f>
        <v>MAYBERRY</v>
      </c>
      <c r="M67" s="6">
        <f t="shared" si="1"/>
        <v>2.6481481480004732E-2</v>
      </c>
      <c r="N67" s="7">
        <f t="shared" si="2"/>
        <v>38.133333331206813</v>
      </c>
      <c r="O67" s="7"/>
      <c r="P67" s="7"/>
      <c r="Q67" s="26"/>
      <c r="R67" s="26"/>
      <c r="S67" s="41">
        <f t="shared" si="3"/>
        <v>1</v>
      </c>
      <c r="T67" s="59" t="str">
        <f t="shared" si="12"/>
        <v>NorthBound</v>
      </c>
      <c r="U67" s="84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09:29:38-0600',mode:absolute,to:'2016-07-30 12:09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67" s="64" t="str">
        <f t="shared" si="5"/>
        <v>N</v>
      </c>
      <c r="X67" s="126">
        <f t="shared" si="13"/>
        <v>1</v>
      </c>
      <c r="Y67" s="79">
        <f t="shared" si="6"/>
        <v>7.17E-2</v>
      </c>
      <c r="Z67" s="79">
        <f t="shared" si="7"/>
        <v>23.328700000000001</v>
      </c>
      <c r="AA67" s="79">
        <f t="shared" si="8"/>
        <v>23.257000000000001</v>
      </c>
      <c r="AB67" s="76" t="e">
        <f>VLOOKUP(A67,Enforcements!$C$7:$J$24,8,0)</f>
        <v>#N/A</v>
      </c>
      <c r="AC67" s="72" t="e">
        <f>VLOOKUP(A67,Enforcements!$C$7:$E$24,3,0)</f>
        <v>#N/A</v>
      </c>
      <c r="AD67" s="73" t="str">
        <f t="shared" si="9"/>
        <v>0155-30</v>
      </c>
      <c r="AE67" s="65" t="str">
        <f t="shared" si="10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67" s="65" t="str">
        <f t="shared" si="11"/>
        <v>"C:\Program Files (x86)\AstroGrep\AstroGrep.exe" /spath="C:\Users\stu\Documents\Analysis\2016-02-23 RTDC Observations" /stypes="*4014*20160730*" /stext=" 17:.+((SYSTEM_STATE.+slice.+state.+changed )|(ment ac)|(system.+state.+changed )|(\|lc)|(penalty)|(\[timeout)|(PRM\|1\|D))" /e /r /s</v>
      </c>
      <c r="AG67" s="1" t="str">
        <f t="shared" si="14"/>
        <v>EC</v>
      </c>
    </row>
    <row r="68" spans="1:33" s="24" customFormat="1" hidden="1" x14ac:dyDescent="0.25">
      <c r="A68" s="25" t="s">
        <v>786</v>
      </c>
      <c r="B68" s="96">
        <v>4012</v>
      </c>
      <c r="C68" s="97" t="s">
        <v>170</v>
      </c>
      <c r="D68" s="97" t="s">
        <v>849</v>
      </c>
      <c r="E68" s="98">
        <v>42581.467002314814</v>
      </c>
      <c r="F68" s="98">
        <v>42581.468182870369</v>
      </c>
      <c r="G68" s="96">
        <v>1</v>
      </c>
      <c r="H68" s="98" t="s">
        <v>850</v>
      </c>
      <c r="I68" s="98">
        <v>42581.504108796296</v>
      </c>
      <c r="J68" s="96">
        <v>2</v>
      </c>
      <c r="K68" s="123" t="str">
        <f t="shared" si="0"/>
        <v>4011/4012</v>
      </c>
      <c r="L68" s="25" t="str">
        <f>VLOOKUP(A68,'Trips&amp;Operators'!$C$1:$E$10000,3,FALSE)</f>
        <v>MAYBERRY</v>
      </c>
      <c r="M68" s="6">
        <f t="shared" si="1"/>
        <v>3.5925925927585922E-2</v>
      </c>
      <c r="N68" s="7">
        <f t="shared" si="2"/>
        <v>51.733333335723728</v>
      </c>
      <c r="O68" s="7"/>
      <c r="P68" s="7"/>
      <c r="Q68" s="26"/>
      <c r="R68" s="26"/>
      <c r="S68" s="41">
        <f t="shared" si="3"/>
        <v>1</v>
      </c>
      <c r="T68" s="59" t="str">
        <f t="shared" si="12"/>
        <v>Southbound</v>
      </c>
      <c r="U68" s="84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10:12:29-0600',mode:absolute,to:'2016-07-30 13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68" s="64" t="str">
        <f t="shared" si="5"/>
        <v>N</v>
      </c>
      <c r="X68" s="126">
        <f t="shared" si="13"/>
        <v>1</v>
      </c>
      <c r="Y68" s="79">
        <f t="shared" si="6"/>
        <v>23.2666</v>
      </c>
      <c r="Z68" s="79">
        <f t="shared" si="7"/>
        <v>2.18E-2</v>
      </c>
      <c r="AA68" s="79">
        <f t="shared" si="8"/>
        <v>23.244800000000001</v>
      </c>
      <c r="AB68" s="76">
        <f>VLOOKUP(A68,Enforcements!$C$7:$J$24,8,0)</f>
        <v>191723</v>
      </c>
      <c r="AC68" s="72" t="str">
        <f>VLOOKUP(A68,Enforcements!$C$7:$E$24,3,0)</f>
        <v>SIGNAL</v>
      </c>
      <c r="AD68" s="73" t="str">
        <f t="shared" si="9"/>
        <v>0156-30</v>
      </c>
      <c r="AE68" s="65" t="str">
        <f t="shared" si="10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68" s="65" t="str">
        <f t="shared" si="11"/>
        <v>"C:\Program Files (x86)\AstroGrep\AstroGrep.exe" /spath="C:\Users\stu\Documents\Analysis\2016-02-23 RTDC Observations" /stypes="*4012*20160730*" /stext=" 18:.+((SYSTEM_STATE.+slice.+state.+changed )|(ment ac)|(system.+state.+changed )|(\|lc)|(penalty)|(\[timeout)|(PRM\|1\|D))" /e /r /s</v>
      </c>
      <c r="AG68" s="1" t="str">
        <f t="shared" si="14"/>
        <v>EC</v>
      </c>
    </row>
    <row r="69" spans="1:33" hidden="1" x14ac:dyDescent="0.25">
      <c r="A69" s="25" t="s">
        <v>732</v>
      </c>
      <c r="B69" s="96">
        <v>4018</v>
      </c>
      <c r="C69" s="97" t="s">
        <v>170</v>
      </c>
      <c r="D69" s="97" t="s">
        <v>325</v>
      </c>
      <c r="E69" s="98">
        <v>42581.448738425926</v>
      </c>
      <c r="F69" s="98">
        <v>42581.449548611112</v>
      </c>
      <c r="G69" s="96">
        <v>1</v>
      </c>
      <c r="H69" s="98" t="s">
        <v>851</v>
      </c>
      <c r="I69" s="98">
        <v>42581.476458333331</v>
      </c>
      <c r="J69" s="96">
        <v>0</v>
      </c>
      <c r="K69" s="123" t="str">
        <f t="shared" si="0"/>
        <v>4017/4018</v>
      </c>
      <c r="L69" s="25" t="str">
        <f>VLOOKUP(A69,'Trips&amp;Operators'!$C$1:$E$10000,3,FALSE)</f>
        <v>STRICKLAND</v>
      </c>
      <c r="M69" s="6">
        <f t="shared" si="1"/>
        <v>2.6909722218988463E-2</v>
      </c>
      <c r="N69" s="7">
        <f t="shared" si="2"/>
        <v>38.749999995343387</v>
      </c>
      <c r="O69" s="7"/>
      <c r="P69" s="7"/>
      <c r="Q69" s="26"/>
      <c r="R69" s="26"/>
      <c r="S69" s="41">
        <f t="shared" si="3"/>
        <v>1</v>
      </c>
      <c r="T69" s="59" t="str">
        <f t="shared" si="12"/>
        <v>NorthBound</v>
      </c>
      <c r="U69" s="84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12</v>
      </c>
      <c r="V69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09:46:11-0600',mode:absolute,to:'2016-07-30 12:26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69" s="64" t="str">
        <f t="shared" si="5"/>
        <v>N</v>
      </c>
      <c r="X69" s="126">
        <f t="shared" si="13"/>
        <v>1</v>
      </c>
      <c r="Y69" s="79">
        <f t="shared" si="6"/>
        <v>4.7800000000000002E-2</v>
      </c>
      <c r="Z69" s="79">
        <f t="shared" si="7"/>
        <v>23.329699999999999</v>
      </c>
      <c r="AA69" s="79">
        <f t="shared" si="8"/>
        <v>23.2819</v>
      </c>
      <c r="AB69" s="76" t="e">
        <f>VLOOKUP(A69,Enforcements!$C$7:$J$24,8,0)</f>
        <v>#N/A</v>
      </c>
      <c r="AC69" s="72" t="e">
        <f>VLOOKUP(A69,Enforcements!$C$7:$E$24,3,0)</f>
        <v>#N/A</v>
      </c>
      <c r="AD69" s="73" t="str">
        <f t="shared" si="9"/>
        <v>0157-30</v>
      </c>
      <c r="AE69" s="65" t="str">
        <f t="shared" si="10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69" s="65" t="str">
        <f t="shared" si="11"/>
        <v>"C:\Program Files (x86)\AstroGrep\AstroGrep.exe" /spath="C:\Users\stu\Documents\Analysis\2016-02-23 RTDC Observations" /stypes="*4018*20160730*" /stext=" 17:.+((SYSTEM_STATE.+slice.+state.+changed )|(ment ac)|(system.+state.+changed )|(\|lc)|(penalty)|(\[timeout)|(PRM\|1\|D))" /e /r /s</v>
      </c>
      <c r="AG69" s="1" t="str">
        <f t="shared" si="14"/>
        <v>EC</v>
      </c>
    </row>
    <row r="70" spans="1:33" s="24" customFormat="1" hidden="1" x14ac:dyDescent="0.25">
      <c r="A70" s="25" t="s">
        <v>769</v>
      </c>
      <c r="B70" s="96">
        <v>4017</v>
      </c>
      <c r="C70" s="97" t="s">
        <v>170</v>
      </c>
      <c r="D70" s="97" t="s">
        <v>383</v>
      </c>
      <c r="E70" s="98">
        <v>42581.481006944443</v>
      </c>
      <c r="F70" s="98">
        <v>42581.481898148151</v>
      </c>
      <c r="G70" s="96">
        <v>1</v>
      </c>
      <c r="H70" s="98" t="s">
        <v>110</v>
      </c>
      <c r="I70" s="98">
        <v>42581.517546296294</v>
      </c>
      <c r="J70" s="96">
        <v>0</v>
      </c>
      <c r="K70" s="123" t="str">
        <f t="shared" si="0"/>
        <v>4017/4018</v>
      </c>
      <c r="L70" s="25" t="str">
        <f>VLOOKUP(A70,'Trips&amp;Operators'!$C$1:$E$10000,3,FALSE)</f>
        <v>STRICKLAND</v>
      </c>
      <c r="M70" s="6">
        <f t="shared" si="1"/>
        <v>3.5648148143081926E-2</v>
      </c>
      <c r="N70" s="7">
        <f t="shared" si="2"/>
        <v>51.333333326037973</v>
      </c>
      <c r="O70" s="7"/>
      <c r="P70" s="7"/>
      <c r="Q70" s="26"/>
      <c r="R70" s="26"/>
      <c r="S70" s="41">
        <f t="shared" si="3"/>
        <v>1</v>
      </c>
      <c r="T70" s="59" t="str">
        <f t="shared" si="12"/>
        <v>Southbound</v>
      </c>
      <c r="U70" s="84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10:32:39-0600',mode:absolute,to:'2016-07-30 13:25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70" s="64" t="str">
        <f t="shared" si="5"/>
        <v>N</v>
      </c>
      <c r="X70" s="126">
        <f t="shared" si="13"/>
        <v>1</v>
      </c>
      <c r="Y70" s="79">
        <f t="shared" si="6"/>
        <v>23.296900000000001</v>
      </c>
      <c r="Z70" s="79">
        <f t="shared" si="7"/>
        <v>1.5599999999999999E-2</v>
      </c>
      <c r="AA70" s="79">
        <f t="shared" si="8"/>
        <v>23.281300000000002</v>
      </c>
      <c r="AB70" s="76" t="e">
        <f>VLOOKUP(A70,Enforcements!$C$7:$J$24,8,0)</f>
        <v>#N/A</v>
      </c>
      <c r="AC70" s="72" t="e">
        <f>VLOOKUP(A70,Enforcements!$C$7:$E$24,3,0)</f>
        <v>#N/A</v>
      </c>
      <c r="AD70" s="73" t="str">
        <f t="shared" si="9"/>
        <v>0158-30</v>
      </c>
      <c r="AE70" s="65" t="str">
        <f t="shared" si="10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70" s="65" t="str">
        <f t="shared" si="11"/>
        <v>"C:\Program Files (x86)\AstroGrep\AstroGrep.exe" /spath="C:\Users\stu\Documents\Analysis\2016-02-23 RTDC Observations" /stypes="*4017*20160730*" /stext=" 18:.+((SYSTEM_STATE.+slice.+state.+changed )|(ment ac)|(system.+state.+changed )|(\|lc)|(penalty)|(\[timeout)|(PRM\|1\|D))" /e /r /s</v>
      </c>
      <c r="AG70" s="1" t="str">
        <f t="shared" si="14"/>
        <v>EC</v>
      </c>
    </row>
    <row r="71" spans="1:33" hidden="1" x14ac:dyDescent="0.25">
      <c r="A71" s="25" t="s">
        <v>809</v>
      </c>
      <c r="B71" s="96">
        <v>4027</v>
      </c>
      <c r="C71" s="97" t="s">
        <v>170</v>
      </c>
      <c r="D71" s="97" t="s">
        <v>194</v>
      </c>
      <c r="E71" s="98">
        <v>42581.45417824074</v>
      </c>
      <c r="F71" s="98">
        <v>42581.455775462964</v>
      </c>
      <c r="G71" s="96">
        <v>2</v>
      </c>
      <c r="H71" s="98" t="s">
        <v>151</v>
      </c>
      <c r="I71" s="98">
        <v>42581.484143518515</v>
      </c>
      <c r="J71" s="96">
        <v>0</v>
      </c>
      <c r="K71" s="123" t="str">
        <f t="shared" si="0"/>
        <v>4027/4028</v>
      </c>
      <c r="L71" s="25" t="str">
        <f>VLOOKUP(A71,'Trips&amp;Operators'!$C$1:$E$10000,3,FALSE)</f>
        <v>STEWART</v>
      </c>
      <c r="M71" s="6">
        <f t="shared" si="1"/>
        <v>2.8368055551254656E-2</v>
      </c>
      <c r="N71" s="7">
        <f t="shared" si="2"/>
        <v>40.849999993806705</v>
      </c>
      <c r="O71" s="7"/>
      <c r="P71" s="7"/>
      <c r="Q71" s="26"/>
      <c r="R71" s="26"/>
      <c r="S71" s="41">
        <f t="shared" si="3"/>
        <v>1</v>
      </c>
      <c r="T71" s="59" t="str">
        <f t="shared" si="12"/>
        <v>NorthBound</v>
      </c>
      <c r="U71" s="84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09:54:01-0600',mode:absolute,to:'2016-07-30 12:37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1" s="64" t="str">
        <f t="shared" si="5"/>
        <v>N</v>
      </c>
      <c r="X71" s="126">
        <f t="shared" si="13"/>
        <v>1</v>
      </c>
      <c r="Y71" s="79">
        <f t="shared" si="6"/>
        <v>4.6600000000000003E-2</v>
      </c>
      <c r="Z71" s="79">
        <f t="shared" si="7"/>
        <v>23.3293</v>
      </c>
      <c r="AA71" s="79">
        <f t="shared" si="8"/>
        <v>23.282699999999998</v>
      </c>
      <c r="AB71" s="76" t="e">
        <f>VLOOKUP(A71,Enforcements!$C$7:$J$24,8,0)</f>
        <v>#N/A</v>
      </c>
      <c r="AC71" s="72" t="e">
        <f>VLOOKUP(A71,Enforcements!$C$7:$E$24,3,0)</f>
        <v>#N/A</v>
      </c>
      <c r="AD71" s="73" t="str">
        <f t="shared" si="9"/>
        <v>0159-30</v>
      </c>
      <c r="AE71" s="65" t="str">
        <f t="shared" si="10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71" s="65" t="str">
        <f t="shared" si="11"/>
        <v>"C:\Program Files (x86)\AstroGrep\AstroGrep.exe" /spath="C:\Users\stu\Documents\Analysis\2016-02-23 RTDC Observations" /stypes="*4027*20160730*" /stext=" 17:.+((SYSTEM_STATE.+slice.+state.+changed )|(ment ac)|(system.+state.+changed )|(\|lc)|(penalty)|(\[timeout)|(PRM\|1\|D))" /e /r /s</v>
      </c>
      <c r="AG71" s="1" t="str">
        <f t="shared" si="14"/>
        <v>EC</v>
      </c>
    </row>
    <row r="72" spans="1:33" hidden="1" x14ac:dyDescent="0.25">
      <c r="A72" s="25" t="s">
        <v>770</v>
      </c>
      <c r="B72" s="96">
        <v>4028</v>
      </c>
      <c r="C72" s="97" t="s">
        <v>170</v>
      </c>
      <c r="D72" s="97" t="s">
        <v>852</v>
      </c>
      <c r="E72" s="98">
        <v>42581.493067129632</v>
      </c>
      <c r="F72" s="98">
        <v>42581.497442129628</v>
      </c>
      <c r="G72" s="96">
        <v>6</v>
      </c>
      <c r="H72" s="98" t="s">
        <v>853</v>
      </c>
      <c r="I72" s="98">
        <v>42581.526307870372</v>
      </c>
      <c r="J72" s="96">
        <v>0</v>
      </c>
      <c r="K72" s="123" t="str">
        <f t="shared" si="0"/>
        <v>4027/4028</v>
      </c>
      <c r="L72" s="25" t="str">
        <f>VLOOKUP(A72,'Trips&amp;Operators'!$C$1:$E$10000,3,FALSE)</f>
        <v>STEWART</v>
      </c>
      <c r="M72" s="6">
        <f t="shared" si="1"/>
        <v>2.8865740743640345E-2</v>
      </c>
      <c r="N72" s="7">
        <f t="shared" si="2"/>
        <v>41.566666670842096</v>
      </c>
      <c r="O72" s="7"/>
      <c r="P72" s="7"/>
      <c r="Q72" s="26"/>
      <c r="R72" s="26"/>
      <c r="S72" s="41">
        <f t="shared" si="3"/>
        <v>1</v>
      </c>
      <c r="T72" s="59" t="str">
        <f t="shared" si="12"/>
        <v>Southbound</v>
      </c>
      <c r="U72" s="84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10:50:01-0600',mode:absolute,to:'2016-07-30 13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2" s="64" t="str">
        <f t="shared" si="5"/>
        <v>N</v>
      </c>
      <c r="X72" s="126">
        <f t="shared" si="13"/>
        <v>1</v>
      </c>
      <c r="Y72" s="79">
        <f t="shared" si="6"/>
        <v>23.297899999999998</v>
      </c>
      <c r="Z72" s="79">
        <f t="shared" si="7"/>
        <v>1.29E-2</v>
      </c>
      <c r="AA72" s="79">
        <f t="shared" si="8"/>
        <v>23.285</v>
      </c>
      <c r="AB72" s="76" t="e">
        <f>VLOOKUP(A72,Enforcements!$C$7:$J$24,8,0)</f>
        <v>#N/A</v>
      </c>
      <c r="AC72" s="72" t="e">
        <f>VLOOKUP(A72,Enforcements!$C$7:$E$24,3,0)</f>
        <v>#N/A</v>
      </c>
      <c r="AD72" s="73" t="str">
        <f t="shared" si="9"/>
        <v>0160-30</v>
      </c>
      <c r="AE72" s="65" t="str">
        <f t="shared" si="10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72" s="65" t="str">
        <f t="shared" si="11"/>
        <v>"C:\Program Files (x86)\AstroGrep\AstroGrep.exe" /spath="C:\Users\stu\Documents\Analysis\2016-02-23 RTDC Observations" /stypes="*4028*20160730*" /stext=" 18:.+((SYSTEM_STATE.+slice.+state.+changed )|(ment ac)|(system.+state.+changed )|(\|lc)|(penalty)|(\[timeout)|(PRM\|1\|D))" /e /r /s</v>
      </c>
      <c r="AG72" s="1" t="str">
        <f t="shared" si="14"/>
        <v>EC</v>
      </c>
    </row>
    <row r="73" spans="1:33" hidden="1" x14ac:dyDescent="0.25">
      <c r="A73" s="25" t="s">
        <v>784</v>
      </c>
      <c r="B73" s="96">
        <v>4031</v>
      </c>
      <c r="C73" s="97" t="s">
        <v>170</v>
      </c>
      <c r="D73" s="97" t="s">
        <v>854</v>
      </c>
      <c r="E73" s="98">
        <v>42581.464097222219</v>
      </c>
      <c r="F73" s="98">
        <v>42581.465162037035</v>
      </c>
      <c r="G73" s="96">
        <v>1</v>
      </c>
      <c r="H73" s="98" t="s">
        <v>382</v>
      </c>
      <c r="I73" s="98">
        <v>42581.495011574072</v>
      </c>
      <c r="J73" s="96">
        <v>0</v>
      </c>
      <c r="K73" s="123" t="str">
        <f t="shared" si="0"/>
        <v>4031/4032</v>
      </c>
      <c r="L73" s="25" t="str">
        <f>VLOOKUP(A73,'Trips&amp;Operators'!$C$1:$E$10000,3,FALSE)</f>
        <v>BARTLETT</v>
      </c>
      <c r="M73" s="6">
        <f t="shared" si="1"/>
        <v>2.9849537037080154E-2</v>
      </c>
      <c r="N73" s="7">
        <f t="shared" si="2"/>
        <v>42.983333333395422</v>
      </c>
      <c r="O73" s="7"/>
      <c r="P73" s="7"/>
      <c r="Q73" s="26"/>
      <c r="R73" s="26"/>
      <c r="S73" s="41">
        <f t="shared" si="3"/>
        <v>1</v>
      </c>
      <c r="T73" s="59" t="str">
        <f t="shared" si="12"/>
        <v>NorthBound</v>
      </c>
      <c r="U73" s="84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10:08:18-0600',mode:absolute,to:'2016-07-30 12:52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73" s="64" t="str">
        <f t="shared" si="5"/>
        <v>N</v>
      </c>
      <c r="X73" s="126">
        <f t="shared" si="13"/>
        <v>1</v>
      </c>
      <c r="Y73" s="79">
        <f t="shared" si="6"/>
        <v>4.4900000000000002E-2</v>
      </c>
      <c r="Z73" s="79">
        <f t="shared" si="7"/>
        <v>23.328900000000001</v>
      </c>
      <c r="AA73" s="79">
        <f t="shared" si="8"/>
        <v>23.284000000000002</v>
      </c>
      <c r="AB73" s="76" t="e">
        <f>VLOOKUP(A73,Enforcements!$C$7:$J$24,8,0)</f>
        <v>#N/A</v>
      </c>
      <c r="AC73" s="72" t="e">
        <f>VLOOKUP(A73,Enforcements!$C$7:$E$24,3,0)</f>
        <v>#N/A</v>
      </c>
      <c r="AD73" s="73" t="str">
        <f t="shared" si="9"/>
        <v>0161-30</v>
      </c>
      <c r="AE73" s="65" t="str">
        <f t="shared" si="10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73" s="65" t="str">
        <f t="shared" si="11"/>
        <v>"C:\Program Files (x86)\AstroGrep\AstroGrep.exe" /spath="C:\Users\stu\Documents\Analysis\2016-02-23 RTDC Observations" /stypes="*4031*20160730*" /stext=" 17:.+((SYSTEM_STATE.+slice.+state.+changed )|(ment ac)|(system.+state.+changed )|(\|lc)|(penalty)|(\[timeout)|(PRM\|1\|D))" /e /r /s</v>
      </c>
      <c r="AG73" s="1" t="str">
        <f t="shared" si="14"/>
        <v>EC</v>
      </c>
    </row>
    <row r="74" spans="1:33" hidden="1" x14ac:dyDescent="0.25">
      <c r="A74" s="25" t="s">
        <v>777</v>
      </c>
      <c r="B74" s="96">
        <v>4032</v>
      </c>
      <c r="C74" s="97" t="s">
        <v>170</v>
      </c>
      <c r="D74" s="97" t="s">
        <v>383</v>
      </c>
      <c r="E74" s="98">
        <v>42581.502152777779</v>
      </c>
      <c r="F74" s="98">
        <v>42581.50340277778</v>
      </c>
      <c r="G74" s="96">
        <v>1</v>
      </c>
      <c r="H74" s="98" t="s">
        <v>142</v>
      </c>
      <c r="I74" s="98">
        <v>42581.537395833337</v>
      </c>
      <c r="J74" s="96">
        <v>0</v>
      </c>
      <c r="K74" s="123" t="str">
        <f t="shared" si="0"/>
        <v>4031/4032</v>
      </c>
      <c r="L74" s="25" t="str">
        <f>VLOOKUP(A74,'Trips&amp;Operators'!$C$1:$E$10000,3,FALSE)</f>
        <v>BARTLETT</v>
      </c>
      <c r="M74" s="6">
        <f t="shared" si="1"/>
        <v>3.3993055556493346E-2</v>
      </c>
      <c r="N74" s="7">
        <f t="shared" si="2"/>
        <v>48.950000001350418</v>
      </c>
      <c r="O74" s="7"/>
      <c r="P74" s="7"/>
      <c r="Q74" s="26"/>
      <c r="R74" s="26"/>
      <c r="S74" s="41">
        <f t="shared" si="3"/>
        <v>1</v>
      </c>
      <c r="T74" s="59" t="str">
        <f t="shared" si="12"/>
        <v>Southbound</v>
      </c>
      <c r="U74" s="84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11:03:06-0600',mode:absolute,to:'2016-07-30 13:53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74" s="64" t="str">
        <f t="shared" si="5"/>
        <v>N</v>
      </c>
      <c r="X74" s="126">
        <f t="shared" si="13"/>
        <v>1</v>
      </c>
      <c r="Y74" s="79">
        <f t="shared" si="6"/>
        <v>23.296900000000001</v>
      </c>
      <c r="Z74" s="79">
        <f t="shared" si="7"/>
        <v>1.38E-2</v>
      </c>
      <c r="AA74" s="79">
        <f t="shared" si="8"/>
        <v>23.283100000000001</v>
      </c>
      <c r="AB74" s="76" t="e">
        <f>VLOOKUP(A74,Enforcements!$C$7:$J$24,8,0)</f>
        <v>#N/A</v>
      </c>
      <c r="AC74" s="72" t="e">
        <f>VLOOKUP(A74,Enforcements!$C$7:$E$24,3,0)</f>
        <v>#N/A</v>
      </c>
      <c r="AD74" s="73" t="str">
        <f t="shared" si="9"/>
        <v>0162-30</v>
      </c>
      <c r="AE74" s="65" t="str">
        <f t="shared" si="10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74" s="65" t="str">
        <f t="shared" si="11"/>
        <v>"C:\Program Files (x86)\AstroGrep\AstroGrep.exe" /spath="C:\Users\stu\Documents\Analysis\2016-02-23 RTDC Observations" /stypes="*4032*20160730*" /stext=" 18:.+((SYSTEM_STATE.+slice.+state.+changed )|(ment ac)|(system.+state.+changed )|(\|lc)|(penalty)|(\[timeout)|(PRM\|1\|D))" /e /r /s</v>
      </c>
      <c r="AG74" s="1" t="str">
        <f t="shared" si="14"/>
        <v>EC</v>
      </c>
    </row>
    <row r="75" spans="1:33" hidden="1" x14ac:dyDescent="0.25">
      <c r="A75" s="25" t="s">
        <v>793</v>
      </c>
      <c r="B75" s="96">
        <v>4007</v>
      </c>
      <c r="C75" s="97" t="s">
        <v>170</v>
      </c>
      <c r="D75" s="97" t="s">
        <v>344</v>
      </c>
      <c r="E75" s="98">
        <v>42581.478437500002</v>
      </c>
      <c r="F75" s="98">
        <v>42581.48065972222</v>
      </c>
      <c r="G75" s="96">
        <v>3</v>
      </c>
      <c r="H75" s="98" t="s">
        <v>855</v>
      </c>
      <c r="I75" s="98">
        <v>42581.507291666669</v>
      </c>
      <c r="J75" s="96">
        <v>0</v>
      </c>
      <c r="K75" s="123" t="str">
        <f t="shared" si="0"/>
        <v>4007/4008</v>
      </c>
      <c r="L75" s="25" t="str">
        <f>VLOOKUP(A75,'Trips&amp;Operators'!$C$1:$E$10000,3,FALSE)</f>
        <v>MOSES</v>
      </c>
      <c r="M75" s="6">
        <f t="shared" si="1"/>
        <v>2.6631944449036382E-2</v>
      </c>
      <c r="N75" s="7">
        <f t="shared" si="2"/>
        <v>38.35000000661239</v>
      </c>
      <c r="O75" s="7"/>
      <c r="P75" s="7"/>
      <c r="Q75" s="26"/>
      <c r="R75" s="26"/>
      <c r="S75" s="41">
        <f t="shared" si="3"/>
        <v>1</v>
      </c>
      <c r="T75" s="59" t="str">
        <f t="shared" si="12"/>
        <v>NorthBound</v>
      </c>
      <c r="U75" s="84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10:28:57-0600',mode:absolute,to:'2016-07-30 13:10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75" s="64" t="str">
        <f t="shared" si="5"/>
        <v>N</v>
      </c>
      <c r="X75" s="126">
        <f t="shared" si="13"/>
        <v>1</v>
      </c>
      <c r="Y75" s="79">
        <f t="shared" si="6"/>
        <v>7.4300000000000005E-2</v>
      </c>
      <c r="Z75" s="79">
        <f t="shared" si="7"/>
        <v>23.333400000000001</v>
      </c>
      <c r="AA75" s="79">
        <f t="shared" si="8"/>
        <v>23.2591</v>
      </c>
      <c r="AB75" s="76" t="e">
        <f>VLOOKUP(A75,Enforcements!$C$7:$J$24,8,0)</f>
        <v>#N/A</v>
      </c>
      <c r="AC75" s="72" t="e">
        <f>VLOOKUP(A75,Enforcements!$C$7:$E$24,3,0)</f>
        <v>#N/A</v>
      </c>
      <c r="AD75" s="73" t="str">
        <f t="shared" si="9"/>
        <v>0163-30</v>
      </c>
      <c r="AE75" s="65" t="str">
        <f t="shared" si="10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75" s="65" t="str">
        <f t="shared" si="11"/>
        <v>"C:\Program Files (x86)\AstroGrep\AstroGrep.exe" /spath="C:\Users\stu\Documents\Analysis\2016-02-23 RTDC Observations" /stypes="*4007*20160730*" /stext=" 18:.+((SYSTEM_STATE.+slice.+state.+changed )|(ment ac)|(system.+state.+changed )|(\|lc)|(penalty)|(\[timeout)|(PRM\|1\|D))" /e /r /s</v>
      </c>
      <c r="AG75" s="1" t="str">
        <f t="shared" si="14"/>
        <v>EC</v>
      </c>
    </row>
    <row r="76" spans="1:33" hidden="1" x14ac:dyDescent="0.25">
      <c r="A76" s="25" t="s">
        <v>808</v>
      </c>
      <c r="B76" s="96">
        <v>4043</v>
      </c>
      <c r="C76" s="97" t="s">
        <v>170</v>
      </c>
      <c r="D76" s="97" t="s">
        <v>856</v>
      </c>
      <c r="E76" s="98">
        <v>42581.516574074078</v>
      </c>
      <c r="F76" s="98">
        <v>42581.518865740742</v>
      </c>
      <c r="G76" s="96">
        <v>3</v>
      </c>
      <c r="H76" s="98" t="s">
        <v>379</v>
      </c>
      <c r="I76" s="98">
        <v>42581.546620370369</v>
      </c>
      <c r="J76" s="96">
        <v>0</v>
      </c>
      <c r="K76" s="123" t="str">
        <f t="shared" si="0"/>
        <v>4043/4044</v>
      </c>
      <c r="L76" s="25" t="str">
        <f>VLOOKUP(A76,'Trips&amp;Operators'!$C$1:$E$10000,3,FALSE)</f>
        <v>MOSES</v>
      </c>
      <c r="M76" s="6">
        <f t="shared" si="1"/>
        <v>2.7754629627452232E-2</v>
      </c>
      <c r="N76" s="7">
        <f t="shared" si="2"/>
        <v>39.966666663531214</v>
      </c>
      <c r="O76" s="7"/>
      <c r="P76" s="7"/>
      <c r="Q76" s="26"/>
      <c r="R76" s="26"/>
      <c r="S76" s="41">
        <f t="shared" si="3"/>
        <v>1</v>
      </c>
      <c r="T76" s="59" t="str">
        <f t="shared" si="12"/>
        <v>Southbound</v>
      </c>
      <c r="U76" s="84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4" t="str">
        <f t="shared" si="4"/>
        <v>https://search-rtdc-monitor-bjffxe2xuh6vdkpspy63sjmuny.us-east-1.es.amazonaws.com/_plugin/kibana/#/discover/Steve-Slow-Train-Analysis-(2080s-and-2083s)?_g=(refreshInterval:(display:Off,section:0,value:0),time:(from:'2016-07-30 11:23:52-0600',mode:absolute,to:'2016-07-30 14:07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76" s="64" t="str">
        <f t="shared" si="5"/>
        <v>N</v>
      </c>
      <c r="X76" s="126">
        <f t="shared" si="13"/>
        <v>1</v>
      </c>
      <c r="Y76" s="79">
        <f t="shared" si="6"/>
        <v>23.2683</v>
      </c>
      <c r="Z76" s="79">
        <f t="shared" si="7"/>
        <v>1.32E-2</v>
      </c>
      <c r="AA76" s="79">
        <f t="shared" si="8"/>
        <v>23.255099999999999</v>
      </c>
      <c r="AB76" s="76" t="e">
        <f>VLOOKUP(A76,Enforcements!$C$7:$J$24,8,0)</f>
        <v>#N/A</v>
      </c>
      <c r="AC76" s="72" t="e">
        <f>VLOOKUP(A76,Enforcements!$C$7:$E$24,3,0)</f>
        <v>#N/A</v>
      </c>
      <c r="AD76" s="73" t="str">
        <f t="shared" si="9"/>
        <v>0164-30</v>
      </c>
      <c r="AE76" s="65" t="str">
        <f t="shared" si="10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76" s="65" t="str">
        <f t="shared" si="11"/>
        <v>"C:\Program Files (x86)\AstroGrep\AstroGrep.exe" /spath="C:\Users\stu\Documents\Analysis\2016-02-23 RTDC Observations" /stypes="*4043*20160730*" /stext=" 19:.+((SYSTEM_STATE.+slice.+state.+changed )|(ment ac)|(system.+state.+changed )|(\|lc)|(penalty)|(\[timeout)|(PRM\|1\|D))" /e /r /s</v>
      </c>
      <c r="AG76" s="1" t="str">
        <f t="shared" si="14"/>
        <v>EC</v>
      </c>
    </row>
    <row r="77" spans="1:33" hidden="1" x14ac:dyDescent="0.25">
      <c r="A77" s="25" t="s">
        <v>788</v>
      </c>
      <c r="B77" s="96">
        <v>4016</v>
      </c>
      <c r="C77" s="97" t="s">
        <v>170</v>
      </c>
      <c r="D77" s="97" t="s">
        <v>857</v>
      </c>
      <c r="E77" s="98">
        <v>42581.486840277779</v>
      </c>
      <c r="F77" s="98">
        <v>42581.487916666665</v>
      </c>
      <c r="G77" s="96">
        <v>1</v>
      </c>
      <c r="H77" s="98" t="s">
        <v>155</v>
      </c>
      <c r="I77" s="98">
        <v>42581.51734953704</v>
      </c>
      <c r="J77" s="96">
        <v>0</v>
      </c>
      <c r="K77" s="123" t="str">
        <f t="shared" ref="K77:K140" si="29">IF(ISEVEN(B77),(B77-1)&amp;"/"&amp;B77,B77&amp;"/"&amp;(B77+1))</f>
        <v>4015/4016</v>
      </c>
      <c r="L77" s="25" t="str">
        <f>VLOOKUP(A77,'Trips&amp;Operators'!$C$1:$E$10000,3,FALSE)</f>
        <v>REBOLETTI</v>
      </c>
      <c r="M77" s="6">
        <f t="shared" ref="M77:M140" si="30">I77-F77</f>
        <v>2.9432870374876074E-2</v>
      </c>
      <c r="N77" s="7">
        <f t="shared" ref="N77:N140" si="31">24*60*SUM($M77:$M77)</f>
        <v>42.383333339821547</v>
      </c>
      <c r="O77" s="7"/>
      <c r="P77" s="7"/>
      <c r="Q77" s="26"/>
      <c r="R77" s="26"/>
      <c r="S77" s="41">
        <f t="shared" ref="S77:S140" si="32">SUM(U77:U77)/IF(AG77="EC",12,1)</f>
        <v>1</v>
      </c>
      <c r="T77" s="59" t="str">
        <f t="shared" si="12"/>
        <v>NorthBound</v>
      </c>
      <c r="U77" s="84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4" t="str">
        <f t="shared" ref="V77:V140" si="33">"https://search-rtdc-monitor-bjffxe2xuh6vdkpspy63sjmuny.us-east-1.es.amazonaws.com/_plugin/kibana/#/discover/Steve-Slow-Train-Analysis-(2080s-and-2083s)?_g=(refreshInterval:(display:Off,section:0,value:0),time:(from:'"&amp;TEXT(E77-1/24,"yyyy-MM-DD hh:mm:ss")&amp;"-0600',mode:absolute,to:'"&amp;TEXT(I77+1/24,"yyyy-MM-DD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77&amp;"%22')),sort:!(Time,asc))"</f>
        <v>https://search-rtdc-monitor-bjffxe2xuh6vdkpspy63sjmuny.us-east-1.es.amazonaws.com/_plugin/kibana/#/discover/Steve-Slow-Train-Analysis-(2080s-and-2083s)?_g=(refreshInterval:(display:Off,section:0,value:0),time:(from:'2016-07-30 10:41:03-0600',mode:absolute,to:'2016-07-30 13:24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7" s="64" t="str">
        <f t="shared" ref="W77:W140" si="34">IF(AA77&lt;IF(AG77="EC",23,5.65),"Y","N")</f>
        <v>N</v>
      </c>
      <c r="X77" s="126">
        <f t="shared" si="13"/>
        <v>1</v>
      </c>
      <c r="Y77" s="79">
        <f t="shared" ref="Y77:Y140" si="35">RIGHT(D77,LEN(D77)-4)/10000</f>
        <v>4.4600000000000001E-2</v>
      </c>
      <c r="Z77" s="79">
        <f t="shared" ref="Z77:Z140" si="36">RIGHT(H77,LEN(H77)-4)/10000</f>
        <v>23.330300000000001</v>
      </c>
      <c r="AA77" s="79">
        <f t="shared" ref="AA77:AA140" si="37">ABS(Z77-Y77)</f>
        <v>23.285700000000002</v>
      </c>
      <c r="AB77" s="76" t="e">
        <f>VLOOKUP(A77,Enforcements!$C$7:$J$24,8,0)</f>
        <v>#N/A</v>
      </c>
      <c r="AC77" s="72" t="e">
        <f>VLOOKUP(A77,Enforcements!$C$7:$E$24,3,0)</f>
        <v>#N/A</v>
      </c>
      <c r="AD77" s="73" t="str">
        <f t="shared" ref="AD77:AD140" si="38">IF(LEN(A77)=6,"0"&amp;A77,A77)</f>
        <v>0165-30</v>
      </c>
      <c r="AE77" s="65" t="str">
        <f t="shared" ref="AE77:AE140" si="39">"aws s3 cp "&amp;s3_bucket&amp;"/RTDC"&amp;B77&amp;"/"&amp;TEXT(F77,"YYYY-MM-DD")&amp;"/ "&amp;search_path&amp;"\RTDC"&amp;B77&amp;"\"&amp;TEXT(F77,"YYYY-MM-DD")&amp;" --recursive &amp; """&amp;walkandungz&amp;""" "&amp;search_path&amp;"\RTDC"&amp;B77&amp;"\"&amp;TEXT(F77,"YYYY-MM-DD")
&amp;" &amp; "&amp;"aws s3 cp "&amp;s3_bucket&amp;"/RTDC"&amp;B77&amp;"/"&amp;TEXT(F77+1,"YYYY-MM-DD")&amp;"/ "&amp;search_path&amp;"\RTDC"&amp;B77&amp;"\"&amp;TEXT(F77+1,"YYYY-MM-DD")&amp;" --recursive &amp; """&amp;walkandungz&amp;""" "&amp;search_path&amp;"\RTDC"&amp;B77&amp;"\"&amp;TEXT(F77+1,"YYYY-MM-DD")</f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77" s="65" t="str">
        <f t="shared" ref="AF77:AF140" si="40">astrogrep_path&amp;" /spath="&amp;search_path&amp;" /stypes=""*"&amp;B77&amp;"*"&amp;TEXT(I77-utc_offset/24,"YYYYMMDD")&amp;"*"" /stext="" "&amp;TEXT(I77-utc_offset/24,"HH")&amp;search_regexp&amp;""" /e /r /s"</f>
        <v>"C:\Program Files (x86)\AstroGrep\AstroGrep.exe" /spath="C:\Users\stu\Documents\Analysis\2016-02-23 RTDC Observations" /stypes="*4016*20160730*" /stext=" 18:.+((SYSTEM_STATE.+slice.+state.+changed )|(ment ac)|(system.+state.+changed )|(\|lc)|(penalty)|(\[timeout)|(PRM\|1\|D))" /e /r /s</v>
      </c>
      <c r="AG77" s="1" t="str">
        <f t="shared" si="14"/>
        <v>EC</v>
      </c>
    </row>
    <row r="78" spans="1:33" hidden="1" x14ac:dyDescent="0.25">
      <c r="A78" s="25" t="s">
        <v>819</v>
      </c>
      <c r="B78" s="96">
        <v>4015</v>
      </c>
      <c r="C78" s="97" t="s">
        <v>170</v>
      </c>
      <c r="D78" s="97" t="s">
        <v>858</v>
      </c>
      <c r="E78" s="98">
        <v>42581.523229166669</v>
      </c>
      <c r="F78" s="98">
        <v>42581.524502314816</v>
      </c>
      <c r="G78" s="96">
        <v>1</v>
      </c>
      <c r="H78" s="98" t="s">
        <v>149</v>
      </c>
      <c r="I78" s="98">
        <v>42581.557372685187</v>
      </c>
      <c r="J78" s="96">
        <v>0</v>
      </c>
      <c r="K78" s="123" t="str">
        <f t="shared" si="29"/>
        <v>4015/4016</v>
      </c>
      <c r="L78" s="25" t="str">
        <f>VLOOKUP(A78,'Trips&amp;Operators'!$C$1:$E$10000,3,FALSE)</f>
        <v>REBOLETTI</v>
      </c>
      <c r="M78" s="6">
        <f t="shared" si="30"/>
        <v>3.2870370370801538E-2</v>
      </c>
      <c r="N78" s="7">
        <f t="shared" si="31"/>
        <v>47.333333333954215</v>
      </c>
      <c r="O78" s="7"/>
      <c r="P78" s="7"/>
      <c r="Q78" s="26"/>
      <c r="R78" s="26"/>
      <c r="S78" s="41">
        <f t="shared" si="32"/>
        <v>1</v>
      </c>
      <c r="T78" s="59" t="str">
        <f t="shared" ref="T78:T141" si="41">IF(ISEVEN(LEFT(AD78,4)),"Southbound","NorthBound")</f>
        <v>Southbound</v>
      </c>
      <c r="U78" s="84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11:33:27-0600',mode:absolute,to:'2016-07-30 14:22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8" s="64" t="str">
        <f t="shared" si="34"/>
        <v>N</v>
      </c>
      <c r="X78" s="126">
        <f t="shared" ref="X78:X141" si="42">VALUE(LEFT(AD78,4))-VALUE(LEFT(AD77,4))</f>
        <v>1</v>
      </c>
      <c r="Y78" s="79">
        <f t="shared" si="35"/>
        <v>23.299199999999999</v>
      </c>
      <c r="Z78" s="79">
        <f t="shared" si="36"/>
        <v>1.41E-2</v>
      </c>
      <c r="AA78" s="79">
        <f t="shared" si="37"/>
        <v>23.2851</v>
      </c>
      <c r="AB78" s="76" t="e">
        <f>VLOOKUP(A78,Enforcements!$C$7:$J$24,8,0)</f>
        <v>#N/A</v>
      </c>
      <c r="AC78" s="72" t="e">
        <f>VLOOKUP(A78,Enforcements!$C$7:$E$24,3,0)</f>
        <v>#N/A</v>
      </c>
      <c r="AD78" s="73" t="str">
        <f t="shared" si="38"/>
        <v>0166-30</v>
      </c>
      <c r="AE78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78" s="65" t="str">
        <f t="shared" si="40"/>
        <v>"C:\Program Files (x86)\AstroGrep\AstroGrep.exe" /spath="C:\Users\stu\Documents\Analysis\2016-02-23 RTDC Observations" /stypes="*4015*20160730*" /stext=" 19:.+((SYSTEM_STATE.+slice.+state.+changed )|(ment ac)|(system.+state.+changed )|(\|lc)|(penalty)|(\[timeout)|(PRM\|1\|D))" /e /r /s</v>
      </c>
      <c r="AG78" s="1" t="str">
        <f t="shared" ref="AG78:AG141" si="43">IF(VALUE(LEFT(AD78,2))&lt;=2,"EC",IF(OR(VALUE(LEFT(AD78,2))=8,VALUE(LEFT(AD78,2))=18),"NW","GL"))</f>
        <v>EC</v>
      </c>
    </row>
    <row r="79" spans="1:33" hidden="1" x14ac:dyDescent="0.25">
      <c r="A79" s="25" t="s">
        <v>765</v>
      </c>
      <c r="B79" s="96">
        <v>4029</v>
      </c>
      <c r="C79" s="97" t="s">
        <v>170</v>
      </c>
      <c r="D79" s="97" t="s">
        <v>64</v>
      </c>
      <c r="E79" s="98">
        <v>42581.49895833333</v>
      </c>
      <c r="F79" s="98">
        <v>42581.500451388885</v>
      </c>
      <c r="G79" s="96">
        <v>2</v>
      </c>
      <c r="H79" s="98" t="s">
        <v>256</v>
      </c>
      <c r="I79" s="98">
        <v>42581.525659722225</v>
      </c>
      <c r="J79" s="96">
        <v>0</v>
      </c>
      <c r="K79" s="123" t="str">
        <f t="shared" si="29"/>
        <v>4029/4030</v>
      </c>
      <c r="L79" s="25" t="str">
        <f>VLOOKUP(A79,'Trips&amp;Operators'!$C$1:$E$10000,3,FALSE)</f>
        <v>BRUDER</v>
      </c>
      <c r="M79" s="6">
        <f t="shared" si="30"/>
        <v>2.5208333339833189E-2</v>
      </c>
      <c r="N79" s="7">
        <f t="shared" si="31"/>
        <v>36.300000009359792</v>
      </c>
      <c r="O79" s="7"/>
      <c r="P79" s="7"/>
      <c r="Q79" s="26"/>
      <c r="R79" s="26"/>
      <c r="S79" s="41">
        <f t="shared" si="32"/>
        <v>1</v>
      </c>
      <c r="T79" s="59" t="str">
        <f t="shared" si="41"/>
        <v>NorthBound</v>
      </c>
      <c r="U79" s="84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10:58:30-0600',mode:absolute,to:'2016-07-30 13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9" s="64" t="str">
        <f t="shared" si="34"/>
        <v>N</v>
      </c>
      <c r="X79" s="126">
        <f t="shared" si="42"/>
        <v>1</v>
      </c>
      <c r="Y79" s="79">
        <f t="shared" si="35"/>
        <v>4.5999999999999999E-2</v>
      </c>
      <c r="Z79" s="79">
        <f t="shared" si="36"/>
        <v>23.331</v>
      </c>
      <c r="AA79" s="79">
        <f t="shared" si="37"/>
        <v>23.285</v>
      </c>
      <c r="AB79" s="76" t="e">
        <f>VLOOKUP(A79,Enforcements!$C$7:$J$24,8,0)</f>
        <v>#N/A</v>
      </c>
      <c r="AC79" s="72" t="e">
        <f>VLOOKUP(A79,Enforcements!$C$7:$E$24,3,0)</f>
        <v>#N/A</v>
      </c>
      <c r="AD79" s="73" t="str">
        <f t="shared" si="38"/>
        <v>0167-30</v>
      </c>
      <c r="AE79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79" s="65" t="str">
        <f t="shared" si="40"/>
        <v>"C:\Program Files (x86)\AstroGrep\AstroGrep.exe" /spath="C:\Users\stu\Documents\Analysis\2016-02-23 RTDC Observations" /stypes="*4029*20160730*" /stext=" 18:.+((SYSTEM_STATE.+slice.+state.+changed )|(ment ac)|(system.+state.+changed )|(\|lc)|(penalty)|(\[timeout)|(PRM\|1\|D))" /e /r /s</v>
      </c>
      <c r="AG79" s="1" t="str">
        <f t="shared" si="43"/>
        <v>EC</v>
      </c>
    </row>
    <row r="80" spans="1:33" hidden="1" x14ac:dyDescent="0.25">
      <c r="A80" s="25" t="s">
        <v>800</v>
      </c>
      <c r="B80" s="96">
        <v>4030</v>
      </c>
      <c r="C80" s="97" t="s">
        <v>170</v>
      </c>
      <c r="D80" s="97" t="s">
        <v>172</v>
      </c>
      <c r="E80" s="98">
        <v>42581.534062500003</v>
      </c>
      <c r="F80" s="98">
        <v>42581.536134259259</v>
      </c>
      <c r="G80" s="96">
        <v>2</v>
      </c>
      <c r="H80" s="98" t="s">
        <v>166</v>
      </c>
      <c r="I80" s="98">
        <v>42581.565821759257</v>
      </c>
      <c r="J80" s="96">
        <v>0</v>
      </c>
      <c r="K80" s="123" t="str">
        <f t="shared" si="29"/>
        <v>4029/4030</v>
      </c>
      <c r="L80" s="25" t="str">
        <f>VLOOKUP(A80,'Trips&amp;Operators'!$C$1:$E$10000,3,FALSE)</f>
        <v>BRUDER</v>
      </c>
      <c r="M80" s="6">
        <f t="shared" si="30"/>
        <v>2.9687499998544808E-2</v>
      </c>
      <c r="N80" s="7">
        <f t="shared" si="31"/>
        <v>42.749999997904524</v>
      </c>
      <c r="O80" s="7"/>
      <c r="P80" s="7"/>
      <c r="Q80" s="26"/>
      <c r="R80" s="26"/>
      <c r="S80" s="41">
        <f t="shared" si="32"/>
        <v>1</v>
      </c>
      <c r="T80" s="59" t="str">
        <f t="shared" si="41"/>
        <v>Southbound</v>
      </c>
      <c r="U80" s="84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11:49:03-0600',mode:absolute,to:'2016-07-30 14:34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0" s="64" t="str">
        <f t="shared" si="34"/>
        <v>N</v>
      </c>
      <c r="X80" s="126">
        <f t="shared" si="42"/>
        <v>1</v>
      </c>
      <c r="Y80" s="79">
        <f t="shared" si="35"/>
        <v>23.2989</v>
      </c>
      <c r="Z80" s="79">
        <f t="shared" si="36"/>
        <v>1.5800000000000002E-2</v>
      </c>
      <c r="AA80" s="79">
        <f t="shared" si="37"/>
        <v>23.283100000000001</v>
      </c>
      <c r="AB80" s="76" t="e">
        <f>VLOOKUP(A80,Enforcements!$C$7:$J$24,8,0)</f>
        <v>#N/A</v>
      </c>
      <c r="AC80" s="72" t="e">
        <f>VLOOKUP(A80,Enforcements!$C$7:$E$24,3,0)</f>
        <v>#N/A</v>
      </c>
      <c r="AD80" s="73" t="str">
        <f t="shared" si="38"/>
        <v>0168-30</v>
      </c>
      <c r="AE80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80" s="65" t="str">
        <f t="shared" si="40"/>
        <v>"C:\Program Files (x86)\AstroGrep\AstroGrep.exe" /spath="C:\Users\stu\Documents\Analysis\2016-02-23 RTDC Observations" /stypes="*4030*20160730*" /stext=" 19:.+((SYSTEM_STATE.+slice.+state.+changed )|(ment ac)|(system.+state.+changed )|(\|lc)|(penalty)|(\[timeout)|(PRM\|1\|D))" /e /r /s</v>
      </c>
      <c r="AG80" s="1" t="str">
        <f t="shared" si="43"/>
        <v>EC</v>
      </c>
    </row>
    <row r="81" spans="1:33" hidden="1" x14ac:dyDescent="0.25">
      <c r="A81" s="25" t="s">
        <v>827</v>
      </c>
      <c r="B81" s="96">
        <v>4014</v>
      </c>
      <c r="C81" s="97" t="s">
        <v>170</v>
      </c>
      <c r="D81" s="97" t="s">
        <v>859</v>
      </c>
      <c r="E81" s="98">
        <v>42581.506203703706</v>
      </c>
      <c r="F81" s="98">
        <v>42581.511053240742</v>
      </c>
      <c r="G81" s="96">
        <v>6</v>
      </c>
      <c r="H81" s="98" t="s">
        <v>151</v>
      </c>
      <c r="I81" s="98">
        <v>42581.537094907406</v>
      </c>
      <c r="J81" s="96">
        <v>0</v>
      </c>
      <c r="K81" s="123" t="str">
        <f t="shared" si="29"/>
        <v>4013/4014</v>
      </c>
      <c r="L81" s="25" t="str">
        <f>VLOOKUP(A81,'Trips&amp;Operators'!$C$1:$E$10000,3,FALSE)</f>
        <v>MAYBERRY</v>
      </c>
      <c r="M81" s="6">
        <f t="shared" si="30"/>
        <v>2.6041666664241347E-2</v>
      </c>
      <c r="N81" s="7">
        <f t="shared" si="31"/>
        <v>37.49999999650754</v>
      </c>
      <c r="O81" s="7"/>
      <c r="P81" s="7"/>
      <c r="Q81" s="26"/>
      <c r="R81" s="26"/>
      <c r="S81" s="41">
        <f t="shared" si="32"/>
        <v>1</v>
      </c>
      <c r="T81" s="59" t="str">
        <f t="shared" si="41"/>
        <v>NorthBound</v>
      </c>
      <c r="U81" s="84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11:08:56-0600',mode:absolute,to:'2016-07-30 13:53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81" s="64" t="str">
        <f t="shared" si="34"/>
        <v>N</v>
      </c>
      <c r="X81" s="126">
        <f t="shared" si="42"/>
        <v>1</v>
      </c>
      <c r="Y81" s="79">
        <f t="shared" si="35"/>
        <v>8.6999999999999994E-2</v>
      </c>
      <c r="Z81" s="79">
        <f t="shared" si="36"/>
        <v>23.3293</v>
      </c>
      <c r="AA81" s="79">
        <f t="shared" si="37"/>
        <v>23.2423</v>
      </c>
      <c r="AB81" s="76" t="e">
        <f>VLOOKUP(A81,Enforcements!$C$7:$J$24,8,0)</f>
        <v>#N/A</v>
      </c>
      <c r="AC81" s="72" t="e">
        <f>VLOOKUP(A81,Enforcements!$C$7:$E$24,3,0)</f>
        <v>#N/A</v>
      </c>
      <c r="AD81" s="73" t="str">
        <f t="shared" si="38"/>
        <v>0169-30</v>
      </c>
      <c r="AE81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81" s="65" t="str">
        <f t="shared" si="40"/>
        <v>"C:\Program Files (x86)\AstroGrep\AstroGrep.exe" /spath="C:\Users\stu\Documents\Analysis\2016-02-23 RTDC Observations" /stypes="*4014*20160730*" /stext=" 18:.+((SYSTEM_STATE.+slice.+state.+changed )|(ment ac)|(system.+state.+changed )|(\|lc)|(penalty)|(\[timeout)|(PRM\|1\|D))" /e /r /s</v>
      </c>
      <c r="AG81" s="1" t="str">
        <f t="shared" si="43"/>
        <v>EC</v>
      </c>
    </row>
    <row r="82" spans="1:33" hidden="1" x14ac:dyDescent="0.25">
      <c r="A82" s="25" t="s">
        <v>804</v>
      </c>
      <c r="B82" s="96">
        <v>4012</v>
      </c>
      <c r="C82" s="97" t="s">
        <v>170</v>
      </c>
      <c r="D82" s="97" t="s">
        <v>860</v>
      </c>
      <c r="E82" s="98">
        <v>42581.544490740744</v>
      </c>
      <c r="F82" s="98">
        <v>42581.547280092593</v>
      </c>
      <c r="G82" s="96">
        <v>4</v>
      </c>
      <c r="H82" s="98" t="s">
        <v>861</v>
      </c>
      <c r="I82" s="98">
        <v>42581.578657407408</v>
      </c>
      <c r="J82" s="96">
        <v>1</v>
      </c>
      <c r="K82" s="123" t="str">
        <f t="shared" si="29"/>
        <v>4011/4012</v>
      </c>
      <c r="L82" s="25" t="str">
        <f>VLOOKUP(A82,'Trips&amp;Operators'!$C$1:$E$10000,3,FALSE)</f>
        <v>MAYBERRY</v>
      </c>
      <c r="M82" s="6">
        <f t="shared" si="30"/>
        <v>3.1377314815472346E-2</v>
      </c>
      <c r="N82" s="7">
        <f t="shared" si="31"/>
        <v>45.183333334280178</v>
      </c>
      <c r="O82" s="7"/>
      <c r="P82" s="7"/>
      <c r="Q82" s="26"/>
      <c r="R82" s="26"/>
      <c r="S82" s="41">
        <f t="shared" si="32"/>
        <v>1</v>
      </c>
      <c r="T82" s="59" t="str">
        <f t="shared" si="41"/>
        <v>Southbound</v>
      </c>
      <c r="U82" s="84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12:04:04-0600',mode:absolute,to:'2016-07-30 14:53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82" s="64" t="str">
        <f t="shared" si="34"/>
        <v>N</v>
      </c>
      <c r="X82" s="126">
        <f t="shared" si="42"/>
        <v>1</v>
      </c>
      <c r="Y82" s="79">
        <f t="shared" si="35"/>
        <v>23.264399999999998</v>
      </c>
      <c r="Z82" s="79">
        <f t="shared" si="36"/>
        <v>1.8499999999999999E-2</v>
      </c>
      <c r="AA82" s="79">
        <f t="shared" si="37"/>
        <v>23.245899999999999</v>
      </c>
      <c r="AB82" s="76">
        <f>VLOOKUP(A82,Enforcements!$C$7:$J$24,8,0)</f>
        <v>1</v>
      </c>
      <c r="AC82" s="72" t="str">
        <f>VLOOKUP(A82,Enforcements!$C$7:$E$24,3,0)</f>
        <v>TRACK WARRANT AUTHORITY</v>
      </c>
      <c r="AD82" s="73" t="str">
        <f t="shared" si="38"/>
        <v>0170-30</v>
      </c>
      <c r="AE82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82" s="65" t="str">
        <f t="shared" si="40"/>
        <v>"C:\Program Files (x86)\AstroGrep\AstroGrep.exe" /spath="C:\Users\stu\Documents\Analysis\2016-02-23 RTDC Observations" /stypes="*4012*20160730*" /stext=" 19:.+((SYSTEM_STATE.+slice.+state.+changed )|(ment ac)|(system.+state.+changed )|(\|lc)|(penalty)|(\[timeout)|(PRM\|1\|D))" /e /r /s</v>
      </c>
      <c r="AG82" s="1" t="str">
        <f t="shared" si="43"/>
        <v>EC</v>
      </c>
    </row>
    <row r="83" spans="1:33" hidden="1" x14ac:dyDescent="0.25">
      <c r="A83" s="25" t="s">
        <v>756</v>
      </c>
      <c r="B83" s="96">
        <v>4018</v>
      </c>
      <c r="C83" s="97" t="s">
        <v>170</v>
      </c>
      <c r="D83" s="97" t="s">
        <v>857</v>
      </c>
      <c r="E83" s="98">
        <v>42581.518888888888</v>
      </c>
      <c r="F83" s="98">
        <v>42581.52</v>
      </c>
      <c r="G83" s="96">
        <v>1</v>
      </c>
      <c r="H83" s="98" t="s">
        <v>862</v>
      </c>
      <c r="I83" s="98">
        <v>42581.546400462961</v>
      </c>
      <c r="J83" s="96">
        <v>0</v>
      </c>
      <c r="K83" s="123" t="str">
        <f t="shared" si="29"/>
        <v>4017/4018</v>
      </c>
      <c r="L83" s="25" t="str">
        <f>VLOOKUP(A83,'Trips&amp;Operators'!$C$1:$E$10000,3,FALSE)</f>
        <v>WEBSTER</v>
      </c>
      <c r="M83" s="6">
        <f t="shared" si="30"/>
        <v>2.6400462964375038E-2</v>
      </c>
      <c r="N83" s="7">
        <f t="shared" si="31"/>
        <v>38.016666668700054</v>
      </c>
      <c r="O83" s="7"/>
      <c r="P83" s="7"/>
      <c r="Q83" s="26"/>
      <c r="R83" s="26"/>
      <c r="S83" s="41">
        <f t="shared" si="32"/>
        <v>1</v>
      </c>
      <c r="T83" s="59" t="str">
        <f t="shared" si="41"/>
        <v>NorthBound</v>
      </c>
      <c r="U83" s="84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11:27:12-0600',mode:absolute,to:'2016-07-30 14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83" s="64" t="str">
        <f t="shared" si="34"/>
        <v>N</v>
      </c>
      <c r="X83" s="126">
        <f t="shared" si="42"/>
        <v>1</v>
      </c>
      <c r="Y83" s="79">
        <f t="shared" si="35"/>
        <v>4.4600000000000001E-2</v>
      </c>
      <c r="Z83" s="79">
        <f t="shared" si="36"/>
        <v>23.331700000000001</v>
      </c>
      <c r="AA83" s="79">
        <f t="shared" si="37"/>
        <v>23.287100000000002</v>
      </c>
      <c r="AB83" s="76" t="e">
        <f>VLOOKUP(A83,Enforcements!$C$7:$J$24,8,0)</f>
        <v>#N/A</v>
      </c>
      <c r="AC83" s="72" t="e">
        <f>VLOOKUP(A83,Enforcements!$C$7:$E$24,3,0)</f>
        <v>#N/A</v>
      </c>
      <c r="AD83" s="73" t="str">
        <f t="shared" si="38"/>
        <v>0171-30</v>
      </c>
      <c r="AE83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83" s="65" t="str">
        <f t="shared" si="40"/>
        <v>"C:\Program Files (x86)\AstroGrep\AstroGrep.exe" /spath="C:\Users\stu\Documents\Analysis\2016-02-23 RTDC Observations" /stypes="*4018*20160730*" /stext=" 19:.+((SYSTEM_STATE.+slice.+state.+changed )|(ment ac)|(system.+state.+changed )|(\|lc)|(penalty)|(\[timeout)|(PRM\|1\|D))" /e /r /s</v>
      </c>
      <c r="AG83" s="1" t="str">
        <f t="shared" si="43"/>
        <v>EC</v>
      </c>
    </row>
    <row r="84" spans="1:33" hidden="1" x14ac:dyDescent="0.25">
      <c r="A84" s="25" t="s">
        <v>775</v>
      </c>
      <c r="B84" s="96">
        <v>4017</v>
      </c>
      <c r="C84" s="97" t="s">
        <v>170</v>
      </c>
      <c r="D84" s="97" t="s">
        <v>172</v>
      </c>
      <c r="E84" s="98">
        <v>42581.551712962966</v>
      </c>
      <c r="F84" s="98">
        <v>42581.553148148145</v>
      </c>
      <c r="G84" s="96">
        <v>2</v>
      </c>
      <c r="H84" s="98" t="s">
        <v>100</v>
      </c>
      <c r="I84" s="98">
        <v>42581.586886574078</v>
      </c>
      <c r="J84" s="96">
        <v>0</v>
      </c>
      <c r="K84" s="123" t="str">
        <f t="shared" si="29"/>
        <v>4017/4018</v>
      </c>
      <c r="L84" s="25" t="str">
        <f>VLOOKUP(A84,'Trips&amp;Operators'!$C$1:$E$10000,3,FALSE)</f>
        <v>WEBSTER</v>
      </c>
      <c r="M84" s="6">
        <f t="shared" si="30"/>
        <v>3.3738425932824612E-2</v>
      </c>
      <c r="N84" s="7">
        <f t="shared" si="31"/>
        <v>48.583333343267441</v>
      </c>
      <c r="O84" s="7"/>
      <c r="P84" s="7"/>
      <c r="Q84" s="26"/>
      <c r="R84" s="26"/>
      <c r="S84" s="41">
        <f t="shared" si="32"/>
        <v>1</v>
      </c>
      <c r="T84" s="59" t="str">
        <f t="shared" si="41"/>
        <v>Southbound</v>
      </c>
      <c r="U84" s="84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12:14:28-0600',mode:absolute,to:'2016-07-30 15:05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84" s="64" t="str">
        <f t="shared" si="34"/>
        <v>N</v>
      </c>
      <c r="X84" s="126">
        <f t="shared" si="42"/>
        <v>1</v>
      </c>
      <c r="Y84" s="79">
        <f t="shared" si="35"/>
        <v>23.2989</v>
      </c>
      <c r="Z84" s="79">
        <f t="shared" si="36"/>
        <v>1.43E-2</v>
      </c>
      <c r="AA84" s="79">
        <f t="shared" si="37"/>
        <v>23.284600000000001</v>
      </c>
      <c r="AB84" s="76" t="e">
        <f>VLOOKUP(A84,Enforcements!$C$7:$J$24,8,0)</f>
        <v>#N/A</v>
      </c>
      <c r="AC84" s="72" t="e">
        <f>VLOOKUP(A84,Enforcements!$C$7:$E$24,3,0)</f>
        <v>#N/A</v>
      </c>
      <c r="AD84" s="73" t="str">
        <f t="shared" si="38"/>
        <v>0172-30</v>
      </c>
      <c r="AE84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84" s="65" t="str">
        <f t="shared" si="40"/>
        <v>"C:\Program Files (x86)\AstroGrep\AstroGrep.exe" /spath="C:\Users\stu\Documents\Analysis\2016-02-23 RTDC Observations" /stypes="*4017*20160730*" /stext=" 20:.+((SYSTEM_STATE.+slice.+state.+changed )|(ment ac)|(system.+state.+changed )|(\|lc)|(penalty)|(\[timeout)|(PRM\|1\|D))" /e /r /s</v>
      </c>
      <c r="AG84" s="1" t="str">
        <f t="shared" si="43"/>
        <v>EC</v>
      </c>
    </row>
    <row r="85" spans="1:33" hidden="1" x14ac:dyDescent="0.25">
      <c r="A85" s="25" t="s">
        <v>815</v>
      </c>
      <c r="B85" s="96">
        <v>4027</v>
      </c>
      <c r="C85" s="97" t="s">
        <v>170</v>
      </c>
      <c r="D85" s="97" t="s">
        <v>361</v>
      </c>
      <c r="E85" s="98">
        <v>42581.529027777775</v>
      </c>
      <c r="F85" s="98">
        <v>42581.530289351853</v>
      </c>
      <c r="G85" s="96">
        <v>1</v>
      </c>
      <c r="H85" s="98" t="s">
        <v>863</v>
      </c>
      <c r="I85" s="98">
        <v>42581.558761574073</v>
      </c>
      <c r="J85" s="96">
        <v>1</v>
      </c>
      <c r="K85" s="123" t="str">
        <f t="shared" si="29"/>
        <v>4027/4028</v>
      </c>
      <c r="L85" s="25" t="str">
        <f>VLOOKUP(A85,'Trips&amp;Operators'!$C$1:$E$10000,3,FALSE)</f>
        <v>STEWART</v>
      </c>
      <c r="M85" s="6">
        <f t="shared" si="30"/>
        <v>2.8472222220443655E-2</v>
      </c>
      <c r="N85" s="7">
        <f t="shared" si="31"/>
        <v>40.999999997438863</v>
      </c>
      <c r="O85" s="7"/>
      <c r="P85" s="7"/>
      <c r="Q85" s="26"/>
      <c r="R85" s="26"/>
      <c r="S85" s="41">
        <f t="shared" si="32"/>
        <v>1</v>
      </c>
      <c r="T85" s="59" t="str">
        <f t="shared" si="41"/>
        <v>NorthBound</v>
      </c>
      <c r="U85" s="84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11:41:48-0600',mode:absolute,to:'2016-07-30 14:24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5" s="64" t="str">
        <f t="shared" si="34"/>
        <v>N</v>
      </c>
      <c r="X85" s="126">
        <f t="shared" si="42"/>
        <v>1</v>
      </c>
      <c r="Y85" s="79">
        <f t="shared" si="35"/>
        <v>4.5699999999999998E-2</v>
      </c>
      <c r="Z85" s="79">
        <f t="shared" si="36"/>
        <v>23.327000000000002</v>
      </c>
      <c r="AA85" s="79">
        <f t="shared" si="37"/>
        <v>23.281300000000002</v>
      </c>
      <c r="AB85" s="76" t="e">
        <f>VLOOKUP(A85,Enforcements!$C$7:$J$24,8,0)</f>
        <v>#N/A</v>
      </c>
      <c r="AC85" s="72" t="e">
        <f>VLOOKUP(A85,Enforcements!$C$7:$E$24,3,0)</f>
        <v>#N/A</v>
      </c>
      <c r="AD85" s="73" t="str">
        <f t="shared" si="38"/>
        <v>0173-30</v>
      </c>
      <c r="AE85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85" s="65" t="str">
        <f t="shared" si="40"/>
        <v>"C:\Program Files (x86)\AstroGrep\AstroGrep.exe" /spath="C:\Users\stu\Documents\Analysis\2016-02-23 RTDC Observations" /stypes="*4027*20160730*" /stext=" 19:.+((SYSTEM_STATE.+slice.+state.+changed )|(ment ac)|(system.+state.+changed )|(\|lc)|(penalty)|(\[timeout)|(PRM\|1\|D))" /e /r /s</v>
      </c>
      <c r="AG85" s="1" t="str">
        <f t="shared" si="43"/>
        <v>EC</v>
      </c>
    </row>
    <row r="86" spans="1:33" hidden="1" x14ac:dyDescent="0.25">
      <c r="A86" s="25" t="s">
        <v>789</v>
      </c>
      <c r="B86" s="96">
        <v>4028</v>
      </c>
      <c r="C86" s="97" t="s">
        <v>170</v>
      </c>
      <c r="D86" s="97" t="s">
        <v>864</v>
      </c>
      <c r="E86" s="98">
        <v>42581.566874999997</v>
      </c>
      <c r="F86" s="98">
        <v>42581.56790509259</v>
      </c>
      <c r="G86" s="96">
        <v>1</v>
      </c>
      <c r="H86" s="98" t="s">
        <v>59</v>
      </c>
      <c r="I86" s="98">
        <v>42581.599050925928</v>
      </c>
      <c r="J86" s="96">
        <v>0</v>
      </c>
      <c r="K86" s="123" t="str">
        <f t="shared" si="29"/>
        <v>4027/4028</v>
      </c>
      <c r="L86" s="25" t="str">
        <f>VLOOKUP(A86,'Trips&amp;Operators'!$C$1:$E$10000,3,FALSE)</f>
        <v>STEWART</v>
      </c>
      <c r="M86" s="6">
        <f t="shared" si="30"/>
        <v>3.1145833338086959E-2</v>
      </c>
      <c r="N86" s="7">
        <f t="shared" si="31"/>
        <v>44.850000006845221</v>
      </c>
      <c r="O86" s="7"/>
      <c r="P86" s="7"/>
      <c r="Q86" s="26"/>
      <c r="R86" s="26"/>
      <c r="S86" s="41">
        <f t="shared" si="32"/>
        <v>1</v>
      </c>
      <c r="T86" s="59" t="str">
        <f t="shared" si="41"/>
        <v>Southbound</v>
      </c>
      <c r="U86" s="84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12:36:18-0600',mode:absolute,to:'2016-07-30 15:22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6" s="64" t="str">
        <f t="shared" si="34"/>
        <v>N</v>
      </c>
      <c r="X86" s="126">
        <f t="shared" si="42"/>
        <v>1</v>
      </c>
      <c r="Y86" s="79">
        <f t="shared" si="35"/>
        <v>23.294799999999999</v>
      </c>
      <c r="Z86" s="79">
        <f t="shared" si="36"/>
        <v>1.52E-2</v>
      </c>
      <c r="AA86" s="79">
        <f t="shared" si="37"/>
        <v>23.279599999999999</v>
      </c>
      <c r="AB86" s="76" t="e">
        <f>VLOOKUP(A86,Enforcements!$C$7:$J$24,8,0)</f>
        <v>#N/A</v>
      </c>
      <c r="AC86" s="72" t="e">
        <f>VLOOKUP(A86,Enforcements!$C$7:$E$24,3,0)</f>
        <v>#N/A</v>
      </c>
      <c r="AD86" s="73" t="str">
        <f t="shared" si="38"/>
        <v>0174-30</v>
      </c>
      <c r="AE86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86" s="65" t="str">
        <f t="shared" si="40"/>
        <v>"C:\Program Files (x86)\AstroGrep\AstroGrep.exe" /spath="C:\Users\stu\Documents\Analysis\2016-02-23 RTDC Observations" /stypes="*4028*20160730*" /stext=" 20:.+((SYSTEM_STATE.+slice.+state.+changed )|(ment ac)|(system.+state.+changed )|(\|lc)|(penalty)|(\[timeout)|(PRM\|1\|D))" /e /r /s</v>
      </c>
      <c r="AG86" s="1" t="str">
        <f t="shared" si="43"/>
        <v>EC</v>
      </c>
    </row>
    <row r="87" spans="1:33" hidden="1" x14ac:dyDescent="0.25">
      <c r="A87" s="25" t="s">
        <v>743</v>
      </c>
      <c r="B87" s="96">
        <v>4031</v>
      </c>
      <c r="C87" s="97" t="s">
        <v>170</v>
      </c>
      <c r="D87" s="97" t="s">
        <v>139</v>
      </c>
      <c r="E87" s="98">
        <v>42581.539074074077</v>
      </c>
      <c r="F87" s="98">
        <v>42581.539837962962</v>
      </c>
      <c r="G87" s="96">
        <v>1</v>
      </c>
      <c r="H87" s="98" t="s">
        <v>865</v>
      </c>
      <c r="I87" s="98">
        <v>42581.568310185183</v>
      </c>
      <c r="J87" s="96">
        <v>0</v>
      </c>
      <c r="K87" s="123" t="str">
        <f t="shared" si="29"/>
        <v>4031/4032</v>
      </c>
      <c r="L87" s="25" t="str">
        <f>VLOOKUP(A87,'Trips&amp;Operators'!$C$1:$E$10000,3,FALSE)</f>
        <v>BARTLETT</v>
      </c>
      <c r="M87" s="6">
        <f t="shared" si="30"/>
        <v>2.8472222220443655E-2</v>
      </c>
      <c r="N87" s="7">
        <f t="shared" si="31"/>
        <v>40.999999997438863</v>
      </c>
      <c r="O87" s="7"/>
      <c r="P87" s="7"/>
      <c r="Q87" s="26"/>
      <c r="R87" s="26"/>
      <c r="S87" s="41">
        <f t="shared" si="32"/>
        <v>1</v>
      </c>
      <c r="T87" s="59" t="str">
        <f t="shared" si="41"/>
        <v>NorthBound</v>
      </c>
      <c r="U87" s="84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11:56:16-0600',mode:absolute,to:'2016-07-30 14:38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87" s="64" t="str">
        <f t="shared" si="34"/>
        <v>N</v>
      </c>
      <c r="X87" s="126">
        <f t="shared" si="42"/>
        <v>1</v>
      </c>
      <c r="Y87" s="79">
        <f t="shared" si="35"/>
        <v>4.6399999999999997E-2</v>
      </c>
      <c r="Z87" s="79">
        <f t="shared" si="36"/>
        <v>23.328499999999998</v>
      </c>
      <c r="AA87" s="79">
        <f t="shared" si="37"/>
        <v>23.2821</v>
      </c>
      <c r="AB87" s="76" t="e">
        <f>VLOOKUP(A87,Enforcements!$C$7:$J$24,8,0)</f>
        <v>#N/A</v>
      </c>
      <c r="AC87" s="72" t="e">
        <f>VLOOKUP(A87,Enforcements!$C$7:$E$24,3,0)</f>
        <v>#N/A</v>
      </c>
      <c r="AD87" s="73" t="str">
        <f t="shared" si="38"/>
        <v>0175-30</v>
      </c>
      <c r="AE87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87" s="65" t="str">
        <f t="shared" si="40"/>
        <v>"C:\Program Files (x86)\AstroGrep\AstroGrep.exe" /spath="C:\Users\stu\Documents\Analysis\2016-02-23 RTDC Observations" /stypes="*4031*20160730*" /stext=" 19:.+((SYSTEM_STATE.+slice.+state.+changed )|(ment ac)|(system.+state.+changed )|(\|lc)|(penalty)|(\[timeout)|(PRM\|1\|D))" /e /r /s</v>
      </c>
      <c r="AG87" s="1" t="str">
        <f t="shared" si="43"/>
        <v>EC</v>
      </c>
    </row>
    <row r="88" spans="1:33" hidden="1" x14ac:dyDescent="0.25">
      <c r="A88" s="25" t="s">
        <v>814</v>
      </c>
      <c r="B88" s="96">
        <v>4032</v>
      </c>
      <c r="C88" s="97" t="s">
        <v>170</v>
      </c>
      <c r="D88" s="97" t="s">
        <v>852</v>
      </c>
      <c r="E88" s="98">
        <v>42581.575844907406</v>
      </c>
      <c r="F88" s="98">
        <v>42581.577222222222</v>
      </c>
      <c r="G88" s="96">
        <v>1</v>
      </c>
      <c r="H88" s="98" t="s">
        <v>836</v>
      </c>
      <c r="I88" s="98">
        <v>42581.6090625</v>
      </c>
      <c r="J88" s="96">
        <v>1</v>
      </c>
      <c r="K88" s="123" t="str">
        <f t="shared" si="29"/>
        <v>4031/4032</v>
      </c>
      <c r="L88" s="25" t="str">
        <f>VLOOKUP(A88,'Trips&amp;Operators'!$C$1:$E$10000,3,FALSE)</f>
        <v>BARTLETT</v>
      </c>
      <c r="M88" s="6">
        <f t="shared" si="30"/>
        <v>3.1840277777519077E-2</v>
      </c>
      <c r="N88" s="7">
        <f t="shared" si="31"/>
        <v>45.849999999627471</v>
      </c>
      <c r="O88" s="7"/>
      <c r="P88" s="7"/>
      <c r="Q88" s="26"/>
      <c r="R88" s="26"/>
      <c r="S88" s="41">
        <f t="shared" si="32"/>
        <v>1</v>
      </c>
      <c r="T88" s="59" t="str">
        <f t="shared" si="41"/>
        <v>Southbound</v>
      </c>
      <c r="U88" s="84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12:49:13-0600',mode:absolute,to:'2016-07-30 15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88" s="64" t="str">
        <f t="shared" si="34"/>
        <v>N</v>
      </c>
      <c r="X88" s="126">
        <f t="shared" si="42"/>
        <v>1</v>
      </c>
      <c r="Y88" s="79">
        <f t="shared" si="35"/>
        <v>23.297899999999998</v>
      </c>
      <c r="Z88" s="79">
        <f t="shared" si="36"/>
        <v>1.67E-2</v>
      </c>
      <c r="AA88" s="79">
        <f t="shared" si="37"/>
        <v>23.281199999999998</v>
      </c>
      <c r="AB88" s="76">
        <f>VLOOKUP(A88,Enforcements!$C$7:$J$24,8,0)</f>
        <v>133166</v>
      </c>
      <c r="AC88" s="72" t="str">
        <f>VLOOKUP(A88,Enforcements!$C$7:$E$24,3,0)</f>
        <v>SIGNAL</v>
      </c>
      <c r="AD88" s="73" t="str">
        <f t="shared" si="38"/>
        <v>0176-30</v>
      </c>
      <c r="AE88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88" s="65" t="str">
        <f t="shared" si="40"/>
        <v>"C:\Program Files (x86)\AstroGrep\AstroGrep.exe" /spath="C:\Users\stu\Documents\Analysis\2016-02-23 RTDC Observations" /stypes="*4032*20160730*" /stext=" 20:.+((SYSTEM_STATE.+slice.+state.+changed )|(ment ac)|(system.+state.+changed )|(\|lc)|(penalty)|(\[timeout)|(PRM\|1\|D))" /e /r /s</v>
      </c>
      <c r="AG88" s="1" t="str">
        <f t="shared" si="43"/>
        <v>EC</v>
      </c>
    </row>
    <row r="89" spans="1:33" hidden="1" x14ac:dyDescent="0.25">
      <c r="A89" s="25" t="s">
        <v>807</v>
      </c>
      <c r="B89" s="96">
        <v>4007</v>
      </c>
      <c r="C89" s="97" t="s">
        <v>170</v>
      </c>
      <c r="D89" s="97" t="s">
        <v>866</v>
      </c>
      <c r="E89" s="98">
        <v>42581.549849537034</v>
      </c>
      <c r="F89" s="98">
        <v>42581.551793981482</v>
      </c>
      <c r="G89" s="96">
        <v>2</v>
      </c>
      <c r="H89" s="98" t="s">
        <v>867</v>
      </c>
      <c r="I89" s="98">
        <v>42581.580081018517</v>
      </c>
      <c r="J89" s="96">
        <v>0</v>
      </c>
      <c r="K89" s="123" t="str">
        <f t="shared" si="29"/>
        <v>4007/4008</v>
      </c>
      <c r="L89" s="25" t="str">
        <f>VLOOKUP(A89,'Trips&amp;Operators'!$C$1:$E$10000,3,FALSE)</f>
        <v>MOSES</v>
      </c>
      <c r="M89" s="6">
        <f t="shared" si="30"/>
        <v>2.8287037035624962E-2</v>
      </c>
      <c r="N89" s="7">
        <f t="shared" si="31"/>
        <v>40.733333331299946</v>
      </c>
      <c r="O89" s="7"/>
      <c r="P89" s="7"/>
      <c r="Q89" s="26"/>
      <c r="R89" s="26"/>
      <c r="S89" s="41">
        <f t="shared" si="32"/>
        <v>1</v>
      </c>
      <c r="T89" s="59" t="str">
        <f t="shared" si="41"/>
        <v>NorthBound</v>
      </c>
      <c r="U89" s="84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12:11:47-0600',mode:absolute,to:'2016-07-30 14:55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9" s="64" t="str">
        <f t="shared" si="34"/>
        <v>N</v>
      </c>
      <c r="X89" s="126">
        <f t="shared" si="42"/>
        <v>1</v>
      </c>
      <c r="Y89" s="79">
        <f t="shared" si="35"/>
        <v>7.46E-2</v>
      </c>
      <c r="Z89" s="79">
        <f t="shared" si="36"/>
        <v>23.3353</v>
      </c>
      <c r="AA89" s="79">
        <f t="shared" si="37"/>
        <v>23.2607</v>
      </c>
      <c r="AB89" s="76" t="e">
        <f>VLOOKUP(A89,Enforcements!$C$7:$J$24,8,0)</f>
        <v>#N/A</v>
      </c>
      <c r="AC89" s="72" t="e">
        <f>VLOOKUP(A89,Enforcements!$C$7:$E$24,3,0)</f>
        <v>#N/A</v>
      </c>
      <c r="AD89" s="73" t="str">
        <f t="shared" si="38"/>
        <v>0177-30</v>
      </c>
      <c r="AE89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89" s="65" t="str">
        <f t="shared" si="40"/>
        <v>"C:\Program Files (x86)\AstroGrep\AstroGrep.exe" /spath="C:\Users\stu\Documents\Analysis\2016-02-23 RTDC Observations" /stypes="*4007*20160730*" /stext=" 19:.+((SYSTEM_STATE.+slice.+state.+changed )|(ment ac)|(system.+state.+changed )|(\|lc)|(penalty)|(\[timeout)|(PRM\|1\|D))" /e /r /s</v>
      </c>
      <c r="AG89" s="1" t="str">
        <f t="shared" si="43"/>
        <v>EC</v>
      </c>
    </row>
    <row r="90" spans="1:33" hidden="1" x14ac:dyDescent="0.25">
      <c r="A90" s="25" t="s">
        <v>746</v>
      </c>
      <c r="B90" s="96">
        <v>4043</v>
      </c>
      <c r="C90" s="97" t="s">
        <v>170</v>
      </c>
      <c r="D90" s="97" t="s">
        <v>860</v>
      </c>
      <c r="E90" s="98">
        <v>42581.586377314816</v>
      </c>
      <c r="F90" s="98">
        <v>42581.588194444441</v>
      </c>
      <c r="G90" s="96">
        <v>2</v>
      </c>
      <c r="H90" s="98" t="s">
        <v>360</v>
      </c>
      <c r="I90" s="98">
        <v>42581.619328703702</v>
      </c>
      <c r="J90" s="96">
        <v>0</v>
      </c>
      <c r="K90" s="123" t="str">
        <f t="shared" si="29"/>
        <v>4043/4044</v>
      </c>
      <c r="L90" s="25" t="str">
        <f>VLOOKUP(A90,'Trips&amp;Operators'!$C$1:$E$10000,3,FALSE)</f>
        <v>MOSES</v>
      </c>
      <c r="M90" s="6">
        <f t="shared" si="30"/>
        <v>3.1134259261307307E-2</v>
      </c>
      <c r="N90" s="7">
        <f t="shared" si="31"/>
        <v>44.833333336282521</v>
      </c>
      <c r="O90" s="7"/>
      <c r="P90" s="7"/>
      <c r="Q90" s="26"/>
      <c r="R90" s="26"/>
      <c r="S90" s="41">
        <f t="shared" si="32"/>
        <v>1</v>
      </c>
      <c r="T90" s="59" t="str">
        <f t="shared" si="41"/>
        <v>Southbound</v>
      </c>
      <c r="U90" s="84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13:04:23-0600',mode:absolute,to:'2016-07-30 15:51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90" s="64" t="str">
        <f t="shared" si="34"/>
        <v>N</v>
      </c>
      <c r="X90" s="126">
        <f t="shared" si="42"/>
        <v>1</v>
      </c>
      <c r="Y90" s="79">
        <f t="shared" si="35"/>
        <v>23.264399999999998</v>
      </c>
      <c r="Z90" s="79">
        <f t="shared" si="36"/>
        <v>1.61E-2</v>
      </c>
      <c r="AA90" s="79">
        <f t="shared" si="37"/>
        <v>23.248299999999997</v>
      </c>
      <c r="AB90" s="76" t="e">
        <f>VLOOKUP(A90,Enforcements!$C$7:$J$24,8,0)</f>
        <v>#N/A</v>
      </c>
      <c r="AC90" s="72" t="e">
        <f>VLOOKUP(A90,Enforcements!$C$7:$E$24,3,0)</f>
        <v>#N/A</v>
      </c>
      <c r="AD90" s="73" t="str">
        <f t="shared" si="38"/>
        <v>0178-30</v>
      </c>
      <c r="AE90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90" s="65" t="str">
        <f t="shared" si="40"/>
        <v>"C:\Program Files (x86)\AstroGrep\AstroGrep.exe" /spath="C:\Users\stu\Documents\Analysis\2016-02-23 RTDC Observations" /stypes="*4043*20160730*" /stext=" 20:.+((SYSTEM_STATE.+slice.+state.+changed )|(ment ac)|(system.+state.+changed )|(\|lc)|(penalty)|(\[timeout)|(PRM\|1\|D))" /e /r /s</v>
      </c>
      <c r="AG90" s="1" t="str">
        <f t="shared" si="43"/>
        <v>EC</v>
      </c>
    </row>
    <row r="91" spans="1:33" hidden="1" x14ac:dyDescent="0.25">
      <c r="A91" s="25" t="s">
        <v>748</v>
      </c>
      <c r="B91" s="96">
        <v>4016</v>
      </c>
      <c r="C91" s="97" t="s">
        <v>170</v>
      </c>
      <c r="D91" s="97" t="s">
        <v>868</v>
      </c>
      <c r="E91" s="98">
        <v>42581.558969907404</v>
      </c>
      <c r="F91" s="98">
        <v>42581.560358796298</v>
      </c>
      <c r="G91" s="96">
        <v>2</v>
      </c>
      <c r="H91" s="98" t="s">
        <v>243</v>
      </c>
      <c r="I91" s="98">
        <v>42581.587893518517</v>
      </c>
      <c r="J91" s="96">
        <v>1</v>
      </c>
      <c r="K91" s="123" t="str">
        <f t="shared" si="29"/>
        <v>4015/4016</v>
      </c>
      <c r="L91" s="25" t="str">
        <f>VLOOKUP(A91,'Trips&amp;Operators'!$C$1:$E$10000,3,FALSE)</f>
        <v>REBOLETTI</v>
      </c>
      <c r="M91" s="6">
        <f t="shared" si="30"/>
        <v>2.753472221957054E-2</v>
      </c>
      <c r="N91" s="7">
        <f t="shared" si="31"/>
        <v>39.649999996181577</v>
      </c>
      <c r="O91" s="7"/>
      <c r="P91" s="7"/>
      <c r="Q91" s="26"/>
      <c r="R91" s="26"/>
      <c r="S91" s="41">
        <f t="shared" si="32"/>
        <v>1</v>
      </c>
      <c r="T91" s="59" t="str">
        <f t="shared" si="41"/>
        <v>NorthBound</v>
      </c>
      <c r="U91" s="84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12:24:55-0600',mode:absolute,to:'2016-07-30 15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1" s="64" t="str">
        <f t="shared" si="34"/>
        <v>N</v>
      </c>
      <c r="X91" s="126">
        <f t="shared" si="42"/>
        <v>1</v>
      </c>
      <c r="Y91" s="79">
        <f t="shared" si="35"/>
        <v>4.5499999999999999E-2</v>
      </c>
      <c r="Z91" s="79">
        <f t="shared" si="36"/>
        <v>23.3306</v>
      </c>
      <c r="AA91" s="79">
        <f t="shared" si="37"/>
        <v>23.2851</v>
      </c>
      <c r="AB91" s="76">
        <f>VLOOKUP(A91,Enforcements!$C$7:$J$24,8,0)</f>
        <v>63069</v>
      </c>
      <c r="AC91" s="72" t="str">
        <f>VLOOKUP(A91,Enforcements!$C$7:$E$24,3,0)</f>
        <v>GRADE CROSSING</v>
      </c>
      <c r="AD91" s="73" t="str">
        <f t="shared" si="38"/>
        <v>0179-30</v>
      </c>
      <c r="AE91" s="65" t="str">
        <f t="shared" si="39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91" s="65" t="str">
        <f t="shared" si="40"/>
        <v>"C:\Program Files (x86)\AstroGrep\AstroGrep.exe" /spath="C:\Users\stu\Documents\Analysis\2016-02-23 RTDC Observations" /stypes="*4016*20160730*" /stext=" 20:.+((SYSTEM_STATE.+slice.+state.+changed )|(ment ac)|(system.+state.+changed )|(\|lc)|(penalty)|(\[timeout)|(PRM\|1\|D))" /e /r /s</v>
      </c>
      <c r="AG91" s="1" t="str">
        <f t="shared" si="43"/>
        <v>EC</v>
      </c>
    </row>
    <row r="92" spans="1:33" hidden="1" x14ac:dyDescent="0.25">
      <c r="A92" s="25" t="s">
        <v>799</v>
      </c>
      <c r="B92" s="96">
        <v>4015</v>
      </c>
      <c r="C92" s="97" t="s">
        <v>170</v>
      </c>
      <c r="D92" s="97" t="s">
        <v>252</v>
      </c>
      <c r="E92" s="98">
        <v>42581.593854166669</v>
      </c>
      <c r="F92" s="98">
        <v>42581.594965277778</v>
      </c>
      <c r="G92" s="96">
        <v>1</v>
      </c>
      <c r="H92" s="98" t="s">
        <v>165</v>
      </c>
      <c r="I92" s="98">
        <v>42581.628692129627</v>
      </c>
      <c r="J92" s="96">
        <v>0</v>
      </c>
      <c r="K92" s="123" t="str">
        <f t="shared" si="29"/>
        <v>4015/4016</v>
      </c>
      <c r="L92" s="25" t="str">
        <f>VLOOKUP(A92,'Trips&amp;Operators'!$C$1:$E$10000,3,FALSE)</f>
        <v>REBOLETTI</v>
      </c>
      <c r="M92" s="6">
        <f t="shared" si="30"/>
        <v>3.3726851848769002E-2</v>
      </c>
      <c r="N92" s="7">
        <f t="shared" si="31"/>
        <v>48.566666662227362</v>
      </c>
      <c r="O92" s="7"/>
      <c r="P92" s="7"/>
      <c r="Q92" s="26"/>
      <c r="R92" s="26"/>
      <c r="S92" s="41">
        <f t="shared" si="32"/>
        <v>1</v>
      </c>
      <c r="T92" s="59" t="str">
        <f t="shared" si="41"/>
        <v>Southbound</v>
      </c>
      <c r="U92" s="84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13:15:09-0600',mode:absolute,to:'2016-07-30 16:05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2" s="64" t="str">
        <f t="shared" si="34"/>
        <v>N</v>
      </c>
      <c r="X92" s="126">
        <f t="shared" si="42"/>
        <v>1</v>
      </c>
      <c r="Y92" s="79">
        <f t="shared" si="35"/>
        <v>23.2987</v>
      </c>
      <c r="Z92" s="79">
        <f t="shared" si="36"/>
        <v>1.49E-2</v>
      </c>
      <c r="AA92" s="79">
        <f t="shared" si="37"/>
        <v>23.283799999999999</v>
      </c>
      <c r="AB92" s="76" t="e">
        <f>VLOOKUP(A92,Enforcements!$C$7:$J$24,8,0)</f>
        <v>#N/A</v>
      </c>
      <c r="AC92" s="72" t="e">
        <f>VLOOKUP(A92,Enforcements!$C$7:$E$24,3,0)</f>
        <v>#N/A</v>
      </c>
      <c r="AD92" s="73" t="str">
        <f t="shared" si="38"/>
        <v>0180-30</v>
      </c>
      <c r="AE92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92" s="65" t="str">
        <f t="shared" si="40"/>
        <v>"C:\Program Files (x86)\AstroGrep\AstroGrep.exe" /spath="C:\Users\stu\Documents\Analysis\2016-02-23 RTDC Observations" /stypes="*4015*20160730*" /stext=" 21:.+((SYSTEM_STATE.+slice.+state.+changed )|(ment ac)|(system.+state.+changed )|(\|lc)|(penalty)|(\[timeout)|(PRM\|1\|D))" /e /r /s</v>
      </c>
      <c r="AG92" s="1" t="str">
        <f t="shared" si="43"/>
        <v>EC</v>
      </c>
    </row>
    <row r="93" spans="1:33" hidden="1" x14ac:dyDescent="0.25">
      <c r="A93" s="25" t="s">
        <v>821</v>
      </c>
      <c r="B93" s="96">
        <v>4029</v>
      </c>
      <c r="C93" s="97" t="s">
        <v>170</v>
      </c>
      <c r="D93" s="97" t="s">
        <v>116</v>
      </c>
      <c r="E93" s="98">
        <v>42581.568460648145</v>
      </c>
      <c r="F93" s="98">
        <v>42581.569826388892</v>
      </c>
      <c r="G93" s="96">
        <v>1</v>
      </c>
      <c r="H93" s="98" t="s">
        <v>159</v>
      </c>
      <c r="I93" s="98">
        <v>42581.599444444444</v>
      </c>
      <c r="J93" s="96">
        <v>0</v>
      </c>
      <c r="K93" s="123" t="str">
        <f t="shared" si="29"/>
        <v>4029/4030</v>
      </c>
      <c r="L93" s="25" t="str">
        <f>VLOOKUP(A93,'Trips&amp;Operators'!$C$1:$E$10000,3,FALSE)</f>
        <v>BRUDER</v>
      </c>
      <c r="M93" s="6">
        <f t="shared" si="30"/>
        <v>2.9618055552418809E-2</v>
      </c>
      <c r="N93" s="7">
        <f t="shared" si="31"/>
        <v>42.649999995483086</v>
      </c>
      <c r="O93" s="7"/>
      <c r="P93" s="7"/>
      <c r="Q93" s="26"/>
      <c r="R93" s="26"/>
      <c r="S93" s="41">
        <f t="shared" si="32"/>
        <v>1</v>
      </c>
      <c r="T93" s="59" t="str">
        <f t="shared" si="41"/>
        <v>NorthBound</v>
      </c>
      <c r="U93" s="84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12:38:35-0600',mode:absolute,to:'2016-07-30 15:23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93" s="64" t="str">
        <f t="shared" si="34"/>
        <v>N</v>
      </c>
      <c r="X93" s="126">
        <f t="shared" si="42"/>
        <v>1</v>
      </c>
      <c r="Y93" s="79">
        <f t="shared" si="35"/>
        <v>4.58E-2</v>
      </c>
      <c r="Z93" s="79">
        <f t="shared" si="36"/>
        <v>23.329499999999999</v>
      </c>
      <c r="AA93" s="79">
        <f t="shared" si="37"/>
        <v>23.2837</v>
      </c>
      <c r="AB93" s="76" t="e">
        <f>VLOOKUP(A93,Enforcements!$C$7:$J$24,8,0)</f>
        <v>#N/A</v>
      </c>
      <c r="AC93" s="72" t="e">
        <f>VLOOKUP(A93,Enforcements!$C$7:$E$24,3,0)</f>
        <v>#N/A</v>
      </c>
      <c r="AD93" s="73" t="str">
        <f t="shared" si="38"/>
        <v>0181-30</v>
      </c>
      <c r="AE93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93" s="65" t="str">
        <f t="shared" si="40"/>
        <v>"C:\Program Files (x86)\AstroGrep\AstroGrep.exe" /spath="C:\Users\stu\Documents\Analysis\2016-02-23 RTDC Observations" /stypes="*4029*20160730*" /stext=" 20:.+((SYSTEM_STATE.+slice.+state.+changed )|(ment ac)|(system.+state.+changed )|(\|lc)|(penalty)|(\[timeout)|(PRM\|1\|D))" /e /r /s</v>
      </c>
      <c r="AG93" s="1" t="str">
        <f t="shared" si="43"/>
        <v>EC</v>
      </c>
    </row>
    <row r="94" spans="1:33" hidden="1" x14ac:dyDescent="0.25">
      <c r="A94" s="45" t="s">
        <v>757</v>
      </c>
      <c r="B94" s="7">
        <v>4030</v>
      </c>
      <c r="C94" s="25" t="s">
        <v>170</v>
      </c>
      <c r="D94" s="25" t="s">
        <v>870</v>
      </c>
      <c r="E94" s="16">
        <v>42581.608067129629</v>
      </c>
      <c r="F94" s="16">
        <v>42581.6090625</v>
      </c>
      <c r="G94" s="7">
        <v>1</v>
      </c>
      <c r="H94" s="16" t="s">
        <v>165</v>
      </c>
      <c r="I94" s="16">
        <v>42581.63858796296</v>
      </c>
      <c r="J94" s="7">
        <v>0</v>
      </c>
      <c r="K94" s="123" t="str">
        <f t="shared" si="29"/>
        <v>4029/4030</v>
      </c>
      <c r="L94" s="25" t="str">
        <f>VLOOKUP(A94,'Trips&amp;Operators'!$C$1:$E$10000,3,FALSE)</f>
        <v>BRUDER</v>
      </c>
      <c r="M94" s="6">
        <f t="shared" si="30"/>
        <v>2.9525462960009463E-2</v>
      </c>
      <c r="N94" s="7">
        <f t="shared" si="31"/>
        <v>42.516666662413627</v>
      </c>
      <c r="O94" s="7"/>
      <c r="P94" s="7"/>
      <c r="Q94" s="26"/>
      <c r="R94" s="26"/>
      <c r="S94" s="41">
        <f t="shared" si="32"/>
        <v>1</v>
      </c>
      <c r="T94" s="59" t="str">
        <f t="shared" si="41"/>
        <v>Southbound</v>
      </c>
      <c r="U94" s="84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13:35:37-0600',mode:absolute,to:'2016-07-30 16:19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94" s="64" t="str">
        <f t="shared" si="34"/>
        <v>N</v>
      </c>
      <c r="X94" s="126">
        <f t="shared" si="42"/>
        <v>1</v>
      </c>
      <c r="Y94" s="79">
        <f t="shared" si="35"/>
        <v>23.2973</v>
      </c>
      <c r="Z94" s="79">
        <f t="shared" si="36"/>
        <v>1.49E-2</v>
      </c>
      <c r="AA94" s="79">
        <f t="shared" si="37"/>
        <v>23.282399999999999</v>
      </c>
      <c r="AB94" s="76" t="e">
        <f>VLOOKUP(A94,Enforcements!$C$7:$J$24,8,0)</f>
        <v>#N/A</v>
      </c>
      <c r="AC94" s="72" t="e">
        <f>VLOOKUP(A94,Enforcements!$C$7:$E$24,3,0)</f>
        <v>#N/A</v>
      </c>
      <c r="AD94" s="73" t="str">
        <f t="shared" si="38"/>
        <v>0182-30</v>
      </c>
      <c r="AE94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94" s="65" t="str">
        <f t="shared" si="40"/>
        <v>"C:\Program Files (x86)\AstroGrep\AstroGrep.exe" /spath="C:\Users\stu\Documents\Analysis\2016-02-23 RTDC Observations" /stypes="*4030*20160730*" /stext=" 21:.+((SYSTEM_STATE.+slice.+state.+changed )|(ment ac)|(system.+state.+changed )|(\|lc)|(penalty)|(\[timeout)|(PRM\|1\|D))" /e /r /s</v>
      </c>
      <c r="AG94" s="1" t="str">
        <f t="shared" si="43"/>
        <v>EC</v>
      </c>
    </row>
    <row r="95" spans="1:33" hidden="1" x14ac:dyDescent="0.25">
      <c r="A95" s="45" t="s">
        <v>727</v>
      </c>
      <c r="B95" s="7">
        <v>4014</v>
      </c>
      <c r="C95" s="25" t="s">
        <v>170</v>
      </c>
      <c r="D95" s="25" t="s">
        <v>882</v>
      </c>
      <c r="E95" s="16">
        <v>42581.580659722225</v>
      </c>
      <c r="F95" s="16">
        <v>42581.584224537037</v>
      </c>
      <c r="G95" s="7">
        <v>5</v>
      </c>
      <c r="H95" s="16" t="s">
        <v>171</v>
      </c>
      <c r="I95" s="16">
        <v>42581.609965277778</v>
      </c>
      <c r="J95" s="7">
        <v>0</v>
      </c>
      <c r="K95" s="123" t="str">
        <f t="shared" si="29"/>
        <v>4013/4014</v>
      </c>
      <c r="L95" s="25" t="str">
        <f>VLOOKUP(A95,'Trips&amp;Operators'!$C$1:$E$10000,3,FALSE)</f>
        <v>MAYBERRY</v>
      </c>
      <c r="M95" s="6">
        <f t="shared" si="30"/>
        <v>2.5740740740729962E-2</v>
      </c>
      <c r="N95" s="7">
        <f t="shared" si="31"/>
        <v>37.066666666651145</v>
      </c>
      <c r="O95" s="7"/>
      <c r="P95" s="7"/>
      <c r="Q95" s="26"/>
      <c r="R95" s="26"/>
      <c r="S95" s="41">
        <f t="shared" si="32"/>
        <v>1</v>
      </c>
      <c r="T95" s="59" t="str">
        <f t="shared" si="41"/>
        <v>NorthBound</v>
      </c>
      <c r="U95" s="84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12:56:09-0600',mode:absolute,to:'2016-07-30 15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95" s="64" t="str">
        <f t="shared" si="34"/>
        <v>N</v>
      </c>
      <c r="X95" s="126">
        <f t="shared" si="42"/>
        <v>1</v>
      </c>
      <c r="Y95" s="79">
        <f t="shared" si="35"/>
        <v>0.1229</v>
      </c>
      <c r="Z95" s="79">
        <f t="shared" si="36"/>
        <v>23.3291</v>
      </c>
      <c r="AA95" s="79">
        <f t="shared" si="37"/>
        <v>23.206199999999999</v>
      </c>
      <c r="AB95" s="76" t="e">
        <f>VLOOKUP(A95,Enforcements!$C$7:$J$24,8,0)</f>
        <v>#N/A</v>
      </c>
      <c r="AC95" s="72" t="e">
        <f>VLOOKUP(A95,Enforcements!$C$7:$E$24,3,0)</f>
        <v>#N/A</v>
      </c>
      <c r="AD95" s="73" t="str">
        <f t="shared" si="38"/>
        <v>0183-30</v>
      </c>
      <c r="AE95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95" s="65" t="str">
        <f t="shared" si="40"/>
        <v>"C:\Program Files (x86)\AstroGrep\AstroGrep.exe" /spath="C:\Users\stu\Documents\Analysis\2016-02-23 RTDC Observations" /stypes="*4014*20160730*" /stext=" 20:.+((SYSTEM_STATE.+slice.+state.+changed )|(ment ac)|(system.+state.+changed )|(\|lc)|(penalty)|(\[timeout)|(PRM\|1\|D))" /e /r /s</v>
      </c>
      <c r="AG95" s="1" t="str">
        <f t="shared" si="43"/>
        <v>EC</v>
      </c>
    </row>
    <row r="96" spans="1:33" hidden="1" x14ac:dyDescent="0.25">
      <c r="A96" s="45" t="s">
        <v>717</v>
      </c>
      <c r="B96" s="7">
        <v>4012</v>
      </c>
      <c r="C96" s="25" t="s">
        <v>170</v>
      </c>
      <c r="D96" s="25" t="s">
        <v>665</v>
      </c>
      <c r="E96" s="16">
        <v>42581.619131944448</v>
      </c>
      <c r="F96" s="16">
        <v>42581.620185185187</v>
      </c>
      <c r="G96" s="7">
        <v>1</v>
      </c>
      <c r="H96" s="16" t="s">
        <v>893</v>
      </c>
      <c r="I96" s="16">
        <v>42581.651412037034</v>
      </c>
      <c r="J96" s="7">
        <v>2</v>
      </c>
      <c r="K96" s="123" t="str">
        <f t="shared" si="29"/>
        <v>4011/4012</v>
      </c>
      <c r="L96" s="25" t="str">
        <f>VLOOKUP(A96,'Trips&amp;Operators'!$C$1:$E$10000,3,FALSE)</f>
        <v>MAYBERRY</v>
      </c>
      <c r="M96" s="6">
        <f t="shared" si="30"/>
        <v>3.1226851846440695E-2</v>
      </c>
      <c r="N96" s="7">
        <f t="shared" si="31"/>
        <v>44.966666658874601</v>
      </c>
      <c r="O96" s="7"/>
      <c r="P96" s="7"/>
      <c r="Q96" s="26"/>
      <c r="R96" s="26"/>
      <c r="S96" s="41">
        <f t="shared" si="32"/>
        <v>1</v>
      </c>
      <c r="T96" s="59" t="str">
        <f t="shared" si="41"/>
        <v>Southbound</v>
      </c>
      <c r="U96" s="84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13:51:33-0600',mode:absolute,to:'2016-07-30 16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96" s="64" t="str">
        <f t="shared" si="34"/>
        <v>N</v>
      </c>
      <c r="X96" s="126">
        <f t="shared" si="42"/>
        <v>1</v>
      </c>
      <c r="Y96" s="79">
        <f t="shared" si="35"/>
        <v>23.264900000000001</v>
      </c>
      <c r="Z96" s="79">
        <f t="shared" si="36"/>
        <v>1.72E-2</v>
      </c>
      <c r="AA96" s="79">
        <f t="shared" si="37"/>
        <v>23.247700000000002</v>
      </c>
      <c r="AB96" s="76">
        <f>VLOOKUP(A96,Enforcements!$C$7:$J$24,8,0)</f>
        <v>30562</v>
      </c>
      <c r="AC96" s="72" t="str">
        <f>VLOOKUP(A96,Enforcements!$C$7:$E$24,3,0)</f>
        <v>PERMANENT SPEED RESTRICTION</v>
      </c>
      <c r="AD96" s="73" t="str">
        <f t="shared" si="38"/>
        <v>0184-30</v>
      </c>
      <c r="AE96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96" s="65" t="str">
        <f t="shared" si="40"/>
        <v>"C:\Program Files (x86)\AstroGrep\AstroGrep.exe" /spath="C:\Users\stu\Documents\Analysis\2016-02-23 RTDC Observations" /stypes="*4012*20160730*" /stext=" 21:.+((SYSTEM_STATE.+slice.+state.+changed )|(ment ac)|(system.+state.+changed )|(\|lc)|(penalty)|(\[timeout)|(PRM\|1\|D))" /e /r /s</v>
      </c>
      <c r="AG96" s="1" t="str">
        <f t="shared" si="43"/>
        <v>EC</v>
      </c>
    </row>
    <row r="97" spans="1:33" hidden="1" x14ac:dyDescent="0.25">
      <c r="A97" s="45" t="s">
        <v>744</v>
      </c>
      <c r="B97" s="7">
        <v>4018</v>
      </c>
      <c r="C97" s="25" t="s">
        <v>170</v>
      </c>
      <c r="D97" s="25" t="s">
        <v>116</v>
      </c>
      <c r="E97" s="16">
        <v>42581.588206018518</v>
      </c>
      <c r="F97" s="16">
        <v>42581.589803240742</v>
      </c>
      <c r="G97" s="7">
        <v>2</v>
      </c>
      <c r="H97" s="16" t="s">
        <v>381</v>
      </c>
      <c r="I97" s="16">
        <v>42581.619131944448</v>
      </c>
      <c r="J97" s="7">
        <v>0</v>
      </c>
      <c r="K97" s="123" t="str">
        <f t="shared" si="29"/>
        <v>4017/4018</v>
      </c>
      <c r="L97" s="25" t="str">
        <f>VLOOKUP(A97,'Trips&amp;Operators'!$C$1:$E$10000,3,FALSE)</f>
        <v>WEBSTER</v>
      </c>
      <c r="M97" s="6">
        <f t="shared" si="30"/>
        <v>2.9328703705687076E-2</v>
      </c>
      <c r="N97" s="7">
        <f t="shared" si="31"/>
        <v>42.233333336189389</v>
      </c>
      <c r="O97" s="7"/>
      <c r="P97" s="7"/>
      <c r="Q97" s="26"/>
      <c r="R97" s="26"/>
      <c r="S97" s="41">
        <f t="shared" si="32"/>
        <v>1</v>
      </c>
      <c r="T97" s="59" t="str">
        <f t="shared" si="41"/>
        <v>NorthBound</v>
      </c>
      <c r="U97" s="84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13:07:01-0600',mode:absolute,to:'2016-07-30 15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97" s="64" t="str">
        <f t="shared" si="34"/>
        <v>N</v>
      </c>
      <c r="X97" s="126">
        <f t="shared" si="42"/>
        <v>1</v>
      </c>
      <c r="Y97" s="79">
        <f t="shared" si="35"/>
        <v>4.58E-2</v>
      </c>
      <c r="Z97" s="79">
        <f t="shared" si="36"/>
        <v>23.3309</v>
      </c>
      <c r="AA97" s="79">
        <f t="shared" si="37"/>
        <v>23.2851</v>
      </c>
      <c r="AB97" s="76" t="e">
        <f>VLOOKUP(A97,Enforcements!$C$7:$J$24,8,0)</f>
        <v>#N/A</v>
      </c>
      <c r="AC97" s="72" t="e">
        <f>VLOOKUP(A97,Enforcements!$C$7:$E$24,3,0)</f>
        <v>#N/A</v>
      </c>
      <c r="AD97" s="73" t="str">
        <f t="shared" si="38"/>
        <v>0185-30</v>
      </c>
      <c r="AE97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97" s="65" t="str">
        <f t="shared" si="40"/>
        <v>"C:\Program Files (x86)\AstroGrep\AstroGrep.exe" /spath="C:\Users\stu\Documents\Analysis\2016-02-23 RTDC Observations" /stypes="*4018*20160730*" /stext=" 20:.+((SYSTEM_STATE.+slice.+state.+changed )|(ment ac)|(system.+state.+changed )|(\|lc)|(penalty)|(\[timeout)|(PRM\|1\|D))" /e /r /s</v>
      </c>
      <c r="AG97" s="1" t="str">
        <f t="shared" si="43"/>
        <v>EC</v>
      </c>
    </row>
    <row r="98" spans="1:33" hidden="1" x14ac:dyDescent="0.25">
      <c r="A98" s="45" t="s">
        <v>806</v>
      </c>
      <c r="B98" s="7">
        <v>4017</v>
      </c>
      <c r="C98" s="25" t="s">
        <v>170</v>
      </c>
      <c r="D98" s="25" t="s">
        <v>920</v>
      </c>
      <c r="E98" s="16">
        <v>42581.625243055554</v>
      </c>
      <c r="F98" s="16">
        <v>42581.626145833332</v>
      </c>
      <c r="G98" s="7">
        <v>1</v>
      </c>
      <c r="H98" s="16" t="s">
        <v>360</v>
      </c>
      <c r="I98" s="16">
        <v>42581.661712962959</v>
      </c>
      <c r="J98" s="7">
        <v>1</v>
      </c>
      <c r="K98" s="123" t="str">
        <f t="shared" si="29"/>
        <v>4017/4018</v>
      </c>
      <c r="L98" s="25" t="str">
        <f>VLOOKUP(A98,'Trips&amp;Operators'!$C$1:$E$10000,3,FALSE)</f>
        <v>WEBSTER</v>
      </c>
      <c r="M98" s="6">
        <f t="shared" si="30"/>
        <v>3.5567129627452232E-2</v>
      </c>
      <c r="N98" s="7">
        <f t="shared" si="31"/>
        <v>51.216666663531214</v>
      </c>
      <c r="O98" s="7"/>
      <c r="P98" s="7"/>
      <c r="Q98" s="26"/>
      <c r="R98" s="26"/>
      <c r="S98" s="41">
        <f t="shared" si="32"/>
        <v>1</v>
      </c>
      <c r="T98" s="59" t="str">
        <f t="shared" si="41"/>
        <v>Southbound</v>
      </c>
      <c r="U98" s="84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14:00:21-0600',mode:absolute,to:'2016-07-30 16:52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98" s="64" t="str">
        <f t="shared" si="34"/>
        <v>N</v>
      </c>
      <c r="X98" s="126">
        <f t="shared" si="42"/>
        <v>1</v>
      </c>
      <c r="Y98" s="79">
        <f t="shared" si="35"/>
        <v>23.298400000000001</v>
      </c>
      <c r="Z98" s="79">
        <f t="shared" si="36"/>
        <v>1.61E-2</v>
      </c>
      <c r="AA98" s="79">
        <f t="shared" si="37"/>
        <v>23.282299999999999</v>
      </c>
      <c r="AB98" s="76">
        <f>VLOOKUP(A98,Enforcements!$C$7:$J$24,8,0)</f>
        <v>191723</v>
      </c>
      <c r="AC98" s="72" t="str">
        <f>VLOOKUP(A98,Enforcements!$C$7:$E$24,3,0)</f>
        <v>SIGNAL</v>
      </c>
      <c r="AD98" s="73" t="str">
        <f t="shared" si="38"/>
        <v>0186-30</v>
      </c>
      <c r="AE98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98" s="65" t="str">
        <f t="shared" si="40"/>
        <v>"C:\Program Files (x86)\AstroGrep\AstroGrep.exe" /spath="C:\Users\stu\Documents\Analysis\2016-02-23 RTDC Observations" /stypes="*4017*20160730*" /stext=" 21:.+((SYSTEM_STATE.+slice.+state.+changed )|(ment ac)|(system.+state.+changed )|(\|lc)|(penalty)|(\[timeout)|(PRM\|1\|D))" /e /r /s</v>
      </c>
      <c r="AG98" s="1" t="str">
        <f t="shared" si="43"/>
        <v>EC</v>
      </c>
    </row>
    <row r="99" spans="1:33" hidden="1" x14ac:dyDescent="0.25">
      <c r="A99" s="45" t="s">
        <v>728</v>
      </c>
      <c r="B99" s="7">
        <v>4027</v>
      </c>
      <c r="C99" s="25" t="s">
        <v>170</v>
      </c>
      <c r="D99" s="25" t="s">
        <v>164</v>
      </c>
      <c r="E99" s="16">
        <v>42581.602129629631</v>
      </c>
      <c r="F99" s="16">
        <v>42581.603217592594</v>
      </c>
      <c r="G99" s="7">
        <v>1</v>
      </c>
      <c r="H99" s="16" t="s">
        <v>161</v>
      </c>
      <c r="I99" s="16">
        <v>42581.630798611113</v>
      </c>
      <c r="J99" s="7">
        <v>1</v>
      </c>
      <c r="K99" s="123" t="str">
        <f t="shared" si="29"/>
        <v>4027/4028</v>
      </c>
      <c r="L99" s="25" t="str">
        <f>VLOOKUP(A99,'Trips&amp;Operators'!$C$1:$E$10000,3,FALSE)</f>
        <v>STEWART</v>
      </c>
      <c r="M99" s="6">
        <f t="shared" si="30"/>
        <v>2.7581018519413192E-2</v>
      </c>
      <c r="N99" s="7">
        <f t="shared" si="31"/>
        <v>39.716666667954996</v>
      </c>
      <c r="O99" s="7"/>
      <c r="P99" s="7"/>
      <c r="Q99" s="26"/>
      <c r="R99" s="26"/>
      <c r="S99" s="41">
        <f t="shared" si="32"/>
        <v>1</v>
      </c>
      <c r="T99" s="59" t="str">
        <f t="shared" si="41"/>
        <v>NorthBound</v>
      </c>
      <c r="U99" s="84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13:27:04-0600',mode:absolute,to:'2016-07-30 16:08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99" s="64" t="str">
        <f t="shared" si="34"/>
        <v>N</v>
      </c>
      <c r="X99" s="126">
        <f t="shared" si="42"/>
        <v>1</v>
      </c>
      <c r="Y99" s="79">
        <f t="shared" si="35"/>
        <v>4.7500000000000001E-2</v>
      </c>
      <c r="Z99" s="79">
        <f t="shared" si="36"/>
        <v>23.330200000000001</v>
      </c>
      <c r="AA99" s="79">
        <f t="shared" si="37"/>
        <v>23.282700000000002</v>
      </c>
      <c r="AB99" s="76">
        <f>VLOOKUP(A99,Enforcements!$C$7:$J$24,8,0)</f>
        <v>127562</v>
      </c>
      <c r="AC99" s="72" t="str">
        <f>VLOOKUP(A99,Enforcements!$C$7:$E$24,3,0)</f>
        <v>GRADE CROSSING</v>
      </c>
      <c r="AD99" s="73" t="str">
        <f t="shared" si="38"/>
        <v>0187-30</v>
      </c>
      <c r="AE99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99" s="65" t="str">
        <f t="shared" si="40"/>
        <v>"C:\Program Files (x86)\AstroGrep\AstroGrep.exe" /spath="C:\Users\stu\Documents\Analysis\2016-02-23 RTDC Observations" /stypes="*4027*20160730*" /stext=" 21:.+((SYSTEM_STATE.+slice.+state.+changed )|(ment ac)|(system.+state.+changed )|(\|lc)|(penalty)|(\[timeout)|(PRM\|1\|D))" /e /r /s</v>
      </c>
      <c r="AG99" s="1" t="str">
        <f t="shared" si="43"/>
        <v>EC</v>
      </c>
    </row>
    <row r="100" spans="1:33" hidden="1" x14ac:dyDescent="0.25">
      <c r="A100" s="45" t="s">
        <v>730</v>
      </c>
      <c r="B100" s="7">
        <v>4028</v>
      </c>
      <c r="C100" s="25" t="s">
        <v>170</v>
      </c>
      <c r="D100" s="25" t="s">
        <v>848</v>
      </c>
      <c r="E100" s="16">
        <v>42581.640833333331</v>
      </c>
      <c r="F100" s="16">
        <v>42581.641851851855</v>
      </c>
      <c r="G100" s="7">
        <v>1</v>
      </c>
      <c r="H100" s="16" t="s">
        <v>861</v>
      </c>
      <c r="I100" s="16">
        <v>42581.671006944445</v>
      </c>
      <c r="J100" s="7">
        <v>1</v>
      </c>
      <c r="K100" s="123" t="str">
        <f t="shared" si="29"/>
        <v>4027/4028</v>
      </c>
      <c r="L100" s="25" t="str">
        <f>VLOOKUP(A100,'Trips&amp;Operators'!$C$1:$E$10000,3,FALSE)</f>
        <v>STEWART</v>
      </c>
      <c r="M100" s="6">
        <f t="shared" si="30"/>
        <v>2.9155092590372078E-2</v>
      </c>
      <c r="N100" s="7">
        <f t="shared" si="31"/>
        <v>41.983333330135792</v>
      </c>
      <c r="O100" s="7"/>
      <c r="P100" s="7"/>
      <c r="Q100" s="26"/>
      <c r="R100" s="26"/>
      <c r="S100" s="41">
        <f t="shared" si="32"/>
        <v>1</v>
      </c>
      <c r="T100" s="59" t="str">
        <f t="shared" si="41"/>
        <v>Southbound</v>
      </c>
      <c r="U100" s="84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14:22:48-0600',mode:absolute,to:'2016-07-30 17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0" s="64" t="str">
        <f t="shared" si="34"/>
        <v>N</v>
      </c>
      <c r="X100" s="126">
        <f t="shared" si="42"/>
        <v>1</v>
      </c>
      <c r="Y100" s="79">
        <f t="shared" si="35"/>
        <v>23.298300000000001</v>
      </c>
      <c r="Z100" s="79">
        <f t="shared" si="36"/>
        <v>1.8499999999999999E-2</v>
      </c>
      <c r="AA100" s="79">
        <f t="shared" si="37"/>
        <v>23.279800000000002</v>
      </c>
      <c r="AB100" s="76" t="e">
        <f>VLOOKUP(A100,Enforcements!$C$7:$J$24,8,0)</f>
        <v>#N/A</v>
      </c>
      <c r="AC100" s="72" t="e">
        <f>VLOOKUP(A100,Enforcements!$C$7:$E$24,3,0)</f>
        <v>#N/A</v>
      </c>
      <c r="AD100" s="73" t="str">
        <f t="shared" si="38"/>
        <v>0188-30</v>
      </c>
      <c r="AE100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100" s="65" t="str">
        <f t="shared" si="40"/>
        <v>"C:\Program Files (x86)\AstroGrep\AstroGrep.exe" /spath="C:\Users\stu\Documents\Analysis\2016-02-23 RTDC Observations" /stypes="*4028*20160730*" /stext=" 22:.+((SYSTEM_STATE.+slice.+state.+changed )|(ment ac)|(system.+state.+changed )|(\|lc)|(penalty)|(\[timeout)|(PRM\|1\|D))" /e /r /s</v>
      </c>
      <c r="AG100" s="1" t="str">
        <f t="shared" si="43"/>
        <v>EC</v>
      </c>
    </row>
    <row r="101" spans="1:33" hidden="1" x14ac:dyDescent="0.25">
      <c r="A101" s="25" t="s">
        <v>805</v>
      </c>
      <c r="B101" s="96">
        <v>4031</v>
      </c>
      <c r="C101" s="97" t="s">
        <v>170</v>
      </c>
      <c r="D101" s="97" t="s">
        <v>923</v>
      </c>
      <c r="E101" s="98">
        <v>42581.610613425924</v>
      </c>
      <c r="F101" s="98">
        <v>42581.611898148149</v>
      </c>
      <c r="G101" s="96">
        <v>1</v>
      </c>
      <c r="H101" s="98" t="s">
        <v>151</v>
      </c>
      <c r="I101" s="98">
        <v>42581.6405787037</v>
      </c>
      <c r="J101" s="96">
        <v>0</v>
      </c>
      <c r="K101" s="123" t="str">
        <f t="shared" si="29"/>
        <v>4031/4032</v>
      </c>
      <c r="L101" s="25" t="str">
        <f>VLOOKUP(A101,'Trips&amp;Operators'!$C$1:$E$10000,3,FALSE)</f>
        <v>BARTLETT</v>
      </c>
      <c r="M101" s="6">
        <f t="shared" si="30"/>
        <v>2.8680555551545694E-2</v>
      </c>
      <c r="N101" s="7">
        <f t="shared" si="31"/>
        <v>41.2999999942258</v>
      </c>
      <c r="O101" s="7"/>
      <c r="P101" s="7"/>
      <c r="Q101" s="26"/>
      <c r="R101" s="26"/>
      <c r="S101" s="41">
        <f t="shared" si="32"/>
        <v>1</v>
      </c>
      <c r="T101" s="59" t="str">
        <f t="shared" si="41"/>
        <v>NorthBound</v>
      </c>
      <c r="U101" s="84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13:39:17-0600',mode:absolute,to:'2016-07-30 16:22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01" s="64" t="str">
        <f t="shared" si="34"/>
        <v>N</v>
      </c>
      <c r="X101" s="126">
        <f t="shared" si="42"/>
        <v>1</v>
      </c>
      <c r="Y101" s="79">
        <f t="shared" si="35"/>
        <v>4.9700000000000001E-2</v>
      </c>
      <c r="Z101" s="79">
        <f t="shared" si="36"/>
        <v>23.3293</v>
      </c>
      <c r="AA101" s="79">
        <f t="shared" si="37"/>
        <v>23.279599999999999</v>
      </c>
      <c r="AB101" s="76" t="e">
        <f>VLOOKUP(A101,Enforcements!$C$7:$J$24,8,0)</f>
        <v>#N/A</v>
      </c>
      <c r="AC101" s="72" t="e">
        <f>VLOOKUP(A101,Enforcements!$C$7:$E$24,3,0)</f>
        <v>#N/A</v>
      </c>
      <c r="AD101" s="73" t="str">
        <f t="shared" si="38"/>
        <v>0189-30</v>
      </c>
      <c r="AE101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01" s="65" t="str">
        <f t="shared" si="40"/>
        <v>"C:\Program Files (x86)\AstroGrep\AstroGrep.exe" /spath="C:\Users\stu\Documents\Analysis\2016-02-23 RTDC Observations" /stypes="*4031*20160730*" /stext=" 21:.+((SYSTEM_STATE.+slice.+state.+changed )|(ment ac)|(system.+state.+changed )|(\|lc)|(penalty)|(\[timeout)|(PRM\|1\|D))" /e /r /s</v>
      </c>
      <c r="AG101" s="1" t="str">
        <f t="shared" si="43"/>
        <v>EC</v>
      </c>
    </row>
    <row r="102" spans="1:33" hidden="1" x14ac:dyDescent="0.25">
      <c r="A102" s="25" t="s">
        <v>747</v>
      </c>
      <c r="B102" s="96">
        <v>4032</v>
      </c>
      <c r="C102" s="97" t="s">
        <v>170</v>
      </c>
      <c r="D102" s="97" t="s">
        <v>838</v>
      </c>
      <c r="E102" s="98">
        <v>42581.643391203703</v>
      </c>
      <c r="F102" s="98">
        <v>42581.644456018519</v>
      </c>
      <c r="G102" s="96">
        <v>1</v>
      </c>
      <c r="H102" s="98" t="s">
        <v>137</v>
      </c>
      <c r="I102" s="98">
        <v>42581.681921296295</v>
      </c>
      <c r="J102" s="96">
        <v>0</v>
      </c>
      <c r="K102" s="123" t="str">
        <f t="shared" si="29"/>
        <v>4031/4032</v>
      </c>
      <c r="L102" s="25" t="str">
        <f>VLOOKUP(A102,'Trips&amp;Operators'!$C$1:$E$10000,3,FALSE)</f>
        <v>BARTLETT</v>
      </c>
      <c r="M102" s="6">
        <f t="shared" si="30"/>
        <v>3.7465277775481809E-2</v>
      </c>
      <c r="N102" s="7">
        <f t="shared" si="31"/>
        <v>53.949999996693805</v>
      </c>
      <c r="O102" s="7"/>
      <c r="P102" s="7"/>
      <c r="Q102" s="26"/>
      <c r="R102" s="26"/>
      <c r="S102" s="41">
        <f t="shared" si="32"/>
        <v>1</v>
      </c>
      <c r="T102" s="59" t="str">
        <f t="shared" si="41"/>
        <v>Southbound</v>
      </c>
      <c r="U102" s="84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14:26:29-0600',mode:absolute,to:'2016-07-30 17:21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02" s="64" t="str">
        <f t="shared" si="34"/>
        <v>N</v>
      </c>
      <c r="X102" s="126">
        <f t="shared" si="42"/>
        <v>1</v>
      </c>
      <c r="Y102" s="79">
        <f t="shared" si="35"/>
        <v>23.2986</v>
      </c>
      <c r="Z102" s="79">
        <f t="shared" si="36"/>
        <v>1.54E-2</v>
      </c>
      <c r="AA102" s="79">
        <f t="shared" si="37"/>
        <v>23.283200000000001</v>
      </c>
      <c r="AB102" s="76" t="e">
        <f>VLOOKUP(A102,Enforcements!$C$7:$J$24,8,0)</f>
        <v>#N/A</v>
      </c>
      <c r="AC102" s="72" t="e">
        <f>VLOOKUP(A102,Enforcements!$C$7:$E$24,3,0)</f>
        <v>#N/A</v>
      </c>
      <c r="AD102" s="73" t="str">
        <f t="shared" si="38"/>
        <v>0190-30</v>
      </c>
      <c r="AE102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02" s="65" t="str">
        <f t="shared" si="40"/>
        <v>"C:\Program Files (x86)\AstroGrep\AstroGrep.exe" /spath="C:\Users\stu\Documents\Analysis\2016-02-23 RTDC Observations" /stypes="*4032*20160730*" /stext=" 22:.+((SYSTEM_STATE.+slice.+state.+changed )|(ment ac)|(system.+state.+changed )|(\|lc)|(penalty)|(\[timeout)|(PRM\|1\|D))" /e /r /s</v>
      </c>
      <c r="AG102" s="1" t="str">
        <f t="shared" si="43"/>
        <v>EC</v>
      </c>
    </row>
    <row r="103" spans="1:33" hidden="1" x14ac:dyDescent="0.25">
      <c r="A103" s="25" t="s">
        <v>797</v>
      </c>
      <c r="B103" s="96">
        <v>4007</v>
      </c>
      <c r="C103" s="97" t="s">
        <v>170</v>
      </c>
      <c r="D103" s="97" t="s">
        <v>924</v>
      </c>
      <c r="E103" s="98">
        <v>42581.622025462966</v>
      </c>
      <c r="F103" s="98">
        <v>42581.625972222224</v>
      </c>
      <c r="G103" s="96">
        <v>5</v>
      </c>
      <c r="H103" s="98" t="s">
        <v>256</v>
      </c>
      <c r="I103" s="98">
        <v>42581.652141203704</v>
      </c>
      <c r="J103" s="96">
        <v>1</v>
      </c>
      <c r="K103" s="123" t="str">
        <f t="shared" si="29"/>
        <v>4007/4008</v>
      </c>
      <c r="L103" s="25" t="str">
        <f>VLOOKUP(A103,'Trips&amp;Operators'!$C$1:$E$10000,3,FALSE)</f>
        <v>MOSES</v>
      </c>
      <c r="M103" s="6">
        <f t="shared" si="30"/>
        <v>2.6168981479713693E-2</v>
      </c>
      <c r="N103" s="7">
        <f t="shared" si="31"/>
        <v>37.683333330787718</v>
      </c>
      <c r="O103" s="7"/>
      <c r="P103" s="7"/>
      <c r="Q103" s="26"/>
      <c r="R103" s="26"/>
      <c r="S103" s="41">
        <f t="shared" si="32"/>
        <v>1</v>
      </c>
      <c r="T103" s="59" t="str">
        <f t="shared" si="41"/>
        <v>NorthBound</v>
      </c>
      <c r="U103" s="84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13:55:43-0600',mode:absolute,to:'2016-07-30 16:39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3" s="64" t="str">
        <f t="shared" si="34"/>
        <v>N</v>
      </c>
      <c r="X103" s="126">
        <f t="shared" si="42"/>
        <v>1</v>
      </c>
      <c r="Y103" s="79">
        <f t="shared" si="35"/>
        <v>0.155</v>
      </c>
      <c r="Z103" s="79">
        <f t="shared" si="36"/>
        <v>23.331</v>
      </c>
      <c r="AA103" s="79">
        <f t="shared" si="37"/>
        <v>23.175999999999998</v>
      </c>
      <c r="AB103" s="76">
        <f>VLOOKUP(A103,Enforcements!$C$7:$J$24,8,0)</f>
        <v>230436</v>
      </c>
      <c r="AC103" s="72" t="str">
        <f>VLOOKUP(A103,Enforcements!$C$7:$E$24,3,0)</f>
        <v>PERMANENT SPEED RESTRICTION</v>
      </c>
      <c r="AD103" s="73" t="str">
        <f t="shared" si="38"/>
        <v>0191-30</v>
      </c>
      <c r="AE103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03" s="65" t="str">
        <f t="shared" si="40"/>
        <v>"C:\Program Files (x86)\AstroGrep\AstroGrep.exe" /spath="C:\Users\stu\Documents\Analysis\2016-02-23 RTDC Observations" /stypes="*4007*20160730*" /stext=" 21:.+((SYSTEM_STATE.+slice.+state.+changed )|(ment ac)|(system.+state.+changed )|(\|lc)|(penalty)|(\[timeout)|(PRM\|1\|D))" /e /r /s</v>
      </c>
      <c r="AG103" s="1" t="str">
        <f t="shared" si="43"/>
        <v>EC</v>
      </c>
    </row>
    <row r="104" spans="1:33" hidden="1" x14ac:dyDescent="0.25">
      <c r="A104" s="25" t="s">
        <v>609</v>
      </c>
      <c r="B104" s="96">
        <v>4043</v>
      </c>
      <c r="C104" s="97" t="s">
        <v>170</v>
      </c>
      <c r="D104" s="97" t="s">
        <v>417</v>
      </c>
      <c r="E104" s="98">
        <v>42581.660694444443</v>
      </c>
      <c r="F104" s="98">
        <v>42581.661956018521</v>
      </c>
      <c r="G104" s="96">
        <v>1</v>
      </c>
      <c r="H104" s="98" t="s">
        <v>391</v>
      </c>
      <c r="I104" s="98">
        <v>42581.693368055552</v>
      </c>
      <c r="J104" s="96">
        <v>1</v>
      </c>
      <c r="K104" s="123" t="str">
        <f t="shared" si="29"/>
        <v>4043/4044</v>
      </c>
      <c r="L104" s="25" t="str">
        <f>VLOOKUP(A104,'Trips&amp;Operators'!$C$1:$E$10000,3,FALSE)</f>
        <v>MOSES</v>
      </c>
      <c r="M104" s="6">
        <f t="shared" si="30"/>
        <v>3.1412037031259388E-2</v>
      </c>
      <c r="N104" s="7">
        <f t="shared" si="31"/>
        <v>45.233333325013518</v>
      </c>
      <c r="O104" s="7"/>
      <c r="P104" s="7"/>
      <c r="Q104" s="26"/>
      <c r="R104" s="26"/>
      <c r="S104" s="41">
        <f t="shared" si="32"/>
        <v>1</v>
      </c>
      <c r="T104" s="59" t="str">
        <f t="shared" si="41"/>
        <v>Southbound</v>
      </c>
      <c r="U104" s="84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14:51:24-0600',mode:absolute,to:'2016-07-30 17:38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04" s="64" t="str">
        <f t="shared" si="34"/>
        <v>N</v>
      </c>
      <c r="X104" s="126">
        <f t="shared" si="42"/>
        <v>1</v>
      </c>
      <c r="Y104" s="79">
        <f t="shared" si="35"/>
        <v>23.2685</v>
      </c>
      <c r="Z104" s="79">
        <f t="shared" si="36"/>
        <v>1.6899999999999998E-2</v>
      </c>
      <c r="AA104" s="79">
        <f t="shared" si="37"/>
        <v>23.2516</v>
      </c>
      <c r="AB104" s="76">
        <f>VLOOKUP(A104,Enforcements!$C$7:$J$24,8,0)</f>
        <v>21848</v>
      </c>
      <c r="AC104" s="72" t="str">
        <f>VLOOKUP(A104,Enforcements!$C$7:$E$24,3,0)</f>
        <v>PERMANENT SPEED RESTRICTION</v>
      </c>
      <c r="AD104" s="73" t="str">
        <f t="shared" si="38"/>
        <v>0192-30</v>
      </c>
      <c r="AE104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04" s="65" t="str">
        <f t="shared" si="40"/>
        <v>"C:\Program Files (x86)\AstroGrep\AstroGrep.exe" /spath="C:\Users\stu\Documents\Analysis\2016-02-23 RTDC Observations" /stypes="*4043*20160730*" /stext=" 22:.+((SYSTEM_STATE.+slice.+state.+changed )|(ment ac)|(system.+state.+changed )|(\|lc)|(penalty)|(\[timeout)|(PRM\|1\|D))" /e /r /s</v>
      </c>
      <c r="AG104" s="1" t="str">
        <f t="shared" si="43"/>
        <v>EC</v>
      </c>
    </row>
    <row r="105" spans="1:33" hidden="1" x14ac:dyDescent="0.25">
      <c r="A105" s="25" t="s">
        <v>813</v>
      </c>
      <c r="B105" s="96">
        <v>4016</v>
      </c>
      <c r="C105" s="97" t="s">
        <v>170</v>
      </c>
      <c r="D105" s="97" t="s">
        <v>361</v>
      </c>
      <c r="E105" s="98">
        <v>42581.631261574075</v>
      </c>
      <c r="F105" s="98">
        <v>42581.632430555554</v>
      </c>
      <c r="G105" s="96">
        <v>1</v>
      </c>
      <c r="H105" s="98" t="s">
        <v>385</v>
      </c>
      <c r="I105" s="98">
        <v>42581.660462962966</v>
      </c>
      <c r="J105" s="96">
        <v>0</v>
      </c>
      <c r="K105" s="123" t="str">
        <f t="shared" si="29"/>
        <v>4015/4016</v>
      </c>
      <c r="L105" s="25" t="str">
        <f>VLOOKUP(A105,'Trips&amp;Operators'!$C$1:$E$10000,3,FALSE)</f>
        <v>REBOLETTI</v>
      </c>
      <c r="M105" s="6">
        <f t="shared" si="30"/>
        <v>2.8032407411956228E-2</v>
      </c>
      <c r="N105" s="7">
        <f t="shared" si="31"/>
        <v>40.366666673216969</v>
      </c>
      <c r="O105" s="7"/>
      <c r="P105" s="7"/>
      <c r="Q105" s="26"/>
      <c r="R105" s="26"/>
      <c r="S105" s="41">
        <f t="shared" si="32"/>
        <v>1</v>
      </c>
      <c r="T105" s="59" t="str">
        <f t="shared" si="41"/>
        <v>NorthBound</v>
      </c>
      <c r="U105" s="84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14:09:01-0600',mode:absolute,to:'2016-07-30 16:51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05" s="64" t="str">
        <f t="shared" si="34"/>
        <v>N</v>
      </c>
      <c r="X105" s="126">
        <f t="shared" si="42"/>
        <v>1</v>
      </c>
      <c r="Y105" s="79">
        <f t="shared" si="35"/>
        <v>4.5699999999999998E-2</v>
      </c>
      <c r="Z105" s="79">
        <f t="shared" si="36"/>
        <v>23.331199999999999</v>
      </c>
      <c r="AA105" s="79">
        <f t="shared" si="37"/>
        <v>23.285499999999999</v>
      </c>
      <c r="AB105" s="76" t="e">
        <f>VLOOKUP(A105,Enforcements!$C$7:$J$24,8,0)</f>
        <v>#N/A</v>
      </c>
      <c r="AC105" s="72" t="e">
        <f>VLOOKUP(A105,Enforcements!$C$7:$E$24,3,0)</f>
        <v>#N/A</v>
      </c>
      <c r="AD105" s="73" t="str">
        <f t="shared" si="38"/>
        <v>0193-30</v>
      </c>
      <c r="AE105" s="65" t="str">
        <f t="shared" si="39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105" s="65" t="str">
        <f t="shared" si="40"/>
        <v>"C:\Program Files (x86)\AstroGrep\AstroGrep.exe" /spath="C:\Users\stu\Documents\Analysis\2016-02-23 RTDC Observations" /stypes="*4016*20160730*" /stext=" 21:.+((SYSTEM_STATE.+slice.+state.+changed )|(ment ac)|(system.+state.+changed )|(\|lc)|(penalty)|(\[timeout)|(PRM\|1\|D))" /e /r /s</v>
      </c>
      <c r="AG105" s="1" t="str">
        <f t="shared" si="43"/>
        <v>EC</v>
      </c>
    </row>
    <row r="106" spans="1:33" hidden="1" x14ac:dyDescent="0.25">
      <c r="A106" s="25" t="s">
        <v>610</v>
      </c>
      <c r="B106" s="96">
        <v>4015</v>
      </c>
      <c r="C106" s="97" t="s">
        <v>170</v>
      </c>
      <c r="D106" s="97" t="s">
        <v>262</v>
      </c>
      <c r="E106" s="98">
        <v>42581.667199074072</v>
      </c>
      <c r="F106" s="98">
        <v>42581.668414351851</v>
      </c>
      <c r="G106" s="96">
        <v>1</v>
      </c>
      <c r="H106" s="98" t="s">
        <v>379</v>
      </c>
      <c r="I106" s="98">
        <v>42581.70144675926</v>
      </c>
      <c r="J106" s="96">
        <v>0</v>
      </c>
      <c r="K106" s="123" t="str">
        <f t="shared" si="29"/>
        <v>4015/4016</v>
      </c>
      <c r="L106" s="25" t="str">
        <f>VLOOKUP(A106,'Trips&amp;Operators'!$C$1:$E$10000,3,FALSE)</f>
        <v>REBOLETTI</v>
      </c>
      <c r="M106" s="6">
        <f t="shared" si="30"/>
        <v>3.3032407409336884E-2</v>
      </c>
      <c r="N106" s="7">
        <f t="shared" si="31"/>
        <v>47.566666669445112</v>
      </c>
      <c r="O106" s="7"/>
      <c r="P106" s="7"/>
      <c r="Q106" s="26"/>
      <c r="R106" s="26"/>
      <c r="S106" s="41">
        <f t="shared" si="32"/>
        <v>1</v>
      </c>
      <c r="T106" s="59" t="str">
        <f t="shared" si="41"/>
        <v>Southbound</v>
      </c>
      <c r="U106" s="84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15:00:46-0600',mode:absolute,to:'2016-07-30 17:50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06" s="64" t="str">
        <f t="shared" si="34"/>
        <v>N</v>
      </c>
      <c r="X106" s="126">
        <f t="shared" si="42"/>
        <v>1</v>
      </c>
      <c r="Y106" s="79">
        <f t="shared" si="35"/>
        <v>23.2988</v>
      </c>
      <c r="Z106" s="79">
        <f t="shared" si="36"/>
        <v>1.32E-2</v>
      </c>
      <c r="AA106" s="79">
        <f t="shared" si="37"/>
        <v>23.285599999999999</v>
      </c>
      <c r="AB106" s="76" t="e">
        <f>VLOOKUP(A106,Enforcements!$C$7:$J$24,8,0)</f>
        <v>#N/A</v>
      </c>
      <c r="AC106" s="72" t="e">
        <f>VLOOKUP(A106,Enforcements!$C$7:$E$24,3,0)</f>
        <v>#N/A</v>
      </c>
      <c r="AD106" s="73" t="str">
        <f t="shared" si="38"/>
        <v>0194-30</v>
      </c>
      <c r="AE106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106" s="65" t="str">
        <f t="shared" si="40"/>
        <v>"C:\Program Files (x86)\AstroGrep\AstroGrep.exe" /spath="C:\Users\stu\Documents\Analysis\2016-02-23 RTDC Observations" /stypes="*4015*20160730*" /stext=" 22:.+((SYSTEM_STATE.+slice.+state.+changed )|(ment ac)|(system.+state.+changed )|(\|lc)|(penalty)|(\[timeout)|(PRM\|1\|D))" /e /r /s</v>
      </c>
      <c r="AG106" s="1" t="str">
        <f t="shared" si="43"/>
        <v>EC</v>
      </c>
    </row>
    <row r="107" spans="1:33" hidden="1" x14ac:dyDescent="0.25">
      <c r="A107" s="25" t="s">
        <v>774</v>
      </c>
      <c r="B107" s="96">
        <v>4029</v>
      </c>
      <c r="C107" s="97" t="s">
        <v>170</v>
      </c>
      <c r="D107" s="97" t="s">
        <v>64</v>
      </c>
      <c r="E107" s="98">
        <v>42581.640844907408</v>
      </c>
      <c r="F107" s="98">
        <v>42581.642013888886</v>
      </c>
      <c r="G107" s="96">
        <v>1</v>
      </c>
      <c r="H107" s="98" t="s">
        <v>160</v>
      </c>
      <c r="I107" s="98">
        <v>42581.672291666669</v>
      </c>
      <c r="J107" s="96">
        <v>0</v>
      </c>
      <c r="K107" s="123" t="str">
        <f t="shared" si="29"/>
        <v>4029/4030</v>
      </c>
      <c r="L107" s="25" t="str">
        <f>VLOOKUP(A107,'Trips&amp;Operators'!$C$1:$E$10000,3,FALSE)</f>
        <v>BRUDER</v>
      </c>
      <c r="M107" s="6">
        <f t="shared" si="30"/>
        <v>3.0277777783339843E-2</v>
      </c>
      <c r="N107" s="7">
        <f t="shared" si="31"/>
        <v>43.600000008009374</v>
      </c>
      <c r="O107" s="7"/>
      <c r="P107" s="7"/>
      <c r="Q107" s="26"/>
      <c r="R107" s="26"/>
      <c r="S107" s="41">
        <f t="shared" si="32"/>
        <v>1</v>
      </c>
      <c r="T107" s="59" t="str">
        <f t="shared" si="41"/>
        <v>NorthBound</v>
      </c>
      <c r="U107" s="84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14:22:49-0600',mode:absolute,to:'2016-07-30 17:08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07" s="64" t="str">
        <f t="shared" si="34"/>
        <v>N</v>
      </c>
      <c r="X107" s="126">
        <f t="shared" si="42"/>
        <v>1</v>
      </c>
      <c r="Y107" s="79">
        <f t="shared" si="35"/>
        <v>4.5999999999999999E-2</v>
      </c>
      <c r="Z107" s="79">
        <f t="shared" si="36"/>
        <v>23.3308</v>
      </c>
      <c r="AA107" s="79">
        <f t="shared" si="37"/>
        <v>23.284800000000001</v>
      </c>
      <c r="AB107" s="76" t="e">
        <f>VLOOKUP(A107,Enforcements!$C$7:$J$24,8,0)</f>
        <v>#N/A</v>
      </c>
      <c r="AC107" s="72" t="e">
        <f>VLOOKUP(A107,Enforcements!$C$7:$E$24,3,0)</f>
        <v>#N/A</v>
      </c>
      <c r="AD107" s="73" t="str">
        <f t="shared" si="38"/>
        <v>0195-30</v>
      </c>
      <c r="AE107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07" s="65" t="str">
        <f t="shared" si="40"/>
        <v>"C:\Program Files (x86)\AstroGrep\AstroGrep.exe" /spath="C:\Users\stu\Documents\Analysis\2016-02-23 RTDC Observations" /stypes="*4029*20160730*" /stext=" 22:.+((SYSTEM_STATE.+slice.+state.+changed )|(ment ac)|(system.+state.+changed )|(\|lc)|(penalty)|(\[timeout)|(PRM\|1\|D))" /e /r /s</v>
      </c>
      <c r="AG107" s="1" t="str">
        <f t="shared" si="43"/>
        <v>EC</v>
      </c>
    </row>
    <row r="108" spans="1:33" hidden="1" x14ac:dyDescent="0.25">
      <c r="A108" s="25" t="s">
        <v>611</v>
      </c>
      <c r="B108" s="96">
        <v>4030</v>
      </c>
      <c r="C108" s="97" t="s">
        <v>170</v>
      </c>
      <c r="D108" s="97" t="s">
        <v>326</v>
      </c>
      <c r="E108" s="98">
        <v>42581.680972222224</v>
      </c>
      <c r="F108" s="98">
        <v>42581.681712962964</v>
      </c>
      <c r="G108" s="96">
        <v>1</v>
      </c>
      <c r="H108" s="98" t="s">
        <v>197</v>
      </c>
      <c r="I108" s="98">
        <v>42581.711400462962</v>
      </c>
      <c r="J108" s="96">
        <v>0</v>
      </c>
      <c r="K108" s="123" t="str">
        <f t="shared" si="29"/>
        <v>4029/4030</v>
      </c>
      <c r="L108" s="25" t="str">
        <f>VLOOKUP(A108,'Trips&amp;Operators'!$C$1:$E$10000,3,FALSE)</f>
        <v>BRUDER</v>
      </c>
      <c r="M108" s="6">
        <f t="shared" si="30"/>
        <v>2.9687499998544808E-2</v>
      </c>
      <c r="N108" s="7">
        <f t="shared" si="31"/>
        <v>42.749999997904524</v>
      </c>
      <c r="O108" s="7"/>
      <c r="P108" s="7"/>
      <c r="Q108" s="26"/>
      <c r="R108" s="26"/>
      <c r="S108" s="41">
        <f t="shared" si="32"/>
        <v>1</v>
      </c>
      <c r="T108" s="59" t="str">
        <f t="shared" si="41"/>
        <v>Southbound</v>
      </c>
      <c r="U108" s="84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15:20:36-0600',mode:absolute,to:'2016-07-30 18:04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08" s="64" t="str">
        <f t="shared" si="34"/>
        <v>N</v>
      </c>
      <c r="X108" s="126">
        <f t="shared" si="42"/>
        <v>1</v>
      </c>
      <c r="Y108" s="79">
        <f t="shared" si="35"/>
        <v>23.298500000000001</v>
      </c>
      <c r="Z108" s="79">
        <f t="shared" si="36"/>
        <v>1.3599999999999999E-2</v>
      </c>
      <c r="AA108" s="79">
        <f t="shared" si="37"/>
        <v>23.2849</v>
      </c>
      <c r="AB108" s="76" t="e">
        <f>VLOOKUP(A108,Enforcements!$C$7:$J$24,8,0)</f>
        <v>#N/A</v>
      </c>
      <c r="AC108" s="72" t="e">
        <f>VLOOKUP(A108,Enforcements!$C$7:$E$24,3,0)</f>
        <v>#N/A</v>
      </c>
      <c r="AD108" s="73" t="str">
        <f t="shared" si="38"/>
        <v>0196-30</v>
      </c>
      <c r="AE108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08" s="65" t="str">
        <f t="shared" si="40"/>
        <v>"C:\Program Files (x86)\AstroGrep\AstroGrep.exe" /spath="C:\Users\stu\Documents\Analysis\2016-02-23 RTDC Observations" /stypes="*4030*20160730*" /stext=" 23:.+((SYSTEM_STATE.+slice.+state.+changed )|(ment ac)|(system.+state.+changed )|(\|lc)|(penalty)|(\[timeout)|(PRM\|1\|D))" /e /r /s</v>
      </c>
      <c r="AG108" s="1" t="str">
        <f t="shared" si="43"/>
        <v>EC</v>
      </c>
    </row>
    <row r="109" spans="1:33" hidden="1" x14ac:dyDescent="0.25">
      <c r="A109" s="25" t="s">
        <v>612</v>
      </c>
      <c r="B109" s="96">
        <v>4014</v>
      </c>
      <c r="C109" s="97" t="s">
        <v>170</v>
      </c>
      <c r="D109" s="97" t="s">
        <v>613</v>
      </c>
      <c r="E109" s="98">
        <v>42581.654826388891</v>
      </c>
      <c r="F109" s="98">
        <v>42581.655787037038</v>
      </c>
      <c r="G109" s="96">
        <v>1</v>
      </c>
      <c r="H109" s="98" t="s">
        <v>385</v>
      </c>
      <c r="I109" s="98">
        <v>42581.682812500003</v>
      </c>
      <c r="J109" s="96">
        <v>0</v>
      </c>
      <c r="K109" s="123" t="str">
        <f t="shared" si="29"/>
        <v>4013/4014</v>
      </c>
      <c r="L109" s="25" t="str">
        <f>VLOOKUP(A109,'Trips&amp;Operators'!$C$1:$E$10000,3,FALSE)</f>
        <v>MAYBERRY</v>
      </c>
      <c r="M109" s="6">
        <f t="shared" si="30"/>
        <v>2.7025462964957114E-2</v>
      </c>
      <c r="N109" s="7">
        <f t="shared" si="31"/>
        <v>38.916666669538245</v>
      </c>
      <c r="O109" s="7"/>
      <c r="P109" s="7"/>
      <c r="Q109" s="26"/>
      <c r="R109" s="26"/>
      <c r="S109" s="41">
        <f t="shared" si="32"/>
        <v>1</v>
      </c>
      <c r="T109" s="59" t="str">
        <f t="shared" si="41"/>
        <v>NorthBound</v>
      </c>
      <c r="U109" s="84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14:42:57-0600',mode:absolute,to:'2016-07-30 17:23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9" s="64" t="str">
        <f t="shared" si="34"/>
        <v>N</v>
      </c>
      <c r="X109" s="126">
        <f t="shared" si="42"/>
        <v>1</v>
      </c>
      <c r="Y109" s="79">
        <f t="shared" si="35"/>
        <v>7.8799999999999995E-2</v>
      </c>
      <c r="Z109" s="79">
        <f t="shared" si="36"/>
        <v>23.331199999999999</v>
      </c>
      <c r="AA109" s="79">
        <f t="shared" si="37"/>
        <v>23.252399999999998</v>
      </c>
      <c r="AB109" s="76" t="e">
        <f>VLOOKUP(A109,Enforcements!$C$7:$J$24,8,0)</f>
        <v>#N/A</v>
      </c>
      <c r="AC109" s="72" t="e">
        <f>VLOOKUP(A109,Enforcements!$C$7:$E$24,3,0)</f>
        <v>#N/A</v>
      </c>
      <c r="AD109" s="73" t="str">
        <f t="shared" si="38"/>
        <v>0197-30</v>
      </c>
      <c r="AE109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09" s="65" t="str">
        <f t="shared" si="40"/>
        <v>"C:\Program Files (x86)\AstroGrep\AstroGrep.exe" /spath="C:\Users\stu\Documents\Analysis\2016-02-23 RTDC Observations" /stypes="*4014*20160730*" /stext=" 22:.+((SYSTEM_STATE.+slice.+state.+changed )|(ment ac)|(system.+state.+changed )|(\|lc)|(penalty)|(\[timeout)|(PRM\|1\|D))" /e /r /s</v>
      </c>
      <c r="AG109" s="1" t="str">
        <f t="shared" si="43"/>
        <v>EC</v>
      </c>
    </row>
    <row r="110" spans="1:33" hidden="1" x14ac:dyDescent="0.25">
      <c r="A110" s="25" t="s">
        <v>614</v>
      </c>
      <c r="B110" s="96">
        <v>4012</v>
      </c>
      <c r="C110" s="97" t="s">
        <v>170</v>
      </c>
      <c r="D110" s="97" t="s">
        <v>347</v>
      </c>
      <c r="E110" s="98">
        <v>42581.688055555554</v>
      </c>
      <c r="F110" s="98">
        <v>42581.689097222225</v>
      </c>
      <c r="G110" s="96">
        <v>1</v>
      </c>
      <c r="H110" s="98" t="s">
        <v>100</v>
      </c>
      <c r="I110" s="98">
        <v>42581.723611111112</v>
      </c>
      <c r="J110" s="96">
        <v>2</v>
      </c>
      <c r="K110" s="123" t="str">
        <f t="shared" si="29"/>
        <v>4011/4012</v>
      </c>
      <c r="L110" s="25" t="str">
        <f>VLOOKUP(A110,'Trips&amp;Operators'!$C$1:$E$10000,3,FALSE)</f>
        <v>MAYBERRY</v>
      </c>
      <c r="M110" s="6">
        <f t="shared" si="30"/>
        <v>3.4513888887886424E-2</v>
      </c>
      <c r="N110" s="7">
        <f t="shared" si="31"/>
        <v>49.69999999855645</v>
      </c>
      <c r="O110" s="7"/>
      <c r="P110" s="7"/>
      <c r="Q110" s="26"/>
      <c r="R110" s="26"/>
      <c r="S110" s="41">
        <f t="shared" si="32"/>
        <v>1</v>
      </c>
      <c r="T110" s="59" t="str">
        <f t="shared" si="41"/>
        <v>Southbound</v>
      </c>
      <c r="U110" s="84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15:30:48-0600',mode:absolute,to:'2016-07-30 18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10" s="64" t="str">
        <f t="shared" si="34"/>
        <v>N</v>
      </c>
      <c r="X110" s="126">
        <f t="shared" si="42"/>
        <v>1</v>
      </c>
      <c r="Y110" s="79">
        <f t="shared" si="35"/>
        <v>23.2667</v>
      </c>
      <c r="Z110" s="79">
        <f t="shared" si="36"/>
        <v>1.43E-2</v>
      </c>
      <c r="AA110" s="79">
        <f t="shared" si="37"/>
        <v>23.252400000000002</v>
      </c>
      <c r="AB110" s="76">
        <f>VLOOKUP(A110,Enforcements!$C$7:$J$24,8,0)</f>
        <v>37462</v>
      </c>
      <c r="AC110" s="72" t="str">
        <f>VLOOKUP(A110,Enforcements!$C$7:$E$24,3,0)</f>
        <v>GRADE CROSSING</v>
      </c>
      <c r="AD110" s="73" t="str">
        <f t="shared" si="38"/>
        <v>0198-30</v>
      </c>
      <c r="AE110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110" s="65" t="str">
        <f t="shared" si="40"/>
        <v>"C:\Program Files (x86)\AstroGrep\AstroGrep.exe" /spath="C:\Users\stu\Documents\Analysis\2016-02-23 RTDC Observations" /stypes="*4012*20160730*" /stext=" 23:.+((SYSTEM_STATE.+slice.+state.+changed )|(ment ac)|(system.+state.+changed )|(\|lc)|(penalty)|(\[timeout)|(PRM\|1\|D))" /e /r /s</v>
      </c>
      <c r="AG110" s="1" t="str">
        <f t="shared" si="43"/>
        <v>EC</v>
      </c>
    </row>
    <row r="111" spans="1:33" hidden="1" x14ac:dyDescent="0.25">
      <c r="A111" s="25" t="s">
        <v>615</v>
      </c>
      <c r="B111" s="96">
        <v>4018</v>
      </c>
      <c r="C111" s="97" t="s">
        <v>170</v>
      </c>
      <c r="D111" s="97" t="s">
        <v>324</v>
      </c>
      <c r="E111" s="98">
        <v>42581.663055555553</v>
      </c>
      <c r="F111" s="98">
        <v>42581.664282407408</v>
      </c>
      <c r="G111" s="96">
        <v>1</v>
      </c>
      <c r="H111" s="98" t="s">
        <v>616</v>
      </c>
      <c r="I111" s="98">
        <v>42581.691840277781</v>
      </c>
      <c r="J111" s="96">
        <v>0</v>
      </c>
      <c r="K111" s="123" t="str">
        <f t="shared" si="29"/>
        <v>4017/4018</v>
      </c>
      <c r="L111" s="25" t="str">
        <f>VLOOKUP(A111,'Trips&amp;Operators'!$C$1:$E$10000,3,FALSE)</f>
        <v>WEBSTER</v>
      </c>
      <c r="M111" s="6">
        <f t="shared" si="30"/>
        <v>2.7557870373129845E-2</v>
      </c>
      <c r="N111" s="7">
        <f t="shared" si="31"/>
        <v>39.683333337306976</v>
      </c>
      <c r="O111" s="7"/>
      <c r="P111" s="7"/>
      <c r="Q111" s="26"/>
      <c r="R111" s="26"/>
      <c r="S111" s="41">
        <f t="shared" si="32"/>
        <v>1</v>
      </c>
      <c r="T111" s="59" t="str">
        <f t="shared" si="41"/>
        <v>NorthBound</v>
      </c>
      <c r="U111" s="84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14:54:48-0600',mode:absolute,to:'2016-07-30 17:36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11" s="64" t="str">
        <f t="shared" si="34"/>
        <v>N</v>
      </c>
      <c r="X111" s="126">
        <f t="shared" si="42"/>
        <v>1</v>
      </c>
      <c r="Y111" s="79">
        <f t="shared" si="35"/>
        <v>4.5100000000000001E-2</v>
      </c>
      <c r="Z111" s="79">
        <f t="shared" si="36"/>
        <v>23.3325</v>
      </c>
      <c r="AA111" s="79">
        <f t="shared" si="37"/>
        <v>23.287399999999998</v>
      </c>
      <c r="AB111" s="76" t="e">
        <f>VLOOKUP(A111,Enforcements!$C$7:$J$24,8,0)</f>
        <v>#N/A</v>
      </c>
      <c r="AC111" s="72" t="e">
        <f>VLOOKUP(A111,Enforcements!$C$7:$E$24,3,0)</f>
        <v>#N/A</v>
      </c>
      <c r="AD111" s="73" t="str">
        <f t="shared" si="38"/>
        <v>0199-30</v>
      </c>
      <c r="AE111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11" s="65" t="str">
        <f t="shared" si="40"/>
        <v>"C:\Program Files (x86)\AstroGrep\AstroGrep.exe" /spath="C:\Users\stu\Documents\Analysis\2016-02-23 RTDC Observations" /stypes="*4018*20160730*" /stext=" 22:.+((SYSTEM_STATE.+slice.+state.+changed )|(ment ac)|(system.+state.+changed )|(\|lc)|(penalty)|(\[timeout)|(PRM\|1\|D))" /e /r /s</v>
      </c>
      <c r="AG111" s="1" t="str">
        <f t="shared" si="43"/>
        <v>EC</v>
      </c>
    </row>
    <row r="112" spans="1:33" hidden="1" x14ac:dyDescent="0.25">
      <c r="A112" s="25" t="s">
        <v>617</v>
      </c>
      <c r="B112" s="96">
        <v>4017</v>
      </c>
      <c r="C112" s="97" t="s">
        <v>170</v>
      </c>
      <c r="D112" s="97" t="s">
        <v>618</v>
      </c>
      <c r="E112" s="98">
        <v>42581.698969907404</v>
      </c>
      <c r="F112" s="98">
        <v>42581.700277777774</v>
      </c>
      <c r="G112" s="96">
        <v>1</v>
      </c>
      <c r="H112" s="98" t="s">
        <v>58</v>
      </c>
      <c r="I112" s="98">
        <v>42581.733206018522</v>
      </c>
      <c r="J112" s="96">
        <v>0</v>
      </c>
      <c r="K112" s="123" t="str">
        <f t="shared" si="29"/>
        <v>4017/4018</v>
      </c>
      <c r="L112" s="25" t="str">
        <f>VLOOKUP(A112,'Trips&amp;Operators'!$C$1:$E$10000,3,FALSE)</f>
        <v>WEBSTER</v>
      </c>
      <c r="M112" s="6">
        <f t="shared" si="30"/>
        <v>3.2928240747423843E-2</v>
      </c>
      <c r="N112" s="7">
        <f t="shared" si="31"/>
        <v>47.416666676290333</v>
      </c>
      <c r="O112" s="7"/>
      <c r="P112" s="7"/>
      <c r="Q112" s="26"/>
      <c r="R112" s="26"/>
      <c r="S112" s="41">
        <f t="shared" si="32"/>
        <v>1</v>
      </c>
      <c r="T112" s="59" t="str">
        <f t="shared" si="41"/>
        <v>Southbound</v>
      </c>
      <c r="U112" s="84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15:46:31-0600',mode:absolute,to:'2016-07-30 18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12" s="64" t="str">
        <f t="shared" si="34"/>
        <v>N</v>
      </c>
      <c r="X112" s="126">
        <f t="shared" si="42"/>
        <v>1</v>
      </c>
      <c r="Y112" s="79">
        <f t="shared" si="35"/>
        <v>23.3004</v>
      </c>
      <c r="Z112" s="79">
        <f t="shared" si="36"/>
        <v>1.4500000000000001E-2</v>
      </c>
      <c r="AA112" s="79">
        <f t="shared" si="37"/>
        <v>23.285899999999998</v>
      </c>
      <c r="AB112" s="76" t="e">
        <f>VLOOKUP(A112,Enforcements!$C$7:$J$24,8,0)</f>
        <v>#N/A</v>
      </c>
      <c r="AC112" s="72" t="e">
        <f>VLOOKUP(A112,Enforcements!$C$7:$E$24,3,0)</f>
        <v>#N/A</v>
      </c>
      <c r="AD112" s="73" t="str">
        <f t="shared" si="38"/>
        <v>0200-30</v>
      </c>
      <c r="AE112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12" s="65" t="str">
        <f t="shared" si="40"/>
        <v>"C:\Program Files (x86)\AstroGrep\AstroGrep.exe" /spath="C:\Users\stu\Documents\Analysis\2016-02-23 RTDC Observations" /stypes="*4017*20160730*" /stext=" 23:.+((SYSTEM_STATE.+slice.+state.+changed )|(ment ac)|(system.+state.+changed )|(\|lc)|(penalty)|(\[timeout)|(PRM\|1\|D))" /e /r /s</v>
      </c>
      <c r="AG112" s="1" t="str">
        <f t="shared" si="43"/>
        <v>EC</v>
      </c>
    </row>
    <row r="113" spans="1:33" hidden="1" x14ac:dyDescent="0.25">
      <c r="A113" s="25" t="s">
        <v>637</v>
      </c>
      <c r="B113" s="96">
        <v>4027</v>
      </c>
      <c r="C113" s="97" t="s">
        <v>170</v>
      </c>
      <c r="D113" s="97" t="s">
        <v>325</v>
      </c>
      <c r="E113" s="98">
        <v>42581.673252314817</v>
      </c>
      <c r="F113" s="98">
        <v>42581.674293981479</v>
      </c>
      <c r="G113" s="96">
        <v>1</v>
      </c>
      <c r="H113" s="98" t="s">
        <v>638</v>
      </c>
      <c r="I113" s="98">
        <v>42581.702245370368</v>
      </c>
      <c r="J113" s="96">
        <v>1</v>
      </c>
      <c r="K113" s="123" t="str">
        <f t="shared" si="29"/>
        <v>4027/4028</v>
      </c>
      <c r="L113" s="25" t="str">
        <f>VLOOKUP(A113,'Trips&amp;Operators'!$C$1:$E$10000,3,FALSE)</f>
        <v>STEWART</v>
      </c>
      <c r="M113" s="6">
        <f t="shared" si="30"/>
        <v>2.7951388889050577E-2</v>
      </c>
      <c r="N113" s="7">
        <f t="shared" si="31"/>
        <v>40.250000000232831</v>
      </c>
      <c r="O113" s="7"/>
      <c r="P113" s="7"/>
      <c r="Q113" s="26"/>
      <c r="R113" s="26"/>
      <c r="S113" s="41">
        <f t="shared" si="32"/>
        <v>1</v>
      </c>
      <c r="T113" s="59" t="str">
        <f t="shared" si="41"/>
        <v>NorthBound</v>
      </c>
      <c r="U113" s="84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15:09:29-0600',mode:absolute,to:'2016-07-30 17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3" s="64" t="str">
        <f t="shared" si="34"/>
        <v>N</v>
      </c>
      <c r="X113" s="126">
        <f t="shared" si="42"/>
        <v>1</v>
      </c>
      <c r="Y113" s="79">
        <f t="shared" si="35"/>
        <v>4.7800000000000002E-2</v>
      </c>
      <c r="Z113" s="79">
        <f t="shared" si="36"/>
        <v>23.3261</v>
      </c>
      <c r="AA113" s="79">
        <f t="shared" si="37"/>
        <v>23.278300000000002</v>
      </c>
      <c r="AB113" s="76" t="e">
        <f>VLOOKUP(A113,Enforcements!$C$7:$J$24,8,0)</f>
        <v>#N/A</v>
      </c>
      <c r="AC113" s="72" t="e">
        <f>VLOOKUP(A113,Enforcements!$C$7:$E$24,3,0)</f>
        <v>#N/A</v>
      </c>
      <c r="AD113" s="73" t="str">
        <f t="shared" si="38"/>
        <v>0201-30</v>
      </c>
      <c r="AE113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113" s="65" t="str">
        <f t="shared" si="40"/>
        <v>"C:\Program Files (x86)\AstroGrep\AstroGrep.exe" /spath="C:\Users\stu\Documents\Analysis\2016-02-23 RTDC Observations" /stypes="*4027*20160730*" /stext=" 22:.+((SYSTEM_STATE.+slice.+state.+changed )|(ment ac)|(system.+state.+changed )|(\|lc)|(penalty)|(\[timeout)|(PRM\|1\|D))" /e /r /s</v>
      </c>
      <c r="AG113" s="1" t="str">
        <f t="shared" si="43"/>
        <v>EC</v>
      </c>
    </row>
    <row r="114" spans="1:33" hidden="1" x14ac:dyDescent="0.25">
      <c r="A114" s="25" t="s">
        <v>639</v>
      </c>
      <c r="B114" s="96">
        <v>4028</v>
      </c>
      <c r="C114" s="97" t="s">
        <v>170</v>
      </c>
      <c r="D114" s="97" t="s">
        <v>640</v>
      </c>
      <c r="E114" s="98">
        <v>42581.713240740741</v>
      </c>
      <c r="F114" s="98">
        <v>42581.71429398148</v>
      </c>
      <c r="G114" s="96">
        <v>1</v>
      </c>
      <c r="H114" s="98" t="s">
        <v>59</v>
      </c>
      <c r="I114" s="98">
        <v>42581.742754629631</v>
      </c>
      <c r="J114" s="96">
        <v>0</v>
      </c>
      <c r="K114" s="123" t="str">
        <f t="shared" si="29"/>
        <v>4027/4028</v>
      </c>
      <c r="L114" s="25" t="str">
        <f>VLOOKUP(A114,'Trips&amp;Operators'!$C$1:$E$10000,3,FALSE)</f>
        <v>STEWART</v>
      </c>
      <c r="M114" s="6">
        <f t="shared" si="30"/>
        <v>2.846064815093996E-2</v>
      </c>
      <c r="N114" s="7">
        <f t="shared" si="31"/>
        <v>40.983333337353542</v>
      </c>
      <c r="O114" s="7"/>
      <c r="P114" s="7"/>
      <c r="Q114" s="26"/>
      <c r="R114" s="26"/>
      <c r="S114" s="41">
        <f t="shared" si="32"/>
        <v>1</v>
      </c>
      <c r="T114" s="59" t="str">
        <f t="shared" si="41"/>
        <v>Southbound</v>
      </c>
      <c r="U114" s="84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16:07:04-0600',mode:absolute,to:'2016-07-30 18:49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4" s="64" t="str">
        <f t="shared" si="34"/>
        <v>N</v>
      </c>
      <c r="X114" s="126">
        <f t="shared" si="42"/>
        <v>1</v>
      </c>
      <c r="Y114" s="79">
        <f t="shared" si="35"/>
        <v>23.2942</v>
      </c>
      <c r="Z114" s="79">
        <f t="shared" si="36"/>
        <v>1.52E-2</v>
      </c>
      <c r="AA114" s="79">
        <f t="shared" si="37"/>
        <v>23.279</v>
      </c>
      <c r="AB114" s="76" t="e">
        <f>VLOOKUP(A114,Enforcements!$C$7:$J$24,8,0)</f>
        <v>#N/A</v>
      </c>
      <c r="AC114" s="72" t="e">
        <f>VLOOKUP(A114,Enforcements!$C$7:$E$24,3,0)</f>
        <v>#N/A</v>
      </c>
      <c r="AD114" s="73" t="str">
        <f t="shared" si="38"/>
        <v>0202-30</v>
      </c>
      <c r="AE114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114" s="65" t="str">
        <f t="shared" si="40"/>
        <v>"C:\Program Files (x86)\AstroGrep\AstroGrep.exe" /spath="C:\Users\stu\Documents\Analysis\2016-02-23 RTDC Observations" /stypes="*4028*20160730*" /stext=" 23:.+((SYSTEM_STATE.+slice.+state.+changed )|(ment ac)|(system.+state.+changed )|(\|lc)|(penalty)|(\[timeout)|(PRM\|1\|D))" /e /r /s</v>
      </c>
      <c r="AG114" s="1" t="str">
        <f t="shared" si="43"/>
        <v>EC</v>
      </c>
    </row>
    <row r="115" spans="1:33" hidden="1" x14ac:dyDescent="0.25">
      <c r="A115" s="25" t="s">
        <v>641</v>
      </c>
      <c r="B115" s="96">
        <v>4031</v>
      </c>
      <c r="C115" s="97" t="s">
        <v>170</v>
      </c>
      <c r="D115" s="97" t="s">
        <v>642</v>
      </c>
      <c r="E115" s="98">
        <v>42581.683391203704</v>
      </c>
      <c r="F115" s="98">
        <v>42581.684351851851</v>
      </c>
      <c r="G115" s="96">
        <v>1</v>
      </c>
      <c r="H115" s="98" t="s">
        <v>354</v>
      </c>
      <c r="I115" s="98">
        <v>42581.713854166665</v>
      </c>
      <c r="J115" s="96">
        <v>0</v>
      </c>
      <c r="K115" s="123" t="str">
        <f t="shared" si="29"/>
        <v>4031/4032</v>
      </c>
      <c r="L115" s="25" t="str">
        <f>VLOOKUP(A115,'Trips&amp;Operators'!$C$1:$E$10000,3,FALSE)</f>
        <v>BARTLETT</v>
      </c>
      <c r="M115" s="6">
        <f t="shared" si="30"/>
        <v>2.9502314813726116E-2</v>
      </c>
      <c r="N115" s="7">
        <f t="shared" si="31"/>
        <v>42.483333331765607</v>
      </c>
      <c r="O115" s="7"/>
      <c r="P115" s="7"/>
      <c r="Q115" s="26"/>
      <c r="R115" s="26"/>
      <c r="S115" s="41">
        <f t="shared" si="32"/>
        <v>1</v>
      </c>
      <c r="T115" s="59" t="str">
        <f t="shared" si="41"/>
        <v>NorthBound</v>
      </c>
      <c r="U115" s="84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15:24:05-0600',mode:absolute,to:'2016-07-30 18:07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15" s="64" t="str">
        <f t="shared" si="34"/>
        <v>N</v>
      </c>
      <c r="X115" s="126">
        <f t="shared" si="42"/>
        <v>1</v>
      </c>
      <c r="Y115" s="79">
        <f t="shared" si="35"/>
        <v>4.9500000000000002E-2</v>
      </c>
      <c r="Z115" s="79">
        <f t="shared" si="36"/>
        <v>23.33</v>
      </c>
      <c r="AA115" s="79">
        <f t="shared" si="37"/>
        <v>23.2805</v>
      </c>
      <c r="AB115" s="76" t="e">
        <f>VLOOKUP(A115,Enforcements!$C$7:$J$24,8,0)</f>
        <v>#N/A</v>
      </c>
      <c r="AC115" s="72" t="e">
        <f>VLOOKUP(A115,Enforcements!$C$7:$E$24,3,0)</f>
        <v>#N/A</v>
      </c>
      <c r="AD115" s="73" t="str">
        <f t="shared" si="38"/>
        <v>0203-30</v>
      </c>
      <c r="AE115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15" s="65" t="str">
        <f t="shared" si="40"/>
        <v>"C:\Program Files (x86)\AstroGrep\AstroGrep.exe" /spath="C:\Users\stu\Documents\Analysis\2016-02-23 RTDC Observations" /stypes="*4031*20160730*" /stext=" 23:.+((SYSTEM_STATE.+slice.+state.+changed )|(ment ac)|(system.+state.+changed )|(\|lc)|(penalty)|(\[timeout)|(PRM\|1\|D))" /e /r /s</v>
      </c>
      <c r="AG115" s="1" t="str">
        <f t="shared" si="43"/>
        <v>EC</v>
      </c>
    </row>
    <row r="116" spans="1:33" hidden="1" x14ac:dyDescent="0.25">
      <c r="A116" s="25" t="s">
        <v>643</v>
      </c>
      <c r="B116" s="96">
        <v>4032</v>
      </c>
      <c r="C116" s="97" t="s">
        <v>170</v>
      </c>
      <c r="D116" s="97" t="s">
        <v>248</v>
      </c>
      <c r="E116" s="98">
        <v>42581.715462962966</v>
      </c>
      <c r="F116" s="98">
        <v>42581.716215277775</v>
      </c>
      <c r="G116" s="96">
        <v>1</v>
      </c>
      <c r="H116" s="98" t="s">
        <v>166</v>
      </c>
      <c r="I116" s="98">
        <v>42581.75440972222</v>
      </c>
      <c r="J116" s="96">
        <v>0</v>
      </c>
      <c r="K116" s="123" t="str">
        <f t="shared" si="29"/>
        <v>4031/4032</v>
      </c>
      <c r="L116" s="25" t="str">
        <f>VLOOKUP(A116,'Trips&amp;Operators'!$C$1:$E$10000,3,FALSE)</f>
        <v>BARTLETT</v>
      </c>
      <c r="M116" s="6">
        <f t="shared" si="30"/>
        <v>3.8194444445252884E-2</v>
      </c>
      <c r="N116" s="7">
        <f t="shared" si="31"/>
        <v>55.000000001164153</v>
      </c>
      <c r="O116" s="7"/>
      <c r="P116" s="7"/>
      <c r="Q116" s="26"/>
      <c r="R116" s="26"/>
      <c r="S116" s="41">
        <f t="shared" si="32"/>
        <v>1</v>
      </c>
      <c r="T116" s="59" t="str">
        <f t="shared" si="41"/>
        <v>Southbound</v>
      </c>
      <c r="U116" s="84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16:10:16-0600',mode:absolute,to:'2016-07-30 19:06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16" s="64" t="str">
        <f t="shared" si="34"/>
        <v>N</v>
      </c>
      <c r="X116" s="126">
        <f t="shared" si="42"/>
        <v>1</v>
      </c>
      <c r="Y116" s="79">
        <f t="shared" si="35"/>
        <v>23.299299999999999</v>
      </c>
      <c r="Z116" s="79">
        <f t="shared" si="36"/>
        <v>1.5800000000000002E-2</v>
      </c>
      <c r="AA116" s="79">
        <f t="shared" si="37"/>
        <v>23.2835</v>
      </c>
      <c r="AB116" s="76" t="e">
        <f>VLOOKUP(A116,Enforcements!$C$7:$J$24,8,0)</f>
        <v>#N/A</v>
      </c>
      <c r="AC116" s="72" t="e">
        <f>VLOOKUP(A116,Enforcements!$C$7:$E$24,3,0)</f>
        <v>#N/A</v>
      </c>
      <c r="AD116" s="73" t="str">
        <f t="shared" si="38"/>
        <v>0204-30</v>
      </c>
      <c r="AE116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16" s="65" t="str">
        <f t="shared" si="40"/>
        <v>"C:\Program Files (x86)\AstroGrep\AstroGrep.exe" /spath="C:\Users\stu\Documents\Analysis\2016-02-23 RTDC Observations" /stypes="*4032*20160731*" /stext=" 00:.+((SYSTEM_STATE.+slice.+state.+changed )|(ment ac)|(system.+state.+changed )|(\|lc)|(penalty)|(\[timeout)|(PRM\|1\|D))" /e /r /s</v>
      </c>
      <c r="AG116" s="1" t="str">
        <f t="shared" si="43"/>
        <v>EC</v>
      </c>
    </row>
    <row r="117" spans="1:33" s="24" customFormat="1" hidden="1" x14ac:dyDescent="0.25">
      <c r="A117" s="25" t="s">
        <v>644</v>
      </c>
      <c r="B117" s="96">
        <v>4007</v>
      </c>
      <c r="C117" s="97" t="s">
        <v>170</v>
      </c>
      <c r="D117" s="97" t="s">
        <v>588</v>
      </c>
      <c r="E117" s="98">
        <v>42581.695497685185</v>
      </c>
      <c r="F117" s="98">
        <v>42581.696620370371</v>
      </c>
      <c r="G117" s="96">
        <v>1</v>
      </c>
      <c r="H117" s="98" t="s">
        <v>155</v>
      </c>
      <c r="I117" s="98">
        <v>42581.724050925928</v>
      </c>
      <c r="J117" s="96">
        <v>0</v>
      </c>
      <c r="K117" s="123" t="str">
        <f t="shared" si="29"/>
        <v>4007/4008</v>
      </c>
      <c r="L117" s="25" t="str">
        <f>VLOOKUP(A117,'Trips&amp;Operators'!$C$1:$E$10000,3,FALSE)</f>
        <v>MOSES</v>
      </c>
      <c r="M117" s="6">
        <f t="shared" si="30"/>
        <v>2.7430555557657499E-2</v>
      </c>
      <c r="N117" s="7">
        <f t="shared" si="31"/>
        <v>39.500000003026798</v>
      </c>
      <c r="O117" s="7"/>
      <c r="P117" s="7"/>
      <c r="Q117" s="26"/>
      <c r="R117" s="26"/>
      <c r="S117" s="41">
        <f t="shared" si="32"/>
        <v>1</v>
      </c>
      <c r="T117" s="59" t="str">
        <f t="shared" si="41"/>
        <v>NorthBound</v>
      </c>
      <c r="U117" s="84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15:41:31-0600',mode:absolute,to:'2016-07-30 18:22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17" s="64" t="str">
        <f t="shared" si="34"/>
        <v>N</v>
      </c>
      <c r="X117" s="126">
        <f t="shared" si="42"/>
        <v>1</v>
      </c>
      <c r="Y117" s="79">
        <f t="shared" si="35"/>
        <v>7.0800000000000002E-2</v>
      </c>
      <c r="Z117" s="79">
        <f t="shared" si="36"/>
        <v>23.330300000000001</v>
      </c>
      <c r="AA117" s="79">
        <f t="shared" si="37"/>
        <v>23.259500000000003</v>
      </c>
      <c r="AB117" s="76" t="e">
        <f>VLOOKUP(A117,Enforcements!$C$7:$J$24,8,0)</f>
        <v>#N/A</v>
      </c>
      <c r="AC117" s="72" t="e">
        <f>VLOOKUP(A117,Enforcements!$C$7:$E$24,3,0)</f>
        <v>#N/A</v>
      </c>
      <c r="AD117" s="73" t="str">
        <f t="shared" si="38"/>
        <v>0205-30</v>
      </c>
      <c r="AE117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17" s="65" t="str">
        <f t="shared" si="40"/>
        <v>"C:\Program Files (x86)\AstroGrep\AstroGrep.exe" /spath="C:\Users\stu\Documents\Analysis\2016-02-23 RTDC Observations" /stypes="*4007*20160730*" /stext=" 23:.+((SYSTEM_STATE.+slice.+state.+changed )|(ment ac)|(system.+state.+changed )|(\|lc)|(penalty)|(\[timeout)|(PRM\|1\|D))" /e /r /s</v>
      </c>
      <c r="AG117" s="1" t="str">
        <f t="shared" si="43"/>
        <v>EC</v>
      </c>
    </row>
    <row r="118" spans="1:33" hidden="1" x14ac:dyDescent="0.25">
      <c r="A118" s="25" t="s">
        <v>645</v>
      </c>
      <c r="B118" s="96">
        <v>4043</v>
      </c>
      <c r="C118" s="97" t="s">
        <v>170</v>
      </c>
      <c r="D118" s="97" t="s">
        <v>646</v>
      </c>
      <c r="E118" s="98">
        <v>42581.730833333335</v>
      </c>
      <c r="F118" s="98">
        <v>42581.732222222221</v>
      </c>
      <c r="G118" s="96">
        <v>2</v>
      </c>
      <c r="H118" s="98" t="s">
        <v>154</v>
      </c>
      <c r="I118" s="98">
        <v>42581.766469907408</v>
      </c>
      <c r="J118" s="96">
        <v>3</v>
      </c>
      <c r="K118" s="123" t="str">
        <f t="shared" si="29"/>
        <v>4043/4044</v>
      </c>
      <c r="L118" s="25" t="str">
        <f>VLOOKUP(A118,'Trips&amp;Operators'!$C$1:$E$10000,3,FALSE)</f>
        <v>MOSES</v>
      </c>
      <c r="M118" s="6">
        <f t="shared" si="30"/>
        <v>3.4247685187438037E-2</v>
      </c>
      <c r="N118" s="7">
        <f t="shared" si="31"/>
        <v>49.316666669910774</v>
      </c>
      <c r="O118" s="7"/>
      <c r="P118" s="7"/>
      <c r="Q118" s="26"/>
      <c r="R118" s="26"/>
      <c r="S118" s="41">
        <f t="shared" si="32"/>
        <v>1</v>
      </c>
      <c r="T118" s="59" t="str">
        <f t="shared" si="41"/>
        <v>Southbound</v>
      </c>
      <c r="U118" s="84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18" s="64" t="str">
        <f t="shared" si="34"/>
        <v>N</v>
      </c>
      <c r="X118" s="126">
        <f t="shared" si="42"/>
        <v>1</v>
      </c>
      <c r="Y118" s="79">
        <f t="shared" si="35"/>
        <v>23.265799999999999</v>
      </c>
      <c r="Z118" s="79">
        <f t="shared" si="36"/>
        <v>1.6299999999999999E-2</v>
      </c>
      <c r="AA118" s="79">
        <f t="shared" si="37"/>
        <v>23.249499999999998</v>
      </c>
      <c r="AB118" s="76" t="e">
        <f>VLOOKUP(A118,Enforcements!$C$7:$J$24,8,0)</f>
        <v>#N/A</v>
      </c>
      <c r="AC118" s="72" t="e">
        <f>VLOOKUP(A118,Enforcements!$C$7:$E$24,3,0)</f>
        <v>#N/A</v>
      </c>
      <c r="AD118" s="73" t="str">
        <f t="shared" si="38"/>
        <v>0206-30</v>
      </c>
      <c r="AE118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18" s="65" t="str">
        <f t="shared" si="40"/>
        <v>"C:\Program Files (x86)\AstroGrep\AstroGrep.exe" /spath="C:\Users\stu\Documents\Analysis\2016-02-23 RTDC Observations" /stypes="*4043*20160731*" /stext=" 00:.+((SYSTEM_STATE.+slice.+state.+changed )|(ment ac)|(system.+state.+changed )|(\|lc)|(penalty)|(\[timeout)|(PRM\|1\|D))" /e /r /s</v>
      </c>
      <c r="AG118" s="1" t="str">
        <f t="shared" si="43"/>
        <v>EC</v>
      </c>
    </row>
    <row r="119" spans="1:33" hidden="1" x14ac:dyDescent="0.25">
      <c r="A119" s="25" t="s">
        <v>647</v>
      </c>
      <c r="B119" s="96">
        <v>4016</v>
      </c>
      <c r="C119" s="97" t="s">
        <v>170</v>
      </c>
      <c r="D119" s="97" t="s">
        <v>202</v>
      </c>
      <c r="E119" s="98">
        <v>42581.703530092593</v>
      </c>
      <c r="F119" s="98">
        <v>42581.704745370371</v>
      </c>
      <c r="G119" s="96">
        <v>1</v>
      </c>
      <c r="H119" s="98" t="s">
        <v>256</v>
      </c>
      <c r="I119" s="98">
        <v>42581.733773148146</v>
      </c>
      <c r="J119" s="96">
        <v>0</v>
      </c>
      <c r="K119" s="123" t="str">
        <f t="shared" si="29"/>
        <v>4015/4016</v>
      </c>
      <c r="L119" s="25" t="str">
        <f>VLOOKUP(A119,'Trips&amp;Operators'!$C$1:$E$10000,3,FALSE)</f>
        <v>REBOLETTI</v>
      </c>
      <c r="M119" s="6">
        <f t="shared" si="30"/>
        <v>2.9027777774899732E-2</v>
      </c>
      <c r="N119" s="7">
        <f t="shared" si="31"/>
        <v>41.799999995855615</v>
      </c>
      <c r="O119" s="7"/>
      <c r="P119" s="7"/>
      <c r="Q119" s="26"/>
      <c r="R119" s="26"/>
      <c r="S119" s="41">
        <f t="shared" si="32"/>
        <v>1</v>
      </c>
      <c r="T119" s="59" t="str">
        <f t="shared" si="41"/>
        <v>NorthBound</v>
      </c>
      <c r="U119" s="84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15:53:05-0600',mode:absolute,to:'2016-07-30 18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19" s="64" t="str">
        <f t="shared" si="34"/>
        <v>N</v>
      </c>
      <c r="X119" s="126">
        <f t="shared" si="42"/>
        <v>1</v>
      </c>
      <c r="Y119" s="79">
        <f t="shared" si="35"/>
        <v>4.4200000000000003E-2</v>
      </c>
      <c r="Z119" s="79">
        <f t="shared" si="36"/>
        <v>23.331</v>
      </c>
      <c r="AA119" s="79">
        <f t="shared" si="37"/>
        <v>23.286799999999999</v>
      </c>
      <c r="AB119" s="76" t="e">
        <f>VLOOKUP(A119,Enforcements!$C$7:$J$24,8,0)</f>
        <v>#N/A</v>
      </c>
      <c r="AC119" s="72" t="e">
        <f>VLOOKUP(A119,Enforcements!$C$7:$E$24,3,0)</f>
        <v>#N/A</v>
      </c>
      <c r="AD119" s="73" t="str">
        <f t="shared" si="38"/>
        <v>0207-30</v>
      </c>
      <c r="AE119" s="65" t="str">
        <f t="shared" si="39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119" s="65" t="str">
        <f t="shared" si="40"/>
        <v>"C:\Program Files (x86)\AstroGrep\AstroGrep.exe" /spath="C:\Users\stu\Documents\Analysis\2016-02-23 RTDC Observations" /stypes="*4016*20160730*" /stext=" 23:.+((SYSTEM_STATE.+slice.+state.+changed )|(ment ac)|(system.+state.+changed )|(\|lc)|(penalty)|(\[timeout)|(PRM\|1\|D))" /e /r /s</v>
      </c>
      <c r="AG119" s="1" t="str">
        <f t="shared" si="43"/>
        <v>EC</v>
      </c>
    </row>
    <row r="120" spans="1:33" s="24" customFormat="1" hidden="1" x14ac:dyDescent="0.25">
      <c r="A120" s="25" t="s">
        <v>648</v>
      </c>
      <c r="B120" s="96">
        <v>4015</v>
      </c>
      <c r="C120" s="97" t="s">
        <v>170</v>
      </c>
      <c r="D120" s="97" t="s">
        <v>649</v>
      </c>
      <c r="E120" s="98">
        <v>42581.741377314815</v>
      </c>
      <c r="F120" s="98">
        <v>42581.742939814816</v>
      </c>
      <c r="G120" s="96">
        <v>2</v>
      </c>
      <c r="H120" s="98" t="s">
        <v>166</v>
      </c>
      <c r="I120" s="98">
        <v>42581.77652777778</v>
      </c>
      <c r="J120" s="96">
        <v>1</v>
      </c>
      <c r="K120" s="123" t="str">
        <f t="shared" si="29"/>
        <v>4015/4016</v>
      </c>
      <c r="L120" s="25" t="str">
        <f>VLOOKUP(A120,'Trips&amp;Operators'!$C$1:$E$10000,3,FALSE)</f>
        <v>REBOLETTI</v>
      </c>
      <c r="M120" s="6">
        <f t="shared" si="30"/>
        <v>3.3587962963792961E-2</v>
      </c>
      <c r="N120" s="7">
        <f t="shared" si="31"/>
        <v>48.366666667861864</v>
      </c>
      <c r="O120" s="7"/>
      <c r="P120" s="7"/>
      <c r="Q120" s="26"/>
      <c r="R120" s="26"/>
      <c r="S120" s="41">
        <f t="shared" si="32"/>
        <v>1</v>
      </c>
      <c r="T120" s="59" t="str">
        <f t="shared" si="41"/>
        <v>Southbound</v>
      </c>
      <c r="U120" s="84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16:47:35-0600',mode:absolute,to:'2016-07-30 19:38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20" s="64" t="str">
        <f t="shared" si="34"/>
        <v>N</v>
      </c>
      <c r="X120" s="126">
        <f t="shared" si="42"/>
        <v>1</v>
      </c>
      <c r="Y120" s="79">
        <f t="shared" si="35"/>
        <v>23.300999999999998</v>
      </c>
      <c r="Z120" s="79">
        <f t="shared" si="36"/>
        <v>1.5800000000000002E-2</v>
      </c>
      <c r="AA120" s="79">
        <f t="shared" si="37"/>
        <v>23.2852</v>
      </c>
      <c r="AB120" s="76" t="e">
        <f>VLOOKUP(A120,Enforcements!$C$7:$J$24,8,0)</f>
        <v>#N/A</v>
      </c>
      <c r="AC120" s="72" t="e">
        <f>VLOOKUP(A120,Enforcements!$C$7:$E$24,3,0)</f>
        <v>#N/A</v>
      </c>
      <c r="AD120" s="73" t="str">
        <f t="shared" si="38"/>
        <v>0208-30</v>
      </c>
      <c r="AE120" s="65" t="str">
        <f t="shared" si="39"/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AF120" s="65" t="str">
        <f t="shared" si="40"/>
        <v>"C:\Program Files (x86)\AstroGrep\AstroGrep.exe" /spath="C:\Users\stu\Documents\Analysis\2016-02-23 RTDC Observations" /stypes="*4015*20160731*" /stext=" 00:.+((SYSTEM_STATE.+slice.+state.+changed )|(ment ac)|(system.+state.+changed )|(\|lc)|(penalty)|(\[timeout)|(PRM\|1\|D))" /e /r /s</v>
      </c>
      <c r="AG120" s="1" t="str">
        <f t="shared" si="43"/>
        <v>EC</v>
      </c>
    </row>
    <row r="121" spans="1:33" s="24" customFormat="1" hidden="1" x14ac:dyDescent="0.25">
      <c r="A121" s="25" t="s">
        <v>650</v>
      </c>
      <c r="B121" s="96">
        <v>4029</v>
      </c>
      <c r="C121" s="97" t="s">
        <v>170</v>
      </c>
      <c r="D121" s="97" t="s">
        <v>141</v>
      </c>
      <c r="E121" s="98">
        <v>42581.714062500003</v>
      </c>
      <c r="F121" s="98">
        <v>42581.715162037035</v>
      </c>
      <c r="G121" s="96">
        <v>1</v>
      </c>
      <c r="H121" s="98" t="s">
        <v>425</v>
      </c>
      <c r="I121" s="98">
        <v>42581.743449074071</v>
      </c>
      <c r="J121" s="96">
        <v>0</v>
      </c>
      <c r="K121" s="123" t="str">
        <f t="shared" si="29"/>
        <v>4029/4030</v>
      </c>
      <c r="L121" s="25" t="str">
        <f>VLOOKUP(A121,'Trips&amp;Operators'!$C$1:$E$10000,3,FALSE)</f>
        <v>BRUDER</v>
      </c>
      <c r="M121" s="6">
        <f t="shared" si="30"/>
        <v>2.8287037035624962E-2</v>
      </c>
      <c r="N121" s="7">
        <f t="shared" si="31"/>
        <v>40.733333331299946</v>
      </c>
      <c r="O121" s="7"/>
      <c r="P121" s="7"/>
      <c r="Q121" s="26"/>
      <c r="R121" s="26"/>
      <c r="S121" s="41">
        <f t="shared" si="32"/>
        <v>1</v>
      </c>
      <c r="T121" s="59" t="str">
        <f t="shared" si="41"/>
        <v>NorthBound</v>
      </c>
      <c r="U121" s="84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16:08:15-0600',mode:absolute,to:'2016-07-30 18:50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21" s="64" t="str">
        <f t="shared" si="34"/>
        <v>N</v>
      </c>
      <c r="X121" s="126">
        <f t="shared" si="42"/>
        <v>1</v>
      </c>
      <c r="Y121" s="79">
        <f t="shared" si="35"/>
        <v>4.6199999999999998E-2</v>
      </c>
      <c r="Z121" s="79">
        <f t="shared" si="36"/>
        <v>23.331099999999999</v>
      </c>
      <c r="AA121" s="79">
        <f t="shared" si="37"/>
        <v>23.2849</v>
      </c>
      <c r="AB121" s="76" t="e">
        <f>VLOOKUP(A121,Enforcements!$C$7:$J$24,8,0)</f>
        <v>#N/A</v>
      </c>
      <c r="AC121" s="72" t="e">
        <f>VLOOKUP(A121,Enforcements!$C$7:$E$24,3,0)</f>
        <v>#N/A</v>
      </c>
      <c r="AD121" s="73" t="str">
        <f t="shared" si="38"/>
        <v>0209-30</v>
      </c>
      <c r="AE121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21" s="65" t="str">
        <f t="shared" si="40"/>
        <v>"C:\Program Files (x86)\AstroGrep\AstroGrep.exe" /spath="C:\Users\stu\Documents\Analysis\2016-02-23 RTDC Observations" /stypes="*4029*20160730*" /stext=" 23:.+((SYSTEM_STATE.+slice.+state.+changed )|(ment ac)|(system.+state.+changed )|(\|lc)|(penalty)|(\[timeout)|(PRM\|1\|D))" /e /r /s</v>
      </c>
      <c r="AG121" s="1" t="str">
        <f t="shared" si="43"/>
        <v>EC</v>
      </c>
    </row>
    <row r="122" spans="1:33" s="24" customFormat="1" hidden="1" x14ac:dyDescent="0.25">
      <c r="A122" s="25" t="s">
        <v>651</v>
      </c>
      <c r="B122" s="96">
        <v>4030</v>
      </c>
      <c r="C122" s="97" t="s">
        <v>170</v>
      </c>
      <c r="D122" s="97" t="s">
        <v>358</v>
      </c>
      <c r="E122" s="98">
        <v>42581.751932870371</v>
      </c>
      <c r="F122" s="98">
        <v>42581.752974537034</v>
      </c>
      <c r="G122" s="96">
        <v>1</v>
      </c>
      <c r="H122" s="98" t="s">
        <v>360</v>
      </c>
      <c r="I122" s="98">
        <v>42581.784282407411</v>
      </c>
      <c r="J122" s="96">
        <v>0</v>
      </c>
      <c r="K122" s="123" t="str">
        <f t="shared" si="29"/>
        <v>4029/4030</v>
      </c>
      <c r="L122" s="25" t="str">
        <f>VLOOKUP(A122,'Trips&amp;Operators'!$C$1:$E$10000,3,FALSE)</f>
        <v>BRUDER</v>
      </c>
      <c r="M122" s="6">
        <f t="shared" si="30"/>
        <v>3.1307870376622304E-2</v>
      </c>
      <c r="N122" s="7">
        <f t="shared" si="31"/>
        <v>45.083333342336118</v>
      </c>
      <c r="O122" s="7"/>
      <c r="P122" s="7"/>
      <c r="Q122" s="26"/>
      <c r="R122" s="26"/>
      <c r="S122" s="41">
        <f t="shared" si="32"/>
        <v>1</v>
      </c>
      <c r="T122" s="59" t="str">
        <f t="shared" si="41"/>
        <v>Southbound</v>
      </c>
      <c r="U122" s="84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12</v>
      </c>
      <c r="V12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17:02:47-0600',mode:absolute,to:'2016-07-30 19:49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22" s="64" t="str">
        <f t="shared" si="34"/>
        <v>N</v>
      </c>
      <c r="X122" s="126">
        <f t="shared" si="42"/>
        <v>1</v>
      </c>
      <c r="Y122" s="79">
        <f t="shared" si="35"/>
        <v>23.297499999999999</v>
      </c>
      <c r="Z122" s="79">
        <f t="shared" si="36"/>
        <v>1.61E-2</v>
      </c>
      <c r="AA122" s="79">
        <f t="shared" si="37"/>
        <v>23.281399999999998</v>
      </c>
      <c r="AB122" s="76" t="e">
        <f>VLOOKUP(A122,Enforcements!$C$7:$J$24,8,0)</f>
        <v>#N/A</v>
      </c>
      <c r="AC122" s="72" t="e">
        <f>VLOOKUP(A122,Enforcements!$C$7:$E$24,3,0)</f>
        <v>#N/A</v>
      </c>
      <c r="AD122" s="73" t="str">
        <f t="shared" si="38"/>
        <v>0210-30</v>
      </c>
      <c r="AE122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22" s="65" t="str">
        <f t="shared" si="40"/>
        <v>"C:\Program Files (x86)\AstroGrep\AstroGrep.exe" /spath="C:\Users\stu\Documents\Analysis\2016-02-23 RTDC Observations" /stypes="*4030*20160731*" /stext=" 00:.+((SYSTEM_STATE.+slice.+state.+changed )|(ment ac)|(system.+state.+changed )|(\|lc)|(penalty)|(\[timeout)|(PRM\|1\|D))" /e /r /s</v>
      </c>
      <c r="AG122" s="1" t="str">
        <f t="shared" si="43"/>
        <v>EC</v>
      </c>
    </row>
    <row r="123" spans="1:33" s="24" customFormat="1" hidden="1" x14ac:dyDescent="0.25">
      <c r="A123" s="25" t="s">
        <v>652</v>
      </c>
      <c r="B123" s="96">
        <v>4014</v>
      </c>
      <c r="C123" s="97" t="s">
        <v>170</v>
      </c>
      <c r="D123" s="97" t="s">
        <v>380</v>
      </c>
      <c r="E123" s="98">
        <v>42581.725775462961</v>
      </c>
      <c r="F123" s="98">
        <v>42581.729456018518</v>
      </c>
      <c r="G123" s="96">
        <v>5</v>
      </c>
      <c r="H123" s="98" t="s">
        <v>163</v>
      </c>
      <c r="I123" s="98">
        <v>42581.755243055559</v>
      </c>
      <c r="J123" s="96">
        <v>0</v>
      </c>
      <c r="K123" s="123" t="str">
        <f t="shared" si="29"/>
        <v>4013/4014</v>
      </c>
      <c r="L123" s="25" t="str">
        <f>VLOOKUP(A123,'Trips&amp;Operators'!$C$1:$E$10000,3,FALSE)</f>
        <v>MAYBERRY</v>
      </c>
      <c r="M123" s="6">
        <f t="shared" si="30"/>
        <v>2.5787037040572613E-2</v>
      </c>
      <c r="N123" s="7">
        <f t="shared" si="31"/>
        <v>37.133333338424563</v>
      </c>
      <c r="O123" s="7"/>
      <c r="P123" s="7"/>
      <c r="Q123" s="26"/>
      <c r="R123" s="26"/>
      <c r="S123" s="41">
        <f t="shared" si="32"/>
        <v>1</v>
      </c>
      <c r="T123" s="59" t="str">
        <f t="shared" si="41"/>
        <v>NorthBound</v>
      </c>
      <c r="U123" s="84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16:25:07-0600',mode:absolute,to:'2016-07-30 19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23" s="64" t="str">
        <f t="shared" si="34"/>
        <v>N</v>
      </c>
      <c r="X123" s="126">
        <f t="shared" si="42"/>
        <v>1</v>
      </c>
      <c r="Y123" s="79">
        <f t="shared" si="35"/>
        <v>7.6600000000000001E-2</v>
      </c>
      <c r="Z123" s="79">
        <f t="shared" si="36"/>
        <v>23.331499999999998</v>
      </c>
      <c r="AA123" s="79">
        <f t="shared" si="37"/>
        <v>23.254899999999999</v>
      </c>
      <c r="AB123" s="76" t="e">
        <f>VLOOKUP(A123,Enforcements!$C$7:$J$24,8,0)</f>
        <v>#N/A</v>
      </c>
      <c r="AC123" s="72" t="e">
        <f>VLOOKUP(A123,Enforcements!$C$7:$E$24,3,0)</f>
        <v>#N/A</v>
      </c>
      <c r="AD123" s="73" t="str">
        <f t="shared" si="38"/>
        <v>0211-30</v>
      </c>
      <c r="AE123" s="65" t="str">
        <f t="shared" si="39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23" s="65" t="str">
        <f t="shared" si="40"/>
        <v>"C:\Program Files (x86)\AstroGrep\AstroGrep.exe" /spath="C:\Users\stu\Documents\Analysis\2016-02-23 RTDC Observations" /stypes="*4014*20160731*" /stext=" 00:.+((SYSTEM_STATE.+slice.+state.+changed )|(ment ac)|(system.+state.+changed )|(\|lc)|(penalty)|(\[timeout)|(PRM\|1\|D))" /e /r /s</v>
      </c>
      <c r="AG123" s="1" t="str">
        <f t="shared" si="43"/>
        <v>EC</v>
      </c>
    </row>
    <row r="124" spans="1:33" s="24" customFormat="1" hidden="1" x14ac:dyDescent="0.25">
      <c r="A124" s="25" t="s">
        <v>653</v>
      </c>
      <c r="B124" s="96">
        <v>4012</v>
      </c>
      <c r="C124" s="97" t="s">
        <v>170</v>
      </c>
      <c r="D124" s="97" t="s">
        <v>654</v>
      </c>
      <c r="E124" s="98">
        <v>42581.764224537037</v>
      </c>
      <c r="F124" s="98">
        <v>42581.765428240738</v>
      </c>
      <c r="G124" s="96">
        <v>1</v>
      </c>
      <c r="H124" s="98" t="s">
        <v>149</v>
      </c>
      <c r="I124" s="98">
        <v>42581.796134259261</v>
      </c>
      <c r="J124" s="96">
        <v>1</v>
      </c>
      <c r="K124" s="123" t="str">
        <f t="shared" si="29"/>
        <v>4011/4012</v>
      </c>
      <c r="L124" s="25" t="str">
        <f>VLOOKUP(A124,'Trips&amp;Operators'!$C$1:$E$10000,3,FALSE)</f>
        <v>MAYBERRY</v>
      </c>
      <c r="M124" s="6">
        <f t="shared" si="30"/>
        <v>3.0706018522323575E-2</v>
      </c>
      <c r="N124" s="7">
        <f t="shared" si="31"/>
        <v>44.216666672145948</v>
      </c>
      <c r="O124" s="7"/>
      <c r="P124" s="7"/>
      <c r="Q124" s="26"/>
      <c r="R124" s="26"/>
      <c r="S124" s="41">
        <f t="shared" si="32"/>
        <v>1</v>
      </c>
      <c r="T124" s="59" t="str">
        <f t="shared" si="41"/>
        <v>Southbound</v>
      </c>
      <c r="U124" s="84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17:20:29-0600',mode:absolute,to:'2016-07-30 20:06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W124" s="64" t="str">
        <f t="shared" si="34"/>
        <v>N</v>
      </c>
      <c r="X124" s="126">
        <f t="shared" si="42"/>
        <v>1</v>
      </c>
      <c r="Y124" s="79">
        <f t="shared" si="35"/>
        <v>23.2681</v>
      </c>
      <c r="Z124" s="79">
        <f t="shared" si="36"/>
        <v>1.41E-2</v>
      </c>
      <c r="AA124" s="79">
        <f t="shared" si="37"/>
        <v>23.254000000000001</v>
      </c>
      <c r="AB124" s="76">
        <f>VLOOKUP(A124,Enforcements!$C$7:$J$24,8,0)</f>
        <v>21848</v>
      </c>
      <c r="AC124" s="72" t="str">
        <f>VLOOKUP(A124,Enforcements!$C$7:$E$24,3,0)</f>
        <v>PERMANENT SPEED RESTRICTION</v>
      </c>
      <c r="AD124" s="73" t="str">
        <f t="shared" si="38"/>
        <v>0212-30</v>
      </c>
      <c r="AE124" s="65" t="str">
        <f t="shared" si="39"/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AF124" s="65" t="str">
        <f t="shared" si="40"/>
        <v>"C:\Program Files (x86)\AstroGrep\AstroGrep.exe" /spath="C:\Users\stu\Documents\Analysis\2016-02-23 RTDC Observations" /stypes="*4012*20160731*" /stext=" 01:.+((SYSTEM_STATE.+slice.+state.+changed )|(ment ac)|(system.+state.+changed )|(\|lc)|(penalty)|(\[timeout)|(PRM\|1\|D))" /e /r /s</v>
      </c>
      <c r="AG124" s="1" t="str">
        <f t="shared" si="43"/>
        <v>EC</v>
      </c>
    </row>
    <row r="125" spans="1:33" s="24" customFormat="1" hidden="1" x14ac:dyDescent="0.25">
      <c r="A125" s="25" t="s">
        <v>655</v>
      </c>
      <c r="B125" s="96">
        <v>4018</v>
      </c>
      <c r="C125" s="97" t="s">
        <v>170</v>
      </c>
      <c r="D125" s="97" t="s">
        <v>199</v>
      </c>
      <c r="E125" s="98">
        <v>42581.734780092593</v>
      </c>
      <c r="F125" s="98">
        <v>42581.736400462964</v>
      </c>
      <c r="G125" s="96">
        <v>2</v>
      </c>
      <c r="H125" s="98" t="s">
        <v>381</v>
      </c>
      <c r="I125" s="98">
        <v>42581.765104166669</v>
      </c>
      <c r="J125" s="96">
        <v>0</v>
      </c>
      <c r="K125" s="123" t="str">
        <f t="shared" si="29"/>
        <v>4017/4018</v>
      </c>
      <c r="L125" s="25" t="str">
        <f>VLOOKUP(A125,'Trips&amp;Operators'!$C$1:$E$10000,3,FALSE)</f>
        <v>KILLION</v>
      </c>
      <c r="M125" s="6">
        <f t="shared" si="30"/>
        <v>2.8703703705104999E-2</v>
      </c>
      <c r="N125" s="7">
        <f t="shared" si="31"/>
        <v>41.333333335351199</v>
      </c>
      <c r="O125" s="7"/>
      <c r="P125" s="7"/>
      <c r="Q125" s="26"/>
      <c r="R125" s="26"/>
      <c r="S125" s="41">
        <f t="shared" si="32"/>
        <v>1</v>
      </c>
      <c r="T125" s="59" t="str">
        <f t="shared" si="41"/>
        <v>NorthBound</v>
      </c>
      <c r="U125" s="84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16:38:05-0600',mode:absolute,to:'2016-07-30 19:21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25" s="64" t="str">
        <f t="shared" si="34"/>
        <v>N</v>
      </c>
      <c r="X125" s="126">
        <f t="shared" si="42"/>
        <v>1</v>
      </c>
      <c r="Y125" s="79">
        <f t="shared" si="35"/>
        <v>4.6899999999999997E-2</v>
      </c>
      <c r="Z125" s="79">
        <f t="shared" si="36"/>
        <v>23.3309</v>
      </c>
      <c r="AA125" s="79">
        <f t="shared" si="37"/>
        <v>23.283999999999999</v>
      </c>
      <c r="AB125" s="76" t="e">
        <f>VLOOKUP(A125,Enforcements!$C$7:$J$24,8,0)</f>
        <v>#N/A</v>
      </c>
      <c r="AC125" s="72" t="e">
        <f>VLOOKUP(A125,Enforcements!$C$7:$E$24,3,0)</f>
        <v>#N/A</v>
      </c>
      <c r="AD125" s="73" t="str">
        <f t="shared" si="38"/>
        <v>0213-30</v>
      </c>
      <c r="AE125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25" s="65" t="str">
        <f t="shared" si="40"/>
        <v>"C:\Program Files (x86)\AstroGrep\AstroGrep.exe" /spath="C:\Users\stu\Documents\Analysis\2016-02-23 RTDC Observations" /stypes="*4018*20160731*" /stext=" 00:.+((SYSTEM_STATE.+slice.+state.+changed )|(ment ac)|(system.+state.+changed )|(\|lc)|(penalty)|(\[timeout)|(PRM\|1\|D))" /e /r /s</v>
      </c>
      <c r="AG125" s="1" t="str">
        <f t="shared" si="43"/>
        <v>EC</v>
      </c>
    </row>
    <row r="126" spans="1:33" s="24" customFormat="1" hidden="1" x14ac:dyDescent="0.25">
      <c r="A126" s="25" t="s">
        <v>656</v>
      </c>
      <c r="B126" s="96">
        <v>4017</v>
      </c>
      <c r="C126" s="97" t="s">
        <v>170</v>
      </c>
      <c r="D126" s="97" t="s">
        <v>383</v>
      </c>
      <c r="E126" s="98">
        <v>42581.772905092592</v>
      </c>
      <c r="F126" s="98">
        <v>42581.773842592593</v>
      </c>
      <c r="G126" s="96">
        <v>1</v>
      </c>
      <c r="H126" s="98" t="s">
        <v>59</v>
      </c>
      <c r="I126" s="98">
        <v>42581.808229166665</v>
      </c>
      <c r="J126" s="96">
        <v>0</v>
      </c>
      <c r="K126" s="123" t="str">
        <f t="shared" si="29"/>
        <v>4017/4018</v>
      </c>
      <c r="L126" s="25" t="str">
        <f>VLOOKUP(A126,'Trips&amp;Operators'!$C$1:$E$10000,3,FALSE)</f>
        <v>KILLION</v>
      </c>
      <c r="M126" s="6">
        <f t="shared" si="30"/>
        <v>3.4386574072414078E-2</v>
      </c>
      <c r="N126" s="7">
        <f t="shared" si="31"/>
        <v>49.516666664276272</v>
      </c>
      <c r="O126" s="7"/>
      <c r="P126" s="7"/>
      <c r="Q126" s="26"/>
      <c r="R126" s="26"/>
      <c r="S126" s="41">
        <f t="shared" si="32"/>
        <v>1</v>
      </c>
      <c r="T126" s="59" t="str">
        <f t="shared" si="41"/>
        <v>Southbound</v>
      </c>
      <c r="U126" s="84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17:32:59-0600',mode:absolute,to:'2016-07-30 20:23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26" s="64" t="str">
        <f t="shared" si="34"/>
        <v>N</v>
      </c>
      <c r="X126" s="126">
        <f t="shared" si="42"/>
        <v>1</v>
      </c>
      <c r="Y126" s="79">
        <f t="shared" si="35"/>
        <v>23.296900000000001</v>
      </c>
      <c r="Z126" s="79">
        <f t="shared" si="36"/>
        <v>1.52E-2</v>
      </c>
      <c r="AA126" s="79">
        <f t="shared" si="37"/>
        <v>23.281700000000001</v>
      </c>
      <c r="AB126" s="76" t="e">
        <f>VLOOKUP(A126,Enforcements!$C$7:$J$24,8,0)</f>
        <v>#N/A</v>
      </c>
      <c r="AC126" s="72" t="e">
        <f>VLOOKUP(A126,Enforcements!$C$7:$E$24,3,0)</f>
        <v>#N/A</v>
      </c>
      <c r="AD126" s="73" t="str">
        <f t="shared" si="38"/>
        <v>0214-30</v>
      </c>
      <c r="AE126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26" s="65" t="str">
        <f t="shared" si="40"/>
        <v>"C:\Program Files (x86)\AstroGrep\AstroGrep.exe" /spath="C:\Users\stu\Documents\Analysis\2016-02-23 RTDC Observations" /stypes="*4017*20160731*" /stext=" 01:.+((SYSTEM_STATE.+slice.+state.+changed )|(ment ac)|(system.+state.+changed )|(\|lc)|(penalty)|(\[timeout)|(PRM\|1\|D))" /e /r /s</v>
      </c>
      <c r="AG126" s="1" t="str">
        <f t="shared" si="43"/>
        <v>EC</v>
      </c>
    </row>
    <row r="127" spans="1:33" s="24" customFormat="1" hidden="1" x14ac:dyDescent="0.25">
      <c r="A127" s="25" t="s">
        <v>657</v>
      </c>
      <c r="B127" s="96">
        <v>4027</v>
      </c>
      <c r="C127" s="97" t="s">
        <v>170</v>
      </c>
      <c r="D127" s="97" t="s">
        <v>64</v>
      </c>
      <c r="E127" s="98">
        <v>42581.746296296296</v>
      </c>
      <c r="F127" s="98">
        <v>42581.747511574074</v>
      </c>
      <c r="G127" s="96">
        <v>1</v>
      </c>
      <c r="H127" s="98" t="s">
        <v>243</v>
      </c>
      <c r="I127" s="98">
        <v>42581.776319444441</v>
      </c>
      <c r="J127" s="96">
        <v>0</v>
      </c>
      <c r="K127" s="123" t="str">
        <f t="shared" si="29"/>
        <v>4027/4028</v>
      </c>
      <c r="L127" s="25" t="str">
        <f>VLOOKUP(A127,'Trips&amp;Operators'!$C$1:$E$10000,3,FALSE)</f>
        <v>WEBSTER</v>
      </c>
      <c r="M127" s="6">
        <f t="shared" si="30"/>
        <v>2.880787036701804E-2</v>
      </c>
      <c r="N127" s="7">
        <f t="shared" si="31"/>
        <v>41.483333328505978</v>
      </c>
      <c r="O127" s="7"/>
      <c r="P127" s="7"/>
      <c r="Q127" s="26"/>
      <c r="R127" s="26"/>
      <c r="S127" s="41">
        <f t="shared" si="32"/>
        <v>1</v>
      </c>
      <c r="T127" s="59" t="str">
        <f t="shared" si="41"/>
        <v>NorthBound</v>
      </c>
      <c r="U127" s="84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16:54:40-0600',mode:absolute,to:'2016-07-30 19:37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27" s="64" t="str">
        <f t="shared" si="34"/>
        <v>N</v>
      </c>
      <c r="X127" s="126">
        <f t="shared" si="42"/>
        <v>1</v>
      </c>
      <c r="Y127" s="79">
        <f t="shared" si="35"/>
        <v>4.5999999999999999E-2</v>
      </c>
      <c r="Z127" s="79">
        <f t="shared" si="36"/>
        <v>23.3306</v>
      </c>
      <c r="AA127" s="79">
        <f t="shared" si="37"/>
        <v>23.284600000000001</v>
      </c>
      <c r="AB127" s="76" t="e">
        <f>VLOOKUP(A127,Enforcements!$C$7:$J$24,8,0)</f>
        <v>#N/A</v>
      </c>
      <c r="AC127" s="72" t="e">
        <f>VLOOKUP(A127,Enforcements!$C$7:$E$24,3,0)</f>
        <v>#N/A</v>
      </c>
      <c r="AD127" s="73" t="str">
        <f t="shared" si="38"/>
        <v>0215-30</v>
      </c>
      <c r="AE127" s="65" t="str">
        <f t="shared" si="39"/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AF127" s="65" t="str">
        <f t="shared" si="40"/>
        <v>"C:\Program Files (x86)\AstroGrep\AstroGrep.exe" /spath="C:\Users\stu\Documents\Analysis\2016-02-23 RTDC Observations" /stypes="*4027*20160731*" /stext=" 00:.+((SYSTEM_STATE.+slice.+state.+changed )|(ment ac)|(system.+state.+changed )|(\|lc)|(penalty)|(\[timeout)|(PRM\|1\|D))" /e /r /s</v>
      </c>
      <c r="AG127" s="1" t="str">
        <f t="shared" si="43"/>
        <v>EC</v>
      </c>
    </row>
    <row r="128" spans="1:33" s="24" customFormat="1" hidden="1" x14ac:dyDescent="0.25">
      <c r="A128" s="25" t="s">
        <v>658</v>
      </c>
      <c r="B128" s="96">
        <v>4028</v>
      </c>
      <c r="C128" s="97" t="s">
        <v>170</v>
      </c>
      <c r="D128" s="97" t="s">
        <v>196</v>
      </c>
      <c r="E128" s="98">
        <v>42581.782951388886</v>
      </c>
      <c r="F128" s="98">
        <v>42581.784212962964</v>
      </c>
      <c r="G128" s="96">
        <v>1</v>
      </c>
      <c r="H128" s="98" t="s">
        <v>58</v>
      </c>
      <c r="I128" s="98">
        <v>42581.816527777781</v>
      </c>
      <c r="J128" s="96">
        <v>0</v>
      </c>
      <c r="K128" s="123" t="str">
        <f t="shared" si="29"/>
        <v>4027/4028</v>
      </c>
      <c r="L128" s="25" t="str">
        <f>VLOOKUP(A128,'Trips&amp;Operators'!$C$1:$E$10000,3,FALSE)</f>
        <v>WEBSTER</v>
      </c>
      <c r="M128" s="6">
        <f t="shared" si="30"/>
        <v>3.2314814816345461E-2</v>
      </c>
      <c r="N128" s="7">
        <f t="shared" si="31"/>
        <v>46.533333335537463</v>
      </c>
      <c r="O128" s="7"/>
      <c r="P128" s="7"/>
      <c r="Q128" s="26"/>
      <c r="R128" s="26"/>
      <c r="S128" s="41">
        <f t="shared" si="32"/>
        <v>1</v>
      </c>
      <c r="T128" s="59" t="str">
        <f t="shared" si="41"/>
        <v>Southbound</v>
      </c>
      <c r="U128" s="84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17:47:27-0600',mode:absolute,to:'2016-07-30 20:35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28" s="64" t="str">
        <f t="shared" si="34"/>
        <v>N</v>
      </c>
      <c r="X128" s="126">
        <f t="shared" si="42"/>
        <v>1</v>
      </c>
      <c r="Y128" s="79">
        <f t="shared" si="35"/>
        <v>23.3</v>
      </c>
      <c r="Z128" s="79">
        <f t="shared" si="36"/>
        <v>1.4500000000000001E-2</v>
      </c>
      <c r="AA128" s="79">
        <f t="shared" si="37"/>
        <v>23.285499999999999</v>
      </c>
      <c r="AB128" s="76" t="e">
        <f>VLOOKUP(A128,Enforcements!$C$7:$J$24,8,0)</f>
        <v>#N/A</v>
      </c>
      <c r="AC128" s="72" t="e">
        <f>VLOOKUP(A128,Enforcements!$C$7:$E$24,3,0)</f>
        <v>#N/A</v>
      </c>
      <c r="AD128" s="73" t="str">
        <f t="shared" si="38"/>
        <v>0216-30</v>
      </c>
      <c r="AE128" s="65" t="str">
        <f t="shared" si="39"/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AF128" s="65" t="str">
        <f t="shared" si="40"/>
        <v>"C:\Program Files (x86)\AstroGrep\AstroGrep.exe" /spath="C:\Users\stu\Documents\Analysis\2016-02-23 RTDC Observations" /stypes="*4028*20160731*" /stext=" 01:.+((SYSTEM_STATE.+slice.+state.+changed )|(ment ac)|(system.+state.+changed )|(\|lc)|(penalty)|(\[timeout)|(PRM\|1\|D))" /e /r /s</v>
      </c>
      <c r="AG128" s="1" t="str">
        <f t="shared" si="43"/>
        <v>EC</v>
      </c>
    </row>
    <row r="129" spans="1:33" s="24" customFormat="1" hidden="1" x14ac:dyDescent="0.25">
      <c r="A129" s="25" t="s">
        <v>659</v>
      </c>
      <c r="B129" s="96">
        <v>4031</v>
      </c>
      <c r="C129" s="97" t="s">
        <v>170</v>
      </c>
      <c r="D129" s="97" t="s">
        <v>327</v>
      </c>
      <c r="E129" s="98">
        <v>42581.760729166665</v>
      </c>
      <c r="F129" s="98">
        <v>42581.762418981481</v>
      </c>
      <c r="G129" s="96">
        <v>2</v>
      </c>
      <c r="H129" s="98" t="s">
        <v>136</v>
      </c>
      <c r="I129" s="98">
        <v>42581.788252314815</v>
      </c>
      <c r="J129" s="96">
        <v>0</v>
      </c>
      <c r="K129" s="123" t="str">
        <f t="shared" si="29"/>
        <v>4031/4032</v>
      </c>
      <c r="L129" s="25" t="str">
        <f>VLOOKUP(A129,'Trips&amp;Operators'!$C$1:$E$10000,3,FALSE)</f>
        <v>CHANDLER</v>
      </c>
      <c r="M129" s="6">
        <f t="shared" si="30"/>
        <v>2.5833333333139308E-2</v>
      </c>
      <c r="N129" s="7">
        <f t="shared" si="31"/>
        <v>37.199999999720603</v>
      </c>
      <c r="O129" s="7"/>
      <c r="P129" s="7"/>
      <c r="Q129" s="26"/>
      <c r="R129" s="26"/>
      <c r="S129" s="41">
        <f t="shared" si="32"/>
        <v>1</v>
      </c>
      <c r="T129" s="59" t="str">
        <f t="shared" si="41"/>
        <v>NorthBound</v>
      </c>
      <c r="U129" s="84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17:15:27-0600',mode:absolute,to:'2016-07-30 19:55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29" s="64" t="str">
        <f t="shared" si="34"/>
        <v>N</v>
      </c>
      <c r="X129" s="126">
        <f t="shared" si="42"/>
        <v>1</v>
      </c>
      <c r="Y129" s="79">
        <f t="shared" si="35"/>
        <v>4.8800000000000003E-2</v>
      </c>
      <c r="Z129" s="79">
        <f t="shared" si="36"/>
        <v>23.329899999999999</v>
      </c>
      <c r="AA129" s="79">
        <f t="shared" si="37"/>
        <v>23.281099999999999</v>
      </c>
      <c r="AB129" s="76" t="e">
        <f>VLOOKUP(A129,Enforcements!$C$7:$J$24,8,0)</f>
        <v>#N/A</v>
      </c>
      <c r="AC129" s="72" t="e">
        <f>VLOOKUP(A129,Enforcements!$C$7:$E$24,3,0)</f>
        <v>#N/A</v>
      </c>
      <c r="AD129" s="73" t="str">
        <f t="shared" si="38"/>
        <v>0217-30</v>
      </c>
      <c r="AE129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29" s="65" t="str">
        <f t="shared" si="40"/>
        <v>"C:\Program Files (x86)\AstroGrep\AstroGrep.exe" /spath="C:\Users\stu\Documents\Analysis\2016-02-23 RTDC Observations" /stypes="*4031*20160731*" /stext=" 00:.+((SYSTEM_STATE.+slice.+state.+changed )|(ment ac)|(system.+state.+changed )|(\|lc)|(penalty)|(\[timeout)|(PRM\|1\|D))" /e /r /s</v>
      </c>
      <c r="AG129" s="1" t="str">
        <f t="shared" si="43"/>
        <v>EC</v>
      </c>
    </row>
    <row r="130" spans="1:33" s="24" customFormat="1" hidden="1" x14ac:dyDescent="0.25">
      <c r="A130" s="25" t="s">
        <v>660</v>
      </c>
      <c r="B130" s="96">
        <v>4032</v>
      </c>
      <c r="C130" s="97" t="s">
        <v>170</v>
      </c>
      <c r="D130" s="97" t="s">
        <v>262</v>
      </c>
      <c r="E130" s="98">
        <v>42581.79954861111</v>
      </c>
      <c r="F130" s="98">
        <v>42581.800810185188</v>
      </c>
      <c r="G130" s="96">
        <v>1</v>
      </c>
      <c r="H130" s="98" t="s">
        <v>110</v>
      </c>
      <c r="I130" s="98">
        <v>42581.827465277776</v>
      </c>
      <c r="J130" s="96">
        <v>1</v>
      </c>
      <c r="K130" s="123" t="str">
        <f t="shared" si="29"/>
        <v>4031/4032</v>
      </c>
      <c r="L130" s="25" t="str">
        <f>VLOOKUP(A130,'Trips&amp;Operators'!$C$1:$E$10000,3,FALSE)</f>
        <v>CHANDLER</v>
      </c>
      <c r="M130" s="6">
        <f t="shared" si="30"/>
        <v>2.6655092588043772E-2</v>
      </c>
      <c r="N130" s="7">
        <f t="shared" si="31"/>
        <v>38.383333326783031</v>
      </c>
      <c r="O130" s="7"/>
      <c r="P130" s="7"/>
      <c r="Q130" s="26"/>
      <c r="R130" s="26"/>
      <c r="S130" s="41">
        <f t="shared" si="32"/>
        <v>1</v>
      </c>
      <c r="T130" s="59" t="str">
        <f t="shared" si="41"/>
        <v>Southbound</v>
      </c>
      <c r="U130" s="84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18:11:21-0600',mode:absolute,to:'2016-07-30 20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30" s="64" t="str">
        <f t="shared" si="34"/>
        <v>N</v>
      </c>
      <c r="X130" s="126">
        <f t="shared" si="42"/>
        <v>1</v>
      </c>
      <c r="Y130" s="79">
        <f t="shared" si="35"/>
        <v>23.2988</v>
      </c>
      <c r="Z130" s="79">
        <f t="shared" si="36"/>
        <v>1.5599999999999999E-2</v>
      </c>
      <c r="AA130" s="79">
        <f t="shared" si="37"/>
        <v>23.283200000000001</v>
      </c>
      <c r="AB130" s="76" t="e">
        <f>VLOOKUP(A130,Enforcements!$C$7:$J$24,8,0)</f>
        <v>#N/A</v>
      </c>
      <c r="AC130" s="72" t="e">
        <f>VLOOKUP(A130,Enforcements!$C$7:$E$24,3,0)</f>
        <v>#N/A</v>
      </c>
      <c r="AD130" s="73" t="str">
        <f t="shared" si="38"/>
        <v>0218-30</v>
      </c>
      <c r="AE130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30" s="65" t="str">
        <f t="shared" si="40"/>
        <v>"C:\Program Files (x86)\AstroGrep\AstroGrep.exe" /spath="C:\Users\stu\Documents\Analysis\2016-02-23 RTDC Observations" /stypes="*4032*20160731*" /stext=" 01:.+((SYSTEM_STATE.+slice.+state.+changed )|(ment ac)|(system.+state.+changed )|(\|lc)|(penalty)|(\[timeout)|(PRM\|1\|D))" /e /r /s</v>
      </c>
      <c r="AG130" s="1" t="str">
        <f t="shared" si="43"/>
        <v>EC</v>
      </c>
    </row>
    <row r="131" spans="1:33" s="24" customFormat="1" hidden="1" x14ac:dyDescent="0.25">
      <c r="A131" s="25" t="s">
        <v>661</v>
      </c>
      <c r="B131" s="96">
        <v>4007</v>
      </c>
      <c r="C131" s="97" t="s">
        <v>170</v>
      </c>
      <c r="D131" s="97" t="s">
        <v>662</v>
      </c>
      <c r="E131" s="98">
        <v>42581.769606481481</v>
      </c>
      <c r="F131" s="98">
        <v>42581.771249999998</v>
      </c>
      <c r="G131" s="96">
        <v>2</v>
      </c>
      <c r="H131" s="98" t="s">
        <v>663</v>
      </c>
      <c r="I131" s="98">
        <v>42581.797858796293</v>
      </c>
      <c r="J131" s="96">
        <v>0</v>
      </c>
      <c r="K131" s="123" t="str">
        <f t="shared" si="29"/>
        <v>4007/4008</v>
      </c>
      <c r="L131" s="25" t="str">
        <f>VLOOKUP(A131,'Trips&amp;Operators'!$C$1:$E$10000,3,FALSE)</f>
        <v>STURGEON</v>
      </c>
      <c r="M131" s="6">
        <f t="shared" si="30"/>
        <v>2.6608796295477077E-2</v>
      </c>
      <c r="N131" s="7">
        <f t="shared" si="31"/>
        <v>38.316666665486991</v>
      </c>
      <c r="O131" s="7"/>
      <c r="P131" s="7"/>
      <c r="Q131" s="26"/>
      <c r="R131" s="26"/>
      <c r="S131" s="41">
        <f t="shared" si="32"/>
        <v>1</v>
      </c>
      <c r="T131" s="59" t="str">
        <f t="shared" si="41"/>
        <v>NorthBound</v>
      </c>
      <c r="U131" s="84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17:28:14-0600',mode:absolute,to:'2016-07-30 20:08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31" s="64" t="str">
        <f t="shared" si="34"/>
        <v>N</v>
      </c>
      <c r="X131" s="126">
        <f t="shared" si="42"/>
        <v>1</v>
      </c>
      <c r="Y131" s="79">
        <f t="shared" si="35"/>
        <v>6.8599999999999994E-2</v>
      </c>
      <c r="Z131" s="79">
        <f t="shared" si="36"/>
        <v>23.328700000000001</v>
      </c>
      <c r="AA131" s="79">
        <f t="shared" si="37"/>
        <v>23.260100000000001</v>
      </c>
      <c r="AB131" s="76" t="e">
        <f>VLOOKUP(A131,Enforcements!$C$7:$J$24,8,0)</f>
        <v>#N/A</v>
      </c>
      <c r="AC131" s="72" t="e">
        <f>VLOOKUP(A131,Enforcements!$C$7:$E$24,3,0)</f>
        <v>#N/A</v>
      </c>
      <c r="AD131" s="73" t="str">
        <f t="shared" si="38"/>
        <v>0219-30</v>
      </c>
      <c r="AE131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31" s="65" t="str">
        <f t="shared" si="40"/>
        <v>"C:\Program Files (x86)\AstroGrep\AstroGrep.exe" /spath="C:\Users\stu\Documents\Analysis\2016-02-23 RTDC Observations" /stypes="*4007*20160731*" /stext=" 01:.+((SYSTEM_STATE.+slice.+state.+changed )|(ment ac)|(system.+state.+changed )|(\|lc)|(penalty)|(\[timeout)|(PRM\|1\|D))" /e /r /s</v>
      </c>
      <c r="AG131" s="1" t="str">
        <f t="shared" si="43"/>
        <v>EC</v>
      </c>
    </row>
    <row r="132" spans="1:33" s="24" customFormat="1" hidden="1" x14ac:dyDescent="0.25">
      <c r="A132" s="25" t="s">
        <v>664</v>
      </c>
      <c r="B132" s="96">
        <v>4043</v>
      </c>
      <c r="C132" s="97" t="s">
        <v>170</v>
      </c>
      <c r="D132" s="97" t="s">
        <v>665</v>
      </c>
      <c r="E132" s="98">
        <v>42581.804039351853</v>
      </c>
      <c r="F132" s="98">
        <v>42581.805543981478</v>
      </c>
      <c r="G132" s="96">
        <v>2</v>
      </c>
      <c r="H132" s="98" t="s">
        <v>137</v>
      </c>
      <c r="I132" s="98">
        <v>42581.837118055555</v>
      </c>
      <c r="J132" s="96">
        <v>0</v>
      </c>
      <c r="K132" s="123" t="str">
        <f t="shared" si="29"/>
        <v>4043/4044</v>
      </c>
      <c r="L132" s="25" t="str">
        <f>VLOOKUP(A132,'Trips&amp;Operators'!$C$1:$E$10000,3,FALSE)</f>
        <v>STURGEON</v>
      </c>
      <c r="M132" s="6">
        <f t="shared" si="30"/>
        <v>3.1574074077070691E-2</v>
      </c>
      <c r="N132" s="7">
        <f t="shared" si="31"/>
        <v>45.466666670981795</v>
      </c>
      <c r="O132" s="7"/>
      <c r="P132" s="7"/>
      <c r="Q132" s="26"/>
      <c r="R132" s="26"/>
      <c r="S132" s="41">
        <f t="shared" si="32"/>
        <v>1</v>
      </c>
      <c r="T132" s="59" t="str">
        <f t="shared" si="41"/>
        <v>Southbound</v>
      </c>
      <c r="U132" s="84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18:17:49-0600',mode:absolute,to:'2016-07-30 21:05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32" s="64" t="str">
        <f t="shared" si="34"/>
        <v>N</v>
      </c>
      <c r="X132" s="126">
        <f t="shared" si="42"/>
        <v>1</v>
      </c>
      <c r="Y132" s="79">
        <f t="shared" si="35"/>
        <v>23.264900000000001</v>
      </c>
      <c r="Z132" s="79">
        <f t="shared" si="36"/>
        <v>1.54E-2</v>
      </c>
      <c r="AA132" s="79">
        <f t="shared" si="37"/>
        <v>23.249500000000001</v>
      </c>
      <c r="AB132" s="76" t="e">
        <f>VLOOKUP(A132,Enforcements!$C$7:$J$24,8,0)</f>
        <v>#N/A</v>
      </c>
      <c r="AC132" s="72" t="e">
        <f>VLOOKUP(A132,Enforcements!$C$7:$E$24,3,0)</f>
        <v>#N/A</v>
      </c>
      <c r="AD132" s="73" t="str">
        <f t="shared" si="38"/>
        <v>0220-30</v>
      </c>
      <c r="AE132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32" s="65" t="str">
        <f t="shared" si="40"/>
        <v>"C:\Program Files (x86)\AstroGrep\AstroGrep.exe" /spath="C:\Users\stu\Documents\Analysis\2016-02-23 RTDC Observations" /stypes="*4043*20160731*" /stext=" 02:.+((SYSTEM_STATE.+slice.+state.+changed )|(ment ac)|(system.+state.+changed )|(\|lc)|(penalty)|(\[timeout)|(PRM\|1\|D))" /e /r /s</v>
      </c>
      <c r="AG132" s="1" t="str">
        <f t="shared" si="43"/>
        <v>EC</v>
      </c>
    </row>
    <row r="133" spans="1:33" s="24" customFormat="1" hidden="1" x14ac:dyDescent="0.25">
      <c r="A133" s="25" t="s">
        <v>666</v>
      </c>
      <c r="B133" s="96">
        <v>4030</v>
      </c>
      <c r="C133" s="97" t="s">
        <v>170</v>
      </c>
      <c r="D133" s="97" t="s">
        <v>357</v>
      </c>
      <c r="E133" s="98">
        <v>42581.823946759258</v>
      </c>
      <c r="F133" s="98">
        <v>42581.825601851851</v>
      </c>
      <c r="G133" s="96">
        <v>2</v>
      </c>
      <c r="H133" s="98" t="s">
        <v>138</v>
      </c>
      <c r="I133" s="98">
        <v>42581.856631944444</v>
      </c>
      <c r="J133" s="96">
        <v>0</v>
      </c>
      <c r="K133" s="123" t="str">
        <f t="shared" si="29"/>
        <v>4029/4030</v>
      </c>
      <c r="L133" s="25" t="str">
        <f>VLOOKUP(A133,'Trips&amp;Operators'!$C$1:$E$10000,3,FALSE)</f>
        <v>LEVIN</v>
      </c>
      <c r="M133" s="6">
        <f t="shared" si="30"/>
        <v>3.1030092592118308E-2</v>
      </c>
      <c r="N133" s="7">
        <f t="shared" si="31"/>
        <v>44.683333332650363</v>
      </c>
      <c r="O133" s="7"/>
      <c r="P133" s="7"/>
      <c r="Q133" s="26"/>
      <c r="R133" s="26"/>
      <c r="S133" s="41">
        <f t="shared" si="32"/>
        <v>1</v>
      </c>
      <c r="T133" s="59" t="str">
        <f t="shared" si="41"/>
        <v>Southbound</v>
      </c>
      <c r="U133" s="84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18:46:29-0600',mode:absolute,to:'2016-07-30 21:33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3" s="64" t="str">
        <f t="shared" si="34"/>
        <v>N</v>
      </c>
      <c r="X133" s="126">
        <f t="shared" si="42"/>
        <v>2</v>
      </c>
      <c r="Y133" s="79">
        <f t="shared" si="35"/>
        <v>23.298200000000001</v>
      </c>
      <c r="Z133" s="79">
        <f t="shared" si="36"/>
        <v>1.4999999999999999E-2</v>
      </c>
      <c r="AA133" s="79">
        <f t="shared" si="37"/>
        <v>23.283200000000001</v>
      </c>
      <c r="AB133" s="76" t="e">
        <f>VLOOKUP(A133,Enforcements!$C$7:$J$24,8,0)</f>
        <v>#N/A</v>
      </c>
      <c r="AC133" s="72" t="e">
        <f>VLOOKUP(A133,Enforcements!$C$7:$E$24,3,0)</f>
        <v>#N/A</v>
      </c>
      <c r="AD133" s="73" t="str">
        <f t="shared" si="38"/>
        <v>0222-30</v>
      </c>
      <c r="AE133" s="65" t="str">
        <f t="shared" si="39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33" s="65" t="str">
        <f t="shared" si="40"/>
        <v>"C:\Program Files (x86)\AstroGrep\AstroGrep.exe" /spath="C:\Users\stu\Documents\Analysis\2016-02-23 RTDC Observations" /stypes="*4030*20160731*" /stext=" 02:.+((SYSTEM_STATE.+slice.+state.+changed )|(ment ac)|(system.+state.+changed )|(\|lc)|(penalty)|(\[timeout)|(PRM\|1\|D))" /e /r /s</v>
      </c>
      <c r="AG133" s="1" t="str">
        <f t="shared" si="43"/>
        <v>EC</v>
      </c>
    </row>
    <row r="134" spans="1:33" s="24" customFormat="1" hidden="1" x14ac:dyDescent="0.25">
      <c r="A134" s="25" t="s">
        <v>667</v>
      </c>
      <c r="B134" s="96">
        <v>4029</v>
      </c>
      <c r="C134" s="97" t="s">
        <v>170</v>
      </c>
      <c r="D134" s="97" t="s">
        <v>139</v>
      </c>
      <c r="E134" s="98">
        <v>42581.786516203705</v>
      </c>
      <c r="F134" s="98">
        <v>42581.789097222223</v>
      </c>
      <c r="G134" s="96">
        <v>3</v>
      </c>
      <c r="H134" s="98" t="s">
        <v>668</v>
      </c>
      <c r="I134" s="98">
        <v>42581.816944444443</v>
      </c>
      <c r="J134" s="96">
        <v>0</v>
      </c>
      <c r="K134" s="123" t="str">
        <f t="shared" si="29"/>
        <v>4029/4030</v>
      </c>
      <c r="L134" s="25" t="str">
        <f>VLOOKUP(A134,'Trips&amp;Operators'!$C$1:$E$10000,3,FALSE)</f>
        <v>LEVIN</v>
      </c>
      <c r="M134" s="6">
        <f t="shared" si="30"/>
        <v>2.7847222219861578E-2</v>
      </c>
      <c r="N134" s="7">
        <f t="shared" si="31"/>
        <v>40.099999996600673</v>
      </c>
      <c r="O134" s="7"/>
      <c r="P134" s="7"/>
      <c r="Q134" s="26"/>
      <c r="R134" s="26"/>
      <c r="S134" s="41">
        <f t="shared" si="32"/>
        <v>1</v>
      </c>
      <c r="T134" s="59" t="str">
        <f t="shared" si="41"/>
        <v>NorthBound</v>
      </c>
      <c r="U134" s="84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17:52:35-0600',mode:absolute,to:'2016-07-30 20:36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4" s="64" t="str">
        <f t="shared" si="34"/>
        <v>N</v>
      </c>
      <c r="X134" s="126">
        <f t="shared" si="42"/>
        <v>1</v>
      </c>
      <c r="Y134" s="79">
        <f t="shared" si="35"/>
        <v>4.6399999999999997E-2</v>
      </c>
      <c r="Z134" s="79">
        <f t="shared" si="36"/>
        <v>23.330100000000002</v>
      </c>
      <c r="AA134" s="79">
        <f t="shared" si="37"/>
        <v>23.283700000000003</v>
      </c>
      <c r="AB134" s="76" t="e">
        <f>VLOOKUP(A134,Enforcements!$C$7:$J$24,8,0)</f>
        <v>#N/A</v>
      </c>
      <c r="AC134" s="72" t="e">
        <f>VLOOKUP(A134,Enforcements!$C$7:$E$24,3,0)</f>
        <v>#N/A</v>
      </c>
      <c r="AD134" s="73" t="str">
        <f t="shared" si="38"/>
        <v>0223-30</v>
      </c>
      <c r="AE134" s="65" t="str">
        <f t="shared" si="39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34" s="65" t="str">
        <f t="shared" si="40"/>
        <v>"C:\Program Files (x86)\AstroGrep\AstroGrep.exe" /spath="C:\Users\stu\Documents\Analysis\2016-02-23 RTDC Observations" /stypes="*4029*20160731*" /stext=" 01:.+((SYSTEM_STATE.+slice.+state.+changed )|(ment ac)|(system.+state.+changed )|(\|lc)|(penalty)|(\[timeout)|(PRM\|1\|D))" /e /r /s</v>
      </c>
      <c r="AG134" s="1" t="str">
        <f t="shared" si="43"/>
        <v>EC</v>
      </c>
    </row>
    <row r="135" spans="1:33" s="24" customFormat="1" hidden="1" x14ac:dyDescent="0.25">
      <c r="A135" s="25" t="s">
        <v>669</v>
      </c>
      <c r="B135" s="96">
        <v>4017</v>
      </c>
      <c r="C135" s="97" t="s">
        <v>170</v>
      </c>
      <c r="D135" s="97" t="s">
        <v>172</v>
      </c>
      <c r="E135" s="98">
        <v>42581.845775462964</v>
      </c>
      <c r="F135" s="98">
        <v>42581.846666666665</v>
      </c>
      <c r="G135" s="96">
        <v>1</v>
      </c>
      <c r="H135" s="98" t="s">
        <v>195</v>
      </c>
      <c r="I135" s="98">
        <v>42581.878495370373</v>
      </c>
      <c r="J135" s="96">
        <v>0</v>
      </c>
      <c r="K135" s="123" t="str">
        <f t="shared" si="29"/>
        <v>4017/4018</v>
      </c>
      <c r="L135" s="25" t="str">
        <f>VLOOKUP(A135,'Trips&amp;Operators'!$C$1:$E$10000,3,FALSE)</f>
        <v>KILLION</v>
      </c>
      <c r="M135" s="6">
        <f t="shared" si="30"/>
        <v>3.1828703708015382E-2</v>
      </c>
      <c r="N135" s="7">
        <f t="shared" si="31"/>
        <v>45.83333333954215</v>
      </c>
      <c r="O135" s="7"/>
      <c r="P135" s="7"/>
      <c r="Q135" s="26"/>
      <c r="R135" s="26"/>
      <c r="S135" s="41">
        <f t="shared" si="32"/>
        <v>1</v>
      </c>
      <c r="T135" s="59" t="str">
        <f t="shared" si="41"/>
        <v>Southbound</v>
      </c>
      <c r="U135" s="84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19:17:55-0600',mode:absolute,to:'2016-07-30 22:05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35" s="64" t="str">
        <f t="shared" si="34"/>
        <v>N</v>
      </c>
      <c r="X135" s="126">
        <f t="shared" si="42"/>
        <v>1</v>
      </c>
      <c r="Y135" s="79">
        <f t="shared" si="35"/>
        <v>23.2989</v>
      </c>
      <c r="Z135" s="79">
        <f t="shared" si="36"/>
        <v>1.34E-2</v>
      </c>
      <c r="AA135" s="79">
        <f t="shared" si="37"/>
        <v>23.285499999999999</v>
      </c>
      <c r="AB135" s="76" t="e">
        <f>VLOOKUP(A135,Enforcements!$C$7:$J$24,8,0)</f>
        <v>#N/A</v>
      </c>
      <c r="AC135" s="72" t="e">
        <f>VLOOKUP(A135,Enforcements!$C$7:$E$24,3,0)</f>
        <v>#N/A</v>
      </c>
      <c r="AD135" s="73" t="str">
        <f t="shared" si="38"/>
        <v>0224-30</v>
      </c>
      <c r="AE135" s="65" t="str">
        <f t="shared" si="39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35" s="65" t="str">
        <f t="shared" si="40"/>
        <v>"C:\Program Files (x86)\AstroGrep\AstroGrep.exe" /spath="C:\Users\stu\Documents\Analysis\2016-02-23 RTDC Observations" /stypes="*4017*20160731*" /stext=" 03:.+((SYSTEM_STATE.+slice.+state.+changed )|(ment ac)|(system.+state.+changed )|(\|lc)|(penalty)|(\[timeout)|(PRM\|1\|D))" /e /r /s</v>
      </c>
      <c r="AG135" s="1" t="str">
        <f t="shared" si="43"/>
        <v>EC</v>
      </c>
    </row>
    <row r="136" spans="1:33" s="24" customFormat="1" hidden="1" x14ac:dyDescent="0.25">
      <c r="A136" s="25" t="s">
        <v>670</v>
      </c>
      <c r="B136" s="96">
        <v>4018</v>
      </c>
      <c r="C136" s="97" t="s">
        <v>170</v>
      </c>
      <c r="D136" s="97" t="s">
        <v>141</v>
      </c>
      <c r="E136" s="98">
        <v>42581.810196759259</v>
      </c>
      <c r="F136" s="98">
        <v>42581.811412037037</v>
      </c>
      <c r="G136" s="96">
        <v>1</v>
      </c>
      <c r="H136" s="98" t="s">
        <v>382</v>
      </c>
      <c r="I136" s="98">
        <v>42581.838217592594</v>
      </c>
      <c r="J136" s="96">
        <v>0</v>
      </c>
      <c r="K136" s="123" t="str">
        <f t="shared" si="29"/>
        <v>4017/4018</v>
      </c>
      <c r="L136" s="25" t="str">
        <f>VLOOKUP(A136,'Trips&amp;Operators'!$C$1:$E$10000,3,FALSE)</f>
        <v>KILLION</v>
      </c>
      <c r="M136" s="6">
        <f t="shared" si="30"/>
        <v>2.6805555557075422E-2</v>
      </c>
      <c r="N136" s="7">
        <f t="shared" si="31"/>
        <v>38.600000002188608</v>
      </c>
      <c r="O136" s="7"/>
      <c r="P136" s="7"/>
      <c r="Q136" s="26"/>
      <c r="R136" s="26"/>
      <c r="S136" s="41">
        <f t="shared" si="32"/>
        <v>1</v>
      </c>
      <c r="T136" s="59" t="str">
        <f t="shared" si="41"/>
        <v>NorthBound</v>
      </c>
      <c r="U136" s="84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18:26:41-0600',mode:absolute,to:'2016-07-30 21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36" s="64" t="str">
        <f t="shared" si="34"/>
        <v>N</v>
      </c>
      <c r="X136" s="126">
        <f t="shared" si="42"/>
        <v>1</v>
      </c>
      <c r="Y136" s="79">
        <f t="shared" si="35"/>
        <v>4.6199999999999998E-2</v>
      </c>
      <c r="Z136" s="79">
        <f t="shared" si="36"/>
        <v>23.328900000000001</v>
      </c>
      <c r="AA136" s="79">
        <f t="shared" si="37"/>
        <v>23.282700000000002</v>
      </c>
      <c r="AB136" s="76" t="e">
        <f>VLOOKUP(A136,Enforcements!$C$7:$J$24,8,0)</f>
        <v>#N/A</v>
      </c>
      <c r="AC136" s="72" t="e">
        <f>VLOOKUP(A136,Enforcements!$C$7:$E$24,3,0)</f>
        <v>#N/A</v>
      </c>
      <c r="AD136" s="73" t="str">
        <f t="shared" si="38"/>
        <v>0225-30</v>
      </c>
      <c r="AE136" s="65" t="str">
        <f t="shared" si="39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36" s="65" t="str">
        <f t="shared" si="40"/>
        <v>"C:\Program Files (x86)\AstroGrep\AstroGrep.exe" /spath="C:\Users\stu\Documents\Analysis\2016-02-23 RTDC Observations" /stypes="*4018*20160731*" /stext=" 02:.+((SYSTEM_STATE.+slice.+state.+changed )|(ment ac)|(system.+state.+changed )|(\|lc)|(penalty)|(\[timeout)|(PRM\|1\|D))" /e /r /s</v>
      </c>
      <c r="AG136" s="1" t="str">
        <f t="shared" si="43"/>
        <v>EC</v>
      </c>
    </row>
    <row r="137" spans="1:33" s="24" customFormat="1" hidden="1" x14ac:dyDescent="0.25">
      <c r="A137" s="25" t="s">
        <v>671</v>
      </c>
      <c r="B137" s="96">
        <v>4032</v>
      </c>
      <c r="C137" s="97" t="s">
        <v>170</v>
      </c>
      <c r="D137" s="97" t="s">
        <v>389</v>
      </c>
      <c r="E137" s="98">
        <v>42581.865601851852</v>
      </c>
      <c r="F137" s="98">
        <v>42581.866597222222</v>
      </c>
      <c r="G137" s="96">
        <v>1</v>
      </c>
      <c r="H137" s="98" t="s">
        <v>360</v>
      </c>
      <c r="I137" s="98">
        <v>42581.900740740741</v>
      </c>
      <c r="J137" s="96">
        <v>0</v>
      </c>
      <c r="K137" s="123" t="str">
        <f t="shared" si="29"/>
        <v>4031/4032</v>
      </c>
      <c r="L137" s="25" t="str">
        <f>VLOOKUP(A137,'Trips&amp;Operators'!$C$1:$E$10000,3,FALSE)</f>
        <v>CHANDLER</v>
      </c>
      <c r="M137" s="6">
        <f t="shared" si="30"/>
        <v>3.4143518518249039E-2</v>
      </c>
      <c r="N137" s="7">
        <f t="shared" si="31"/>
        <v>49.166666666278616</v>
      </c>
      <c r="O137" s="7"/>
      <c r="P137" s="7"/>
      <c r="Q137" s="26"/>
      <c r="R137" s="26"/>
      <c r="S137" s="41">
        <f t="shared" si="32"/>
        <v>1</v>
      </c>
      <c r="T137" s="59" t="str">
        <f t="shared" si="41"/>
        <v>Southbound</v>
      </c>
      <c r="U137" s="84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19:46:28-0600',mode:absolute,to:'2016-07-30 22:37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37" s="64" t="str">
        <f t="shared" si="34"/>
        <v>N</v>
      </c>
      <c r="X137" s="126">
        <f t="shared" si="42"/>
        <v>1</v>
      </c>
      <c r="Y137" s="79">
        <f t="shared" si="35"/>
        <v>23.2971</v>
      </c>
      <c r="Z137" s="79">
        <f t="shared" si="36"/>
        <v>1.61E-2</v>
      </c>
      <c r="AA137" s="79">
        <f t="shared" si="37"/>
        <v>23.280999999999999</v>
      </c>
      <c r="AB137" s="76" t="e">
        <f>VLOOKUP(A137,Enforcements!$C$7:$J$24,8,0)</f>
        <v>#N/A</v>
      </c>
      <c r="AC137" s="72" t="e">
        <f>VLOOKUP(A137,Enforcements!$C$7:$E$24,3,0)</f>
        <v>#N/A</v>
      </c>
      <c r="AD137" s="73" t="str">
        <f t="shared" si="38"/>
        <v>0226-30</v>
      </c>
      <c r="AE137" s="65" t="str">
        <f t="shared" si="39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37" s="65" t="str">
        <f t="shared" si="40"/>
        <v>"C:\Program Files (x86)\AstroGrep\AstroGrep.exe" /spath="C:\Users\stu\Documents\Analysis\2016-02-23 RTDC Observations" /stypes="*4032*20160731*" /stext=" 03:.+((SYSTEM_STATE.+slice.+state.+changed )|(ment ac)|(system.+state.+changed )|(\|lc)|(penalty)|(\[timeout)|(PRM\|1\|D))" /e /r /s</v>
      </c>
      <c r="AG137" s="1" t="str">
        <f t="shared" si="43"/>
        <v>EC</v>
      </c>
    </row>
    <row r="138" spans="1:33" s="24" customFormat="1" hidden="1" x14ac:dyDescent="0.25">
      <c r="A138" s="25" t="s">
        <v>672</v>
      </c>
      <c r="B138" s="96">
        <v>4031</v>
      </c>
      <c r="C138" s="97" t="s">
        <v>170</v>
      </c>
      <c r="D138" s="97" t="s">
        <v>194</v>
      </c>
      <c r="E138" s="98">
        <v>42581.831111111111</v>
      </c>
      <c r="F138" s="98">
        <v>42581.832175925927</v>
      </c>
      <c r="G138" s="96">
        <v>1</v>
      </c>
      <c r="H138" s="98" t="s">
        <v>668</v>
      </c>
      <c r="I138" s="98">
        <v>42581.858877314815</v>
      </c>
      <c r="J138" s="96">
        <v>0</v>
      </c>
      <c r="K138" s="123" t="str">
        <f t="shared" si="29"/>
        <v>4031/4032</v>
      </c>
      <c r="L138" s="25" t="str">
        <f>VLOOKUP(A138,'Trips&amp;Operators'!$C$1:$E$10000,3,FALSE)</f>
        <v>CHANDLER</v>
      </c>
      <c r="M138" s="6">
        <f t="shared" si="30"/>
        <v>2.6701388887886424E-2</v>
      </c>
      <c r="N138" s="7">
        <f t="shared" si="31"/>
        <v>38.44999999855645</v>
      </c>
      <c r="O138" s="7"/>
      <c r="P138" s="7"/>
      <c r="Q138" s="26"/>
      <c r="R138" s="26"/>
      <c r="S138" s="41">
        <f t="shared" si="32"/>
        <v>1</v>
      </c>
      <c r="T138" s="59" t="str">
        <f t="shared" si="41"/>
        <v>NorthBound</v>
      </c>
      <c r="U138" s="84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18:56:48-0600',mode:absolute,to:'2016-07-30 21:36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38" s="64" t="str">
        <f t="shared" si="34"/>
        <v>N</v>
      </c>
      <c r="X138" s="126">
        <f t="shared" si="42"/>
        <v>1</v>
      </c>
      <c r="Y138" s="79">
        <f t="shared" si="35"/>
        <v>4.6600000000000003E-2</v>
      </c>
      <c r="Z138" s="79">
        <f t="shared" si="36"/>
        <v>23.330100000000002</v>
      </c>
      <c r="AA138" s="79">
        <f t="shared" si="37"/>
        <v>23.2835</v>
      </c>
      <c r="AB138" s="76" t="e">
        <f>VLOOKUP(A138,Enforcements!$C$7:$J$24,8,0)</f>
        <v>#N/A</v>
      </c>
      <c r="AC138" s="72" t="e">
        <f>VLOOKUP(A138,Enforcements!$C$7:$E$24,3,0)</f>
        <v>#N/A</v>
      </c>
      <c r="AD138" s="73" t="str">
        <f t="shared" si="38"/>
        <v>0227-30</v>
      </c>
      <c r="AE138" s="65" t="str">
        <f t="shared" si="39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38" s="65" t="str">
        <f t="shared" si="40"/>
        <v>"C:\Program Files (x86)\AstroGrep\AstroGrep.exe" /spath="C:\Users\stu\Documents\Analysis\2016-02-23 RTDC Observations" /stypes="*4031*20160731*" /stext=" 02:.+((SYSTEM_STATE.+slice.+state.+changed )|(ment ac)|(system.+state.+changed )|(\|lc)|(penalty)|(\[timeout)|(PRM\|1\|D))" /e /r /s</v>
      </c>
      <c r="AG138" s="1" t="str">
        <f t="shared" si="43"/>
        <v>EC</v>
      </c>
    </row>
    <row r="139" spans="1:33" s="24" customFormat="1" hidden="1" x14ac:dyDescent="0.25">
      <c r="A139" s="25" t="s">
        <v>673</v>
      </c>
      <c r="B139" s="96">
        <v>4043</v>
      </c>
      <c r="C139" s="97" t="s">
        <v>170</v>
      </c>
      <c r="D139" s="97" t="s">
        <v>674</v>
      </c>
      <c r="E139" s="98">
        <v>42581.888912037037</v>
      </c>
      <c r="F139" s="98">
        <v>42581.889872685184</v>
      </c>
      <c r="G139" s="96">
        <v>1</v>
      </c>
      <c r="H139" s="98" t="s">
        <v>388</v>
      </c>
      <c r="I139" s="98">
        <v>42581.920810185184</v>
      </c>
      <c r="J139" s="96">
        <v>0</v>
      </c>
      <c r="K139" s="123" t="str">
        <f t="shared" si="29"/>
        <v>4043/4044</v>
      </c>
      <c r="L139" s="25" t="str">
        <f>VLOOKUP(A139,'Trips&amp;Operators'!$C$1:$E$10000,3,FALSE)</f>
        <v>STURGEON</v>
      </c>
      <c r="M139" s="6">
        <f t="shared" si="30"/>
        <v>3.0937499999708962E-2</v>
      </c>
      <c r="N139" s="7">
        <f t="shared" si="31"/>
        <v>44.549999999580905</v>
      </c>
      <c r="O139" s="7"/>
      <c r="P139" s="7"/>
      <c r="Q139" s="26"/>
      <c r="R139" s="26"/>
      <c r="S139" s="41">
        <f t="shared" si="32"/>
        <v>1</v>
      </c>
      <c r="T139" s="59" t="str">
        <f t="shared" si="41"/>
        <v>Southbound</v>
      </c>
      <c r="U139" s="84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20:20:02-0600',mode:absolute,to:'2016-07-30 23:05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39" s="64" t="str">
        <f t="shared" si="34"/>
        <v>N</v>
      </c>
      <c r="X139" s="126">
        <f t="shared" si="42"/>
        <v>1</v>
      </c>
      <c r="Y139" s="79">
        <f t="shared" si="35"/>
        <v>23.264099999999999</v>
      </c>
      <c r="Z139" s="79">
        <f t="shared" si="36"/>
        <v>1.6E-2</v>
      </c>
      <c r="AA139" s="79">
        <f t="shared" si="37"/>
        <v>23.248100000000001</v>
      </c>
      <c r="AB139" s="76" t="e">
        <f>VLOOKUP(A139,Enforcements!$C$7:$J$24,8,0)</f>
        <v>#N/A</v>
      </c>
      <c r="AC139" s="72" t="e">
        <f>VLOOKUP(A139,Enforcements!$C$7:$E$24,3,0)</f>
        <v>#N/A</v>
      </c>
      <c r="AD139" s="73" t="str">
        <f t="shared" si="38"/>
        <v>0228-30</v>
      </c>
      <c r="AE139" s="65" t="str">
        <f t="shared" si="39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39" s="65" t="str">
        <f t="shared" si="40"/>
        <v>"C:\Program Files (x86)\AstroGrep\AstroGrep.exe" /spath="C:\Users\stu\Documents\Analysis\2016-02-23 RTDC Observations" /stypes="*4043*20160731*" /stext=" 04:.+((SYSTEM_STATE.+slice.+state.+changed )|(ment ac)|(system.+state.+changed )|(\|lc)|(penalty)|(\[timeout)|(PRM\|1\|D))" /e /r /s</v>
      </c>
      <c r="AG139" s="1" t="str">
        <f t="shared" si="43"/>
        <v>EC</v>
      </c>
    </row>
    <row r="140" spans="1:33" s="24" customFormat="1" hidden="1" x14ac:dyDescent="0.25">
      <c r="A140" s="25" t="s">
        <v>675</v>
      </c>
      <c r="B140" s="96">
        <v>4007</v>
      </c>
      <c r="C140" s="97" t="s">
        <v>170</v>
      </c>
      <c r="D140" s="97" t="s">
        <v>676</v>
      </c>
      <c r="E140" s="98">
        <v>42581.848182870373</v>
      </c>
      <c r="F140" s="98">
        <v>42581.849108796298</v>
      </c>
      <c r="G140" s="96">
        <v>1</v>
      </c>
      <c r="H140" s="98" t="s">
        <v>677</v>
      </c>
      <c r="I140" s="98">
        <v>42581.880277777775</v>
      </c>
      <c r="J140" s="96">
        <v>0</v>
      </c>
      <c r="K140" s="123" t="str">
        <f t="shared" si="29"/>
        <v>4007/4008</v>
      </c>
      <c r="L140" s="25" t="str">
        <f>VLOOKUP(A140,'Trips&amp;Operators'!$C$1:$E$10000,3,FALSE)</f>
        <v>STURGEON</v>
      </c>
      <c r="M140" s="6">
        <f t="shared" si="30"/>
        <v>3.1168981477094349E-2</v>
      </c>
      <c r="N140" s="7">
        <f t="shared" si="31"/>
        <v>44.883333327015862</v>
      </c>
      <c r="O140" s="7"/>
      <c r="P140" s="7"/>
      <c r="Q140" s="26"/>
      <c r="R140" s="26"/>
      <c r="S140" s="41">
        <f t="shared" si="32"/>
        <v>1</v>
      </c>
      <c r="T140" s="59" t="str">
        <f t="shared" si="41"/>
        <v>NorthBound</v>
      </c>
      <c r="U140" s="84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4" t="str">
        <f t="shared" si="33"/>
        <v>https://search-rtdc-monitor-bjffxe2xuh6vdkpspy63sjmuny.us-east-1.es.amazonaws.com/_plugin/kibana/#/discover/Steve-Slow-Train-Analysis-(2080s-and-2083s)?_g=(refreshInterval:(display:Off,section:0,value:0),time:(from:'2016-07-30 19:21:23-0600',mode:absolute,to:'2016-07-30 22:07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0" s="64" t="str">
        <f t="shared" si="34"/>
        <v>N</v>
      </c>
      <c r="X140" s="126">
        <f t="shared" si="42"/>
        <v>1</v>
      </c>
      <c r="Y140" s="79">
        <f t="shared" si="35"/>
        <v>7.5200000000000003E-2</v>
      </c>
      <c r="Z140" s="79">
        <f t="shared" si="36"/>
        <v>23.327200000000001</v>
      </c>
      <c r="AA140" s="79">
        <f t="shared" si="37"/>
        <v>23.252000000000002</v>
      </c>
      <c r="AB140" s="76" t="e">
        <f>VLOOKUP(A140,Enforcements!$C$7:$J$24,8,0)</f>
        <v>#N/A</v>
      </c>
      <c r="AC140" s="72" t="e">
        <f>VLOOKUP(A140,Enforcements!$C$7:$E$24,3,0)</f>
        <v>#N/A</v>
      </c>
      <c r="AD140" s="73" t="str">
        <f t="shared" si="38"/>
        <v>0229-30</v>
      </c>
      <c r="AE140" s="65" t="str">
        <f t="shared" si="39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40" s="65" t="str">
        <f t="shared" si="40"/>
        <v>"C:\Program Files (x86)\AstroGrep\AstroGrep.exe" /spath="C:\Users\stu\Documents\Analysis\2016-02-23 RTDC Observations" /stypes="*4007*20160731*" /stext=" 03:.+((SYSTEM_STATE.+slice.+state.+changed )|(ment ac)|(system.+state.+changed )|(\|lc)|(penalty)|(\[timeout)|(PRM\|1\|D))" /e /r /s</v>
      </c>
      <c r="AG140" s="1" t="str">
        <f t="shared" si="43"/>
        <v>EC</v>
      </c>
    </row>
    <row r="141" spans="1:33" hidden="1" x14ac:dyDescent="0.25">
      <c r="A141" s="25" t="s">
        <v>678</v>
      </c>
      <c r="B141" s="96">
        <v>4030</v>
      </c>
      <c r="C141" s="97" t="s">
        <v>170</v>
      </c>
      <c r="D141" s="97" t="s">
        <v>196</v>
      </c>
      <c r="E141" s="98">
        <v>42581.908576388887</v>
      </c>
      <c r="F141" s="98">
        <v>42581.909282407411</v>
      </c>
      <c r="G141" s="96">
        <v>1</v>
      </c>
      <c r="H141" s="98" t="s">
        <v>142</v>
      </c>
      <c r="I141" s="98">
        <v>42581.940868055557</v>
      </c>
      <c r="J141" s="96">
        <v>0</v>
      </c>
      <c r="K141" s="123" t="str">
        <f t="shared" ref="K141:K211" si="44">IF(ISEVEN(B141),(B141-1)&amp;"/"&amp;B141,B141&amp;"/"&amp;(B141+1))</f>
        <v>4029/4030</v>
      </c>
      <c r="L141" s="25" t="str">
        <f>VLOOKUP(A141,'Trips&amp;Operators'!$C$1:$E$10000,3,FALSE)</f>
        <v>LEVIN</v>
      </c>
      <c r="M141" s="6">
        <f t="shared" ref="M141:M211" si="45">I141-F141</f>
        <v>3.1585648146574385E-2</v>
      </c>
      <c r="N141" s="7">
        <f t="shared" ref="N141:P211" si="46">24*60*SUM($M141:$M141)</f>
        <v>45.483333331067115</v>
      </c>
      <c r="O141" s="7"/>
      <c r="P141" s="7"/>
      <c r="Q141" s="26"/>
      <c r="R141" s="26"/>
      <c r="S141" s="41">
        <f t="shared" ref="S141:S211" si="47">SUM(U141:U141)/IF(AG141="EC",12,1)</f>
        <v>1</v>
      </c>
      <c r="T141" s="59" t="str">
        <f t="shared" si="41"/>
        <v>Southbound</v>
      </c>
      <c r="U141" s="84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4" t="str">
        <f t="shared" ref="V141:V211" si="48">"https://search-rtdc-monitor-bjffxe2xuh6vdkpspy63sjmuny.us-east-1.es.amazonaws.com/_plugin/kibana/#/discover/Steve-Slow-Train-Analysis-(2080s-and-2083s)?_g=(refreshInterval:(display:Off,section:0,value:0),time:(from:'"&amp;TEXT(E141-1/24,"yyyy-MM-DD hh:mm:ss")&amp;"-0600',mode:absolute,to:'"&amp;TEXT(I141+1/24,"yyyy-MM-DD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141&amp;"%22')),sort:!(Time,asc))"</f>
        <v>https://search-rtdc-monitor-bjffxe2xuh6vdkpspy63sjmuny.us-east-1.es.amazonaws.com/_plugin/kibana/#/discover/Steve-Slow-Train-Analysis-(2080s-and-2083s)?_g=(refreshInterval:(display:Off,section:0,value:0),time:(from:'2016-07-30 20:48:21-0600',mode:absolute,to:'2016-07-30 23:34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1" s="64" t="str">
        <f t="shared" ref="W141:W211" si="49">IF(AA141&lt;IF(AG141="EC",23,5.65),"Y","N")</f>
        <v>N</v>
      </c>
      <c r="X141" s="126">
        <f t="shared" si="42"/>
        <v>1</v>
      </c>
      <c r="Y141" s="79">
        <f t="shared" ref="Y141:Y211" si="50">RIGHT(D141,LEN(D141)-4)/10000</f>
        <v>23.3</v>
      </c>
      <c r="Z141" s="79">
        <f t="shared" ref="Z141:Z211" si="51">RIGHT(H141,LEN(H141)-4)/10000</f>
        <v>1.38E-2</v>
      </c>
      <c r="AA141" s="79">
        <f t="shared" ref="AA141:AA211" si="52">ABS(Z141-Y141)</f>
        <v>23.286200000000001</v>
      </c>
      <c r="AB141" s="76" t="e">
        <f>VLOOKUP(A141,Enforcements!$C$7:$J$24,8,0)</f>
        <v>#N/A</v>
      </c>
      <c r="AC141" s="72" t="e">
        <f>VLOOKUP(A141,Enforcements!$C$7:$E$24,3,0)</f>
        <v>#N/A</v>
      </c>
      <c r="AD141" s="73" t="str">
        <f t="shared" ref="AD141:AD211" si="53">IF(LEN(A141)=6,"0"&amp;A141,A141)</f>
        <v>0230-30</v>
      </c>
      <c r="AE141" s="65" t="str">
        <f t="shared" ref="AE141:AE211" si="54">"aws s3 cp "&amp;s3_bucket&amp;"/RTDC"&amp;B141&amp;"/"&amp;TEXT(F141,"YYYY-MM-DD")&amp;"/ "&amp;search_path&amp;"\RTDC"&amp;B141&amp;"\"&amp;TEXT(F141,"YYYY-MM-DD")&amp;" --recursive &amp; """&amp;walkandungz&amp;""" "&amp;search_path&amp;"\RTDC"&amp;B141&amp;"\"&amp;TEXT(F141,"YYYY-MM-DD")
&amp;" &amp; "&amp;"aws s3 cp "&amp;s3_bucket&amp;"/RTDC"&amp;B141&amp;"/"&amp;TEXT(F141+1,"YYYY-MM-DD")&amp;"/ "&amp;search_path&amp;"\RTDC"&amp;B141&amp;"\"&amp;TEXT(F141+1,"YYYY-MM-DD")&amp;" --recursive &amp; """&amp;walkandungz&amp;""" "&amp;search_path&amp;"\RTDC"&amp;B141&amp;"\"&amp;TEXT(F141+1,"YYYY-MM-DD")</f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41" s="65" t="str">
        <f t="shared" ref="AF141:AF211" si="55">astrogrep_path&amp;" /spath="&amp;search_path&amp;" /stypes=""*"&amp;B141&amp;"*"&amp;TEXT(I141-utc_offset/24,"YYYYMMDD")&amp;"*"" /stext="" "&amp;TEXT(I141-utc_offset/24,"HH")&amp;search_regexp&amp;""" /e /r /s"</f>
        <v>"C:\Program Files (x86)\AstroGrep\AstroGrep.exe" /spath="C:\Users\stu\Documents\Analysis\2016-02-23 RTDC Observations" /stypes="*4030*20160731*" /stext=" 04:.+((SYSTEM_STATE.+slice.+state.+changed )|(ment ac)|(system.+state.+changed )|(\|lc)|(penalty)|(\[timeout)|(PRM\|1\|D))" /e /r /s</v>
      </c>
      <c r="AG141" s="1" t="str">
        <f t="shared" si="43"/>
        <v>EC</v>
      </c>
    </row>
    <row r="142" spans="1:33" hidden="1" x14ac:dyDescent="0.25">
      <c r="A142" s="25" t="s">
        <v>679</v>
      </c>
      <c r="B142" s="96">
        <v>4029</v>
      </c>
      <c r="C142" s="97" t="s">
        <v>170</v>
      </c>
      <c r="D142" s="97" t="s">
        <v>384</v>
      </c>
      <c r="E142" s="98">
        <v>42581.867858796293</v>
      </c>
      <c r="F142" s="98">
        <v>42581.868819444448</v>
      </c>
      <c r="G142" s="96">
        <v>1</v>
      </c>
      <c r="H142" s="98" t="s">
        <v>680</v>
      </c>
      <c r="I142" s="98">
        <v>42581.900011574071</v>
      </c>
      <c r="J142" s="96">
        <v>0</v>
      </c>
      <c r="K142" s="123" t="str">
        <f t="shared" si="44"/>
        <v>4029/4030</v>
      </c>
      <c r="L142" s="25" t="str">
        <f>VLOOKUP(A142,'Trips&amp;Operators'!$C$1:$E$10000,3,FALSE)</f>
        <v>LEVIN</v>
      </c>
      <c r="M142" s="6">
        <f t="shared" si="45"/>
        <v>3.1192129623377696E-2</v>
      </c>
      <c r="N142" s="7">
        <f t="shared" si="46"/>
        <v>44.916666657663882</v>
      </c>
      <c r="O142" s="7"/>
      <c r="P142" s="7"/>
      <c r="Q142" s="26"/>
      <c r="R142" s="26"/>
      <c r="S142" s="41">
        <f t="shared" si="47"/>
        <v>1</v>
      </c>
      <c r="T142" s="59" t="str">
        <f t="shared" ref="T142:T204" si="56">IF(ISEVEN(LEFT(AD142,4)),"Southbound","NorthBound")</f>
        <v>NorthBound</v>
      </c>
      <c r="U142" s="84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19:49:43-0600',mode:absolute,to:'2016-07-30 22:36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42" s="64" t="str">
        <f t="shared" si="49"/>
        <v>N</v>
      </c>
      <c r="X142" s="126">
        <f t="shared" ref="X142:X211" si="57">VALUE(LEFT(AD142,4))-VALUE(LEFT(AD141,4))</f>
        <v>1</v>
      </c>
      <c r="Y142" s="79">
        <f t="shared" si="50"/>
        <v>4.3499999999999997E-2</v>
      </c>
      <c r="Z142" s="79">
        <f t="shared" si="51"/>
        <v>23.332999999999998</v>
      </c>
      <c r="AA142" s="79">
        <f t="shared" si="52"/>
        <v>23.289499999999997</v>
      </c>
      <c r="AB142" s="76" t="e">
        <f>VLOOKUP(A142,Enforcements!$C$7:$J$24,8,0)</f>
        <v>#N/A</v>
      </c>
      <c r="AC142" s="72" t="e">
        <f>VLOOKUP(A142,Enforcements!$C$7:$E$24,3,0)</f>
        <v>#N/A</v>
      </c>
      <c r="AD142" s="73" t="str">
        <f t="shared" si="53"/>
        <v>0231-30</v>
      </c>
      <c r="AE142" s="65" t="str">
        <f t="shared" si="54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42" s="65" t="str">
        <f t="shared" si="55"/>
        <v>"C:\Program Files (x86)\AstroGrep\AstroGrep.exe" /spath="C:\Users\stu\Documents\Analysis\2016-02-23 RTDC Observations" /stypes="*4029*20160731*" /stext=" 03:.+((SYSTEM_STATE.+slice.+state.+changed )|(ment ac)|(system.+state.+changed )|(\|lc)|(penalty)|(\[timeout)|(PRM\|1\|D))" /e /r /s</v>
      </c>
      <c r="AG142" s="1" t="str">
        <f t="shared" ref="AG142:AG211" si="58">IF(VALUE(LEFT(AD142,2))&lt;=2,"EC",IF(OR(VALUE(LEFT(AD142,2))=8,VALUE(LEFT(AD142,2))=18),"NW","GL"))</f>
        <v>EC</v>
      </c>
    </row>
    <row r="143" spans="1:33" hidden="1" x14ac:dyDescent="0.25">
      <c r="A143" s="25" t="s">
        <v>681</v>
      </c>
      <c r="B143" s="96">
        <v>4017</v>
      </c>
      <c r="C143" s="97" t="s">
        <v>170</v>
      </c>
      <c r="D143" s="97" t="s">
        <v>682</v>
      </c>
      <c r="E143" s="98">
        <v>42581.924247685187</v>
      </c>
      <c r="F143" s="98">
        <v>42581.925300925926</v>
      </c>
      <c r="G143" s="96">
        <v>1</v>
      </c>
      <c r="H143" s="98" t="s">
        <v>154</v>
      </c>
      <c r="I143" s="98">
        <v>42581.963136574072</v>
      </c>
      <c r="J143" s="96">
        <v>0</v>
      </c>
      <c r="K143" s="123" t="str">
        <f t="shared" si="44"/>
        <v>4017/4018</v>
      </c>
      <c r="L143" s="25" t="str">
        <f>VLOOKUP(A143,'Trips&amp;Operators'!$C$1:$E$10000,3,FALSE)</f>
        <v>KILLION</v>
      </c>
      <c r="M143" s="6">
        <f t="shared" si="45"/>
        <v>3.7835648145119194E-2</v>
      </c>
      <c r="N143" s="7">
        <f t="shared" si="46"/>
        <v>54.483333328971639</v>
      </c>
      <c r="O143" s="7"/>
      <c r="P143" s="7"/>
      <c r="Q143" s="26"/>
      <c r="R143" s="26"/>
      <c r="S143" s="41">
        <f t="shared" si="47"/>
        <v>1</v>
      </c>
      <c r="T143" s="59" t="str">
        <f t="shared" si="56"/>
        <v>Southbound</v>
      </c>
      <c r="U143" s="84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21:10:55-0600',mode:absolute,to:'2016-07-31 00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43" s="64" t="str">
        <f t="shared" si="49"/>
        <v>N</v>
      </c>
      <c r="X143" s="126">
        <f t="shared" si="57"/>
        <v>1</v>
      </c>
      <c r="Y143" s="79">
        <f t="shared" si="50"/>
        <v>23.295300000000001</v>
      </c>
      <c r="Z143" s="79">
        <f t="shared" si="51"/>
        <v>1.6299999999999999E-2</v>
      </c>
      <c r="AA143" s="79">
        <f t="shared" si="52"/>
        <v>23.279</v>
      </c>
      <c r="AB143" s="76" t="e">
        <f>VLOOKUP(A143,Enforcements!$C$7:$J$24,8,0)</f>
        <v>#N/A</v>
      </c>
      <c r="AC143" s="72" t="e">
        <f>VLOOKUP(A143,Enforcements!$C$7:$E$24,3,0)</f>
        <v>#N/A</v>
      </c>
      <c r="AD143" s="73" t="str">
        <f t="shared" si="53"/>
        <v>0232-30</v>
      </c>
      <c r="AE143" s="65" t="str">
        <f t="shared" si="54"/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AF143" s="65" t="str">
        <f t="shared" si="55"/>
        <v>"C:\Program Files (x86)\AstroGrep\AstroGrep.exe" /spath="C:\Users\stu\Documents\Analysis\2016-02-23 RTDC Observations" /stypes="*4017*20160731*" /stext=" 05:.+((SYSTEM_STATE.+slice.+state.+changed )|(ment ac)|(system.+state.+changed )|(\|lc)|(penalty)|(\[timeout)|(PRM\|1\|D))" /e /r /s</v>
      </c>
      <c r="AG143" s="1" t="str">
        <f t="shared" si="58"/>
        <v>EC</v>
      </c>
    </row>
    <row r="144" spans="1:33" hidden="1" x14ac:dyDescent="0.25">
      <c r="A144" s="25" t="s">
        <v>683</v>
      </c>
      <c r="B144" s="96">
        <v>4018</v>
      </c>
      <c r="C144" s="97" t="s">
        <v>170</v>
      </c>
      <c r="D144" s="97" t="s">
        <v>351</v>
      </c>
      <c r="E144" s="98">
        <v>42581.881921296299</v>
      </c>
      <c r="F144" s="98">
        <v>42581.883298611108</v>
      </c>
      <c r="G144" s="96">
        <v>1</v>
      </c>
      <c r="H144" s="98" t="s">
        <v>684</v>
      </c>
      <c r="I144" s="98">
        <v>42581.921493055554</v>
      </c>
      <c r="J144" s="96">
        <v>1</v>
      </c>
      <c r="K144" s="123" t="str">
        <f t="shared" si="44"/>
        <v>4017/4018</v>
      </c>
      <c r="L144" s="25" t="str">
        <f>VLOOKUP(A144,'Trips&amp;Operators'!$C$1:$E$10000,3,FALSE)</f>
        <v>KILLION</v>
      </c>
      <c r="M144" s="6">
        <f t="shared" si="45"/>
        <v>3.8194444445252884E-2</v>
      </c>
      <c r="N144" s="7">
        <f t="shared" si="46"/>
        <v>55.000000001164153</v>
      </c>
      <c r="O144" s="7"/>
      <c r="P144" s="7"/>
      <c r="Q144" s="26"/>
      <c r="R144" s="26"/>
      <c r="S144" s="41">
        <f t="shared" si="47"/>
        <v>1</v>
      </c>
      <c r="T144" s="59" t="str">
        <f t="shared" si="56"/>
        <v>NorthBound</v>
      </c>
      <c r="U144" s="84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20:09:58-0600',mode:absolute,to:'2016-07-30 23:06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44" s="64" t="str">
        <f t="shared" si="49"/>
        <v>N</v>
      </c>
      <c r="X144" s="126">
        <f t="shared" si="57"/>
        <v>1</v>
      </c>
      <c r="Y144" s="79">
        <f t="shared" si="50"/>
        <v>4.4699999999999997E-2</v>
      </c>
      <c r="Z144" s="79">
        <f t="shared" si="51"/>
        <v>23.325900000000001</v>
      </c>
      <c r="AA144" s="79">
        <f t="shared" si="52"/>
        <v>23.281200000000002</v>
      </c>
      <c r="AB144" s="76" t="e">
        <f>VLOOKUP(A144,Enforcements!$C$7:$J$24,8,0)</f>
        <v>#N/A</v>
      </c>
      <c r="AC144" s="72" t="e">
        <f>VLOOKUP(A144,Enforcements!$C$7:$E$24,3,0)</f>
        <v>#N/A</v>
      </c>
      <c r="AD144" s="73" t="str">
        <f t="shared" si="53"/>
        <v>0233-30</v>
      </c>
      <c r="AE144" s="65" t="str">
        <f t="shared" si="54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44" s="65" t="str">
        <f t="shared" si="55"/>
        <v>"C:\Program Files (x86)\AstroGrep\AstroGrep.exe" /spath="C:\Users\stu\Documents\Analysis\2016-02-23 RTDC Observations" /stypes="*4018*20160731*" /stext=" 04:.+((SYSTEM_STATE.+slice.+state.+changed )|(ment ac)|(system.+state.+changed )|(\|lc)|(penalty)|(\[timeout)|(PRM\|1\|D))" /e /r /s</v>
      </c>
      <c r="AG144" s="1" t="str">
        <f t="shared" si="58"/>
        <v>EC</v>
      </c>
    </row>
    <row r="145" spans="1:33" hidden="1" x14ac:dyDescent="0.25">
      <c r="A145" s="25" t="s">
        <v>685</v>
      </c>
      <c r="B145" s="96">
        <v>4032</v>
      </c>
      <c r="C145" s="97" t="s">
        <v>170</v>
      </c>
      <c r="D145" s="97" t="s">
        <v>350</v>
      </c>
      <c r="E145" s="98">
        <v>42581.954768518517</v>
      </c>
      <c r="F145" s="98">
        <v>42581.955914351849</v>
      </c>
      <c r="G145" s="96">
        <v>1</v>
      </c>
      <c r="H145" s="98" t="s">
        <v>359</v>
      </c>
      <c r="I145" s="98">
        <v>42581.982824074075</v>
      </c>
      <c r="J145" s="96">
        <v>0</v>
      </c>
      <c r="K145" s="123" t="str">
        <f t="shared" si="44"/>
        <v>4031/4032</v>
      </c>
      <c r="L145" s="25" t="str">
        <f>VLOOKUP(A145,'Trips&amp;Operators'!$C$1:$E$10000,3,FALSE)</f>
        <v>CHANDLER</v>
      </c>
      <c r="M145" s="6">
        <f t="shared" si="45"/>
        <v>2.6909722226264421E-2</v>
      </c>
      <c r="N145" s="7">
        <f t="shared" si="46"/>
        <v>38.750000005820766</v>
      </c>
      <c r="O145" s="7"/>
      <c r="P145" s="7"/>
      <c r="Q145" s="26"/>
      <c r="R145" s="26"/>
      <c r="S145" s="41">
        <f t="shared" si="47"/>
        <v>1</v>
      </c>
      <c r="T145" s="59" t="str">
        <f t="shared" si="56"/>
        <v>Southbound</v>
      </c>
      <c r="U145" s="84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21:54:52-0600',mode:absolute,to:'2016-07-31 00:35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5" s="64" t="str">
        <f t="shared" si="49"/>
        <v>N</v>
      </c>
      <c r="X145" s="126">
        <f t="shared" si="57"/>
        <v>1</v>
      </c>
      <c r="Y145" s="79">
        <f t="shared" si="50"/>
        <v>23.296500000000002</v>
      </c>
      <c r="Z145" s="79">
        <f t="shared" si="51"/>
        <v>1.7999999999999999E-2</v>
      </c>
      <c r="AA145" s="79">
        <f t="shared" si="52"/>
        <v>23.278500000000001</v>
      </c>
      <c r="AB145" s="76" t="e">
        <f>VLOOKUP(A145,Enforcements!$C$7:$J$24,8,0)</f>
        <v>#N/A</v>
      </c>
      <c r="AC145" s="72" t="e">
        <f>VLOOKUP(A145,Enforcements!$C$7:$E$24,3,0)</f>
        <v>#N/A</v>
      </c>
      <c r="AD145" s="73" t="str">
        <f t="shared" si="53"/>
        <v>0234-30</v>
      </c>
      <c r="AE145" s="65" t="str">
        <f t="shared" si="54"/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AF145" s="65" t="str">
        <f t="shared" si="55"/>
        <v>"C:\Program Files (x86)\AstroGrep\AstroGrep.exe" /spath="C:\Users\stu\Documents\Analysis\2016-02-23 RTDC Observations" /stypes="*4032*20160731*" /stext=" 05:.+((SYSTEM_STATE.+slice.+state.+changed )|(ment ac)|(system.+state.+changed )|(\|lc)|(penalty)|(\[timeout)|(PRM\|1\|D))" /e /r /s</v>
      </c>
      <c r="AG145" s="1" t="str">
        <f t="shared" si="58"/>
        <v>EC</v>
      </c>
    </row>
    <row r="146" spans="1:33" hidden="1" x14ac:dyDescent="0.25">
      <c r="A146" s="25" t="s">
        <v>686</v>
      </c>
      <c r="B146" s="96">
        <v>4031</v>
      </c>
      <c r="C146" s="97" t="s">
        <v>170</v>
      </c>
      <c r="D146" s="97" t="s">
        <v>164</v>
      </c>
      <c r="E146" s="98">
        <v>42581.910856481481</v>
      </c>
      <c r="F146" s="98">
        <v>42581.911874999998</v>
      </c>
      <c r="G146" s="96">
        <v>1</v>
      </c>
      <c r="H146" s="98" t="s">
        <v>159</v>
      </c>
      <c r="I146" s="98">
        <v>42581.942303240743</v>
      </c>
      <c r="J146" s="96">
        <v>0</v>
      </c>
      <c r="K146" s="123" t="str">
        <f t="shared" si="44"/>
        <v>4031/4032</v>
      </c>
      <c r="L146" s="25" t="str">
        <f>VLOOKUP(A146,'Trips&amp;Operators'!$C$1:$E$10000,3,FALSE)</f>
        <v>CHANDLER</v>
      </c>
      <c r="M146" s="6">
        <f t="shared" si="45"/>
        <v>3.0428240745095536E-2</v>
      </c>
      <c r="N146" s="7">
        <f t="shared" si="46"/>
        <v>43.816666672937572</v>
      </c>
      <c r="O146" s="7"/>
      <c r="P146" s="7"/>
      <c r="Q146" s="26"/>
      <c r="R146" s="26"/>
      <c r="S146" s="41">
        <f t="shared" si="47"/>
        <v>1</v>
      </c>
      <c r="T146" s="59" t="str">
        <f t="shared" si="56"/>
        <v>NorthBound</v>
      </c>
      <c r="U146" s="84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20:51:38-0600',mode:absolute,to:'2016-07-30 23:36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46" s="64" t="str">
        <f t="shared" si="49"/>
        <v>N</v>
      </c>
      <c r="X146" s="126">
        <f t="shared" si="57"/>
        <v>1</v>
      </c>
      <c r="Y146" s="79">
        <f t="shared" si="50"/>
        <v>4.7500000000000001E-2</v>
      </c>
      <c r="Z146" s="79">
        <f t="shared" si="51"/>
        <v>23.329499999999999</v>
      </c>
      <c r="AA146" s="79">
        <f t="shared" si="52"/>
        <v>23.282</v>
      </c>
      <c r="AB146" s="76" t="e">
        <f>VLOOKUP(A146,Enforcements!$C$7:$J$24,8,0)</f>
        <v>#N/A</v>
      </c>
      <c r="AC146" s="72" t="e">
        <f>VLOOKUP(A146,Enforcements!$C$7:$E$24,3,0)</f>
        <v>#N/A</v>
      </c>
      <c r="AD146" s="73" t="str">
        <f t="shared" si="53"/>
        <v>0235-30</v>
      </c>
      <c r="AE146" s="65" t="str">
        <f t="shared" si="54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46" s="65" t="str">
        <f t="shared" si="55"/>
        <v>"C:\Program Files (x86)\AstroGrep\AstroGrep.exe" /spath="C:\Users\stu\Documents\Analysis\2016-02-23 RTDC Observations" /stypes="*4031*20160731*" /stext=" 04:.+((SYSTEM_STATE.+slice.+state.+changed )|(ment ac)|(system.+state.+changed )|(\|lc)|(penalty)|(\[timeout)|(PRM\|1\|D))" /e /r /s</v>
      </c>
      <c r="AG146" s="1" t="str">
        <f t="shared" si="58"/>
        <v>EC</v>
      </c>
    </row>
    <row r="147" spans="1:33" hidden="1" x14ac:dyDescent="0.25">
      <c r="A147" s="25" t="s">
        <v>687</v>
      </c>
      <c r="B147" s="96">
        <v>4043</v>
      </c>
      <c r="C147" s="97" t="s">
        <v>170</v>
      </c>
      <c r="D147" s="97" t="s">
        <v>688</v>
      </c>
      <c r="E147" s="98">
        <v>42581.970671296294</v>
      </c>
      <c r="F147" s="98">
        <v>42581.971701388888</v>
      </c>
      <c r="G147" s="96">
        <v>1</v>
      </c>
      <c r="H147" s="98" t="s">
        <v>323</v>
      </c>
      <c r="I147" s="98">
        <v>42582.005277777775</v>
      </c>
      <c r="J147" s="96">
        <v>0</v>
      </c>
      <c r="K147" s="123" t="str">
        <f t="shared" si="44"/>
        <v>4043/4044</v>
      </c>
      <c r="L147" s="25" t="str">
        <f>VLOOKUP(A147,'Trips&amp;Operators'!$C$1:$E$10000,3,FALSE)</f>
        <v>STURGEON</v>
      </c>
      <c r="M147" s="6">
        <f t="shared" si="45"/>
        <v>3.3576388887013309E-2</v>
      </c>
      <c r="N147" s="7">
        <f t="shared" si="46"/>
        <v>48.349999997299165</v>
      </c>
      <c r="O147" s="7"/>
      <c r="P147" s="7"/>
      <c r="Q147" s="26"/>
      <c r="R147" s="26"/>
      <c r="S147" s="41">
        <f t="shared" si="47"/>
        <v>1</v>
      </c>
      <c r="T147" s="59" t="str">
        <f t="shared" si="56"/>
        <v>Southbound</v>
      </c>
      <c r="U147" s="84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12</v>
      </c>
      <c r="V14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22:17:46-0600',mode:absolute,to:'2016-07-31 01:07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47" s="64" t="str">
        <f t="shared" si="49"/>
        <v>N</v>
      </c>
      <c r="X147" s="126">
        <f t="shared" si="57"/>
        <v>1</v>
      </c>
      <c r="Y147" s="79">
        <f t="shared" si="50"/>
        <v>23.263100000000001</v>
      </c>
      <c r="Z147" s="79">
        <f t="shared" si="51"/>
        <v>1.6500000000000001E-2</v>
      </c>
      <c r="AA147" s="79">
        <f t="shared" si="52"/>
        <v>23.246600000000001</v>
      </c>
      <c r="AB147" s="76" t="e">
        <f>VLOOKUP(A147,Enforcements!$C$7:$J$24,8,0)</f>
        <v>#N/A</v>
      </c>
      <c r="AC147" s="72" t="e">
        <f>VLOOKUP(A147,Enforcements!$C$7:$E$24,3,0)</f>
        <v>#N/A</v>
      </c>
      <c r="AD147" s="73" t="str">
        <f t="shared" si="53"/>
        <v>0236-30</v>
      </c>
      <c r="AE147" s="65" t="str">
        <f t="shared" si="54"/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AF147" s="65" t="str">
        <f t="shared" si="55"/>
        <v>"C:\Program Files (x86)\AstroGrep\AstroGrep.exe" /spath="C:\Users\stu\Documents\Analysis\2016-02-23 RTDC Observations" /stypes="*4043*20160731*" /stext=" 06:.+((SYSTEM_STATE.+slice.+state.+changed )|(ment ac)|(system.+state.+changed )|(\|lc)|(penalty)|(\[timeout)|(PRM\|1\|D))" /e /r /s</v>
      </c>
      <c r="AG147" s="1" t="str">
        <f t="shared" si="58"/>
        <v>EC</v>
      </c>
    </row>
    <row r="148" spans="1:33" hidden="1" x14ac:dyDescent="0.25">
      <c r="A148" s="25" t="s">
        <v>689</v>
      </c>
      <c r="B148" s="96">
        <v>4007</v>
      </c>
      <c r="C148" s="97" t="s">
        <v>170</v>
      </c>
      <c r="D148" s="97" t="s">
        <v>690</v>
      </c>
      <c r="E148" s="98">
        <v>42581.929826388892</v>
      </c>
      <c r="F148" s="98">
        <v>42581.934189814812</v>
      </c>
      <c r="G148" s="96">
        <v>6</v>
      </c>
      <c r="H148" s="98" t="s">
        <v>353</v>
      </c>
      <c r="I148" s="98">
        <v>42581.963310185187</v>
      </c>
      <c r="J148" s="96">
        <v>0</v>
      </c>
      <c r="K148" s="123" t="str">
        <f t="shared" si="44"/>
        <v>4007/4008</v>
      </c>
      <c r="L148" s="25" t="str">
        <f>VLOOKUP(A148,'Trips&amp;Operators'!$C$1:$E$10000,3,FALSE)</f>
        <v>STURGEON</v>
      </c>
      <c r="M148" s="6">
        <f t="shared" si="45"/>
        <v>2.9120370374585036E-2</v>
      </c>
      <c r="N148" s="7">
        <f t="shared" si="46"/>
        <v>41.933333339402452</v>
      </c>
      <c r="O148" s="7"/>
      <c r="P148" s="7"/>
      <c r="Q148" s="26"/>
      <c r="R148" s="26"/>
      <c r="S148" s="41">
        <f t="shared" si="47"/>
        <v>1</v>
      </c>
      <c r="T148" s="59" t="str">
        <f t="shared" si="56"/>
        <v>NorthBound</v>
      </c>
      <c r="U148" s="84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21:18:57-0600',mode:absolute,to:'2016-07-31 00:07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48" s="64" t="str">
        <f t="shared" si="49"/>
        <v>N</v>
      </c>
      <c r="X148" s="126">
        <f t="shared" si="57"/>
        <v>1</v>
      </c>
      <c r="Y148" s="79">
        <f t="shared" si="50"/>
        <v>7.6999999999999999E-2</v>
      </c>
      <c r="Z148" s="79">
        <f t="shared" si="51"/>
        <v>23.328199999999999</v>
      </c>
      <c r="AA148" s="79">
        <f t="shared" si="52"/>
        <v>23.251199999999997</v>
      </c>
      <c r="AB148" s="76" t="e">
        <f>VLOOKUP(A148,Enforcements!$C$7:$J$24,8,0)</f>
        <v>#N/A</v>
      </c>
      <c r="AC148" s="72" t="e">
        <f>VLOOKUP(A148,Enforcements!$C$7:$E$24,3,0)</f>
        <v>#N/A</v>
      </c>
      <c r="AD148" s="73" t="str">
        <f t="shared" si="53"/>
        <v>0237-30</v>
      </c>
      <c r="AE148" s="65" t="str">
        <f t="shared" si="54"/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AF148" s="65" t="str">
        <f t="shared" si="55"/>
        <v>"C:\Program Files (x86)\AstroGrep\AstroGrep.exe" /spath="C:\Users\stu\Documents\Analysis\2016-02-23 RTDC Observations" /stypes="*4007*20160731*" /stext=" 05:.+((SYSTEM_STATE.+slice.+state.+changed )|(ment ac)|(system.+state.+changed )|(\|lc)|(penalty)|(\[timeout)|(PRM\|1\|D))" /e /r /s</v>
      </c>
      <c r="AG148" s="1" t="str">
        <f t="shared" si="58"/>
        <v>EC</v>
      </c>
    </row>
    <row r="149" spans="1:33" hidden="1" x14ac:dyDescent="0.25">
      <c r="A149" s="25" t="s">
        <v>691</v>
      </c>
      <c r="B149" s="96">
        <v>4030</v>
      </c>
      <c r="C149" s="97" t="s">
        <v>170</v>
      </c>
      <c r="D149" s="97" t="s">
        <v>386</v>
      </c>
      <c r="E149" s="98">
        <v>42581.990613425929</v>
      </c>
      <c r="F149" s="98">
        <v>42581.99150462963</v>
      </c>
      <c r="G149" s="96">
        <v>1</v>
      </c>
      <c r="H149" s="98" t="s">
        <v>166</v>
      </c>
      <c r="I149" s="98">
        <v>42582.023645833331</v>
      </c>
      <c r="J149" s="96">
        <v>0</v>
      </c>
      <c r="K149" s="123" t="str">
        <f t="shared" si="44"/>
        <v>4029/4030</v>
      </c>
      <c r="L149" s="25" t="str">
        <f>VLOOKUP(A149,'Trips&amp;Operators'!$C$1:$E$10000,3,FALSE)</f>
        <v>LEVIN</v>
      </c>
      <c r="M149" s="6">
        <f t="shared" si="45"/>
        <v>3.2141203701030463E-2</v>
      </c>
      <c r="N149" s="7">
        <f t="shared" si="46"/>
        <v>46.283333329483867</v>
      </c>
      <c r="O149" s="7"/>
      <c r="P149" s="7"/>
      <c r="Q149" s="26"/>
      <c r="R149" s="26"/>
      <c r="S149" s="41">
        <f t="shared" si="47"/>
        <v>1</v>
      </c>
      <c r="T149" s="59" t="str">
        <f t="shared" si="56"/>
        <v>Southbound</v>
      </c>
      <c r="U149" s="84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22:46:29-0600',mode:absolute,to:'2016-07-31 01:34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9" s="64" t="str">
        <f t="shared" si="49"/>
        <v>N</v>
      </c>
      <c r="X149" s="126">
        <f t="shared" si="57"/>
        <v>1</v>
      </c>
      <c r="Y149" s="79">
        <f t="shared" si="50"/>
        <v>23.299800000000001</v>
      </c>
      <c r="Z149" s="79">
        <f t="shared" si="51"/>
        <v>1.5800000000000002E-2</v>
      </c>
      <c r="AA149" s="79">
        <f t="shared" si="52"/>
        <v>23.284000000000002</v>
      </c>
      <c r="AB149" s="76" t="e">
        <f>VLOOKUP(A149,Enforcements!$C$7:$J$24,8,0)</f>
        <v>#N/A</v>
      </c>
      <c r="AC149" s="72" t="e">
        <f>VLOOKUP(A149,Enforcements!$C$7:$E$24,3,0)</f>
        <v>#N/A</v>
      </c>
      <c r="AD149" s="73" t="str">
        <f t="shared" si="53"/>
        <v>0238-30</v>
      </c>
      <c r="AE149" s="65" t="str">
        <f t="shared" si="54"/>
        <v>aws s3 cp s3://rtdc.mdm.uploadarchive/RTDC4030/2016-07-30/ "C:\Users\stu\Documents\Analysis\2016-02-23 RTDC Observations"\RTDC4030\2016-07-30 --recursive &amp; "C:\Users\stu\Documents\GitHub\mrs-test-scripts\Headless Mode &amp; Sideloading\WalkAndUnGZ.bat" "C:\Users\stu\Documents\Analysis\2016-02-23 RTDC Observations"\RTDC4030\2016-07-30 &amp; 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</v>
      </c>
      <c r="AF149" s="65" t="str">
        <f t="shared" si="55"/>
        <v>"C:\Program Files (x86)\AstroGrep\AstroGrep.exe" /spath="C:\Users\stu\Documents\Analysis\2016-02-23 RTDC Observations" /stypes="*4030*20160731*" /stext=" 06:.+((SYSTEM_STATE.+slice.+state.+changed )|(ment ac)|(system.+state.+changed )|(\|lc)|(penalty)|(\[timeout)|(PRM\|1\|D))" /e /r /s</v>
      </c>
      <c r="AG149" s="1" t="str">
        <f t="shared" si="58"/>
        <v>EC</v>
      </c>
    </row>
    <row r="150" spans="1:33" hidden="1" x14ac:dyDescent="0.25">
      <c r="A150" s="25" t="s">
        <v>692</v>
      </c>
      <c r="B150" s="96">
        <v>4029</v>
      </c>
      <c r="C150" s="97" t="s">
        <v>170</v>
      </c>
      <c r="D150" s="97" t="s">
        <v>361</v>
      </c>
      <c r="E150" s="98">
        <v>42581.949756944443</v>
      </c>
      <c r="F150" s="98">
        <v>42581.950821759259</v>
      </c>
      <c r="G150" s="96">
        <v>1</v>
      </c>
      <c r="H150" s="98" t="s">
        <v>693</v>
      </c>
      <c r="I150" s="98">
        <v>42581.983124999999</v>
      </c>
      <c r="J150" s="96">
        <v>0</v>
      </c>
      <c r="K150" s="123" t="str">
        <f t="shared" si="44"/>
        <v>4029/4030</v>
      </c>
      <c r="L150" s="25" t="str">
        <f>VLOOKUP(A150,'Trips&amp;Operators'!$C$1:$E$10000,3,FALSE)</f>
        <v>LEVIN</v>
      </c>
      <c r="M150" s="6">
        <f t="shared" si="45"/>
        <v>3.2303240739565808E-2</v>
      </c>
      <c r="N150" s="7">
        <f t="shared" si="46"/>
        <v>46.516666664974764</v>
      </c>
      <c r="O150" s="7"/>
      <c r="P150" s="7"/>
      <c r="Q150" s="26"/>
      <c r="R150" s="26"/>
      <c r="S150" s="41">
        <f t="shared" si="47"/>
        <v>1</v>
      </c>
      <c r="T150" s="59" t="str">
        <f t="shared" si="56"/>
        <v>NorthBound</v>
      </c>
      <c r="U150" s="84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21:47:39-0600',mode:absolute,to:'2016-07-31 00:35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0" s="64" t="str">
        <f t="shared" si="49"/>
        <v>N</v>
      </c>
      <c r="X150" s="126">
        <f t="shared" si="57"/>
        <v>1</v>
      </c>
      <c r="Y150" s="79">
        <f t="shared" si="50"/>
        <v>4.5699999999999998E-2</v>
      </c>
      <c r="Z150" s="79">
        <f t="shared" si="51"/>
        <v>23.3324</v>
      </c>
      <c r="AA150" s="79">
        <f t="shared" si="52"/>
        <v>23.2867</v>
      </c>
      <c r="AB150" s="76" t="e">
        <f>VLOOKUP(A150,Enforcements!$C$7:$J$24,8,0)</f>
        <v>#N/A</v>
      </c>
      <c r="AC150" s="72" t="e">
        <f>VLOOKUP(A150,Enforcements!$C$7:$E$24,3,0)</f>
        <v>#N/A</v>
      </c>
      <c r="AD150" s="73" t="str">
        <f t="shared" si="53"/>
        <v>0239-30</v>
      </c>
      <c r="AE150" s="65" t="str">
        <f t="shared" si="54"/>
        <v>aws s3 cp s3://rtdc.mdm.uploadarchive/RTDC4029/2016-07-30/ "C:\Users\stu\Documents\Analysis\2016-02-23 RTDC Observations"\RTDC4029\2016-07-30 --recursive &amp; "C:\Users\stu\Documents\GitHub\mrs-test-scripts\Headless Mode &amp; Sideloading\WalkAndUnGZ.bat" "C:\Users\stu\Documents\Analysis\2016-02-23 RTDC Observations"\RTDC4029\2016-07-30 &amp; 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</v>
      </c>
      <c r="AF150" s="65" t="str">
        <f t="shared" si="55"/>
        <v>"C:\Program Files (x86)\AstroGrep\AstroGrep.exe" /spath="C:\Users\stu\Documents\Analysis\2016-02-23 RTDC Observations" /stypes="*4029*20160731*" /stext=" 05:.+((SYSTEM_STATE.+slice.+state.+changed )|(ment ac)|(system.+state.+changed )|(\|lc)|(penalty)|(\[timeout)|(PRM\|1\|D))" /e /r /s</v>
      </c>
      <c r="AG150" s="1" t="str">
        <f t="shared" si="58"/>
        <v>EC</v>
      </c>
    </row>
    <row r="151" spans="1:33" hidden="1" x14ac:dyDescent="0.25">
      <c r="A151" s="25" t="s">
        <v>694</v>
      </c>
      <c r="B151" s="96">
        <v>4017</v>
      </c>
      <c r="C151" s="97" t="s">
        <v>170</v>
      </c>
      <c r="D151" s="97" t="s">
        <v>350</v>
      </c>
      <c r="E151" s="98">
        <v>42582.012187499997</v>
      </c>
      <c r="F151" s="98">
        <v>42582.013055555559</v>
      </c>
      <c r="G151" s="96">
        <v>1</v>
      </c>
      <c r="H151" s="98" t="s">
        <v>137</v>
      </c>
      <c r="I151" s="98">
        <v>42582.046030092592</v>
      </c>
      <c r="J151" s="96">
        <v>0</v>
      </c>
      <c r="K151" s="123" t="str">
        <f t="shared" si="44"/>
        <v>4017/4018</v>
      </c>
      <c r="L151" s="25" t="str">
        <f>VLOOKUP(A151,'Trips&amp;Operators'!$C$1:$E$10000,3,FALSE)</f>
        <v>KILLION</v>
      </c>
      <c r="M151" s="6">
        <f t="shared" si="45"/>
        <v>3.2974537032714579E-2</v>
      </c>
      <c r="N151" s="7">
        <f t="shared" si="46"/>
        <v>47.483333327108994</v>
      </c>
      <c r="O151" s="7"/>
      <c r="P151" s="7"/>
      <c r="Q151" s="26"/>
      <c r="R151" s="26"/>
      <c r="S151" s="41">
        <f t="shared" si="47"/>
        <v>1</v>
      </c>
      <c r="T151" s="59" t="str">
        <f t="shared" si="56"/>
        <v>Southbound</v>
      </c>
      <c r="U151" s="84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23:17:33-0600',mode:absolute,to:'2016-07-31 02:06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51" s="64" t="str">
        <f t="shared" si="49"/>
        <v>N</v>
      </c>
      <c r="X151" s="126">
        <f t="shared" si="57"/>
        <v>1</v>
      </c>
      <c r="Y151" s="79">
        <f t="shared" si="50"/>
        <v>23.296500000000002</v>
      </c>
      <c r="Z151" s="79">
        <f t="shared" si="51"/>
        <v>1.54E-2</v>
      </c>
      <c r="AA151" s="79">
        <f t="shared" si="52"/>
        <v>23.281100000000002</v>
      </c>
      <c r="AB151" s="76" t="e">
        <f>VLOOKUP(A151,Enforcements!$C$7:$J$24,8,0)</f>
        <v>#N/A</v>
      </c>
      <c r="AC151" s="72" t="e">
        <f>VLOOKUP(A151,Enforcements!$C$7:$E$24,3,0)</f>
        <v>#N/A</v>
      </c>
      <c r="AD151" s="73" t="str">
        <f t="shared" si="53"/>
        <v>0240-30</v>
      </c>
      <c r="AE151" s="65" t="str">
        <f t="shared" si="54"/>
        <v>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 &amp; aws s3 cp s3://rtdc.mdm.uploadarchive/RTDC4017/2016-08-01/ "C:\Users\stu\Documents\Analysis\2016-02-23 RTDC Observations"\RTDC4017\2016-08-01 --recursive &amp; "C:\Users\stu\Documents\GitHub\mrs-test-scripts\Headless Mode &amp; Sideloading\WalkAndUnGZ.bat" "C:\Users\stu\Documents\Analysis\2016-02-23 RTDC Observations"\RTDC4017\2016-08-01</v>
      </c>
      <c r="AF151" s="65" t="str">
        <f t="shared" si="55"/>
        <v>"C:\Program Files (x86)\AstroGrep\AstroGrep.exe" /spath="C:\Users\stu\Documents\Analysis\2016-02-23 RTDC Observations" /stypes="*4017*20160731*" /stext=" 07:.+((SYSTEM_STATE.+slice.+state.+changed )|(ment ac)|(system.+state.+changed )|(\|lc)|(penalty)|(\[timeout)|(PRM\|1\|D))" /e /r /s</v>
      </c>
      <c r="AG151" s="1" t="str">
        <f t="shared" si="58"/>
        <v>EC</v>
      </c>
    </row>
    <row r="152" spans="1:33" hidden="1" x14ac:dyDescent="0.25">
      <c r="A152" s="25" t="s">
        <v>695</v>
      </c>
      <c r="B152" s="96">
        <v>4018</v>
      </c>
      <c r="C152" s="97" t="s">
        <v>170</v>
      </c>
      <c r="D152" s="97" t="s">
        <v>324</v>
      </c>
      <c r="E152" s="98">
        <v>42581.964780092596</v>
      </c>
      <c r="F152" s="98">
        <v>42581.965891203705</v>
      </c>
      <c r="G152" s="96">
        <v>1</v>
      </c>
      <c r="H152" s="98" t="s">
        <v>382</v>
      </c>
      <c r="I152" s="98">
        <v>42582.004664351851</v>
      </c>
      <c r="J152" s="96">
        <v>0</v>
      </c>
      <c r="K152" s="123" t="str">
        <f t="shared" si="44"/>
        <v>4017/4018</v>
      </c>
      <c r="L152" s="25" t="str">
        <f>VLOOKUP(A152,'Trips&amp;Operators'!$C$1:$E$10000,3,FALSE)</f>
        <v>KILLION</v>
      </c>
      <c r="M152" s="6">
        <f t="shared" si="45"/>
        <v>3.8773148145992309E-2</v>
      </c>
      <c r="N152" s="7">
        <f t="shared" si="46"/>
        <v>55.833333330228925</v>
      </c>
      <c r="O152" s="7"/>
      <c r="P152" s="7"/>
      <c r="Q152" s="26"/>
      <c r="R152" s="26"/>
      <c r="S152" s="41">
        <f t="shared" si="47"/>
        <v>1</v>
      </c>
      <c r="T152" s="59" t="str">
        <f t="shared" si="56"/>
        <v>NorthBound</v>
      </c>
      <c r="U152" s="84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22:09:17-0600',mode:absolute,to:'2016-07-31 01:06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52" s="64" t="str">
        <f t="shared" si="49"/>
        <v>N</v>
      </c>
      <c r="X152" s="126">
        <f t="shared" si="57"/>
        <v>1</v>
      </c>
      <c r="Y152" s="79">
        <f t="shared" si="50"/>
        <v>4.5100000000000001E-2</v>
      </c>
      <c r="Z152" s="79">
        <f t="shared" si="51"/>
        <v>23.328900000000001</v>
      </c>
      <c r="AA152" s="79">
        <f t="shared" si="52"/>
        <v>23.283799999999999</v>
      </c>
      <c r="AB152" s="76" t="e">
        <f>VLOOKUP(A152,Enforcements!$C$7:$J$24,8,0)</f>
        <v>#N/A</v>
      </c>
      <c r="AC152" s="72" t="e">
        <f>VLOOKUP(A152,Enforcements!$C$7:$E$24,3,0)</f>
        <v>#N/A</v>
      </c>
      <c r="AD152" s="73" t="str">
        <f t="shared" si="53"/>
        <v>0241-30</v>
      </c>
      <c r="AE152" s="65" t="str">
        <f t="shared" si="54"/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AF152" s="65" t="str">
        <f t="shared" si="55"/>
        <v>"C:\Program Files (x86)\AstroGrep\AstroGrep.exe" /spath="C:\Users\stu\Documents\Analysis\2016-02-23 RTDC Observations" /stypes="*4018*20160731*" /stext=" 06:.+((SYSTEM_STATE.+slice.+state.+changed )|(ment ac)|(system.+state.+changed )|(\|lc)|(penalty)|(\[timeout)|(PRM\|1\|D))" /e /r /s</v>
      </c>
      <c r="AG152" s="1" t="str">
        <f t="shared" si="58"/>
        <v>EC</v>
      </c>
    </row>
    <row r="153" spans="1:33" hidden="1" x14ac:dyDescent="0.25">
      <c r="A153" s="25" t="s">
        <v>696</v>
      </c>
      <c r="B153" s="96">
        <v>4032</v>
      </c>
      <c r="C153" s="97" t="s">
        <v>170</v>
      </c>
      <c r="D153" s="97" t="s">
        <v>350</v>
      </c>
      <c r="E153" s="98">
        <v>42582.036400462966</v>
      </c>
      <c r="F153" s="98">
        <v>42582.03738425926</v>
      </c>
      <c r="G153" s="96">
        <v>1</v>
      </c>
      <c r="H153" s="98" t="s">
        <v>154</v>
      </c>
      <c r="I153" s="98">
        <v>42582.067106481481</v>
      </c>
      <c r="J153" s="96">
        <v>0</v>
      </c>
      <c r="K153" s="123" t="str">
        <f t="shared" si="44"/>
        <v>4031/4032</v>
      </c>
      <c r="L153" s="25" t="str">
        <f>VLOOKUP(A153,'Trips&amp;Operators'!$C$1:$E$10000,3,FALSE)</f>
        <v>CHANDLER</v>
      </c>
      <c r="M153" s="6">
        <f t="shared" si="45"/>
        <v>2.9722222221607808E-2</v>
      </c>
      <c r="N153" s="7">
        <f t="shared" si="46"/>
        <v>42.799999999115244</v>
      </c>
      <c r="O153" s="7"/>
      <c r="P153" s="7"/>
      <c r="Q153" s="26"/>
      <c r="R153" s="26"/>
      <c r="S153" s="41">
        <f t="shared" si="47"/>
        <v>1</v>
      </c>
      <c r="T153" s="59" t="str">
        <f t="shared" si="56"/>
        <v>Southbound</v>
      </c>
      <c r="U153" s="84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23:52:25-0600',mode:absolute,to:'2016-07-31 02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3" s="64" t="str">
        <f t="shared" si="49"/>
        <v>N</v>
      </c>
      <c r="X153" s="126">
        <f t="shared" si="57"/>
        <v>1</v>
      </c>
      <c r="Y153" s="79">
        <f t="shared" si="50"/>
        <v>23.296500000000002</v>
      </c>
      <c r="Z153" s="79">
        <f t="shared" si="51"/>
        <v>1.6299999999999999E-2</v>
      </c>
      <c r="AA153" s="79">
        <f t="shared" si="52"/>
        <v>23.280200000000001</v>
      </c>
      <c r="AB153" s="76" t="e">
        <f>VLOOKUP(A153,Enforcements!$C$7:$J$24,8,0)</f>
        <v>#N/A</v>
      </c>
      <c r="AC153" s="72" t="e">
        <f>VLOOKUP(A153,Enforcements!$C$7:$E$24,3,0)</f>
        <v>#N/A</v>
      </c>
      <c r="AD153" s="73" t="str">
        <f t="shared" si="53"/>
        <v>0242-30</v>
      </c>
      <c r="AE153" s="65" t="str">
        <f t="shared" si="54"/>
        <v>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 &amp; aws s3 cp s3://rtdc.mdm.uploadarchive/RTDC4032/2016-08-01/ "C:\Users\stu\Documents\Analysis\2016-02-23 RTDC Observations"\RTDC4032\2016-08-01 --recursive &amp; "C:\Users\stu\Documents\GitHub\mrs-test-scripts\Headless Mode &amp; Sideloading\WalkAndUnGZ.bat" "C:\Users\stu\Documents\Analysis\2016-02-23 RTDC Observations"\RTDC4032\2016-08-01</v>
      </c>
      <c r="AF153" s="65" t="str">
        <f t="shared" si="55"/>
        <v>"C:\Program Files (x86)\AstroGrep\AstroGrep.exe" /spath="C:\Users\stu\Documents\Analysis\2016-02-23 RTDC Observations" /stypes="*4032*20160731*" /stext=" 07:.+((SYSTEM_STATE.+slice.+state.+changed )|(ment ac)|(system.+state.+changed )|(\|lc)|(penalty)|(\[timeout)|(PRM\|1\|D))" /e /r /s</v>
      </c>
      <c r="AG153" s="1" t="str">
        <f t="shared" si="58"/>
        <v>EC</v>
      </c>
    </row>
    <row r="154" spans="1:33" hidden="1" x14ac:dyDescent="0.25">
      <c r="A154" s="25" t="s">
        <v>697</v>
      </c>
      <c r="B154" s="96">
        <v>4031</v>
      </c>
      <c r="C154" s="97" t="s">
        <v>170</v>
      </c>
      <c r="D154" s="97" t="s">
        <v>64</v>
      </c>
      <c r="E154" s="98">
        <v>42581.997210648151</v>
      </c>
      <c r="F154" s="98">
        <v>42581.998506944445</v>
      </c>
      <c r="G154" s="96">
        <v>1</v>
      </c>
      <c r="H154" s="98" t="s">
        <v>264</v>
      </c>
      <c r="I154" s="98">
        <v>42582.025451388887</v>
      </c>
      <c r="J154" s="96">
        <v>0</v>
      </c>
      <c r="K154" s="123" t="str">
        <f t="shared" si="44"/>
        <v>4031/4032</v>
      </c>
      <c r="L154" s="25" t="str">
        <f>VLOOKUP(A154,'Trips&amp;Operators'!$C$1:$E$10000,3,FALSE)</f>
        <v>CHANDLER</v>
      </c>
      <c r="M154" s="6">
        <f t="shared" si="45"/>
        <v>2.6944444442051463E-2</v>
      </c>
      <c r="N154" s="7">
        <f t="shared" si="46"/>
        <v>38.799999996554106</v>
      </c>
      <c r="O154" s="7"/>
      <c r="P154" s="7"/>
      <c r="Q154" s="26"/>
      <c r="R154" s="26"/>
      <c r="S154" s="41">
        <f t="shared" si="47"/>
        <v>1</v>
      </c>
      <c r="T154" s="59" t="str">
        <f t="shared" si="56"/>
        <v>NorthBound</v>
      </c>
      <c r="U154" s="84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22:55:59-0600',mode:absolute,to:'2016-07-31 01:36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54" s="64" t="str">
        <f t="shared" si="49"/>
        <v>N</v>
      </c>
      <c r="X154" s="126">
        <f t="shared" si="57"/>
        <v>1</v>
      </c>
      <c r="Y154" s="79">
        <f t="shared" si="50"/>
        <v>4.5999999999999999E-2</v>
      </c>
      <c r="Z154" s="79">
        <f t="shared" si="51"/>
        <v>23.3278</v>
      </c>
      <c r="AA154" s="79">
        <f t="shared" si="52"/>
        <v>23.2818</v>
      </c>
      <c r="AB154" s="76" t="e">
        <f>VLOOKUP(A154,Enforcements!$C$7:$J$24,8,0)</f>
        <v>#N/A</v>
      </c>
      <c r="AC154" s="72" t="e">
        <f>VLOOKUP(A154,Enforcements!$C$7:$E$24,3,0)</f>
        <v>#N/A</v>
      </c>
      <c r="AD154" s="73" t="str">
        <f t="shared" si="53"/>
        <v>0243-30</v>
      </c>
      <c r="AE154" s="65" t="str">
        <f t="shared" si="54"/>
        <v>aws s3 cp s3://rtdc.mdm.uploadarchive/RTDC4031/2016-07-30/ "C:\Users\stu\Documents\Analysis\2016-02-23 RTDC Observations"\RTDC4031\2016-07-30 --recursive &amp; "C:\Users\stu\Documents\GitHub\mrs-test-scripts\Headless Mode &amp; Sideloading\WalkAndUnGZ.bat" "C:\Users\stu\Documents\Analysis\2016-02-23 RTDC Observations"\RTDC4031\2016-07-30 &amp; 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</v>
      </c>
      <c r="AF154" s="65" t="str">
        <f t="shared" si="55"/>
        <v>"C:\Program Files (x86)\AstroGrep\AstroGrep.exe" /spath="C:\Users\stu\Documents\Analysis\2016-02-23 RTDC Observations" /stypes="*4031*20160731*" /stext=" 06:.+((SYSTEM_STATE.+slice.+state.+changed )|(ment ac)|(system.+state.+changed )|(\|lc)|(penalty)|(\[timeout)|(PRM\|1\|D))" /e /r /s</v>
      </c>
      <c r="AG154" s="1" t="str">
        <f t="shared" si="58"/>
        <v>EC</v>
      </c>
    </row>
    <row r="155" spans="1:33" hidden="1" x14ac:dyDescent="0.25">
      <c r="A155" s="25" t="s">
        <v>698</v>
      </c>
      <c r="B155" s="96">
        <v>4043</v>
      </c>
      <c r="C155" s="97" t="s">
        <v>170</v>
      </c>
      <c r="D155" s="97" t="s">
        <v>699</v>
      </c>
      <c r="E155" s="98">
        <v>42582.055023148147</v>
      </c>
      <c r="F155" s="98">
        <v>42582.056122685186</v>
      </c>
      <c r="G155" s="96">
        <v>1</v>
      </c>
      <c r="H155" s="98" t="s">
        <v>359</v>
      </c>
      <c r="I155" s="98">
        <v>42582.08730324074</v>
      </c>
      <c r="J155" s="96">
        <v>0</v>
      </c>
      <c r="K155" s="123" t="str">
        <f t="shared" si="44"/>
        <v>4043/4044</v>
      </c>
      <c r="L155" s="25" t="str">
        <f>VLOOKUP(A155,'Trips&amp;Operators'!$C$1:$E$10000,3,FALSE)</f>
        <v>STURGEON</v>
      </c>
      <c r="M155" s="6">
        <f t="shared" si="45"/>
        <v>3.1180555553874001E-2</v>
      </c>
      <c r="N155" s="7">
        <f t="shared" si="46"/>
        <v>44.899999997578561</v>
      </c>
      <c r="O155" s="7"/>
      <c r="P155" s="7"/>
      <c r="Q155" s="26"/>
      <c r="R155" s="26"/>
      <c r="S155" s="41">
        <f t="shared" si="47"/>
        <v>1</v>
      </c>
      <c r="T155" s="59" t="str">
        <f t="shared" si="56"/>
        <v>Southbound</v>
      </c>
      <c r="U155" s="84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00:19:14-0600',mode:absolute,to:'2016-07-31 03:05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W155" s="64" t="str">
        <f t="shared" si="49"/>
        <v>N</v>
      </c>
      <c r="X155" s="126">
        <f t="shared" si="57"/>
        <v>1</v>
      </c>
      <c r="Y155" s="79">
        <f t="shared" si="50"/>
        <v>23.263300000000001</v>
      </c>
      <c r="Z155" s="79">
        <f t="shared" si="51"/>
        <v>1.7999999999999999E-2</v>
      </c>
      <c r="AA155" s="79">
        <f t="shared" si="52"/>
        <v>23.2453</v>
      </c>
      <c r="AB155" s="76" t="e">
        <f>VLOOKUP(A155,Enforcements!$C$7:$J$24,8,0)</f>
        <v>#N/A</v>
      </c>
      <c r="AC155" s="72" t="e">
        <f>VLOOKUP(A155,Enforcements!$C$7:$E$24,3,0)</f>
        <v>#N/A</v>
      </c>
      <c r="AD155" s="73" t="str">
        <f t="shared" si="53"/>
        <v>0244-30</v>
      </c>
      <c r="AE155" s="65" t="str">
        <f t="shared" si="54"/>
        <v>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 &amp; aws s3 cp s3://rtdc.mdm.uploadarchive/RTDC4043/2016-08-01/ "C:\Users\stu\Documents\Analysis\2016-02-23 RTDC Observations"\RTDC4043\2016-08-01 --recursive &amp; "C:\Users\stu\Documents\GitHub\mrs-test-scripts\Headless Mode &amp; Sideloading\WalkAndUnGZ.bat" "C:\Users\stu\Documents\Analysis\2016-02-23 RTDC Observations"\RTDC4043\2016-08-01</v>
      </c>
      <c r="AF155" s="65" t="str">
        <f t="shared" si="55"/>
        <v>"C:\Program Files (x86)\AstroGrep\AstroGrep.exe" /spath="C:\Users\stu\Documents\Analysis\2016-02-23 RTDC Observations" /stypes="*4043*20160731*" /stext=" 08:.+((SYSTEM_STATE.+slice.+state.+changed )|(ment ac)|(system.+state.+changed )|(\|lc)|(penalty)|(\[timeout)|(PRM\|1\|D))" /e /r /s</v>
      </c>
      <c r="AG155" s="1" t="str">
        <f t="shared" si="58"/>
        <v>EC</v>
      </c>
    </row>
    <row r="156" spans="1:33" hidden="1" x14ac:dyDescent="0.25">
      <c r="A156" s="25" t="s">
        <v>700</v>
      </c>
      <c r="B156" s="96">
        <v>4007</v>
      </c>
      <c r="C156" s="97" t="s">
        <v>170</v>
      </c>
      <c r="D156" s="97" t="s">
        <v>701</v>
      </c>
      <c r="E156" s="98">
        <v>42582.013437499998</v>
      </c>
      <c r="F156" s="98">
        <v>42582.014780092592</v>
      </c>
      <c r="G156" s="96">
        <v>1</v>
      </c>
      <c r="H156" s="98" t="s">
        <v>353</v>
      </c>
      <c r="I156" s="98">
        <v>42582.046400462961</v>
      </c>
      <c r="J156" s="96">
        <v>0</v>
      </c>
      <c r="K156" s="123" t="str">
        <f t="shared" si="44"/>
        <v>4007/4008</v>
      </c>
      <c r="L156" s="25" t="str">
        <f>VLOOKUP(A156,'Trips&amp;Operators'!$C$1:$E$10000,3,FALSE)</f>
        <v>STURGEON</v>
      </c>
      <c r="M156" s="6">
        <f t="shared" si="45"/>
        <v>3.1620370369637385E-2</v>
      </c>
      <c r="N156" s="7">
        <f t="shared" si="46"/>
        <v>45.533333332277834</v>
      </c>
      <c r="O156" s="7"/>
      <c r="P156" s="7"/>
      <c r="Q156" s="26"/>
      <c r="R156" s="26"/>
      <c r="S156" s="41">
        <f t="shared" si="47"/>
        <v>1</v>
      </c>
      <c r="T156" s="59" t="str">
        <f t="shared" si="56"/>
        <v>NorthBound</v>
      </c>
      <c r="U156" s="84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23:19:21-0600',mode:absolute,to:'2016-07-31 02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56" s="64" t="str">
        <f t="shared" si="49"/>
        <v>N</v>
      </c>
      <c r="X156" s="126">
        <f t="shared" si="57"/>
        <v>1</v>
      </c>
      <c r="Y156" s="79">
        <f t="shared" si="50"/>
        <v>7.4399999999999994E-2</v>
      </c>
      <c r="Z156" s="79">
        <f t="shared" si="51"/>
        <v>23.328199999999999</v>
      </c>
      <c r="AA156" s="79">
        <f t="shared" si="52"/>
        <v>23.253799999999998</v>
      </c>
      <c r="AB156" s="76" t="e">
        <f>VLOOKUP(A156,Enforcements!$C$7:$J$24,8,0)</f>
        <v>#N/A</v>
      </c>
      <c r="AC156" s="72" t="e">
        <f>VLOOKUP(A156,Enforcements!$C$7:$E$24,3,0)</f>
        <v>#N/A</v>
      </c>
      <c r="AD156" s="73" t="str">
        <f t="shared" si="53"/>
        <v>0245-30</v>
      </c>
      <c r="AE156" s="65" t="str">
        <f t="shared" si="54"/>
        <v>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 &amp; aws s3 cp s3://rtdc.mdm.uploadarchive/RTDC4007/2016-08-01/ "C:\Users\stu\Documents\Analysis\2016-02-23 RTDC Observations"\RTDC4007\2016-08-01 --recursive &amp; "C:\Users\stu\Documents\GitHub\mrs-test-scripts\Headless Mode &amp; Sideloading\WalkAndUnGZ.bat" "C:\Users\stu\Documents\Analysis\2016-02-23 RTDC Observations"\RTDC4007\2016-08-01</v>
      </c>
      <c r="AF156" s="65" t="str">
        <f t="shared" si="55"/>
        <v>"C:\Program Files (x86)\AstroGrep\AstroGrep.exe" /spath="C:\Users\stu\Documents\Analysis\2016-02-23 RTDC Observations" /stypes="*4007*20160731*" /stext=" 07:.+((SYSTEM_STATE.+slice.+state.+changed )|(ment ac)|(system.+state.+changed )|(\|lc)|(penalty)|(\[timeout)|(PRM\|1\|D))" /e /r /s</v>
      </c>
      <c r="AG156" s="1" t="str">
        <f t="shared" si="58"/>
        <v>EC</v>
      </c>
    </row>
    <row r="157" spans="1:33" hidden="1" x14ac:dyDescent="0.25">
      <c r="A157" s="25" t="s">
        <v>702</v>
      </c>
      <c r="B157" s="96">
        <v>4030</v>
      </c>
      <c r="C157" s="97" t="s">
        <v>170</v>
      </c>
      <c r="D157" s="97" t="s">
        <v>357</v>
      </c>
      <c r="E157" s="98">
        <v>42582.074212962965</v>
      </c>
      <c r="F157" s="98">
        <v>42582.074999999997</v>
      </c>
      <c r="G157" s="96">
        <v>1</v>
      </c>
      <c r="H157" s="98" t="s">
        <v>323</v>
      </c>
      <c r="I157" s="98">
        <v>42582.10738425926</v>
      </c>
      <c r="J157" s="96">
        <v>0</v>
      </c>
      <c r="K157" s="123" t="str">
        <f t="shared" si="44"/>
        <v>4029/4030</v>
      </c>
      <c r="L157" s="25" t="str">
        <f>VLOOKUP(A157,'Trips&amp;Operators'!$C$1:$E$10000,3,FALSE)</f>
        <v>LEVIN</v>
      </c>
      <c r="M157" s="6">
        <f t="shared" si="45"/>
        <v>3.238425926247146E-2</v>
      </c>
      <c r="N157" s="7">
        <f t="shared" si="46"/>
        <v>46.633333337958902</v>
      </c>
      <c r="O157" s="7"/>
      <c r="P157" s="7"/>
      <c r="Q157" s="26"/>
      <c r="R157" s="26"/>
      <c r="S157" s="41">
        <f t="shared" si="47"/>
        <v>1</v>
      </c>
      <c r="T157" s="59" t="str">
        <f t="shared" si="56"/>
        <v>Southbound</v>
      </c>
      <c r="U157" s="84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00:46:52-0600',mode:absolute,to:'2016-07-31 03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57" s="64" t="str">
        <f t="shared" si="49"/>
        <v>N</v>
      </c>
      <c r="X157" s="126">
        <f t="shared" si="57"/>
        <v>1</v>
      </c>
      <c r="Y157" s="79">
        <f t="shared" si="50"/>
        <v>23.298200000000001</v>
      </c>
      <c r="Z157" s="79">
        <f t="shared" si="51"/>
        <v>1.6500000000000001E-2</v>
      </c>
      <c r="AA157" s="79">
        <f t="shared" si="52"/>
        <v>23.281700000000001</v>
      </c>
      <c r="AB157" s="76" t="e">
        <f>VLOOKUP(A157,Enforcements!$C$7:$J$24,8,0)</f>
        <v>#N/A</v>
      </c>
      <c r="AC157" s="72" t="e">
        <f>VLOOKUP(A157,Enforcements!$C$7:$E$24,3,0)</f>
        <v>#N/A</v>
      </c>
      <c r="AD157" s="73" t="str">
        <f t="shared" si="53"/>
        <v>0246-30</v>
      </c>
      <c r="AE157" s="65" t="str">
        <f t="shared" si="54"/>
        <v>aws s3 cp s3://rtdc.mdm.uploadarchive/RTDC4030/2016-07-31/ "C:\Users\stu\Documents\Analysis\2016-02-23 RTDC Observations"\RTDC4030\2016-07-31 --recursive &amp; "C:\Users\stu\Documents\GitHub\mrs-test-scripts\Headless Mode &amp; Sideloading\WalkAndUnGZ.bat" "C:\Users\stu\Documents\Analysis\2016-02-23 RTDC Observations"\RTDC4030\2016-07-31 &amp; aws s3 cp s3://rtdc.mdm.uploadarchive/RTDC4030/2016-08-01/ "C:\Users\stu\Documents\Analysis\2016-02-23 RTDC Observations"\RTDC4030\2016-08-01 --recursive &amp; "C:\Users\stu\Documents\GitHub\mrs-test-scripts\Headless Mode &amp; Sideloading\WalkAndUnGZ.bat" "C:\Users\stu\Documents\Analysis\2016-02-23 RTDC Observations"\RTDC4030\2016-08-01</v>
      </c>
      <c r="AF157" s="65" t="str">
        <f t="shared" si="55"/>
        <v>"C:\Program Files (x86)\AstroGrep\AstroGrep.exe" /spath="C:\Users\stu\Documents\Analysis\2016-02-23 RTDC Observations" /stypes="*4030*20160731*" /stext=" 08:.+((SYSTEM_STATE.+slice.+state.+changed )|(ment ac)|(system.+state.+changed )|(\|lc)|(penalty)|(\[timeout)|(PRM\|1\|D))" /e /r /s</v>
      </c>
      <c r="AG157" s="1" t="str">
        <f t="shared" si="58"/>
        <v>EC</v>
      </c>
    </row>
    <row r="158" spans="1:33" hidden="1" x14ac:dyDescent="0.25">
      <c r="A158" s="25" t="s">
        <v>703</v>
      </c>
      <c r="B158" s="96">
        <v>4029</v>
      </c>
      <c r="C158" s="97" t="s">
        <v>170</v>
      </c>
      <c r="D158" s="97" t="s">
        <v>162</v>
      </c>
      <c r="E158" s="98">
        <v>42582.034583333334</v>
      </c>
      <c r="F158" s="98">
        <v>42582.035636574074</v>
      </c>
      <c r="G158" s="96">
        <v>1</v>
      </c>
      <c r="H158" s="98" t="s">
        <v>171</v>
      </c>
      <c r="I158" s="98">
        <v>42582.06621527778</v>
      </c>
      <c r="J158" s="96">
        <v>0</v>
      </c>
      <c r="K158" s="123" t="str">
        <f t="shared" si="44"/>
        <v>4029/4030</v>
      </c>
      <c r="L158" s="25" t="str">
        <f>VLOOKUP(A158,'Trips&amp;Operators'!$C$1:$E$10000,3,FALSE)</f>
        <v>LEVIN</v>
      </c>
      <c r="M158" s="6">
        <f t="shared" si="45"/>
        <v>3.0578703706851229E-2</v>
      </c>
      <c r="N158" s="7">
        <f t="shared" si="46"/>
        <v>44.03333333786577</v>
      </c>
      <c r="O158" s="7"/>
      <c r="P158" s="7"/>
      <c r="Q158" s="26"/>
      <c r="R158" s="26"/>
      <c r="S158" s="41">
        <f t="shared" si="47"/>
        <v>1</v>
      </c>
      <c r="T158" s="59" t="str">
        <f t="shared" si="56"/>
        <v>NorthBound</v>
      </c>
      <c r="U158" s="84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23:49:48-0600',mode:absolute,to:'2016-07-31 02:35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8" s="64" t="str">
        <f t="shared" si="49"/>
        <v>N</v>
      </c>
      <c r="X158" s="126">
        <f t="shared" si="57"/>
        <v>1</v>
      </c>
      <c r="Y158" s="79">
        <f t="shared" si="50"/>
        <v>4.53E-2</v>
      </c>
      <c r="Z158" s="79">
        <f t="shared" si="51"/>
        <v>23.3291</v>
      </c>
      <c r="AA158" s="79">
        <f t="shared" si="52"/>
        <v>23.283799999999999</v>
      </c>
      <c r="AB158" s="76" t="e">
        <f>VLOOKUP(A158,Enforcements!$C$7:$J$24,8,0)</f>
        <v>#N/A</v>
      </c>
      <c r="AC158" s="72" t="e">
        <f>VLOOKUP(A158,Enforcements!$C$7:$E$24,3,0)</f>
        <v>#N/A</v>
      </c>
      <c r="AD158" s="73" t="str">
        <f t="shared" si="53"/>
        <v>0247-30</v>
      </c>
      <c r="AE158" s="65" t="str">
        <f t="shared" si="54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58" s="65" t="str">
        <f t="shared" si="55"/>
        <v>"C:\Program Files (x86)\AstroGrep\AstroGrep.exe" /spath="C:\Users\stu\Documents\Analysis\2016-02-23 RTDC Observations" /stypes="*4029*20160731*" /stext=" 07:.+((SYSTEM_STATE.+slice.+state.+changed )|(ment ac)|(system.+state.+changed )|(\|lc)|(penalty)|(\[timeout)|(PRM\|1\|D))" /e /r /s</v>
      </c>
      <c r="AG158" s="1" t="str">
        <f t="shared" si="58"/>
        <v>EC</v>
      </c>
    </row>
    <row r="159" spans="1:33" hidden="1" x14ac:dyDescent="0.25">
      <c r="A159" s="25" t="s">
        <v>704</v>
      </c>
      <c r="B159" s="96">
        <v>4016</v>
      </c>
      <c r="C159" s="97" t="s">
        <v>170</v>
      </c>
      <c r="D159" s="97" t="s">
        <v>351</v>
      </c>
      <c r="E159" s="98">
        <v>42581.779467592591</v>
      </c>
      <c r="F159" s="98">
        <v>42581.780856481484</v>
      </c>
      <c r="G159" s="96">
        <v>2</v>
      </c>
      <c r="H159" s="98" t="s">
        <v>705</v>
      </c>
      <c r="I159" s="98">
        <v>42581.787534722222</v>
      </c>
      <c r="J159" s="96">
        <v>0</v>
      </c>
      <c r="K159" s="123" t="str">
        <f t="shared" si="44"/>
        <v>4015/4016</v>
      </c>
      <c r="L159" s="25" t="str">
        <f>VLOOKUP(A159,'Trips&amp;Operators'!$C$1:$E$10000,3,FALSE)</f>
        <v>REBOLETTI</v>
      </c>
      <c r="M159" s="6">
        <f t="shared" si="45"/>
        <v>6.6782407375285402E-3</v>
      </c>
      <c r="N159" s="7">
        <f t="shared" si="46"/>
        <v>9.6166666620410979</v>
      </c>
      <c r="O159" s="7"/>
      <c r="P159" s="7"/>
      <c r="Q159" s="26"/>
      <c r="R159" s="26"/>
      <c r="S159" s="41">
        <f t="shared" si="47"/>
        <v>1</v>
      </c>
      <c r="T159" s="59" t="str">
        <f t="shared" si="56"/>
        <v>NorthBound</v>
      </c>
      <c r="U159" s="84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1</v>
      </c>
      <c r="V15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17:42:26-0600',mode:absolute,to:'2016-07-30 19:54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59" s="64" t="str">
        <f t="shared" si="49"/>
        <v>Y</v>
      </c>
      <c r="X159" s="126">
        <f t="shared" si="57"/>
        <v>56</v>
      </c>
      <c r="Y159" s="79">
        <f t="shared" si="50"/>
        <v>4.4699999999999997E-2</v>
      </c>
      <c r="Z159" s="79">
        <f t="shared" si="51"/>
        <v>2.331</v>
      </c>
      <c r="AA159" s="79">
        <f t="shared" si="52"/>
        <v>2.2862999999999998</v>
      </c>
      <c r="AB159" s="76" t="e">
        <f>VLOOKUP(A159,Enforcements!$C$7:$J$24,8,0)</f>
        <v>#N/A</v>
      </c>
      <c r="AC159" s="72" t="e">
        <f>VLOOKUP(A159,Enforcements!$C$7:$E$24,3,0)</f>
        <v>#N/A</v>
      </c>
      <c r="AD159" s="73" t="str">
        <f t="shared" si="53"/>
        <v>0303-30</v>
      </c>
      <c r="AE159" s="65" t="str">
        <f t="shared" si="54"/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AF159" s="65" t="str">
        <f t="shared" si="55"/>
        <v>"C:\Program Files (x86)\AstroGrep\AstroGrep.exe" /spath="C:\Users\stu\Documents\Analysis\2016-02-23 RTDC Observations" /stypes="*4016*20160731*" /stext=" 00:.+((SYSTEM_STATE.+slice.+state.+changed )|(ment ac)|(system.+state.+changed )|(\|lc)|(penalty)|(\[timeout)|(PRM\|1\|D))" /e /r /s</v>
      </c>
      <c r="AG159" s="1" t="str">
        <f t="shared" si="58"/>
        <v>GL</v>
      </c>
    </row>
    <row r="160" spans="1:33" hidden="1" x14ac:dyDescent="0.25">
      <c r="A160" s="25" t="s">
        <v>706</v>
      </c>
      <c r="B160" s="96">
        <v>4014</v>
      </c>
      <c r="C160" s="97" t="s">
        <v>170</v>
      </c>
      <c r="D160" s="97" t="s">
        <v>701</v>
      </c>
      <c r="E160" s="98">
        <v>42581.799340277779</v>
      </c>
      <c r="F160" s="98">
        <v>42581.800416666665</v>
      </c>
      <c r="G160" s="96">
        <v>1</v>
      </c>
      <c r="H160" s="98" t="s">
        <v>363</v>
      </c>
      <c r="I160" s="98">
        <v>42581.807939814818</v>
      </c>
      <c r="J160" s="96">
        <v>1</v>
      </c>
      <c r="K160" s="123" t="str">
        <f t="shared" si="44"/>
        <v>4013/4014</v>
      </c>
      <c r="L160" s="25" t="str">
        <f>VLOOKUP(A160,'Trips&amp;Operators'!$C$1:$E$10000,3,FALSE)</f>
        <v>MAYBERRY</v>
      </c>
      <c r="M160" s="6">
        <f t="shared" si="45"/>
        <v>7.5231481532682665E-3</v>
      </c>
      <c r="N160" s="7">
        <f t="shared" si="46"/>
        <v>10.833333340706304</v>
      </c>
      <c r="O160" s="7"/>
      <c r="P160" s="7"/>
      <c r="Q160" s="26"/>
      <c r="R160" s="26"/>
      <c r="S160" s="41">
        <f t="shared" si="47"/>
        <v>1</v>
      </c>
      <c r="T160" s="59" t="str">
        <f t="shared" si="56"/>
        <v>NorthBound</v>
      </c>
      <c r="U160" s="84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18:11:03-0600',mode:absolute,to:'2016-07-30 20:23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60" s="64" t="str">
        <f t="shared" si="49"/>
        <v>Y</v>
      </c>
      <c r="X160" s="126">
        <f t="shared" si="57"/>
        <v>2</v>
      </c>
      <c r="Y160" s="79">
        <f t="shared" si="50"/>
        <v>7.4399999999999994E-2</v>
      </c>
      <c r="Z160" s="79">
        <f t="shared" si="51"/>
        <v>2.3306</v>
      </c>
      <c r="AA160" s="79">
        <f t="shared" si="52"/>
        <v>2.2562000000000002</v>
      </c>
      <c r="AB160" s="76" t="e">
        <f>VLOOKUP(A160,Enforcements!$C$7:$J$24,8,0)</f>
        <v>#N/A</v>
      </c>
      <c r="AC160" s="72" t="e">
        <f>VLOOKUP(A160,Enforcements!$C$7:$E$24,3,0)</f>
        <v>#N/A</v>
      </c>
      <c r="AD160" s="73" t="str">
        <f t="shared" si="53"/>
        <v>0305-30</v>
      </c>
      <c r="AE160" s="65" t="str">
        <f t="shared" si="54"/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AF160" s="65" t="str">
        <f t="shared" si="55"/>
        <v>"C:\Program Files (x86)\AstroGrep\AstroGrep.exe" /spath="C:\Users\stu\Documents\Analysis\2016-02-23 RTDC Observations" /stypes="*4014*20160731*" /stext=" 01:.+((SYSTEM_STATE.+slice.+state.+changed )|(ment ac)|(system.+state.+changed )|(\|lc)|(penalty)|(\[timeout)|(PRM\|1\|D))" /e /r /s</v>
      </c>
      <c r="AG160" s="1" t="str">
        <f t="shared" si="58"/>
        <v>GL</v>
      </c>
    </row>
    <row r="161" spans="1:33" hidden="1" x14ac:dyDescent="0.25">
      <c r="A161" s="25" t="s">
        <v>707</v>
      </c>
      <c r="B161" s="96">
        <v>4018</v>
      </c>
      <c r="C161" s="97" t="s">
        <v>170</v>
      </c>
      <c r="D161" s="97" t="s">
        <v>361</v>
      </c>
      <c r="E161" s="98">
        <v>42582.047453703701</v>
      </c>
      <c r="F161" s="98">
        <v>42582.048518518517</v>
      </c>
      <c r="G161" s="96">
        <v>1</v>
      </c>
      <c r="H161" s="98" t="s">
        <v>708</v>
      </c>
      <c r="I161" s="98">
        <v>42582.055208333331</v>
      </c>
      <c r="J161" s="96">
        <v>0</v>
      </c>
      <c r="K161" s="123" t="str">
        <f t="shared" si="44"/>
        <v>4017/4018</v>
      </c>
      <c r="L161" s="25" t="str">
        <f>VLOOKUP(A161,'Trips&amp;Operators'!$C$1:$E$10000,3,FALSE)</f>
        <v>KILLION</v>
      </c>
      <c r="M161" s="6">
        <f t="shared" si="45"/>
        <v>6.6898148143081926E-3</v>
      </c>
      <c r="N161" s="7">
        <f t="shared" si="46"/>
        <v>9.6333333326037973</v>
      </c>
      <c r="O161" s="7"/>
      <c r="P161" s="7"/>
      <c r="Q161" s="26"/>
      <c r="R161" s="26"/>
      <c r="S161" s="41">
        <f t="shared" si="47"/>
        <v>1</v>
      </c>
      <c r="T161" s="59" t="str">
        <f t="shared" si="56"/>
        <v>NorthBound</v>
      </c>
      <c r="U161" s="84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00:08:20-0600',mode:absolute,to:'2016-07-31 02:19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1" s="64" t="str">
        <f t="shared" si="49"/>
        <v>Y</v>
      </c>
      <c r="X161" s="126">
        <f t="shared" si="57"/>
        <v>4</v>
      </c>
      <c r="Y161" s="79">
        <f t="shared" si="50"/>
        <v>4.5699999999999998E-2</v>
      </c>
      <c r="Z161" s="79">
        <f t="shared" si="51"/>
        <v>2.3296999999999999</v>
      </c>
      <c r="AA161" s="79">
        <f t="shared" si="52"/>
        <v>2.2839999999999998</v>
      </c>
      <c r="AB161" s="76" t="e">
        <f>VLOOKUP(A161,Enforcements!$C$7:$J$24,8,0)</f>
        <v>#N/A</v>
      </c>
      <c r="AC161" s="72" t="e">
        <f>VLOOKUP(A161,Enforcements!$C$7:$E$24,3,0)</f>
        <v>#N/A</v>
      </c>
      <c r="AD161" s="73" t="str">
        <f t="shared" si="53"/>
        <v>0309-30</v>
      </c>
      <c r="AE161" s="65" t="str">
        <f t="shared" si="54"/>
        <v>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 &amp; aws s3 cp s3://rtdc.mdm.uploadarchive/RTDC4018/2016-08-01/ "C:\Users\stu\Documents\Analysis\2016-02-23 RTDC Observations"\RTDC4018\2016-08-01 --recursive &amp; "C:\Users\stu\Documents\GitHub\mrs-test-scripts\Headless Mode &amp; Sideloading\WalkAndUnGZ.bat" "C:\Users\stu\Documents\Analysis\2016-02-23 RTDC Observations"\RTDC4018\2016-08-01</v>
      </c>
      <c r="AF161" s="65" t="str">
        <f t="shared" si="55"/>
        <v>"C:\Program Files (x86)\AstroGrep\AstroGrep.exe" /spath="C:\Users\stu\Documents\Analysis\2016-02-23 RTDC Observations" /stypes="*4018*20160731*" /stext=" 07:.+((SYSTEM_STATE.+slice.+state.+changed )|(ment ac)|(system.+state.+changed )|(\|lc)|(penalty)|(\[timeout)|(PRM\|1\|D))" /e /r /s</v>
      </c>
      <c r="AG161" s="1" t="str">
        <f t="shared" si="58"/>
        <v>GL</v>
      </c>
    </row>
    <row r="162" spans="1:33" hidden="1" x14ac:dyDescent="0.25">
      <c r="A162" s="25" t="s">
        <v>709</v>
      </c>
      <c r="B162" s="96">
        <v>4031</v>
      </c>
      <c r="C162" s="97" t="s">
        <v>170</v>
      </c>
      <c r="D162" s="97" t="s">
        <v>164</v>
      </c>
      <c r="E162" s="98">
        <v>42582.069895833331</v>
      </c>
      <c r="F162" s="98">
        <v>42582.071504629632</v>
      </c>
      <c r="G162" s="96">
        <v>2</v>
      </c>
      <c r="H162" s="98" t="s">
        <v>710</v>
      </c>
      <c r="I162" s="98">
        <v>42582.081597222219</v>
      </c>
      <c r="J162" s="96">
        <v>0</v>
      </c>
      <c r="K162" s="123" t="str">
        <f t="shared" si="44"/>
        <v>4031/4032</v>
      </c>
      <c r="L162" s="25" t="str">
        <f>VLOOKUP(A162,'Trips&amp;Operators'!$C$1:$E$10000,3,FALSE)</f>
        <v>CHANDLER</v>
      </c>
      <c r="M162" s="6">
        <f t="shared" si="45"/>
        <v>1.0092592587170657E-2</v>
      </c>
      <c r="N162" s="7">
        <f t="shared" si="46"/>
        <v>14.533333325525746</v>
      </c>
      <c r="O162" s="7"/>
      <c r="P162" s="7"/>
      <c r="Q162" s="26"/>
      <c r="R162" s="26"/>
      <c r="S162" s="41">
        <f t="shared" si="47"/>
        <v>1</v>
      </c>
      <c r="T162" s="59" t="str">
        <f t="shared" si="56"/>
        <v>NorthBound</v>
      </c>
      <c r="U162" s="84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00:40:39-0600',mode:absolute,to:'2016-07-31 02:57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4031%22')),sort:!(Time,asc))</v>
      </c>
      <c r="W162" s="64" t="str">
        <f t="shared" si="49"/>
        <v>Y</v>
      </c>
      <c r="X162" s="126">
        <f t="shared" si="57"/>
        <v>2</v>
      </c>
      <c r="Y162" s="79">
        <f t="shared" si="50"/>
        <v>4.7500000000000001E-2</v>
      </c>
      <c r="Z162" s="79">
        <f t="shared" si="51"/>
        <v>2.3346</v>
      </c>
      <c r="AA162" s="79">
        <f t="shared" si="52"/>
        <v>2.2871000000000001</v>
      </c>
      <c r="AB162" s="76" t="e">
        <f>VLOOKUP(A162,Enforcements!$C$7:$J$24,8,0)</f>
        <v>#N/A</v>
      </c>
      <c r="AC162" s="72" t="e">
        <f>VLOOKUP(A162,Enforcements!$C$7:$E$24,3,0)</f>
        <v>#N/A</v>
      </c>
      <c r="AD162" s="73" t="str">
        <f t="shared" si="53"/>
        <v>0311-30</v>
      </c>
      <c r="AE162" s="65" t="str">
        <f t="shared" si="54"/>
        <v>aws s3 cp s3://rtdc.mdm.uploadarchive/RTDC4031/2016-07-31/ "C:\Users\stu\Documents\Analysis\2016-02-23 RTDC Observations"\RTDC4031\2016-07-31 --recursive &amp; "C:\Users\stu\Documents\GitHub\mrs-test-scripts\Headless Mode &amp; Sideloading\WalkAndUnGZ.bat" "C:\Users\stu\Documents\Analysis\2016-02-23 RTDC Observations"\RTDC4031\2016-07-31 &amp; aws s3 cp s3://rtdc.mdm.uploadarchive/RTDC4031/2016-08-01/ "C:\Users\stu\Documents\Analysis\2016-02-23 RTDC Observations"\RTDC4031\2016-08-01 --recursive &amp; "C:\Users\stu\Documents\GitHub\mrs-test-scripts\Headless Mode &amp; Sideloading\WalkAndUnGZ.bat" "C:\Users\stu\Documents\Analysis\2016-02-23 RTDC Observations"\RTDC4031\2016-08-01</v>
      </c>
      <c r="AF162" s="65" t="str">
        <f t="shared" si="55"/>
        <v>"C:\Program Files (x86)\AstroGrep\AstroGrep.exe" /spath="C:\Users\stu\Documents\Analysis\2016-02-23 RTDC Observations" /stypes="*4031*20160731*" /stext=" 07:.+((SYSTEM_STATE.+slice.+state.+changed )|(ment ac)|(system.+state.+changed )|(\|lc)|(penalty)|(\[timeout)|(PRM\|1\|D))" /e /r /s</v>
      </c>
      <c r="AG162" s="1" t="str">
        <f t="shared" si="58"/>
        <v>GL</v>
      </c>
    </row>
    <row r="163" spans="1:33" hidden="1" x14ac:dyDescent="0.25">
      <c r="A163" s="25" t="s">
        <v>711</v>
      </c>
      <c r="B163" s="96">
        <v>4029</v>
      </c>
      <c r="C163" s="97" t="s">
        <v>170</v>
      </c>
      <c r="D163" s="97" t="s">
        <v>393</v>
      </c>
      <c r="E163" s="98">
        <v>42582.109918981485</v>
      </c>
      <c r="F163" s="98">
        <v>42582.110844907409</v>
      </c>
      <c r="G163" s="96">
        <v>1</v>
      </c>
      <c r="H163" s="98" t="s">
        <v>710</v>
      </c>
      <c r="I163" s="98">
        <v>42582.120462962965</v>
      </c>
      <c r="J163" s="96">
        <v>0</v>
      </c>
      <c r="K163" s="123" t="str">
        <f t="shared" si="44"/>
        <v>4029/4030</v>
      </c>
      <c r="L163" s="25" t="str">
        <f>VLOOKUP(A163,'Trips&amp;Operators'!$C$1:$E$10000,3,FALSE)</f>
        <v>LEVIN</v>
      </c>
      <c r="M163" s="6">
        <f t="shared" si="45"/>
        <v>9.6180555556202307E-3</v>
      </c>
      <c r="N163" s="7">
        <f t="shared" si="46"/>
        <v>13.850000000093132</v>
      </c>
      <c r="O163" s="7"/>
      <c r="P163" s="7"/>
      <c r="Q163" s="26"/>
      <c r="R163" s="26"/>
      <c r="S163" s="41">
        <f t="shared" si="47"/>
        <v>1</v>
      </c>
      <c r="T163" s="59" t="str">
        <f t="shared" si="56"/>
        <v>NorthBound</v>
      </c>
      <c r="U163" s="84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https://search-rtdc-monitor-bjffxe2xuh6vdkpspy63sjmuny.us-east-1.es.amazonaws.com/_plugin/kibana/#/discover/Steve-Slow-Train-Analysis-(2080s-and-2083s)?_g=(refreshInterval:(display:Off,section:0,value:0),time:(from:'2016-07-31 01:38:17-0600',mode:absolute,to:'2016-07-31 03:53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63" s="64" t="str">
        <f t="shared" si="49"/>
        <v>Y</v>
      </c>
      <c r="X163" s="126">
        <f t="shared" si="57"/>
        <v>4</v>
      </c>
      <c r="Y163" s="79">
        <f t="shared" si="50"/>
        <v>4.82E-2</v>
      </c>
      <c r="Z163" s="79">
        <f t="shared" si="51"/>
        <v>2.3346</v>
      </c>
      <c r="AA163" s="79">
        <f t="shared" si="52"/>
        <v>2.2864</v>
      </c>
      <c r="AB163" s="76" t="e">
        <f>VLOOKUP(A163,Enforcements!$C$7:$J$24,8,0)</f>
        <v>#N/A</v>
      </c>
      <c r="AC163" s="72" t="e">
        <f>VLOOKUP(A163,Enforcements!$C$7:$E$24,3,0)</f>
        <v>#N/A</v>
      </c>
      <c r="AD163" s="73" t="str">
        <f t="shared" si="53"/>
        <v>0315-30</v>
      </c>
      <c r="AE163" s="65" t="str">
        <f t="shared" si="54"/>
        <v>aws s3 cp s3://rtdc.mdm.uploadarchive/RTDC4029/2016-07-31/ "C:\Users\stu\Documents\Analysis\2016-02-23 RTDC Observations"\RTDC4029\2016-07-31 --recursive &amp; "C:\Users\stu\Documents\GitHub\mrs-test-scripts\Headless Mode &amp; Sideloading\WalkAndUnGZ.bat" "C:\Users\stu\Documents\Analysis\2016-02-23 RTDC Observations"\RTDC4029\2016-07-31 &amp; aws s3 cp s3://rtdc.mdm.uploadarchive/RTDC4029/2016-08-01/ "C:\Users\stu\Documents\Analysis\2016-02-23 RTDC Observations"\RTDC4029\2016-08-01 --recursive &amp; "C:\Users\stu\Documents\GitHub\mrs-test-scripts\Headless Mode &amp; Sideloading\WalkAndUnGZ.bat" "C:\Users\stu\Documents\Analysis\2016-02-23 RTDC Observations"\RTDC4029\2016-08-01</v>
      </c>
      <c r="AF163" s="65" t="str">
        <f t="shared" si="55"/>
        <v>"C:\Program Files (x86)\AstroGrep\AstroGrep.exe" /spath="C:\Users\stu\Documents\Analysis\2016-02-23 RTDC Observations" /stypes="*4029*20160731*" /stext=" 08:.+((SYSTEM_STATE.+slice.+state.+changed )|(ment ac)|(system.+state.+changed )|(\|lc)|(penalty)|(\[timeout)|(PRM\|1\|D))" /e /r /s</v>
      </c>
      <c r="AG163" s="1" t="str">
        <f t="shared" si="58"/>
        <v>GL</v>
      </c>
    </row>
    <row r="164" spans="1:33" hidden="1" x14ac:dyDescent="0.25">
      <c r="A164" s="25" t="s">
        <v>619</v>
      </c>
      <c r="B164" s="96">
        <v>4019</v>
      </c>
      <c r="C164" s="97" t="s">
        <v>170</v>
      </c>
      <c r="D164" s="97" t="s">
        <v>481</v>
      </c>
      <c r="E164" s="98">
        <v>42581.985000000001</v>
      </c>
      <c r="F164" s="98">
        <v>42581.986516203702</v>
      </c>
      <c r="G164" s="96">
        <v>2</v>
      </c>
      <c r="H164" s="98" t="s">
        <v>413</v>
      </c>
      <c r="I164" s="98">
        <v>42582.002916666665</v>
      </c>
      <c r="J164" s="96">
        <v>0</v>
      </c>
      <c r="K164" s="123" t="str">
        <f t="shared" ref="K164:K171" si="59">IF(ISEVEN(B164),(B164-1)&amp;"/"&amp;B164,B164&amp;"/"&amp;(B164+1))</f>
        <v>4019/4020</v>
      </c>
      <c r="L164" s="25" t="str">
        <f>VLOOKUP(A164,'Trips&amp;Operators'!$C$1:$E$10000,3,FALSE)</f>
        <v>STORY</v>
      </c>
      <c r="M164" s="6">
        <f t="shared" ref="M164:M171" si="60">I164-F164</f>
        <v>1.640046296233777E-2</v>
      </c>
      <c r="N164" s="7">
        <f t="shared" ref="N164:N171" si="61">24*60*SUM($M164:$M164)</f>
        <v>23.616666665766388</v>
      </c>
      <c r="O164" s="7"/>
      <c r="P164" s="7"/>
      <c r="Q164" s="26"/>
      <c r="R164" s="26"/>
      <c r="S164" s="41">
        <f t="shared" ref="S164:S171" si="62">SUM(U164:U164)/IF(AG164="EC",12,1)</f>
        <v>0</v>
      </c>
      <c r="T164" s="59" t="str">
        <f t="shared" si="56"/>
        <v>Southbound</v>
      </c>
      <c r="U164" s="84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0</v>
      </c>
      <c r="V164" s="64" t="str">
        <f t="shared" ref="V164:V171" si="63">"https://search-rtdc-monitor-bjffxe2xuh6vdkpspy63sjmuny.us-east-1.es.amazonaws.com/_plugin/kibana/#/discover/Steve-Slow-Train-Analysis-(2080s-and-2083s)?_g=(refreshInterval:(display:Off,section:0,value:0),time:(from:'"&amp;TEXT(E164-1/24,"yyyy-MM-DD hh:mm:ss")&amp;"-0600',mode:absolute,to:'"&amp;TEXT(I164+1/24,"yyyy-MM-DD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164&amp;"%22')),sort:!(Time,asc))"</f>
        <v>https://search-rtdc-monitor-bjffxe2xuh6vdkpspy63sjmuny.us-east-1.es.amazonaws.com/_plugin/kibana/#/discover/Steve-Slow-Train-Analysis-(2080s-and-2083s)?_g=(refreshInterval:(display:Off,section:0,value:0),time:(from:'2016-07-30 22:38:24-0600',mode:absolute,to:'2016-07-31 01:04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64" s="64" t="str">
        <f t="shared" ref="W164:W171" si="64">IF(AA164&lt;IF(AG164="EC",23,5.65),"Y","N")</f>
        <v>Y</v>
      </c>
      <c r="X164" s="126">
        <f>VALUE(LEFT(AD164,4))-VALUE(LEFT(AD282,4))</f>
        <v>89</v>
      </c>
      <c r="Y164" s="79">
        <f t="shared" ref="Y164:Y171" si="65">RIGHT(D164,LEN(D164)-4)/10000</f>
        <v>5.8590999999999998</v>
      </c>
      <c r="Z164" s="79">
        <f t="shared" ref="Z164:Z171" si="66">RIGHT(H164,LEN(H164)-4)/10000</f>
        <v>2.8795000000000002</v>
      </c>
      <c r="AA164" s="79">
        <f t="shared" ref="AA164:AA171" si="67">ABS(Z164-Y164)</f>
        <v>2.9795999999999996</v>
      </c>
      <c r="AB164" s="76" t="e">
        <f>VLOOKUP(A164,Enforcements!$C$7:$J$24,8,0)</f>
        <v>#N/A</v>
      </c>
      <c r="AC164" s="72" t="e">
        <f>VLOOKUP(A164,Enforcements!$C$7:$E$24,3,0)</f>
        <v>#N/A</v>
      </c>
      <c r="AD164" s="73" t="str">
        <f t="shared" ref="AD164:AD171" si="68">IF(LEN(A164)=6,"0"&amp;A164,A164)</f>
        <v>2000-30</v>
      </c>
      <c r="AE164" s="65" t="str">
        <f t="shared" ref="AE164:AE171" si="69">"aws s3 cp "&amp;s3_bucket&amp;"/RTDC"&amp;B164&amp;"/"&amp;TEXT(F164,"YYYY-MM-DD")&amp;"/ "&amp;search_path&amp;"\RTDC"&amp;B164&amp;"\"&amp;TEXT(F164,"YYYY-MM-DD")&amp;" --recursive &amp; """&amp;walkandungz&amp;""" "&amp;search_path&amp;"\RTDC"&amp;B164&amp;"\"&amp;TEXT(F164,"YYYY-MM-DD")
&amp;" &amp; "&amp;"aws s3 cp "&amp;s3_bucket&amp;"/RTDC"&amp;B164&amp;"/"&amp;TEXT(F164+1,"YYYY-MM-DD")&amp;"/ "&amp;search_path&amp;"\RTDC"&amp;B164&amp;"\"&amp;TEXT(F164+1,"YYYY-MM-DD")&amp;" --recursive &amp; """&amp;walkandungz&amp;""" "&amp;search_path&amp;"\RTDC"&amp;B164&amp;"\"&amp;TEXT(F164+1,"YYYY-MM-DD")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64" s="65" t="str">
        <f t="shared" ref="AF164:AF171" si="70">astrogrep_path&amp;" /spath="&amp;search_path&amp;" /stypes=""*"&amp;B164&amp;"*"&amp;TEXT(I164-utc_offset/24,"YYYYMMDD")&amp;"*"" /stext="" "&amp;TEXT(I164-utc_offset/24,"HH")&amp;search_regexp&amp;""" /e /r /s"</f>
        <v>"C:\Program Files (x86)\AstroGrep\AstroGrep.exe" /spath="C:\Users\stu\Documents\Analysis\2016-02-23 RTDC Observations" /stypes="*4019*20160731*" /stext=" 06:.+((SYSTEM_STATE.+slice.+state.+changed )|(ment ac)|(system.+state.+changed )|(\|lc)|(penalty)|(\[timeout)|(PRM\|1\|D))" /e /r /s</v>
      </c>
      <c r="AG164" s="1" t="str">
        <f t="shared" ref="AG164:AG171" si="71">IF(VALUE(LEFT(AD164,2))&lt;=2,"EC",IF(OR(VALUE(LEFT(AD164,2))=8,VALUE(LEFT(AD164,2))=18),"NW","GL"))</f>
        <v>GL</v>
      </c>
    </row>
    <row r="165" spans="1:33" hidden="1" x14ac:dyDescent="0.25">
      <c r="A165" s="25" t="s">
        <v>620</v>
      </c>
      <c r="B165" s="96">
        <v>4038</v>
      </c>
      <c r="C165" s="97" t="s">
        <v>170</v>
      </c>
      <c r="D165" s="97" t="s">
        <v>621</v>
      </c>
      <c r="E165" s="98">
        <v>42581.205312500002</v>
      </c>
      <c r="F165" s="98">
        <v>42581.206817129627</v>
      </c>
      <c r="G165" s="96">
        <v>2</v>
      </c>
      <c r="H165" s="98" t="s">
        <v>622</v>
      </c>
      <c r="I165" s="98">
        <v>42581.208784722221</v>
      </c>
      <c r="J165" s="96">
        <v>1</v>
      </c>
      <c r="K165" s="123" t="str">
        <f t="shared" si="59"/>
        <v>4037/4038</v>
      </c>
      <c r="L165" s="25" t="str">
        <f>VLOOKUP(A165,'Trips&amp;Operators'!$C$1:$E$10000,3,FALSE)</f>
        <v>HELVIE</v>
      </c>
      <c r="M165" s="6">
        <f t="shared" si="60"/>
        <v>1.9675925941555761E-3</v>
      </c>
      <c r="N165" s="7">
        <f t="shared" si="61"/>
        <v>2.8333333355840296</v>
      </c>
      <c r="O165" s="7"/>
      <c r="P165" s="7"/>
      <c r="Q165" s="26"/>
      <c r="R165" s="26"/>
      <c r="S165" s="41">
        <f t="shared" si="62"/>
        <v>0</v>
      </c>
      <c r="T165" s="59" t="str">
        <f t="shared" si="56"/>
        <v>NorthBound</v>
      </c>
      <c r="U165" s="84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0</v>
      </c>
      <c r="V165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03:55:39-0600',mode:absolute,to:'2016-07-30 06:00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5" s="64" t="str">
        <f t="shared" si="64"/>
        <v>Y</v>
      </c>
      <c r="X165" s="126">
        <f t="shared" ref="X165:X171" si="72">VALUE(LEFT(AD165,4))-VALUE(LEFT(AD164,4))</f>
        <v>1</v>
      </c>
      <c r="Y165" s="79">
        <f t="shared" si="65"/>
        <v>2.8515000000000001</v>
      </c>
      <c r="Z165" s="79">
        <f t="shared" si="66"/>
        <v>2.8925999999999998</v>
      </c>
      <c r="AA165" s="79">
        <f t="shared" si="67"/>
        <v>4.1099999999999692E-2</v>
      </c>
      <c r="AB165" s="76" t="e">
        <f>VLOOKUP(A165,Enforcements!$C$7:$J$24,8,0)</f>
        <v>#N/A</v>
      </c>
      <c r="AC165" s="72" t="e">
        <f>VLOOKUP(A165,Enforcements!$C$7:$E$24,3,0)</f>
        <v>#N/A</v>
      </c>
      <c r="AD165" s="73" t="str">
        <f t="shared" si="68"/>
        <v>2001-30</v>
      </c>
      <c r="AE165" s="65" t="str">
        <f t="shared" si="69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65" s="65" t="str">
        <f t="shared" si="70"/>
        <v>"C:\Program Files (x86)\AstroGrep\AstroGrep.exe" /spath="C:\Users\stu\Documents\Analysis\2016-02-23 RTDC Observations" /stypes="*4038*20160730*" /stext=" 11:.+((SYSTEM_STATE.+slice.+state.+changed )|(ment ac)|(system.+state.+changed )|(\|lc)|(penalty)|(\[timeout)|(PRM\|1\|D))" /e /r /s</v>
      </c>
      <c r="AG165" s="1" t="str">
        <f t="shared" si="71"/>
        <v>GL</v>
      </c>
    </row>
    <row r="166" spans="1:33" hidden="1" x14ac:dyDescent="0.25">
      <c r="A166" s="25" t="s">
        <v>620</v>
      </c>
      <c r="B166" s="96">
        <v>4038</v>
      </c>
      <c r="C166" s="97" t="s">
        <v>170</v>
      </c>
      <c r="D166" s="97" t="s">
        <v>623</v>
      </c>
      <c r="E166" s="98">
        <v>42581.209537037037</v>
      </c>
      <c r="F166" s="98">
        <v>42581.210081018522</v>
      </c>
      <c r="G166" s="96">
        <v>0</v>
      </c>
      <c r="H166" s="98" t="s">
        <v>400</v>
      </c>
      <c r="I166" s="98">
        <v>42581.215451388889</v>
      </c>
      <c r="J166" s="96">
        <v>0</v>
      </c>
      <c r="K166" s="123" t="str">
        <f t="shared" si="59"/>
        <v>4037/4038</v>
      </c>
      <c r="L166" s="25" t="str">
        <f>VLOOKUP(A166,'Trips&amp;Operators'!$C$1:$E$10000,3,FALSE)</f>
        <v>HELVIE</v>
      </c>
      <c r="M166" s="6">
        <f t="shared" si="60"/>
        <v>5.3703703670180403E-3</v>
      </c>
      <c r="N166" s="7">
        <f t="shared" si="61"/>
        <v>7.733333328505978</v>
      </c>
      <c r="O166" s="7"/>
      <c r="P166" s="7"/>
      <c r="Q166" s="26"/>
      <c r="R166" s="26"/>
      <c r="S166" s="41">
        <f t="shared" si="62"/>
        <v>0</v>
      </c>
      <c r="T166" s="59" t="str">
        <f t="shared" si="56"/>
        <v>NorthBound</v>
      </c>
      <c r="U166" s="84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0</v>
      </c>
      <c r="V166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04:01:44-0600',mode:absolute,to:'2016-07-30 06:10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6" s="64" t="str">
        <f t="shared" si="64"/>
        <v>Y</v>
      </c>
      <c r="X166" s="126">
        <f t="shared" si="72"/>
        <v>0</v>
      </c>
      <c r="Y166" s="79">
        <f t="shared" si="65"/>
        <v>3.1095000000000002</v>
      </c>
      <c r="Z166" s="79">
        <f t="shared" si="66"/>
        <v>5.8914</v>
      </c>
      <c r="AA166" s="79">
        <f t="shared" si="67"/>
        <v>2.7818999999999998</v>
      </c>
      <c r="AB166" s="76" t="e">
        <f>VLOOKUP(A166,Enforcements!$C$7:$J$24,8,0)</f>
        <v>#N/A</v>
      </c>
      <c r="AC166" s="72" t="e">
        <f>VLOOKUP(A166,Enforcements!$C$7:$E$24,3,0)</f>
        <v>#N/A</v>
      </c>
      <c r="AD166" s="73" t="str">
        <f t="shared" si="68"/>
        <v>2001-30</v>
      </c>
      <c r="AE166" s="65" t="str">
        <f t="shared" si="69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66" s="65" t="str">
        <f t="shared" si="70"/>
        <v>"C:\Program Files (x86)\AstroGrep\AstroGrep.exe" /spath="C:\Users\stu\Documents\Analysis\2016-02-23 RTDC Observations" /stypes="*4038*20160730*" /stext=" 11:.+((SYSTEM_STATE.+slice.+state.+changed )|(ment ac)|(system.+state.+changed )|(\|lc)|(penalty)|(\[timeout)|(PRM\|1\|D))" /e /r /s</v>
      </c>
      <c r="AG166" s="1" t="str">
        <f t="shared" si="71"/>
        <v>GL</v>
      </c>
    </row>
    <row r="167" spans="1:33" hidden="1" x14ac:dyDescent="0.25">
      <c r="A167" s="25" t="s">
        <v>624</v>
      </c>
      <c r="B167" s="96">
        <v>4038</v>
      </c>
      <c r="C167" s="97" t="s">
        <v>170</v>
      </c>
      <c r="D167" s="97" t="s">
        <v>625</v>
      </c>
      <c r="E167" s="98">
        <v>42581.986666666664</v>
      </c>
      <c r="F167" s="98">
        <v>42581.987557870372</v>
      </c>
      <c r="G167" s="96">
        <v>1</v>
      </c>
      <c r="H167" s="98" t="s">
        <v>363</v>
      </c>
      <c r="I167" s="98">
        <v>42581.996249999997</v>
      </c>
      <c r="J167" s="96">
        <v>0</v>
      </c>
      <c r="K167" s="123" t="str">
        <f t="shared" si="59"/>
        <v>4037/4038</v>
      </c>
      <c r="L167" s="25" t="str">
        <f>VLOOKUP(A167,'Trips&amp;Operators'!$C$1:$E$10000,3,FALSE)</f>
        <v>DE LA ROSA</v>
      </c>
      <c r="M167" s="6">
        <f t="shared" si="60"/>
        <v>8.6921296242508106E-3</v>
      </c>
      <c r="N167" s="7">
        <f t="shared" si="61"/>
        <v>12.516666658921167</v>
      </c>
      <c r="O167" s="7"/>
      <c r="P167" s="7"/>
      <c r="Q167" s="26"/>
      <c r="R167" s="26"/>
      <c r="S167" s="41">
        <f t="shared" si="62"/>
        <v>0</v>
      </c>
      <c r="T167" s="59" t="str">
        <f t="shared" si="56"/>
        <v>Southbound</v>
      </c>
      <c r="U167" s="84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0</v>
      </c>
      <c r="V167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22:40:48-0600',mode:absolute,to:'2016-07-31 00:54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7" s="64" t="str">
        <f t="shared" si="64"/>
        <v>Y</v>
      </c>
      <c r="X167" s="126">
        <f t="shared" si="72"/>
        <v>1</v>
      </c>
      <c r="Y167" s="79">
        <f t="shared" si="65"/>
        <v>0.11020000000000001</v>
      </c>
      <c r="Z167" s="79">
        <f t="shared" si="66"/>
        <v>2.3306</v>
      </c>
      <c r="AA167" s="79">
        <f t="shared" si="67"/>
        <v>2.2204000000000002</v>
      </c>
      <c r="AB167" s="76" t="e">
        <f>VLOOKUP(A167,Enforcements!$C$7:$J$24,8,0)</f>
        <v>#N/A</v>
      </c>
      <c r="AC167" s="72" t="e">
        <f>VLOOKUP(A167,Enforcements!$C$7:$E$24,3,0)</f>
        <v>#N/A</v>
      </c>
      <c r="AD167" s="73" t="str">
        <f t="shared" si="68"/>
        <v>2002-30</v>
      </c>
      <c r="AE167" s="65" t="str">
        <f t="shared" si="69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67" s="65" t="str">
        <f t="shared" si="70"/>
        <v>"C:\Program Files (x86)\AstroGrep\AstroGrep.exe" /spath="C:\Users\stu\Documents\Analysis\2016-02-23 RTDC Observations" /stypes="*4038*20160731*" /stext=" 05:.+((SYSTEM_STATE.+slice.+state.+changed )|(ment ac)|(system.+state.+changed )|(\|lc)|(penalty)|(\[timeout)|(PRM\|1\|D))" /e /r /s</v>
      </c>
      <c r="AG167" s="1" t="str">
        <f t="shared" si="71"/>
        <v>GL</v>
      </c>
    </row>
    <row r="168" spans="1:33" hidden="1" x14ac:dyDescent="0.25">
      <c r="A168" s="25" t="s">
        <v>626</v>
      </c>
      <c r="B168" s="96">
        <v>4025</v>
      </c>
      <c r="C168" s="97" t="s">
        <v>170</v>
      </c>
      <c r="D168" s="97" t="s">
        <v>627</v>
      </c>
      <c r="E168" s="98">
        <v>42581.216620370367</v>
      </c>
      <c r="F168" s="98">
        <v>42581.221921296295</v>
      </c>
      <c r="G168" s="96">
        <v>7</v>
      </c>
      <c r="H168" s="98" t="s">
        <v>628</v>
      </c>
      <c r="I168" s="98">
        <v>42581.229803240742</v>
      </c>
      <c r="J168" s="96">
        <v>0</v>
      </c>
      <c r="K168" s="123" t="str">
        <f t="shared" si="59"/>
        <v>4025/4026</v>
      </c>
      <c r="L168" s="25" t="str">
        <f>VLOOKUP(A168,'Trips&amp;Operators'!$C$1:$E$10000,3,FALSE)</f>
        <v>MADLOM</v>
      </c>
      <c r="M168" s="6">
        <f t="shared" si="60"/>
        <v>7.8819444461259991E-3</v>
      </c>
      <c r="N168" s="7">
        <f t="shared" si="61"/>
        <v>11.350000002421439</v>
      </c>
      <c r="O168" s="7"/>
      <c r="P168" s="7"/>
      <c r="Q168" s="26"/>
      <c r="R168" s="26"/>
      <c r="S168" s="41">
        <f t="shared" si="62"/>
        <v>0</v>
      </c>
      <c r="T168" s="59" t="str">
        <f t="shared" si="56"/>
        <v>NorthBound</v>
      </c>
      <c r="U168" s="84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0</v>
      </c>
      <c r="V168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04:11:56-0600',mode:absolute,to:'2016-07-30 06:30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68" s="64" t="str">
        <f t="shared" si="64"/>
        <v>Y</v>
      </c>
      <c r="X168" s="126">
        <f t="shared" si="72"/>
        <v>1</v>
      </c>
      <c r="Y168" s="79">
        <f t="shared" si="65"/>
        <v>2.8702000000000001</v>
      </c>
      <c r="Z168" s="79">
        <f t="shared" si="66"/>
        <v>5.8879999999999999</v>
      </c>
      <c r="AA168" s="79">
        <f t="shared" si="67"/>
        <v>3.0177999999999998</v>
      </c>
      <c r="AB168" s="76" t="e">
        <f>VLOOKUP(A168,Enforcements!$C$7:$J$24,8,0)</f>
        <v>#N/A</v>
      </c>
      <c r="AC168" s="72" t="e">
        <f>VLOOKUP(A168,Enforcements!$C$7:$E$24,3,0)</f>
        <v>#N/A</v>
      </c>
      <c r="AD168" s="73" t="str">
        <f t="shared" si="68"/>
        <v>2003-30</v>
      </c>
      <c r="AE168" s="65" t="str">
        <f t="shared" si="69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68" s="65" t="str">
        <f t="shared" si="70"/>
        <v>"C:\Program Files (x86)\AstroGrep\AstroGrep.exe" /spath="C:\Users\stu\Documents\Analysis\2016-02-23 RTDC Observations" /stypes="*4025*20160730*" /stext=" 11:.+((SYSTEM_STATE.+slice.+state.+changed )|(ment ac)|(system.+state.+changed )|(\|lc)|(penalty)|(\[timeout)|(PRM\|1\|D))" /e /r /s</v>
      </c>
      <c r="AG168" s="1" t="str">
        <f t="shared" si="71"/>
        <v>GL</v>
      </c>
    </row>
    <row r="169" spans="1:33" hidden="1" x14ac:dyDescent="0.25">
      <c r="A169" s="25" t="s">
        <v>629</v>
      </c>
      <c r="B169" s="96">
        <v>4026</v>
      </c>
      <c r="C169" s="97" t="s">
        <v>170</v>
      </c>
      <c r="D169" s="97" t="s">
        <v>630</v>
      </c>
      <c r="E169" s="98">
        <v>42582.014374999999</v>
      </c>
      <c r="F169" s="98">
        <v>42582.015046296299</v>
      </c>
      <c r="G169" s="96">
        <v>0</v>
      </c>
      <c r="H169" s="98" t="s">
        <v>631</v>
      </c>
      <c r="I169" s="98">
        <v>42582.020092592589</v>
      </c>
      <c r="J169" s="96">
        <v>0</v>
      </c>
      <c r="K169" s="123" t="str">
        <f t="shared" si="59"/>
        <v>4025/4026</v>
      </c>
      <c r="L169" s="25" t="str">
        <f>VLOOKUP(A169,'Trips&amp;Operators'!$C$1:$E$10000,3,FALSE)</f>
        <v>STAMBAUGH</v>
      </c>
      <c r="M169" s="6">
        <f t="shared" si="60"/>
        <v>5.0462962899473496E-3</v>
      </c>
      <c r="N169" s="7">
        <f t="shared" si="61"/>
        <v>7.2666666575241834</v>
      </c>
      <c r="O169" s="7"/>
      <c r="P169" s="7"/>
      <c r="Q169" s="26"/>
      <c r="R169" s="26"/>
      <c r="S169" s="41">
        <f t="shared" si="62"/>
        <v>0</v>
      </c>
      <c r="T169" s="59" t="str">
        <f t="shared" si="56"/>
        <v>Southbound</v>
      </c>
      <c r="U169" s="84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0</v>
      </c>
      <c r="V169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23:20:42-0600',mode:absolute,to:'2016-07-31 01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69" s="64" t="str">
        <f t="shared" si="64"/>
        <v>Y</v>
      </c>
      <c r="X169" s="126">
        <f t="shared" si="72"/>
        <v>1</v>
      </c>
      <c r="Y169" s="79">
        <f t="shared" si="65"/>
        <v>5.8574000000000002</v>
      </c>
      <c r="Z169" s="79">
        <f t="shared" si="66"/>
        <v>2.8769</v>
      </c>
      <c r="AA169" s="79">
        <f t="shared" si="67"/>
        <v>2.9805000000000001</v>
      </c>
      <c r="AB169" s="76" t="e">
        <f>VLOOKUP(A169,Enforcements!$C$7:$J$24,8,0)</f>
        <v>#N/A</v>
      </c>
      <c r="AC169" s="72" t="e">
        <f>VLOOKUP(A169,Enforcements!$C$7:$E$24,3,0)</f>
        <v>#N/A</v>
      </c>
      <c r="AD169" s="73" t="str">
        <f t="shared" si="68"/>
        <v>2004-30</v>
      </c>
      <c r="AE169" s="65" t="str">
        <f t="shared" si="69"/>
        <v>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 &amp; aws s3 cp s3://rtdc.mdm.uploadarchive/RTDC4026/2016-08-01/ "C:\Users\stu\Documents\Analysis\2016-02-23 RTDC Observations"\RTDC4026\2016-08-01 --recursive &amp; "C:\Users\stu\Documents\GitHub\mrs-test-scripts\Headless Mode &amp; Sideloading\WalkAndUnGZ.bat" "C:\Users\stu\Documents\Analysis\2016-02-23 RTDC Observations"\RTDC4026\2016-08-01</v>
      </c>
      <c r="AF169" s="65" t="str">
        <f t="shared" si="70"/>
        <v>"C:\Program Files (x86)\AstroGrep\AstroGrep.exe" /spath="C:\Users\stu\Documents\Analysis\2016-02-23 RTDC Observations" /stypes="*4026*20160731*" /stext=" 06:.+((SYSTEM_STATE.+slice.+state.+changed )|(ment ac)|(system.+state.+changed )|(\|lc)|(penalty)|(\[timeout)|(PRM\|1\|D))" /e /r /s</v>
      </c>
      <c r="AG169" s="1" t="str">
        <f t="shared" si="71"/>
        <v>GL</v>
      </c>
    </row>
    <row r="170" spans="1:33" hidden="1" x14ac:dyDescent="0.25">
      <c r="A170" s="25" t="s">
        <v>632</v>
      </c>
      <c r="B170" s="96">
        <v>4020</v>
      </c>
      <c r="C170" s="97" t="s">
        <v>170</v>
      </c>
      <c r="D170" s="97" t="s">
        <v>633</v>
      </c>
      <c r="E170" s="98">
        <v>42581.226817129631</v>
      </c>
      <c r="F170" s="98">
        <v>42581.228321759256</v>
      </c>
      <c r="G170" s="96">
        <v>2</v>
      </c>
      <c r="H170" s="98" t="s">
        <v>634</v>
      </c>
      <c r="I170" s="98">
        <v>42581.23</v>
      </c>
      <c r="J170" s="96">
        <v>1</v>
      </c>
      <c r="K170" s="123" t="str">
        <f t="shared" si="59"/>
        <v>4019/4020</v>
      </c>
      <c r="L170" s="25" t="str">
        <f>VLOOKUP(A170,'Trips&amp;Operators'!$C$1:$E$10000,3,FALSE)</f>
        <v>YORK</v>
      </c>
      <c r="M170" s="6">
        <f t="shared" si="60"/>
        <v>1.6782407474238425E-3</v>
      </c>
      <c r="N170" s="7">
        <f t="shared" si="61"/>
        <v>2.4166666762903333</v>
      </c>
      <c r="O170" s="7"/>
      <c r="P170" s="7"/>
      <c r="Q170" s="26"/>
      <c r="R170" s="26"/>
      <c r="S170" s="41">
        <f t="shared" si="62"/>
        <v>0</v>
      </c>
      <c r="T170" s="59" t="str">
        <f t="shared" si="56"/>
        <v>NorthBound</v>
      </c>
      <c r="U170" s="84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0</v>
      </c>
      <c r="V170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04:26:37-0600',mode:absolute,to:'2016-07-30 06:31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0" s="64" t="str">
        <f t="shared" si="64"/>
        <v>Y</v>
      </c>
      <c r="X170" s="126">
        <f t="shared" si="72"/>
        <v>1</v>
      </c>
      <c r="Y170" s="79">
        <f t="shared" si="65"/>
        <v>2.8570000000000002</v>
      </c>
      <c r="Z170" s="79">
        <f t="shared" si="66"/>
        <v>2.9119999999999999</v>
      </c>
      <c r="AA170" s="79">
        <f t="shared" si="67"/>
        <v>5.4999999999999716E-2</v>
      </c>
      <c r="AB170" s="76" t="e">
        <f>VLOOKUP(A170,Enforcements!$C$7:$J$24,8,0)</f>
        <v>#N/A</v>
      </c>
      <c r="AC170" s="72" t="e">
        <f>VLOOKUP(A170,Enforcements!$C$7:$E$24,3,0)</f>
        <v>#N/A</v>
      </c>
      <c r="AD170" s="73" t="str">
        <f t="shared" si="68"/>
        <v>2005-30</v>
      </c>
      <c r="AE170" s="65" t="str">
        <f t="shared" si="69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70" s="65" t="str">
        <f t="shared" si="70"/>
        <v>"C:\Program Files (x86)\AstroGrep\AstroGrep.exe" /spath="C:\Users\stu\Documents\Analysis\2016-02-23 RTDC Observations" /stypes="*4020*20160730*" /stext=" 11:.+((SYSTEM_STATE.+slice.+state.+changed )|(ment ac)|(system.+state.+changed )|(\|lc)|(penalty)|(\[timeout)|(PRM\|1\|D))" /e /r /s</v>
      </c>
      <c r="AG170" s="1" t="str">
        <f t="shared" si="71"/>
        <v>GL</v>
      </c>
    </row>
    <row r="171" spans="1:33" hidden="1" x14ac:dyDescent="0.25">
      <c r="A171" s="25" t="s">
        <v>632</v>
      </c>
      <c r="B171" s="96">
        <v>4020</v>
      </c>
      <c r="C171" s="97" t="s">
        <v>170</v>
      </c>
      <c r="D171" s="97" t="s">
        <v>635</v>
      </c>
      <c r="E171" s="98">
        <v>42581.230486111112</v>
      </c>
      <c r="F171" s="98">
        <v>42581.231145833335</v>
      </c>
      <c r="G171" s="96">
        <v>0</v>
      </c>
      <c r="H171" s="98" t="s">
        <v>636</v>
      </c>
      <c r="I171" s="98">
        <v>42581.236898148149</v>
      </c>
      <c r="J171" s="96">
        <v>0</v>
      </c>
      <c r="K171" s="123" t="str">
        <f t="shared" si="59"/>
        <v>4019/4020</v>
      </c>
      <c r="L171" s="25" t="str">
        <f>VLOOKUP(A171,'Trips&amp;Operators'!$C$1:$E$10000,3,FALSE)</f>
        <v>YORK</v>
      </c>
      <c r="M171" s="6">
        <f t="shared" si="60"/>
        <v>5.7523148134350777E-3</v>
      </c>
      <c r="N171" s="7">
        <f t="shared" si="61"/>
        <v>8.2833333313465118</v>
      </c>
      <c r="O171" s="7"/>
      <c r="P171" s="7"/>
      <c r="Q171" s="26"/>
      <c r="R171" s="26"/>
      <c r="S171" s="41">
        <f t="shared" si="62"/>
        <v>0</v>
      </c>
      <c r="T171" s="59" t="str">
        <f t="shared" si="56"/>
        <v>NorthBound</v>
      </c>
      <c r="U171" s="84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0</v>
      </c>
      <c r="V171" s="64" t="str">
        <f t="shared" si="63"/>
        <v>https://search-rtdc-monitor-bjffxe2xuh6vdkpspy63sjmuny.us-east-1.es.amazonaws.com/_plugin/kibana/#/discover/Steve-Slow-Train-Analysis-(2080s-and-2083s)?_g=(refreshInterval:(display:Off,section:0,value:0),time:(from:'2016-07-30 04:31:54-0600',mode:absolute,to:'2016-07-30 06:41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1" s="64" t="str">
        <f t="shared" si="64"/>
        <v>Y</v>
      </c>
      <c r="X171" s="126">
        <f t="shared" si="72"/>
        <v>0</v>
      </c>
      <c r="Y171" s="79">
        <f t="shared" si="65"/>
        <v>3.1234999999999999</v>
      </c>
      <c r="Z171" s="79">
        <f t="shared" si="66"/>
        <v>5.8883999999999999</v>
      </c>
      <c r="AA171" s="79">
        <f t="shared" si="67"/>
        <v>2.7648999999999999</v>
      </c>
      <c r="AB171" s="76" t="e">
        <f>VLOOKUP(A171,Enforcements!$C$7:$J$24,8,0)</f>
        <v>#N/A</v>
      </c>
      <c r="AC171" s="72" t="e">
        <f>VLOOKUP(A171,Enforcements!$C$7:$E$24,3,0)</f>
        <v>#N/A</v>
      </c>
      <c r="AD171" s="73" t="str">
        <f t="shared" si="68"/>
        <v>2005-30</v>
      </c>
      <c r="AE171" s="65" t="str">
        <f t="shared" si="69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71" s="65" t="str">
        <f t="shared" si="70"/>
        <v>"C:\Program Files (x86)\AstroGrep\AstroGrep.exe" /spath="C:\Users\stu\Documents\Analysis\2016-02-23 RTDC Observations" /stypes="*4020*20160730*" /stext=" 11:.+((SYSTEM_STATE.+slice.+state.+changed )|(ment ac)|(system.+state.+changed )|(\|lc)|(penalty)|(\[timeout)|(PRM\|1\|D))" /e /r /s</v>
      </c>
      <c r="AG171" s="1" t="str">
        <f t="shared" si="71"/>
        <v>GL</v>
      </c>
    </row>
    <row r="172" spans="1:33" hidden="1" x14ac:dyDescent="0.25">
      <c r="A172" s="25" t="s">
        <v>465</v>
      </c>
      <c r="B172" s="96">
        <v>4037</v>
      </c>
      <c r="C172" s="97" t="s">
        <v>170</v>
      </c>
      <c r="D172" s="97" t="s">
        <v>374</v>
      </c>
      <c r="E172" s="98">
        <v>42581.216886574075</v>
      </c>
      <c r="F172" s="98">
        <v>42581.218032407407</v>
      </c>
      <c r="G172" s="96">
        <v>1</v>
      </c>
      <c r="H172" s="98" t="s">
        <v>466</v>
      </c>
      <c r="I172" s="98">
        <v>42581.227824074071</v>
      </c>
      <c r="J172" s="96">
        <v>0</v>
      </c>
      <c r="K172" s="123" t="str">
        <f t="shared" si="44"/>
        <v>4037/4038</v>
      </c>
      <c r="L172" s="25" t="str">
        <f>VLOOKUP(A172,'Trips&amp;Operators'!$C$1:$E$10000,3,FALSE)</f>
        <v>HELVIE</v>
      </c>
      <c r="M172" s="6">
        <f t="shared" si="45"/>
        <v>9.7916666636592709E-3</v>
      </c>
      <c r="N172" s="7">
        <f t="shared" si="46"/>
        <v>14.09999999566935</v>
      </c>
      <c r="O172" s="7"/>
      <c r="P172" s="7"/>
      <c r="Q172" s="26"/>
      <c r="R172" s="26"/>
      <c r="S172" s="41">
        <f t="shared" si="47"/>
        <v>1</v>
      </c>
      <c r="T172" s="59" t="str">
        <f t="shared" si="56"/>
        <v>Southbound</v>
      </c>
      <c r="U172" s="84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04:12:19-0600',mode:absolute,to:'2016-07-30 06:28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2" s="64" t="str">
        <f t="shared" si="49"/>
        <v>N</v>
      </c>
      <c r="X172" s="126">
        <f>VALUE(LEFT(AD172,4))-VALUE(LEFT(AD163,4))</f>
        <v>1485</v>
      </c>
      <c r="Y172" s="79">
        <f t="shared" si="50"/>
        <v>5.8608000000000002</v>
      </c>
      <c r="Z172" s="79">
        <f t="shared" si="51"/>
        <v>8.3400000000000002E-2</v>
      </c>
      <c r="AA172" s="79">
        <f t="shared" si="52"/>
        <v>5.7774000000000001</v>
      </c>
      <c r="AB172" s="76" t="e">
        <f>VLOOKUP(A172,Enforcements!$C$7:$J$24,8,0)</f>
        <v>#N/A</v>
      </c>
      <c r="AC172" s="72" t="e">
        <f>VLOOKUP(A172,Enforcements!$C$7:$E$24,3,0)</f>
        <v>#N/A</v>
      </c>
      <c r="AD172" s="73" t="str">
        <f t="shared" si="53"/>
        <v>1800-30</v>
      </c>
      <c r="AE172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72" s="65" t="str">
        <f t="shared" si="55"/>
        <v>"C:\Program Files (x86)\AstroGrep\AstroGrep.exe" /spath="C:\Users\stu\Documents\Analysis\2016-02-23 RTDC Observations" /stypes="*4037*20160730*" /stext=" 11:.+((SYSTEM_STATE.+slice.+state.+changed )|(ment ac)|(system.+state.+changed )|(\|lc)|(penalty)|(\[timeout)|(PRM\|1\|D))" /e /r /s</v>
      </c>
      <c r="AG172" s="1" t="str">
        <f t="shared" si="58"/>
        <v>NW</v>
      </c>
    </row>
    <row r="173" spans="1:33" hidden="1" x14ac:dyDescent="0.25">
      <c r="A173" s="25" t="s">
        <v>467</v>
      </c>
      <c r="B173" s="96">
        <v>4038</v>
      </c>
      <c r="C173" s="97" t="s">
        <v>170</v>
      </c>
      <c r="D173" s="97" t="s">
        <v>468</v>
      </c>
      <c r="E173" s="98">
        <v>42581.232048611113</v>
      </c>
      <c r="F173" s="98">
        <v>42581.234085648146</v>
      </c>
      <c r="G173" s="96">
        <v>2</v>
      </c>
      <c r="H173" s="98" t="s">
        <v>404</v>
      </c>
      <c r="I173" s="98">
        <v>42581.247870370367</v>
      </c>
      <c r="J173" s="96">
        <v>0</v>
      </c>
      <c r="K173" s="123" t="str">
        <f t="shared" si="44"/>
        <v>4037/4038</v>
      </c>
      <c r="L173" s="25" t="str">
        <f>VLOOKUP(A173,'Trips&amp;Operators'!$C$1:$E$10000,3,FALSE)</f>
        <v>HELVIE</v>
      </c>
      <c r="M173" s="6">
        <f t="shared" si="45"/>
        <v>1.378472222131677E-2</v>
      </c>
      <c r="N173" s="7">
        <f t="shared" si="46"/>
        <v>19.849999998696148</v>
      </c>
      <c r="O173" s="7"/>
      <c r="P173" s="7"/>
      <c r="Q173" s="26"/>
      <c r="R173" s="26"/>
      <c r="S173" s="41">
        <f t="shared" si="47"/>
        <v>1</v>
      </c>
      <c r="T173" s="59" t="str">
        <f t="shared" si="56"/>
        <v>NorthBound</v>
      </c>
      <c r="U173" s="84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04:34:09-0600',mode:absolute,to:'2016-07-30 06:56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3" s="64" t="str">
        <f t="shared" si="49"/>
        <v>N</v>
      </c>
      <c r="X173" s="126">
        <f t="shared" si="57"/>
        <v>1</v>
      </c>
      <c r="Y173" s="79">
        <f t="shared" si="50"/>
        <v>0.1125</v>
      </c>
      <c r="Z173" s="79">
        <f t="shared" si="51"/>
        <v>5.8902999999999999</v>
      </c>
      <c r="AA173" s="79">
        <f t="shared" si="52"/>
        <v>5.7778</v>
      </c>
      <c r="AB173" s="76" t="e">
        <f>VLOOKUP(A173,Enforcements!$C$7:$J$24,8,0)</f>
        <v>#N/A</v>
      </c>
      <c r="AC173" s="72" t="e">
        <f>VLOOKUP(A173,Enforcements!$C$7:$E$24,3,0)</f>
        <v>#N/A</v>
      </c>
      <c r="AD173" s="73" t="str">
        <f t="shared" si="53"/>
        <v>1801-30</v>
      </c>
      <c r="AE173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73" s="65" t="str">
        <f t="shared" si="55"/>
        <v>"C:\Program Files (x86)\AstroGrep\AstroGrep.exe" /spath="C:\Users\stu\Documents\Analysis\2016-02-23 RTDC Observations" /stypes="*4038*20160730*" /stext=" 11:.+((SYSTEM_STATE.+slice.+state.+changed )|(ment ac)|(system.+state.+changed )|(\|lc)|(penalty)|(\[timeout)|(PRM\|1\|D))" /e /r /s</v>
      </c>
      <c r="AG173" s="1" t="str">
        <f t="shared" si="58"/>
        <v>NW</v>
      </c>
    </row>
    <row r="174" spans="1:33" hidden="1" x14ac:dyDescent="0.25">
      <c r="A174" s="25" t="s">
        <v>469</v>
      </c>
      <c r="B174" s="96">
        <v>4026</v>
      </c>
      <c r="C174" s="97" t="s">
        <v>170</v>
      </c>
      <c r="D174" s="97" t="s">
        <v>470</v>
      </c>
      <c r="E174" s="98">
        <v>42581.232048611113</v>
      </c>
      <c r="F174" s="98">
        <v>42581.233148148145</v>
      </c>
      <c r="G174" s="96">
        <v>1</v>
      </c>
      <c r="H174" s="98" t="s">
        <v>329</v>
      </c>
      <c r="I174" s="98">
        <v>42581.249513888892</v>
      </c>
      <c r="J174" s="96">
        <v>0</v>
      </c>
      <c r="K174" s="123" t="str">
        <f t="shared" si="44"/>
        <v>4025/4026</v>
      </c>
      <c r="L174" s="25" t="str">
        <f>VLOOKUP(A174,'Trips&amp;Operators'!$C$1:$E$10000,3,FALSE)</f>
        <v>MADLOM</v>
      </c>
      <c r="M174" s="6">
        <f t="shared" si="45"/>
        <v>1.6365740746550728E-2</v>
      </c>
      <c r="N174" s="7">
        <f t="shared" si="46"/>
        <v>23.566666675033048</v>
      </c>
      <c r="O174" s="7"/>
      <c r="P174" s="7"/>
      <c r="Q174" s="26"/>
      <c r="R174" s="26"/>
      <c r="S174" s="41">
        <f t="shared" si="47"/>
        <v>1</v>
      </c>
      <c r="T174" s="59" t="str">
        <f t="shared" si="56"/>
        <v>Southbound</v>
      </c>
      <c r="U174" s="84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04:34:09-0600',mode:absolute,to:'2016-07-30 06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74" s="64" t="str">
        <f t="shared" si="49"/>
        <v>N</v>
      </c>
      <c r="X174" s="126">
        <f t="shared" si="57"/>
        <v>1</v>
      </c>
      <c r="Y174" s="79">
        <f t="shared" si="50"/>
        <v>5.8559999999999999</v>
      </c>
      <c r="Z174" s="79">
        <f t="shared" si="51"/>
        <v>7.0499999999999993E-2</v>
      </c>
      <c r="AA174" s="79">
        <f t="shared" si="52"/>
        <v>5.7854999999999999</v>
      </c>
      <c r="AB174" s="76" t="e">
        <f>VLOOKUP(A174,Enforcements!$C$7:$J$24,8,0)</f>
        <v>#N/A</v>
      </c>
      <c r="AC174" s="72" t="e">
        <f>VLOOKUP(A174,Enforcements!$C$7:$E$24,3,0)</f>
        <v>#N/A</v>
      </c>
      <c r="AD174" s="73" t="str">
        <f t="shared" si="53"/>
        <v>1802-30</v>
      </c>
      <c r="AE174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74" s="65" t="str">
        <f t="shared" si="55"/>
        <v>"C:\Program Files (x86)\AstroGrep\AstroGrep.exe" /spath="C:\Users\stu\Documents\Analysis\2016-02-23 RTDC Observations" /stypes="*4026*20160730*" /stext=" 11:.+((SYSTEM_STATE.+slice.+state.+changed )|(ment ac)|(system.+state.+changed )|(\|lc)|(penalty)|(\[timeout)|(PRM\|1\|D))" /e /r /s</v>
      </c>
      <c r="AG174" s="1" t="str">
        <f t="shared" si="58"/>
        <v>NW</v>
      </c>
    </row>
    <row r="175" spans="1:33" hidden="1" x14ac:dyDescent="0.25">
      <c r="A175" s="25" t="s">
        <v>471</v>
      </c>
      <c r="B175" s="96">
        <v>4025</v>
      </c>
      <c r="C175" s="97" t="s">
        <v>170</v>
      </c>
      <c r="D175" s="97" t="s">
        <v>472</v>
      </c>
      <c r="E175" s="98">
        <v>42581.251006944447</v>
      </c>
      <c r="F175" s="98">
        <v>42581.252465277779</v>
      </c>
      <c r="G175" s="96">
        <v>2</v>
      </c>
      <c r="H175" s="98" t="s">
        <v>473</v>
      </c>
      <c r="I175" s="98">
        <v>42581.264270833337</v>
      </c>
      <c r="J175" s="96">
        <v>2</v>
      </c>
      <c r="K175" s="123" t="str">
        <f t="shared" si="44"/>
        <v>4025/4026</v>
      </c>
      <c r="L175" s="25" t="str">
        <f>VLOOKUP(A175,'Trips&amp;Operators'!$C$1:$E$10000,3,FALSE)</f>
        <v>MADLOM</v>
      </c>
      <c r="M175" s="6">
        <f t="shared" si="45"/>
        <v>1.1805555557657499E-2</v>
      </c>
      <c r="N175" s="7">
        <f t="shared" si="46"/>
        <v>17.000000003026798</v>
      </c>
      <c r="O175" s="7"/>
      <c r="P175" s="7"/>
      <c r="Q175" s="26"/>
      <c r="R175" s="26"/>
      <c r="S175" s="41">
        <f t="shared" si="47"/>
        <v>1</v>
      </c>
      <c r="T175" s="59" t="str">
        <f t="shared" si="56"/>
        <v>NorthBound</v>
      </c>
      <c r="U175" s="84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75" s="64" t="str">
        <f t="shared" si="49"/>
        <v>N</v>
      </c>
      <c r="X175" s="126">
        <f t="shared" si="57"/>
        <v>1</v>
      </c>
      <c r="Y175" s="79">
        <f t="shared" si="50"/>
        <v>0.10059999999999999</v>
      </c>
      <c r="Z175" s="79">
        <f t="shared" si="51"/>
        <v>5.8890000000000002</v>
      </c>
      <c r="AA175" s="79">
        <f t="shared" si="52"/>
        <v>5.7884000000000002</v>
      </c>
      <c r="AB175" s="76" t="e">
        <f>VLOOKUP(A175,Enforcements!$C$7:$J$24,8,0)</f>
        <v>#N/A</v>
      </c>
      <c r="AC175" s="72" t="e">
        <f>VLOOKUP(A175,Enforcements!$C$7:$E$24,3,0)</f>
        <v>#N/A</v>
      </c>
      <c r="AD175" s="73" t="str">
        <f t="shared" si="53"/>
        <v>1803-30</v>
      </c>
      <c r="AE175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75" s="65" t="str">
        <f t="shared" si="55"/>
        <v>"C:\Program Files (x86)\AstroGrep\AstroGrep.exe" /spath="C:\Users\stu\Documents\Analysis\2016-02-23 RTDC Observations" /stypes="*4025*20160730*" /stext=" 12:.+((SYSTEM_STATE.+slice.+state.+changed )|(ment ac)|(system.+state.+changed )|(\|lc)|(penalty)|(\[timeout)|(PRM\|1\|D))" /e /r /s</v>
      </c>
      <c r="AG175" s="1" t="str">
        <f t="shared" si="58"/>
        <v>NW</v>
      </c>
    </row>
    <row r="176" spans="1:33" hidden="1" x14ac:dyDescent="0.25">
      <c r="A176" s="25" t="s">
        <v>474</v>
      </c>
      <c r="B176" s="96">
        <v>4019</v>
      </c>
      <c r="C176" s="97" t="s">
        <v>170</v>
      </c>
      <c r="D176" s="97" t="s">
        <v>475</v>
      </c>
      <c r="E176" s="98">
        <v>42581.238634259258</v>
      </c>
      <c r="F176" s="98">
        <v>42581.239537037036</v>
      </c>
      <c r="G176" s="96">
        <v>1</v>
      </c>
      <c r="H176" s="98" t="s">
        <v>476</v>
      </c>
      <c r="I176" s="98">
        <v>42581.259351851855</v>
      </c>
      <c r="J176" s="96">
        <v>0</v>
      </c>
      <c r="K176" s="123" t="str">
        <f t="shared" si="44"/>
        <v>4019/4020</v>
      </c>
      <c r="L176" s="25" t="str">
        <f>VLOOKUP(A176,'Trips&amp;Operators'!$C$1:$E$10000,3,FALSE)</f>
        <v>YORK</v>
      </c>
      <c r="M176" s="6">
        <f t="shared" si="45"/>
        <v>1.9814814819255844E-2</v>
      </c>
      <c r="N176" s="7">
        <f t="shared" si="46"/>
        <v>28.533333339728415</v>
      </c>
      <c r="O176" s="7"/>
      <c r="P176" s="7"/>
      <c r="Q176" s="26"/>
      <c r="R176" s="26"/>
      <c r="S176" s="41">
        <f t="shared" si="47"/>
        <v>1</v>
      </c>
      <c r="T176" s="59" t="str">
        <f t="shared" si="56"/>
        <v>Southbound</v>
      </c>
      <c r="U176" s="84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04:43:38-0600',mode:absolute,to:'2016-07-30 07:13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6" s="64" t="str">
        <f t="shared" si="49"/>
        <v>N</v>
      </c>
      <c r="X176" s="126">
        <f t="shared" si="57"/>
        <v>1</v>
      </c>
      <c r="Y176" s="79">
        <f t="shared" si="50"/>
        <v>5.8566000000000003</v>
      </c>
      <c r="Z176" s="79">
        <f t="shared" si="51"/>
        <v>7.9200000000000007E-2</v>
      </c>
      <c r="AA176" s="79">
        <f t="shared" si="52"/>
        <v>5.7774000000000001</v>
      </c>
      <c r="AB176" s="76" t="e">
        <f>VLOOKUP(A176,Enforcements!$C$7:$J$24,8,0)</f>
        <v>#N/A</v>
      </c>
      <c r="AC176" s="72" t="e">
        <f>VLOOKUP(A176,Enforcements!$C$7:$E$24,3,0)</f>
        <v>#N/A</v>
      </c>
      <c r="AD176" s="73" t="str">
        <f t="shared" si="53"/>
        <v>1804-30</v>
      </c>
      <c r="AE176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76" s="65" t="str">
        <f t="shared" si="55"/>
        <v>"C:\Program Files (x86)\AstroGrep\AstroGrep.exe" /spath="C:\Users\stu\Documents\Analysis\2016-02-23 RTDC Observations" /stypes="*4019*20160730*" /stext=" 12:.+((SYSTEM_STATE.+slice.+state.+changed )|(ment ac)|(system.+state.+changed )|(\|lc)|(penalty)|(\[timeout)|(PRM\|1\|D))" /e /r /s</v>
      </c>
      <c r="AG176" s="1" t="str">
        <f t="shared" si="58"/>
        <v>NW</v>
      </c>
    </row>
    <row r="177" spans="1:33" hidden="1" x14ac:dyDescent="0.25">
      <c r="A177" s="25" t="s">
        <v>477</v>
      </c>
      <c r="B177" s="96">
        <v>4020</v>
      </c>
      <c r="C177" s="97" t="s">
        <v>170</v>
      </c>
      <c r="D177" s="97" t="s">
        <v>478</v>
      </c>
      <c r="E177" s="98">
        <v>42581.260497685187</v>
      </c>
      <c r="F177" s="98">
        <v>42581.261296296296</v>
      </c>
      <c r="G177" s="96">
        <v>1</v>
      </c>
      <c r="H177" s="98" t="s">
        <v>479</v>
      </c>
      <c r="I177" s="98">
        <v>42581.315497685187</v>
      </c>
      <c r="J177" s="96">
        <v>0</v>
      </c>
      <c r="K177" s="123" t="str">
        <f t="shared" si="44"/>
        <v>4019/4020</v>
      </c>
      <c r="L177" s="25" t="str">
        <f>VLOOKUP(A177,'Trips&amp;Operators'!$C$1:$E$10000,3,FALSE)</f>
        <v>YORK</v>
      </c>
      <c r="M177" s="6">
        <f t="shared" si="45"/>
        <v>5.4201388891669922E-2</v>
      </c>
      <c r="N177" s="7">
        <f t="shared" si="46"/>
        <v>78.050000004004687</v>
      </c>
      <c r="O177" s="7"/>
      <c r="P177" s="7"/>
      <c r="Q177" s="26"/>
      <c r="R177" s="26"/>
      <c r="S177" s="41">
        <f t="shared" si="47"/>
        <v>1</v>
      </c>
      <c r="T177" s="59" t="str">
        <f t="shared" si="56"/>
        <v>NorthBound</v>
      </c>
      <c r="U177" s="84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05:15:07-0600',mode:absolute,to:'2016-07-30 08:34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7" s="64" t="str">
        <f t="shared" si="49"/>
        <v>N</v>
      </c>
      <c r="X177" s="126">
        <f t="shared" si="57"/>
        <v>1</v>
      </c>
      <c r="Y177" s="79">
        <f t="shared" si="50"/>
        <v>0.1086</v>
      </c>
      <c r="Z177" s="79">
        <f t="shared" si="51"/>
        <v>5.8895</v>
      </c>
      <c r="AA177" s="79">
        <f t="shared" si="52"/>
        <v>5.7808999999999999</v>
      </c>
      <c r="AB177" s="76" t="e">
        <f>VLOOKUP(A177,Enforcements!$C$7:$J$24,8,0)</f>
        <v>#N/A</v>
      </c>
      <c r="AC177" s="72" t="e">
        <f>VLOOKUP(A177,Enforcements!$C$7:$E$24,3,0)</f>
        <v>#N/A</v>
      </c>
      <c r="AD177" s="73" t="str">
        <f t="shared" si="53"/>
        <v>1805-30</v>
      </c>
      <c r="AE177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77" s="65" t="str">
        <f t="shared" si="55"/>
        <v>"C:\Program Files (x86)\AstroGrep\AstroGrep.exe" /spath="C:\Users\stu\Documents\Analysis\2016-02-23 RTDC Observations" /stypes="*4020*20160730*" /stext=" 13:.+((SYSTEM_STATE.+slice.+state.+changed )|(ment ac)|(system.+state.+changed )|(\|lc)|(penalty)|(\[timeout)|(PRM\|1\|D))" /e /r /s</v>
      </c>
      <c r="AG177" s="1" t="str">
        <f t="shared" si="58"/>
        <v>NW</v>
      </c>
    </row>
    <row r="178" spans="1:33" hidden="1" x14ac:dyDescent="0.25">
      <c r="A178" s="25" t="s">
        <v>480</v>
      </c>
      <c r="B178" s="96">
        <v>4037</v>
      </c>
      <c r="C178" s="97" t="s">
        <v>170</v>
      </c>
      <c r="D178" s="97" t="s">
        <v>481</v>
      </c>
      <c r="E178" s="98">
        <v>42581.258622685185</v>
      </c>
      <c r="F178" s="98">
        <v>42581.259791666664</v>
      </c>
      <c r="G178" s="96">
        <v>1</v>
      </c>
      <c r="H178" s="98" t="s">
        <v>482</v>
      </c>
      <c r="I178" s="98">
        <v>42581.274247685185</v>
      </c>
      <c r="J178" s="96">
        <v>0</v>
      </c>
      <c r="K178" s="123" t="str">
        <f t="shared" si="44"/>
        <v>4037/4038</v>
      </c>
      <c r="L178" s="25" t="str">
        <f>VLOOKUP(A178,'Trips&amp;Operators'!$C$1:$E$10000,3,FALSE)</f>
        <v>HELVIE</v>
      </c>
      <c r="M178" s="6">
        <f t="shared" si="45"/>
        <v>1.4456018521741498E-2</v>
      </c>
      <c r="N178" s="7">
        <f t="shared" si="46"/>
        <v>20.816666671307757</v>
      </c>
      <c r="O178" s="7"/>
      <c r="P178" s="7"/>
      <c r="Q178" s="26"/>
      <c r="R178" s="26"/>
      <c r="S178" s="41">
        <f t="shared" si="47"/>
        <v>1</v>
      </c>
      <c r="T178" s="59" t="str">
        <f t="shared" si="56"/>
        <v>Southbound</v>
      </c>
      <c r="U178" s="84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05:12:25-0600',mode:absolute,to:'2016-07-30 07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78" s="64" t="str">
        <f t="shared" si="49"/>
        <v>N</v>
      </c>
      <c r="X178" s="126">
        <f t="shared" si="57"/>
        <v>1</v>
      </c>
      <c r="Y178" s="79">
        <f t="shared" si="50"/>
        <v>5.8590999999999998</v>
      </c>
      <c r="Z178" s="79">
        <f t="shared" si="51"/>
        <v>8.2199999999999995E-2</v>
      </c>
      <c r="AA178" s="79">
        <f t="shared" si="52"/>
        <v>5.7768999999999995</v>
      </c>
      <c r="AB178" s="76" t="e">
        <f>VLOOKUP(A178,Enforcements!$C$7:$J$24,8,0)</f>
        <v>#N/A</v>
      </c>
      <c r="AC178" s="72" t="e">
        <f>VLOOKUP(A178,Enforcements!$C$7:$E$24,3,0)</f>
        <v>#N/A</v>
      </c>
      <c r="AD178" s="73" t="str">
        <f t="shared" si="53"/>
        <v>1806-30</v>
      </c>
      <c r="AE178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78" s="65" t="str">
        <f t="shared" si="55"/>
        <v>"C:\Program Files (x86)\AstroGrep\AstroGrep.exe" /spath="C:\Users\stu\Documents\Analysis\2016-02-23 RTDC Observations" /stypes="*4037*20160730*" /stext=" 12:.+((SYSTEM_STATE.+slice.+state.+changed )|(ment ac)|(system.+state.+changed )|(\|lc)|(penalty)|(\[timeout)|(PRM\|1\|D))" /e /r /s</v>
      </c>
      <c r="AG178" s="1" t="str">
        <f t="shared" si="58"/>
        <v>NW</v>
      </c>
    </row>
    <row r="179" spans="1:33" hidden="1" x14ac:dyDescent="0.25">
      <c r="A179" s="25" t="s">
        <v>483</v>
      </c>
      <c r="B179" s="96">
        <v>4038</v>
      </c>
      <c r="C179" s="97" t="s">
        <v>170</v>
      </c>
      <c r="D179" s="97" t="s">
        <v>484</v>
      </c>
      <c r="E179" s="98">
        <v>42581.276574074072</v>
      </c>
      <c r="F179" s="98">
        <v>42581.27747685185</v>
      </c>
      <c r="G179" s="96">
        <v>1</v>
      </c>
      <c r="H179" s="98" t="s">
        <v>479</v>
      </c>
      <c r="I179" s="98">
        <v>42581.287418981483</v>
      </c>
      <c r="J179" s="96">
        <v>0</v>
      </c>
      <c r="K179" s="123" t="str">
        <f t="shared" si="44"/>
        <v>4037/4038</v>
      </c>
      <c r="L179" s="25" t="str">
        <f>VLOOKUP(A179,'Trips&amp;Operators'!$C$1:$E$10000,3,FALSE)</f>
        <v>HELVIE</v>
      </c>
      <c r="M179" s="6">
        <f t="shared" si="45"/>
        <v>9.9421296326909214E-3</v>
      </c>
      <c r="N179" s="7">
        <f t="shared" si="46"/>
        <v>14.316666671074927</v>
      </c>
      <c r="O179" s="7"/>
      <c r="P179" s="7"/>
      <c r="Q179" s="26"/>
      <c r="R179" s="26"/>
      <c r="S179" s="41">
        <f t="shared" si="47"/>
        <v>1</v>
      </c>
      <c r="T179" s="59" t="str">
        <f t="shared" si="56"/>
        <v>NorthBound</v>
      </c>
      <c r="U179" s="84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05:38:16-0600',mode:absolute,to:'2016-07-30 07:53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79" s="64" t="str">
        <f t="shared" si="49"/>
        <v>N</v>
      </c>
      <c r="X179" s="126">
        <f t="shared" si="57"/>
        <v>1</v>
      </c>
      <c r="Y179" s="79">
        <f t="shared" si="50"/>
        <v>0.1133</v>
      </c>
      <c r="Z179" s="79">
        <f t="shared" si="51"/>
        <v>5.8895</v>
      </c>
      <c r="AA179" s="79">
        <f t="shared" si="52"/>
        <v>5.7762000000000002</v>
      </c>
      <c r="AB179" s="76" t="e">
        <f>VLOOKUP(A179,Enforcements!$C$7:$J$24,8,0)</f>
        <v>#N/A</v>
      </c>
      <c r="AC179" s="72" t="e">
        <f>VLOOKUP(A179,Enforcements!$C$7:$E$24,3,0)</f>
        <v>#N/A</v>
      </c>
      <c r="AD179" s="73" t="str">
        <f t="shared" si="53"/>
        <v>1807-30</v>
      </c>
      <c r="AE179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79" s="65" t="str">
        <f t="shared" si="55"/>
        <v>"C:\Program Files (x86)\AstroGrep\AstroGrep.exe" /spath="C:\Users\stu\Documents\Analysis\2016-02-23 RTDC Observations" /stypes="*4038*20160730*" /stext=" 12:.+((SYSTEM_STATE.+slice.+state.+changed )|(ment ac)|(system.+state.+changed )|(\|lc)|(penalty)|(\[timeout)|(PRM\|1\|D))" /e /r /s</v>
      </c>
      <c r="AG179" s="1" t="str">
        <f t="shared" si="58"/>
        <v>NW</v>
      </c>
    </row>
    <row r="180" spans="1:33" hidden="1" x14ac:dyDescent="0.25">
      <c r="A180" s="25" t="s">
        <v>485</v>
      </c>
      <c r="B180" s="96">
        <v>4026</v>
      </c>
      <c r="C180" s="97" t="s">
        <v>170</v>
      </c>
      <c r="D180" s="97" t="s">
        <v>486</v>
      </c>
      <c r="E180" s="98">
        <v>42581.270196759258</v>
      </c>
      <c r="F180" s="98">
        <v>42581.271180555559</v>
      </c>
      <c r="G180" s="96">
        <v>1</v>
      </c>
      <c r="H180" s="98" t="s">
        <v>320</v>
      </c>
      <c r="I180" s="98">
        <v>42581.289270833331</v>
      </c>
      <c r="J180" s="96">
        <v>0</v>
      </c>
      <c r="K180" s="123" t="str">
        <f t="shared" si="44"/>
        <v>4025/4026</v>
      </c>
      <c r="L180" s="25" t="str">
        <f>VLOOKUP(A180,'Trips&amp;Operators'!$C$1:$E$10000,3,FALSE)</f>
        <v>MADLOM</v>
      </c>
      <c r="M180" s="6">
        <f t="shared" si="45"/>
        <v>1.8090277771989349E-2</v>
      </c>
      <c r="N180" s="7">
        <f t="shared" si="46"/>
        <v>26.049999991664663</v>
      </c>
      <c r="O180" s="7"/>
      <c r="P180" s="7"/>
      <c r="Q180" s="26"/>
      <c r="R180" s="26"/>
      <c r="S180" s="41">
        <f t="shared" si="47"/>
        <v>1</v>
      </c>
      <c r="T180" s="59" t="str">
        <f t="shared" si="56"/>
        <v>Southbound</v>
      </c>
      <c r="U180" s="84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05:29:05-0600',mode:absolute,to:'2016-07-30 07:56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0" s="64" t="str">
        <f t="shared" si="49"/>
        <v>N</v>
      </c>
      <c r="X180" s="126">
        <f t="shared" si="57"/>
        <v>1</v>
      </c>
      <c r="Y180" s="79">
        <f t="shared" si="50"/>
        <v>5.8555999999999999</v>
      </c>
      <c r="Z180" s="79">
        <f t="shared" si="51"/>
        <v>7.5700000000000003E-2</v>
      </c>
      <c r="AA180" s="79">
        <f t="shared" si="52"/>
        <v>5.7798999999999996</v>
      </c>
      <c r="AB180" s="76" t="e">
        <f>VLOOKUP(A180,Enforcements!$C$7:$J$24,8,0)</f>
        <v>#N/A</v>
      </c>
      <c r="AC180" s="72" t="e">
        <f>VLOOKUP(A180,Enforcements!$C$7:$E$24,3,0)</f>
        <v>#N/A</v>
      </c>
      <c r="AD180" s="73" t="str">
        <f t="shared" si="53"/>
        <v>1808-30</v>
      </c>
      <c r="AE180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80" s="65" t="str">
        <f t="shared" si="55"/>
        <v>"C:\Program Files (x86)\AstroGrep\AstroGrep.exe" /spath="C:\Users\stu\Documents\Analysis\2016-02-23 RTDC Observations" /stypes="*4026*20160730*" /stext=" 12:.+((SYSTEM_STATE.+slice.+state.+changed )|(ment ac)|(system.+state.+changed )|(\|lc)|(penalty)|(\[timeout)|(PRM\|1\|D))" /e /r /s</v>
      </c>
      <c r="AG180" s="1" t="str">
        <f t="shared" si="58"/>
        <v>NW</v>
      </c>
    </row>
    <row r="181" spans="1:33" hidden="1" x14ac:dyDescent="0.25">
      <c r="A181" s="25" t="s">
        <v>487</v>
      </c>
      <c r="B181" s="96">
        <v>4025</v>
      </c>
      <c r="C181" s="97" t="s">
        <v>170</v>
      </c>
      <c r="D181" s="97" t="s">
        <v>369</v>
      </c>
      <c r="E181" s="98">
        <v>42581.290914351855</v>
      </c>
      <c r="F181" s="98">
        <v>42581.292048611111</v>
      </c>
      <c r="G181" s="96">
        <v>1</v>
      </c>
      <c r="H181" s="98" t="s">
        <v>488</v>
      </c>
      <c r="I181" s="98">
        <v>42581.303518518522</v>
      </c>
      <c r="J181" s="96">
        <v>1</v>
      </c>
      <c r="K181" s="123" t="str">
        <f t="shared" si="44"/>
        <v>4025/4026</v>
      </c>
      <c r="L181" s="25" t="str">
        <f>VLOOKUP(A181,'Trips&amp;Operators'!$C$1:$E$10000,3,FALSE)</f>
        <v>MADLOM</v>
      </c>
      <c r="M181" s="6">
        <f t="shared" si="45"/>
        <v>1.1469907411083113E-2</v>
      </c>
      <c r="N181" s="7">
        <f t="shared" si="46"/>
        <v>16.516666671959683</v>
      </c>
      <c r="O181" s="7"/>
      <c r="P181" s="7"/>
      <c r="Q181" s="26"/>
      <c r="R181" s="26"/>
      <c r="S181" s="41">
        <f t="shared" si="47"/>
        <v>1</v>
      </c>
      <c r="T181" s="59" t="str">
        <f t="shared" si="56"/>
        <v>NorthBound</v>
      </c>
      <c r="U181" s="84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05:58:55-0600',mode:absolute,to:'2016-07-30 08:17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1" s="64" t="str">
        <f t="shared" si="49"/>
        <v>N</v>
      </c>
      <c r="X181" s="126">
        <f t="shared" si="57"/>
        <v>1</v>
      </c>
      <c r="Y181" s="79">
        <f t="shared" si="50"/>
        <v>0.1041</v>
      </c>
      <c r="Z181" s="79">
        <f t="shared" si="51"/>
        <v>5.8891999999999998</v>
      </c>
      <c r="AA181" s="79">
        <f t="shared" si="52"/>
        <v>5.7850999999999999</v>
      </c>
      <c r="AB181" s="76" t="e">
        <f>VLOOKUP(A181,Enforcements!$C$7:$J$24,8,0)</f>
        <v>#N/A</v>
      </c>
      <c r="AC181" s="72" t="e">
        <f>VLOOKUP(A181,Enforcements!$C$7:$E$24,3,0)</f>
        <v>#N/A</v>
      </c>
      <c r="AD181" s="73" t="str">
        <f t="shared" si="53"/>
        <v>1809-30</v>
      </c>
      <c r="AE181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81" s="65" t="str">
        <f t="shared" si="55"/>
        <v>"C:\Program Files (x86)\AstroGrep\AstroGrep.exe" /spath="C:\Users\stu\Documents\Analysis\2016-02-23 RTDC Observations" /stypes="*4025*20160730*" /stext=" 13:.+((SYSTEM_STATE.+slice.+state.+changed )|(ment ac)|(system.+state.+changed )|(\|lc)|(penalty)|(\[timeout)|(PRM\|1\|D))" /e /r /s</v>
      </c>
      <c r="AG181" s="1" t="str">
        <f t="shared" si="58"/>
        <v>NW</v>
      </c>
    </row>
    <row r="182" spans="1:33" hidden="1" x14ac:dyDescent="0.25">
      <c r="A182" s="25" t="s">
        <v>489</v>
      </c>
      <c r="B182" s="96">
        <v>4019</v>
      </c>
      <c r="C182" s="97" t="s">
        <v>170</v>
      </c>
      <c r="D182" s="97" t="s">
        <v>408</v>
      </c>
      <c r="E182" s="98">
        <v>42581.27820601852</v>
      </c>
      <c r="F182" s="98">
        <v>42581.279803240737</v>
      </c>
      <c r="G182" s="96">
        <v>2</v>
      </c>
      <c r="H182" s="98" t="s">
        <v>349</v>
      </c>
      <c r="I182" s="98">
        <v>42581.30091435185</v>
      </c>
      <c r="J182" s="96">
        <v>0</v>
      </c>
      <c r="K182" s="123" t="str">
        <f t="shared" si="44"/>
        <v>4019/4020</v>
      </c>
      <c r="L182" s="25" t="str">
        <f>VLOOKUP(A182,'Trips&amp;Operators'!$C$1:$E$10000,3,FALSE)</f>
        <v>YORK</v>
      </c>
      <c r="M182" s="6">
        <f t="shared" si="45"/>
        <v>2.1111111112986691E-2</v>
      </c>
      <c r="N182" s="7">
        <f t="shared" si="46"/>
        <v>30.400000002700835</v>
      </c>
      <c r="O182" s="7"/>
      <c r="P182" s="7"/>
      <c r="Q182" s="26"/>
      <c r="R182" s="26"/>
      <c r="S182" s="41">
        <f t="shared" si="47"/>
        <v>1</v>
      </c>
      <c r="T182" s="59" t="str">
        <f t="shared" si="56"/>
        <v>Southbound</v>
      </c>
      <c r="U182" s="84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05:40:37-0600',mode:absolute,to:'2016-07-30 08:13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2" s="64" t="str">
        <f t="shared" si="49"/>
        <v>N</v>
      </c>
      <c r="X182" s="126">
        <f t="shared" si="57"/>
        <v>1</v>
      </c>
      <c r="Y182" s="79">
        <f t="shared" si="50"/>
        <v>5.8585000000000003</v>
      </c>
      <c r="Z182" s="79">
        <f t="shared" si="51"/>
        <v>7.8299999999999995E-2</v>
      </c>
      <c r="AA182" s="79">
        <f t="shared" si="52"/>
        <v>5.7802000000000007</v>
      </c>
      <c r="AB182" s="76" t="e">
        <f>VLOOKUP(A182,Enforcements!$C$7:$J$24,8,0)</f>
        <v>#N/A</v>
      </c>
      <c r="AC182" s="72" t="e">
        <f>VLOOKUP(A182,Enforcements!$C$7:$E$24,3,0)</f>
        <v>#N/A</v>
      </c>
      <c r="AD182" s="73" t="str">
        <f t="shared" si="53"/>
        <v>1810-30</v>
      </c>
      <c r="AE182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82" s="65" t="str">
        <f t="shared" si="55"/>
        <v>"C:\Program Files (x86)\AstroGrep\AstroGrep.exe" /spath="C:\Users\stu\Documents\Analysis\2016-02-23 RTDC Observations" /stypes="*4019*20160730*" /stext=" 13:.+((SYSTEM_STATE.+slice.+state.+changed )|(ment ac)|(system.+state.+changed )|(\|lc)|(penalty)|(\[timeout)|(PRM\|1\|D))" /e /r /s</v>
      </c>
      <c r="AG182" s="1" t="str">
        <f t="shared" si="58"/>
        <v>NW</v>
      </c>
    </row>
    <row r="183" spans="1:33" hidden="1" x14ac:dyDescent="0.25">
      <c r="A183" s="25" t="s">
        <v>490</v>
      </c>
      <c r="B183" s="96">
        <v>4020</v>
      </c>
      <c r="C183" s="97" t="s">
        <v>170</v>
      </c>
      <c r="D183" s="97" t="s">
        <v>491</v>
      </c>
      <c r="E183" s="98">
        <v>42581.302071759259</v>
      </c>
      <c r="F183" s="98">
        <v>42581.303240740737</v>
      </c>
      <c r="G183" s="96">
        <v>1</v>
      </c>
      <c r="H183" s="98" t="s">
        <v>479</v>
      </c>
      <c r="I183" s="98">
        <v>42581.315497685187</v>
      </c>
      <c r="J183" s="96">
        <v>0</v>
      </c>
      <c r="K183" s="123" t="str">
        <f t="shared" si="44"/>
        <v>4019/4020</v>
      </c>
      <c r="L183" s="25" t="str">
        <f>VLOOKUP(A183,'Trips&amp;Operators'!$C$1:$E$10000,3,FALSE)</f>
        <v>YORK</v>
      </c>
      <c r="M183" s="6">
        <f t="shared" si="45"/>
        <v>1.2256944450200535E-2</v>
      </c>
      <c r="N183" s="7">
        <f t="shared" si="46"/>
        <v>17.650000008288771</v>
      </c>
      <c r="O183" s="7"/>
      <c r="P183" s="7"/>
      <c r="Q183" s="26"/>
      <c r="R183" s="26"/>
      <c r="S183" s="41">
        <f t="shared" si="47"/>
        <v>1</v>
      </c>
      <c r="T183" s="59" t="str">
        <f t="shared" si="56"/>
        <v>NorthBound</v>
      </c>
      <c r="U183" s="84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06:14:59-0600',mode:absolute,to:'2016-07-30 08:34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3" s="64" t="str">
        <f t="shared" si="49"/>
        <v>N</v>
      </c>
      <c r="X183" s="126">
        <f t="shared" si="57"/>
        <v>1</v>
      </c>
      <c r="Y183" s="79">
        <f t="shared" si="50"/>
        <v>0.1072</v>
      </c>
      <c r="Z183" s="79">
        <f t="shared" si="51"/>
        <v>5.8895</v>
      </c>
      <c r="AA183" s="79">
        <f t="shared" si="52"/>
        <v>5.7823000000000002</v>
      </c>
      <c r="AB183" s="76" t="e">
        <f>VLOOKUP(A183,Enforcements!$C$7:$J$24,8,0)</f>
        <v>#N/A</v>
      </c>
      <c r="AC183" s="72" t="e">
        <f>VLOOKUP(A183,Enforcements!$C$7:$E$24,3,0)</f>
        <v>#N/A</v>
      </c>
      <c r="AD183" s="73" t="str">
        <f t="shared" si="53"/>
        <v>1811-30</v>
      </c>
      <c r="AE183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83" s="65" t="str">
        <f t="shared" si="55"/>
        <v>"C:\Program Files (x86)\AstroGrep\AstroGrep.exe" /spath="C:\Users\stu\Documents\Analysis\2016-02-23 RTDC Observations" /stypes="*4020*20160730*" /stext=" 13:.+((SYSTEM_STATE.+slice.+state.+changed )|(ment ac)|(system.+state.+changed )|(\|lc)|(penalty)|(\[timeout)|(PRM\|1\|D))" /e /r /s</v>
      </c>
      <c r="AG183" s="1" t="str">
        <f t="shared" si="58"/>
        <v>NW</v>
      </c>
    </row>
    <row r="184" spans="1:33" hidden="1" x14ac:dyDescent="0.25">
      <c r="A184" s="45" t="s">
        <v>492</v>
      </c>
      <c r="B184" s="7">
        <v>4037</v>
      </c>
      <c r="C184" s="25" t="s">
        <v>170</v>
      </c>
      <c r="D184" s="25" t="s">
        <v>493</v>
      </c>
      <c r="E184" s="16">
        <v>42581.299456018518</v>
      </c>
      <c r="F184" s="16">
        <v>42581.300763888888</v>
      </c>
      <c r="G184" s="7">
        <v>1</v>
      </c>
      <c r="H184" s="16" t="s">
        <v>494</v>
      </c>
      <c r="I184" s="16">
        <v>42581.31621527778</v>
      </c>
      <c r="J184" s="7">
        <v>0</v>
      </c>
      <c r="K184" s="123" t="str">
        <f t="shared" si="44"/>
        <v>4037/4038</v>
      </c>
      <c r="L184" s="25" t="str">
        <f>VLOOKUP(A184,'Trips&amp;Operators'!$C$1:$E$10000,3,FALSE)</f>
        <v>HELVIE</v>
      </c>
      <c r="M184" s="6">
        <f t="shared" si="45"/>
        <v>1.545138889196096E-2</v>
      </c>
      <c r="N184" s="7">
        <f t="shared" si="46"/>
        <v>22.250000004423782</v>
      </c>
      <c r="O184" s="7"/>
      <c r="P184" s="7"/>
      <c r="Q184" s="26"/>
      <c r="R184" s="26"/>
      <c r="S184" s="41">
        <f t="shared" si="47"/>
        <v>1</v>
      </c>
      <c r="T184" s="59" t="str">
        <f t="shared" si="56"/>
        <v>Southbound</v>
      </c>
      <c r="U184" s="84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06:11:13-0600',mode:absolute,to:'2016-07-30 08:35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84" s="64" t="str">
        <f t="shared" si="49"/>
        <v>N</v>
      </c>
      <c r="X184" s="126">
        <f t="shared" si="57"/>
        <v>1</v>
      </c>
      <c r="Y184" s="79">
        <f t="shared" si="50"/>
        <v>5.8578999999999999</v>
      </c>
      <c r="Z184" s="79">
        <f t="shared" si="51"/>
        <v>8.5699999999999998E-2</v>
      </c>
      <c r="AA184" s="79">
        <f t="shared" si="52"/>
        <v>5.7721999999999998</v>
      </c>
      <c r="AB184" s="76" t="e">
        <f>VLOOKUP(A184,Enforcements!$C$7:$J$24,8,0)</f>
        <v>#N/A</v>
      </c>
      <c r="AC184" s="72" t="e">
        <f>VLOOKUP(A184,Enforcements!$C$7:$E$24,3,0)</f>
        <v>#N/A</v>
      </c>
      <c r="AD184" s="73" t="str">
        <f t="shared" si="53"/>
        <v>1812-30</v>
      </c>
      <c r="AE184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84" s="65" t="str">
        <f t="shared" si="55"/>
        <v>"C:\Program Files (x86)\AstroGrep\AstroGrep.exe" /spath="C:\Users\stu\Documents\Analysis\2016-02-23 RTDC Observations" /stypes="*4037*20160730*" /stext=" 13:.+((SYSTEM_STATE.+slice.+state.+changed )|(ment ac)|(system.+state.+changed )|(\|lc)|(penalty)|(\[timeout)|(PRM\|1\|D))" /e /r /s</v>
      </c>
      <c r="AG184" s="1" t="str">
        <f t="shared" si="58"/>
        <v>NW</v>
      </c>
    </row>
    <row r="185" spans="1:33" hidden="1" x14ac:dyDescent="0.25">
      <c r="A185" s="45" t="s">
        <v>495</v>
      </c>
      <c r="B185" s="7">
        <v>4038</v>
      </c>
      <c r="C185" s="25" t="s">
        <v>170</v>
      </c>
      <c r="D185" s="25" t="s">
        <v>484</v>
      </c>
      <c r="E185" s="16">
        <v>42581.318043981482</v>
      </c>
      <c r="F185" s="16">
        <v>42581.31890046296</v>
      </c>
      <c r="G185" s="7">
        <v>1</v>
      </c>
      <c r="H185" s="16" t="s">
        <v>403</v>
      </c>
      <c r="I185" s="16">
        <v>42581.328831018516</v>
      </c>
      <c r="J185" s="7">
        <v>0</v>
      </c>
      <c r="K185" s="123" t="str">
        <f t="shared" si="44"/>
        <v>4037/4038</v>
      </c>
      <c r="L185" s="25" t="str">
        <f>VLOOKUP(A185,'Trips&amp;Operators'!$C$1:$E$10000,3,FALSE)</f>
        <v>HELVIE</v>
      </c>
      <c r="M185" s="6">
        <f t="shared" si="45"/>
        <v>9.930555555911269E-3</v>
      </c>
      <c r="N185" s="7">
        <f t="shared" si="46"/>
        <v>14.300000000512227</v>
      </c>
      <c r="O185" s="7"/>
      <c r="P185" s="7"/>
      <c r="Q185" s="26"/>
      <c r="R185" s="26"/>
      <c r="S185" s="41">
        <f t="shared" si="47"/>
        <v>1</v>
      </c>
      <c r="T185" s="59" t="str">
        <f t="shared" si="56"/>
        <v>NorthBound</v>
      </c>
      <c r="U185" s="84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06:37:59-0600',mode:absolute,to:'2016-07-30 08:53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85" s="64" t="str">
        <f t="shared" si="49"/>
        <v>N</v>
      </c>
      <c r="X185" s="126">
        <f t="shared" si="57"/>
        <v>1</v>
      </c>
      <c r="Y185" s="79">
        <f t="shared" si="50"/>
        <v>0.1133</v>
      </c>
      <c r="Z185" s="79">
        <f t="shared" si="51"/>
        <v>5.8917999999999999</v>
      </c>
      <c r="AA185" s="79">
        <f t="shared" si="52"/>
        <v>5.7785000000000002</v>
      </c>
      <c r="AB185" s="76" t="e">
        <f>VLOOKUP(A185,Enforcements!$C$7:$J$24,8,0)</f>
        <v>#N/A</v>
      </c>
      <c r="AC185" s="72" t="e">
        <f>VLOOKUP(A185,Enforcements!$C$7:$E$24,3,0)</f>
        <v>#N/A</v>
      </c>
      <c r="AD185" s="73" t="str">
        <f t="shared" si="53"/>
        <v>1813-30</v>
      </c>
      <c r="AE185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85" s="65" t="str">
        <f t="shared" si="55"/>
        <v>"C:\Program Files (x86)\AstroGrep\AstroGrep.exe" /spath="C:\Users\stu\Documents\Analysis\2016-02-23 RTDC Observations" /stypes="*4038*20160730*" /stext=" 13:.+((SYSTEM_STATE.+slice.+state.+changed )|(ment ac)|(system.+state.+changed )|(\|lc)|(penalty)|(\[timeout)|(PRM\|1\|D))" /e /r /s</v>
      </c>
      <c r="AG185" s="1" t="str">
        <f t="shared" si="58"/>
        <v>NW</v>
      </c>
    </row>
    <row r="186" spans="1:33" hidden="1" x14ac:dyDescent="0.25">
      <c r="A186" s="45" t="s">
        <v>496</v>
      </c>
      <c r="B186" s="7">
        <v>4026</v>
      </c>
      <c r="C186" s="25" t="s">
        <v>170</v>
      </c>
      <c r="D186" s="25" t="s">
        <v>497</v>
      </c>
      <c r="E186" s="16">
        <v>42581.306990740741</v>
      </c>
      <c r="F186" s="16">
        <v>42581.317118055558</v>
      </c>
      <c r="G186" s="7">
        <v>14</v>
      </c>
      <c r="H186" s="16" t="s">
        <v>364</v>
      </c>
      <c r="I186" s="16">
        <v>42581.329201388886</v>
      </c>
      <c r="J186" s="7">
        <v>0</v>
      </c>
      <c r="K186" s="123" t="str">
        <f t="shared" si="44"/>
        <v>4025/4026</v>
      </c>
      <c r="L186" s="25" t="str">
        <f>VLOOKUP(A186,'Trips&amp;Operators'!$C$1:$E$10000,3,FALSE)</f>
        <v>MADLOM</v>
      </c>
      <c r="M186" s="6">
        <f t="shared" si="45"/>
        <v>1.208333332760958E-2</v>
      </c>
      <c r="N186" s="7">
        <f t="shared" si="46"/>
        <v>17.399999991757795</v>
      </c>
      <c r="O186" s="7"/>
      <c r="P186" s="7"/>
      <c r="Q186" s="26"/>
      <c r="R186" s="26"/>
      <c r="S186" s="41">
        <f t="shared" si="47"/>
        <v>1</v>
      </c>
      <c r="T186" s="59" t="str">
        <f t="shared" si="56"/>
        <v>Southbound</v>
      </c>
      <c r="U186" s="84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06:22:04-0600',mode:absolute,to:'2016-07-30 08:54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86" s="64" t="str">
        <f t="shared" si="49"/>
        <v>N</v>
      </c>
      <c r="X186" s="126">
        <f t="shared" si="57"/>
        <v>1</v>
      </c>
      <c r="Y186" s="79">
        <f t="shared" si="50"/>
        <v>5.7306999999999997</v>
      </c>
      <c r="Z186" s="79">
        <f t="shared" si="51"/>
        <v>7.6200000000000004E-2</v>
      </c>
      <c r="AA186" s="79">
        <f t="shared" si="52"/>
        <v>5.6544999999999996</v>
      </c>
      <c r="AB186" s="76" t="e">
        <f>VLOOKUP(A186,Enforcements!$C$7:$J$24,8,0)</f>
        <v>#N/A</v>
      </c>
      <c r="AC186" s="72" t="e">
        <f>VLOOKUP(A186,Enforcements!$C$7:$E$24,3,0)</f>
        <v>#N/A</v>
      </c>
      <c r="AD186" s="73" t="str">
        <f t="shared" si="53"/>
        <v>1814-30</v>
      </c>
      <c r="AE186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86" s="65" t="str">
        <f t="shared" si="55"/>
        <v>"C:\Program Files (x86)\AstroGrep\AstroGrep.exe" /spath="C:\Users\stu\Documents\Analysis\2016-02-23 RTDC Observations" /stypes="*4026*20160730*" /stext=" 13:.+((SYSTEM_STATE.+slice.+state.+changed )|(ment ac)|(system.+state.+changed )|(\|lc)|(penalty)|(\[timeout)|(PRM\|1\|D))" /e /r /s</v>
      </c>
      <c r="AG186" s="1" t="str">
        <f t="shared" si="58"/>
        <v>NW</v>
      </c>
    </row>
    <row r="187" spans="1:33" hidden="1" x14ac:dyDescent="0.25">
      <c r="A187" s="45" t="s">
        <v>498</v>
      </c>
      <c r="B187" s="7">
        <v>4025</v>
      </c>
      <c r="C187" s="25" t="s">
        <v>170</v>
      </c>
      <c r="D187" s="25" t="s">
        <v>397</v>
      </c>
      <c r="E187" s="16">
        <v>42581.331631944442</v>
      </c>
      <c r="F187" s="16">
        <v>42581.332557870373</v>
      </c>
      <c r="G187" s="7">
        <v>1</v>
      </c>
      <c r="H187" s="16" t="s">
        <v>407</v>
      </c>
      <c r="I187" s="16">
        <v>42581.346539351849</v>
      </c>
      <c r="J187" s="7">
        <v>1</v>
      </c>
      <c r="K187" s="123" t="str">
        <f t="shared" si="44"/>
        <v>4025/4026</v>
      </c>
      <c r="L187" s="25" t="str">
        <f>VLOOKUP(A187,'Trips&amp;Operators'!$C$1:$E$10000,3,FALSE)</f>
        <v>MADLOM</v>
      </c>
      <c r="M187" s="6">
        <f t="shared" si="45"/>
        <v>1.3981481475639157E-2</v>
      </c>
      <c r="N187" s="7">
        <f t="shared" si="46"/>
        <v>20.133333324920386</v>
      </c>
      <c r="O187" s="7"/>
      <c r="P187" s="7"/>
      <c r="Q187" s="26"/>
      <c r="R187" s="26"/>
      <c r="S187" s="41">
        <f t="shared" si="47"/>
        <v>1</v>
      </c>
      <c r="T187" s="59" t="str">
        <f t="shared" si="56"/>
        <v>NorthBound</v>
      </c>
      <c r="U187" s="84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06:57:33-0600',mode:absolute,to:'2016-07-30 09:19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87" s="64" t="str">
        <f t="shared" si="49"/>
        <v>N</v>
      </c>
      <c r="X187" s="126">
        <f t="shared" si="57"/>
        <v>1</v>
      </c>
      <c r="Y187" s="79">
        <f t="shared" si="50"/>
        <v>0.10580000000000001</v>
      </c>
      <c r="Z187" s="79">
        <f t="shared" si="51"/>
        <v>5.8898999999999999</v>
      </c>
      <c r="AA187" s="79">
        <f t="shared" si="52"/>
        <v>5.7840999999999996</v>
      </c>
      <c r="AB187" s="76" t="e">
        <f>VLOOKUP(A187,Enforcements!$C$7:$J$24,8,0)</f>
        <v>#N/A</v>
      </c>
      <c r="AC187" s="72" t="e">
        <f>VLOOKUP(A187,Enforcements!$C$7:$E$24,3,0)</f>
        <v>#N/A</v>
      </c>
      <c r="AD187" s="73" t="str">
        <f t="shared" si="53"/>
        <v>1815-30</v>
      </c>
      <c r="AE187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87" s="65" t="str">
        <f t="shared" si="55"/>
        <v>"C:\Program Files (x86)\AstroGrep\AstroGrep.exe" /spath="C:\Users\stu\Documents\Analysis\2016-02-23 RTDC Observations" /stypes="*4025*20160730*" /stext=" 14:.+((SYSTEM_STATE.+slice.+state.+changed )|(ment ac)|(system.+state.+changed )|(\|lc)|(penalty)|(\[timeout)|(PRM\|1\|D))" /e /r /s</v>
      </c>
      <c r="AG187" s="1" t="str">
        <f t="shared" si="58"/>
        <v>NW</v>
      </c>
    </row>
    <row r="188" spans="1:33" hidden="1" x14ac:dyDescent="0.25">
      <c r="A188" s="45" t="s">
        <v>499</v>
      </c>
      <c r="B188" s="7">
        <v>4019</v>
      </c>
      <c r="C188" s="25" t="s">
        <v>170</v>
      </c>
      <c r="D188" s="25" t="s">
        <v>500</v>
      </c>
      <c r="E188" s="16">
        <v>42581.329872685186</v>
      </c>
      <c r="F188" s="16">
        <v>42581.330787037034</v>
      </c>
      <c r="G188" s="7">
        <v>1</v>
      </c>
      <c r="H188" s="16" t="s">
        <v>501</v>
      </c>
      <c r="I188" s="16">
        <v>42581.342407407406</v>
      </c>
      <c r="J188" s="7">
        <v>0</v>
      </c>
      <c r="K188" s="123" t="str">
        <f t="shared" si="44"/>
        <v>4019/4020</v>
      </c>
      <c r="L188" s="25" t="str">
        <f>VLOOKUP(A188,'Trips&amp;Operators'!$C$1:$E$10000,3,FALSE)</f>
        <v>YORK</v>
      </c>
      <c r="M188" s="6">
        <f t="shared" si="45"/>
        <v>1.1620370372838806E-2</v>
      </c>
      <c r="N188" s="7">
        <f t="shared" si="46"/>
        <v>16.733333336887881</v>
      </c>
      <c r="O188" s="7"/>
      <c r="P188" s="7"/>
      <c r="Q188" s="26"/>
      <c r="R188" s="26"/>
      <c r="S188" s="41">
        <f t="shared" si="47"/>
        <v>1</v>
      </c>
      <c r="T188" s="59" t="str">
        <f t="shared" si="56"/>
        <v>Southbound</v>
      </c>
      <c r="U188" s="84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06:55:01-0600',mode:absolute,to:'2016-07-30 09:13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8" s="64" t="str">
        <f t="shared" si="49"/>
        <v>N</v>
      </c>
      <c r="X188" s="126">
        <f t="shared" si="57"/>
        <v>1</v>
      </c>
      <c r="Y188" s="79">
        <f t="shared" si="50"/>
        <v>5.7343000000000002</v>
      </c>
      <c r="Z188" s="79">
        <f t="shared" si="51"/>
        <v>7.6399999999999996E-2</v>
      </c>
      <c r="AA188" s="79">
        <f t="shared" si="52"/>
        <v>5.6579000000000006</v>
      </c>
      <c r="AB188" s="76" t="e">
        <f>VLOOKUP(A188,Enforcements!$C$7:$J$24,8,0)</f>
        <v>#N/A</v>
      </c>
      <c r="AC188" s="72" t="e">
        <f>VLOOKUP(A188,Enforcements!$C$7:$E$24,3,0)</f>
        <v>#N/A</v>
      </c>
      <c r="AD188" s="73" t="str">
        <f t="shared" si="53"/>
        <v>1816-30</v>
      </c>
      <c r="AE188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88" s="65" t="str">
        <f t="shared" si="55"/>
        <v>"C:\Program Files (x86)\AstroGrep\AstroGrep.exe" /spath="C:\Users\stu\Documents\Analysis\2016-02-23 RTDC Observations" /stypes="*4019*20160730*" /stext=" 14:.+((SYSTEM_STATE.+slice.+state.+changed )|(ment ac)|(system.+state.+changed )|(\|lc)|(penalty)|(\[timeout)|(PRM\|1\|D))" /e /r /s</v>
      </c>
      <c r="AG188" s="1" t="str">
        <f t="shared" si="58"/>
        <v>NW</v>
      </c>
    </row>
    <row r="189" spans="1:33" x14ac:dyDescent="0.25">
      <c r="A189" s="45" t="s">
        <v>502</v>
      </c>
      <c r="B189" s="7">
        <v>4020</v>
      </c>
      <c r="C189" s="25" t="s">
        <v>170</v>
      </c>
      <c r="D189" s="25" t="s">
        <v>503</v>
      </c>
      <c r="E189" s="16">
        <v>42581.344421296293</v>
      </c>
      <c r="F189" s="16">
        <v>42581.346134259256</v>
      </c>
      <c r="G189" s="7">
        <v>2</v>
      </c>
      <c r="H189" s="16" t="s">
        <v>504</v>
      </c>
      <c r="I189" s="16">
        <v>42581.349907407406</v>
      </c>
      <c r="J189" s="7">
        <v>1</v>
      </c>
      <c r="K189" s="123" t="str">
        <f t="shared" si="44"/>
        <v>4019/4020</v>
      </c>
      <c r="L189" s="25" t="str">
        <f>VLOOKUP(A189,'Trips&amp;Operators'!$C$1:$E$10000,3,FALSE)</f>
        <v>YORK</v>
      </c>
      <c r="M189" s="6">
        <f t="shared" si="45"/>
        <v>3.7731481497758068E-3</v>
      </c>
      <c r="N189" s="7"/>
      <c r="O189" s="7"/>
      <c r="P189" s="7">
        <f t="shared" si="46"/>
        <v>5.4333333356771618</v>
      </c>
      <c r="Q189" s="26"/>
      <c r="R189" s="26" t="s">
        <v>927</v>
      </c>
      <c r="S189" s="41">
        <f t="shared" si="47"/>
        <v>1</v>
      </c>
      <c r="T189" s="59" t="str">
        <f t="shared" si="56"/>
        <v>NorthBound</v>
      </c>
      <c r="U189" s="84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07:15:58-0600',mode:absolute,to:'2016-07-30 09:23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9" s="64" t="str">
        <f t="shared" si="49"/>
        <v>Y</v>
      </c>
      <c r="X189" s="126">
        <f t="shared" si="57"/>
        <v>1</v>
      </c>
      <c r="Y189" s="79">
        <f t="shared" si="50"/>
        <v>0.1042</v>
      </c>
      <c r="Z189" s="79">
        <f t="shared" si="51"/>
        <v>3.0436000000000001</v>
      </c>
      <c r="AA189" s="79">
        <f t="shared" si="52"/>
        <v>2.9394</v>
      </c>
      <c r="AB189" s="76" t="e">
        <f>VLOOKUP(A189,Enforcements!$C$7:$J$24,8,0)</f>
        <v>#N/A</v>
      </c>
      <c r="AC189" s="72" t="e">
        <f>VLOOKUP(A189,Enforcements!$C$7:$E$24,3,0)</f>
        <v>#N/A</v>
      </c>
      <c r="AD189" s="73" t="str">
        <f t="shared" si="53"/>
        <v>1817-30</v>
      </c>
      <c r="AE189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89" s="65" t="str">
        <f t="shared" si="55"/>
        <v>"C:\Program Files (x86)\AstroGrep\AstroGrep.exe" /spath="C:\Users\stu\Documents\Analysis\2016-02-23 RTDC Observations" /stypes="*4020*20160730*" /stext=" 14:.+((SYSTEM_STATE.+slice.+state.+changed )|(ment ac)|(system.+state.+changed )|(\|lc)|(penalty)|(\[timeout)|(PRM\|1\|D))" /e /r /s</v>
      </c>
      <c r="AG189" s="1" t="str">
        <f t="shared" si="58"/>
        <v>NW</v>
      </c>
    </row>
    <row r="190" spans="1:33" hidden="1" x14ac:dyDescent="0.25">
      <c r="A190" s="45" t="s">
        <v>505</v>
      </c>
      <c r="B190" s="7">
        <v>4037</v>
      </c>
      <c r="C190" s="25" t="s">
        <v>170</v>
      </c>
      <c r="D190" s="25" t="s">
        <v>365</v>
      </c>
      <c r="E190" s="16">
        <v>42581.341469907406</v>
      </c>
      <c r="F190" s="16">
        <v>42581.342453703706</v>
      </c>
      <c r="G190" s="7">
        <v>1</v>
      </c>
      <c r="H190" s="16" t="s">
        <v>506</v>
      </c>
      <c r="I190" s="16">
        <v>42581.355740740742</v>
      </c>
      <c r="J190" s="7">
        <v>0</v>
      </c>
      <c r="K190" s="123" t="str">
        <f t="shared" si="44"/>
        <v>4037/4038</v>
      </c>
      <c r="L190" s="25" t="str">
        <f>VLOOKUP(A190,'Trips&amp;Operators'!$C$1:$E$10000,3,FALSE)</f>
        <v>HELVIE</v>
      </c>
      <c r="M190" s="6">
        <f t="shared" si="45"/>
        <v>1.3287037036207039E-2</v>
      </c>
      <c r="N190" s="7">
        <f t="shared" si="46"/>
        <v>19.133333332138136</v>
      </c>
      <c r="O190" s="7"/>
      <c r="P190" s="7"/>
      <c r="Q190" s="26"/>
      <c r="R190" s="26"/>
      <c r="S190" s="41">
        <f t="shared" si="47"/>
        <v>1</v>
      </c>
      <c r="T190" s="59" t="str">
        <f t="shared" si="56"/>
        <v>Southbound</v>
      </c>
      <c r="U190" s="84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07:11:43-0600',mode:absolute,to:'2016-07-30 09:32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0" s="64" t="str">
        <f t="shared" si="49"/>
        <v>N</v>
      </c>
      <c r="X190" s="126">
        <f t="shared" si="57"/>
        <v>1</v>
      </c>
      <c r="Y190" s="79">
        <f t="shared" si="50"/>
        <v>5.86</v>
      </c>
      <c r="Z190" s="79">
        <f t="shared" si="51"/>
        <v>8.4099999999999994E-2</v>
      </c>
      <c r="AA190" s="79">
        <f t="shared" si="52"/>
        <v>5.7759</v>
      </c>
      <c r="AB190" s="76" t="e">
        <f>VLOOKUP(A190,Enforcements!$C$7:$J$24,8,0)</f>
        <v>#N/A</v>
      </c>
      <c r="AC190" s="72" t="e">
        <f>VLOOKUP(A190,Enforcements!$C$7:$E$24,3,0)</f>
        <v>#N/A</v>
      </c>
      <c r="AD190" s="73" t="str">
        <f t="shared" si="53"/>
        <v>1818-30</v>
      </c>
      <c r="AE190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90" s="65" t="str">
        <f t="shared" si="55"/>
        <v>"C:\Program Files (x86)\AstroGrep\AstroGrep.exe" /spath="C:\Users\stu\Documents\Analysis\2016-02-23 RTDC Observations" /stypes="*4037*20160730*" /stext=" 14:.+((SYSTEM_STATE.+slice.+state.+changed )|(ment ac)|(system.+state.+changed )|(\|lc)|(penalty)|(\[timeout)|(PRM\|1\|D))" /e /r /s</v>
      </c>
      <c r="AG190" s="1" t="str">
        <f t="shared" si="58"/>
        <v>NW</v>
      </c>
    </row>
    <row r="191" spans="1:33" hidden="1" x14ac:dyDescent="0.25">
      <c r="A191" s="45" t="s">
        <v>787</v>
      </c>
      <c r="B191" s="7">
        <v>4038</v>
      </c>
      <c r="C191" s="25" t="s">
        <v>170</v>
      </c>
      <c r="D191" s="25" t="s">
        <v>625</v>
      </c>
      <c r="E191" s="16">
        <v>42581.357916666668</v>
      </c>
      <c r="F191" s="16">
        <v>42581.359201388892</v>
      </c>
      <c r="G191" s="7">
        <v>1</v>
      </c>
      <c r="H191" s="16" t="s">
        <v>869</v>
      </c>
      <c r="I191" s="16">
        <v>42581.370497685188</v>
      </c>
      <c r="J191" s="7">
        <v>1</v>
      </c>
      <c r="K191" s="123" t="str">
        <f t="shared" si="44"/>
        <v>4037/4038</v>
      </c>
      <c r="L191" s="25" t="str">
        <f>VLOOKUP(A191,'Trips&amp;Operators'!$C$1:$E$10000,3,FALSE)</f>
        <v>HELVIE</v>
      </c>
      <c r="M191" s="6">
        <f t="shared" si="45"/>
        <v>1.1296296295768116E-2</v>
      </c>
      <c r="N191" s="7">
        <f t="shared" si="46"/>
        <v>16.266666665906087</v>
      </c>
      <c r="O191" s="7"/>
      <c r="P191" s="7"/>
      <c r="Q191" s="26"/>
      <c r="R191" s="26"/>
      <c r="S191" s="41">
        <f t="shared" si="47"/>
        <v>1</v>
      </c>
      <c r="T191" s="59" t="str">
        <f t="shared" si="56"/>
        <v>NorthBound</v>
      </c>
      <c r="U191" s="84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07:35:24-0600',mode:absolute,to:'2016-07-30 09:53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1" s="64" t="str">
        <f t="shared" si="49"/>
        <v>N</v>
      </c>
      <c r="X191" s="126">
        <f t="shared" si="57"/>
        <v>1</v>
      </c>
      <c r="Y191" s="79">
        <f t="shared" si="50"/>
        <v>0.11020000000000001</v>
      </c>
      <c r="Z191" s="79">
        <f t="shared" si="51"/>
        <v>5.891</v>
      </c>
      <c r="AA191" s="79">
        <f t="shared" si="52"/>
        <v>5.7808000000000002</v>
      </c>
      <c r="AB191" s="76" t="e">
        <f>VLOOKUP(A191,Enforcements!$C$7:$J$24,8,0)</f>
        <v>#N/A</v>
      </c>
      <c r="AC191" s="72" t="e">
        <f>VLOOKUP(A191,Enforcements!$C$7:$E$24,3,0)</f>
        <v>#N/A</v>
      </c>
      <c r="AD191" s="73" t="str">
        <f t="shared" si="53"/>
        <v>1819-30</v>
      </c>
      <c r="AE191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91" s="65" t="str">
        <f t="shared" si="55"/>
        <v>"C:\Program Files (x86)\AstroGrep\AstroGrep.exe" /spath="C:\Users\stu\Documents\Analysis\2016-02-23 RTDC Observations" /stypes="*4038*20160730*" /stext=" 14:.+((SYSTEM_STATE.+slice.+state.+changed )|(ment ac)|(system.+state.+changed )|(\|lc)|(penalty)|(\[timeout)|(PRM\|1\|D))" /e /r /s</v>
      </c>
      <c r="AG191" s="1" t="str">
        <f t="shared" si="58"/>
        <v>NW</v>
      </c>
    </row>
    <row r="192" spans="1:33" hidden="1" x14ac:dyDescent="0.25">
      <c r="A192" s="45" t="s">
        <v>736</v>
      </c>
      <c r="B192" s="7">
        <v>4026</v>
      </c>
      <c r="C192" s="25" t="s">
        <v>170</v>
      </c>
      <c r="D192" s="25" t="s">
        <v>493</v>
      </c>
      <c r="E192" s="16">
        <v>42581.351504629631</v>
      </c>
      <c r="F192" s="16">
        <v>42581.352650462963</v>
      </c>
      <c r="G192" s="7">
        <v>1</v>
      </c>
      <c r="H192" s="16" t="s">
        <v>349</v>
      </c>
      <c r="I192" s="16">
        <v>42581.369895833333</v>
      </c>
      <c r="J192" s="7">
        <v>0</v>
      </c>
      <c r="K192" s="123" t="str">
        <f t="shared" si="44"/>
        <v>4025/4026</v>
      </c>
      <c r="L192" s="25" t="str">
        <f>VLOOKUP(A192,'Trips&amp;Operators'!$C$1:$E$10000,3,FALSE)</f>
        <v>MADLOM</v>
      </c>
      <c r="M192" s="6">
        <f t="shared" si="45"/>
        <v>1.7245370370801538E-2</v>
      </c>
      <c r="N192" s="7">
        <f t="shared" si="46"/>
        <v>24.833333333954215</v>
      </c>
      <c r="O192" s="7"/>
      <c r="P192" s="7"/>
      <c r="Q192" s="26"/>
      <c r="R192" s="26"/>
      <c r="S192" s="41">
        <f t="shared" si="47"/>
        <v>1</v>
      </c>
      <c r="T192" s="59" t="str">
        <f t="shared" si="56"/>
        <v>Southbound</v>
      </c>
      <c r="U192" s="84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07:26:10-0600',mode:absolute,to:'2016-07-30 09:52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2" s="64" t="str">
        <f t="shared" si="49"/>
        <v>N</v>
      </c>
      <c r="X192" s="126">
        <f t="shared" si="57"/>
        <v>1</v>
      </c>
      <c r="Y192" s="79">
        <f t="shared" si="50"/>
        <v>5.8578999999999999</v>
      </c>
      <c r="Z192" s="79">
        <f t="shared" si="51"/>
        <v>7.8299999999999995E-2</v>
      </c>
      <c r="AA192" s="79">
        <f t="shared" si="52"/>
        <v>5.7796000000000003</v>
      </c>
      <c r="AB192" s="76" t="e">
        <f>VLOOKUP(A192,Enforcements!$C$7:$J$24,8,0)</f>
        <v>#N/A</v>
      </c>
      <c r="AC192" s="72" t="e">
        <f>VLOOKUP(A192,Enforcements!$C$7:$E$24,3,0)</f>
        <v>#N/A</v>
      </c>
      <c r="AD192" s="73" t="str">
        <f t="shared" si="53"/>
        <v>1820-30</v>
      </c>
      <c r="AE192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92" s="65" t="str">
        <f t="shared" si="55"/>
        <v>"C:\Program Files (x86)\AstroGrep\AstroGrep.exe" /spath="C:\Users\stu\Documents\Analysis\2016-02-23 RTDC Observations" /stypes="*4026*20160730*" /stext=" 14:.+((SYSTEM_STATE.+slice.+state.+changed )|(ment ac)|(system.+state.+changed )|(\|lc)|(penalty)|(\[timeout)|(PRM\|1\|D))" /e /r /s</v>
      </c>
      <c r="AG192" s="1" t="str">
        <f t="shared" si="58"/>
        <v>NW</v>
      </c>
    </row>
    <row r="193" spans="1:33" hidden="1" x14ac:dyDescent="0.25">
      <c r="A193" s="45" t="s">
        <v>725</v>
      </c>
      <c r="B193" s="7">
        <v>4025</v>
      </c>
      <c r="C193" s="25" t="s">
        <v>170</v>
      </c>
      <c r="D193" s="25" t="s">
        <v>871</v>
      </c>
      <c r="E193" s="16">
        <v>42581.372800925928</v>
      </c>
      <c r="F193" s="16">
        <v>42581.373819444445</v>
      </c>
      <c r="G193" s="7">
        <v>1</v>
      </c>
      <c r="H193" s="16" t="s">
        <v>872</v>
      </c>
      <c r="I193" s="16">
        <v>42581.385462962964</v>
      </c>
      <c r="J193" s="7">
        <v>0</v>
      </c>
      <c r="K193" s="123" t="str">
        <f t="shared" si="44"/>
        <v>4025/4026</v>
      </c>
      <c r="L193" s="25" t="str">
        <f>VLOOKUP(A193,'Trips&amp;Operators'!$C$1:$E$10000,3,FALSE)</f>
        <v>MADLOM</v>
      </c>
      <c r="M193" s="6">
        <f t="shared" si="45"/>
        <v>1.1643518519122154E-2</v>
      </c>
      <c r="N193" s="7">
        <f t="shared" si="46"/>
        <v>16.766666667535901</v>
      </c>
      <c r="O193" s="7"/>
      <c r="P193" s="7"/>
      <c r="Q193" s="26"/>
      <c r="R193" s="26"/>
      <c r="S193" s="41">
        <f t="shared" si="47"/>
        <v>1</v>
      </c>
      <c r="T193" s="59" t="str">
        <f t="shared" si="56"/>
        <v>NorthBound</v>
      </c>
      <c r="U193" s="84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07:56:50-0600',mode:absolute,to:'2016-07-30 10:15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3" s="64" t="str">
        <f t="shared" si="49"/>
        <v>N</v>
      </c>
      <c r="X193" s="126">
        <f t="shared" si="57"/>
        <v>1</v>
      </c>
      <c r="Y193" s="79">
        <f t="shared" si="50"/>
        <v>0.1074</v>
      </c>
      <c r="Z193" s="79">
        <f t="shared" si="51"/>
        <v>5.8910999999999998</v>
      </c>
      <c r="AA193" s="79">
        <f t="shared" si="52"/>
        <v>5.7836999999999996</v>
      </c>
      <c r="AB193" s="76" t="e">
        <f>VLOOKUP(A193,Enforcements!$C$7:$J$24,8,0)</f>
        <v>#N/A</v>
      </c>
      <c r="AC193" s="72" t="e">
        <f>VLOOKUP(A193,Enforcements!$C$7:$E$24,3,0)</f>
        <v>#N/A</v>
      </c>
      <c r="AD193" s="73" t="str">
        <f t="shared" si="53"/>
        <v>1821-30</v>
      </c>
      <c r="AE193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93" s="65" t="str">
        <f t="shared" si="55"/>
        <v>"C:\Program Files (x86)\AstroGrep\AstroGrep.exe" /spath="C:\Users\stu\Documents\Analysis\2016-02-23 RTDC Observations" /stypes="*4025*20160730*" /stext=" 15:.+((SYSTEM_STATE.+slice.+state.+changed )|(ment ac)|(system.+state.+changed )|(\|lc)|(penalty)|(\[timeout)|(PRM\|1\|D))" /e /r /s</v>
      </c>
      <c r="AG193" s="1" t="str">
        <f t="shared" si="58"/>
        <v>NW</v>
      </c>
    </row>
    <row r="194" spans="1:33" hidden="1" x14ac:dyDescent="0.25">
      <c r="A194" s="45" t="s">
        <v>785</v>
      </c>
      <c r="B194" s="7">
        <v>4019</v>
      </c>
      <c r="C194" s="25" t="s">
        <v>170</v>
      </c>
      <c r="D194" s="25" t="s">
        <v>365</v>
      </c>
      <c r="E194" s="16">
        <v>42581.367418981485</v>
      </c>
      <c r="F194" s="16">
        <v>42581.368425925924</v>
      </c>
      <c r="G194" s="7">
        <v>1</v>
      </c>
      <c r="H194" s="16" t="s">
        <v>402</v>
      </c>
      <c r="I194" s="16">
        <v>42581.382731481484</v>
      </c>
      <c r="J194" s="7">
        <v>0</v>
      </c>
      <c r="K194" s="123" t="str">
        <f t="shared" si="44"/>
        <v>4019/4020</v>
      </c>
      <c r="L194" s="25" t="str">
        <f>VLOOKUP(A194,'Trips&amp;Operators'!$C$1:$E$10000,3,FALSE)</f>
        <v>YORK</v>
      </c>
      <c r="M194" s="6">
        <f t="shared" si="45"/>
        <v>1.4305555559985805E-2</v>
      </c>
      <c r="N194" s="7">
        <f t="shared" si="46"/>
        <v>20.60000000637956</v>
      </c>
      <c r="O194" s="7"/>
      <c r="P194" s="7"/>
      <c r="Q194" s="26"/>
      <c r="R194" s="26"/>
      <c r="S194" s="41">
        <f t="shared" si="47"/>
        <v>1</v>
      </c>
      <c r="T194" s="59" t="str">
        <f t="shared" si="56"/>
        <v>Southbound</v>
      </c>
      <c r="U194" s="84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07:49:05-0600',mode:absolute,to:'2016-07-30 10:11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4" s="64" t="str">
        <f t="shared" si="49"/>
        <v>N</v>
      </c>
      <c r="X194" s="126">
        <f t="shared" si="57"/>
        <v>1</v>
      </c>
      <c r="Y194" s="79">
        <f t="shared" si="50"/>
        <v>5.86</v>
      </c>
      <c r="Z194" s="79">
        <f t="shared" si="51"/>
        <v>7.7299999999999994E-2</v>
      </c>
      <c r="AA194" s="79">
        <f t="shared" si="52"/>
        <v>5.7827000000000002</v>
      </c>
      <c r="AB194" s="76" t="e">
        <f>VLOOKUP(A194,Enforcements!$C$7:$J$24,8,0)</f>
        <v>#N/A</v>
      </c>
      <c r="AC194" s="72" t="e">
        <f>VLOOKUP(A194,Enforcements!$C$7:$E$24,3,0)</f>
        <v>#N/A</v>
      </c>
      <c r="AD194" s="73" t="str">
        <f t="shared" si="53"/>
        <v>1822-30</v>
      </c>
      <c r="AE194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194" s="65" t="str">
        <f t="shared" si="55"/>
        <v>"C:\Program Files (x86)\AstroGrep\AstroGrep.exe" /spath="C:\Users\stu\Documents\Analysis\2016-02-23 RTDC Observations" /stypes="*4019*20160730*" /stext=" 15:.+((SYSTEM_STATE.+slice.+state.+changed )|(ment ac)|(system.+state.+changed )|(\|lc)|(penalty)|(\[timeout)|(PRM\|1\|D))" /e /r /s</v>
      </c>
      <c r="AG194" s="1" t="str">
        <f t="shared" si="58"/>
        <v>NW</v>
      </c>
    </row>
    <row r="195" spans="1:33" x14ac:dyDescent="0.25">
      <c r="A195" s="45" t="s">
        <v>801</v>
      </c>
      <c r="B195" s="7">
        <v>4020</v>
      </c>
      <c r="C195" s="25" t="s">
        <v>170</v>
      </c>
      <c r="D195" s="25" t="s">
        <v>873</v>
      </c>
      <c r="E195" s="16">
        <v>42581.38386574074</v>
      </c>
      <c r="F195" s="16">
        <v>42581.386828703704</v>
      </c>
      <c r="G195" s="7">
        <v>4</v>
      </c>
      <c r="H195" s="16" t="s">
        <v>504</v>
      </c>
      <c r="I195" s="16">
        <v>42581.394293981481</v>
      </c>
      <c r="J195" s="7">
        <v>1</v>
      </c>
      <c r="K195" s="123" t="str">
        <f t="shared" si="44"/>
        <v>4019/4020</v>
      </c>
      <c r="L195" s="25" t="str">
        <f>VLOOKUP(A195,'Trips&amp;Operators'!$C$1:$E$10000,3,FALSE)</f>
        <v>YORK</v>
      </c>
      <c r="M195" s="6">
        <f t="shared" si="45"/>
        <v>7.4652777766459621E-3</v>
      </c>
      <c r="N195" s="7"/>
      <c r="O195" s="7"/>
      <c r="P195" s="7">
        <f t="shared" si="46"/>
        <v>10.749999998370185</v>
      </c>
      <c r="Q195" s="26"/>
      <c r="R195" s="26" t="s">
        <v>928</v>
      </c>
      <c r="S195" s="41">
        <f t="shared" si="47"/>
        <v>1</v>
      </c>
      <c r="T195" s="59" t="str">
        <f t="shared" si="56"/>
        <v>NorthBound</v>
      </c>
      <c r="U195" s="84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08:12:46-0600',mode:absolute,to:'2016-07-30 10:27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5" s="64" t="str">
        <f t="shared" si="49"/>
        <v>Y</v>
      </c>
      <c r="X195" s="126">
        <f t="shared" si="57"/>
        <v>1</v>
      </c>
      <c r="Y195" s="79">
        <f t="shared" si="50"/>
        <v>0.1067</v>
      </c>
      <c r="Z195" s="79">
        <f t="shared" si="51"/>
        <v>3.0436000000000001</v>
      </c>
      <c r="AA195" s="79">
        <f t="shared" si="52"/>
        <v>2.9369000000000001</v>
      </c>
      <c r="AB195" s="76" t="e">
        <f>VLOOKUP(A195,Enforcements!$C$7:$J$24,8,0)</f>
        <v>#N/A</v>
      </c>
      <c r="AC195" s="72" t="e">
        <f>VLOOKUP(A195,Enforcements!$C$7:$E$24,3,0)</f>
        <v>#N/A</v>
      </c>
      <c r="AD195" s="73" t="str">
        <f t="shared" si="53"/>
        <v>1823-30</v>
      </c>
      <c r="AE195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195" s="65" t="str">
        <f t="shared" si="55"/>
        <v>"C:\Program Files (x86)\AstroGrep\AstroGrep.exe" /spath="C:\Users\stu\Documents\Analysis\2016-02-23 RTDC Observations" /stypes="*4020*20160730*" /stext=" 15:.+((SYSTEM_STATE.+slice.+state.+changed )|(ment ac)|(system.+state.+changed )|(\|lc)|(penalty)|(\[timeout)|(PRM\|1\|D))" /e /r /s</v>
      </c>
      <c r="AG195" s="1" t="str">
        <f t="shared" si="58"/>
        <v>NW</v>
      </c>
    </row>
    <row r="196" spans="1:33" hidden="1" x14ac:dyDescent="0.25">
      <c r="A196" s="45" t="s">
        <v>766</v>
      </c>
      <c r="B196" s="7">
        <v>4037</v>
      </c>
      <c r="C196" s="25" t="s">
        <v>170</v>
      </c>
      <c r="D196" s="25" t="s">
        <v>874</v>
      </c>
      <c r="E196" s="16">
        <v>42581.384027777778</v>
      </c>
      <c r="F196" s="16">
        <v>42581.385925925926</v>
      </c>
      <c r="G196" s="7">
        <v>2</v>
      </c>
      <c r="H196" s="16" t="s">
        <v>875</v>
      </c>
      <c r="I196" s="16">
        <v>42581.398518518516</v>
      </c>
      <c r="J196" s="7">
        <v>0</v>
      </c>
      <c r="K196" s="123" t="str">
        <f t="shared" si="44"/>
        <v>4037/4038</v>
      </c>
      <c r="L196" s="25" t="str">
        <f>VLOOKUP(A196,'Trips&amp;Operators'!$C$1:$E$10000,3,FALSE)</f>
        <v>HELVIE</v>
      </c>
      <c r="M196" s="6">
        <f t="shared" si="45"/>
        <v>1.2592592589498963E-2</v>
      </c>
      <c r="N196" s="7">
        <f t="shared" si="46"/>
        <v>18.133333328878507</v>
      </c>
      <c r="O196" s="7"/>
      <c r="P196" s="7"/>
      <c r="Q196" s="26"/>
      <c r="R196" s="26"/>
      <c r="S196" s="41">
        <f t="shared" si="47"/>
        <v>1</v>
      </c>
      <c r="T196" s="59" t="str">
        <f t="shared" si="56"/>
        <v>Southbound</v>
      </c>
      <c r="U196" s="84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08:13:00-0600',mode:absolute,to:'2016-07-30 10:33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96" s="64" t="str">
        <f t="shared" si="49"/>
        <v>N</v>
      </c>
      <c r="X196" s="126">
        <f t="shared" si="57"/>
        <v>1</v>
      </c>
      <c r="Y196" s="79">
        <f t="shared" si="50"/>
        <v>5.8593999999999999</v>
      </c>
      <c r="Z196" s="79">
        <f t="shared" si="51"/>
        <v>8.2500000000000004E-2</v>
      </c>
      <c r="AA196" s="79">
        <f t="shared" si="52"/>
        <v>5.7769000000000004</v>
      </c>
      <c r="AB196" s="76" t="e">
        <f>VLOOKUP(A196,Enforcements!$C$7:$J$24,8,0)</f>
        <v>#N/A</v>
      </c>
      <c r="AC196" s="72" t="e">
        <f>VLOOKUP(A196,Enforcements!$C$7:$E$24,3,0)</f>
        <v>#N/A</v>
      </c>
      <c r="AD196" s="73" t="str">
        <f t="shared" si="53"/>
        <v>1824-30</v>
      </c>
      <c r="AE196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196" s="65" t="str">
        <f t="shared" si="55"/>
        <v>"C:\Program Files (x86)\AstroGrep\AstroGrep.exe" /spath="C:\Users\stu\Documents\Analysis\2016-02-23 RTDC Observations" /stypes="*4037*20160730*" /stext=" 15:.+((SYSTEM_STATE.+slice.+state.+changed )|(ment ac)|(system.+state.+changed )|(\|lc)|(penalty)|(\[timeout)|(PRM\|1\|D))" /e /r /s</v>
      </c>
      <c r="AG196" s="1" t="str">
        <f t="shared" si="58"/>
        <v>NW</v>
      </c>
    </row>
    <row r="197" spans="1:33" hidden="1" x14ac:dyDescent="0.25">
      <c r="A197" s="45" t="s">
        <v>779</v>
      </c>
      <c r="B197" s="7">
        <v>4038</v>
      </c>
      <c r="C197" s="25" t="s">
        <v>170</v>
      </c>
      <c r="D197" s="25" t="s">
        <v>468</v>
      </c>
      <c r="E197" s="16">
        <v>42581.400787037041</v>
      </c>
      <c r="F197" s="16">
        <v>42581.401759259257</v>
      </c>
      <c r="G197" s="7">
        <v>1</v>
      </c>
      <c r="H197" s="16" t="s">
        <v>876</v>
      </c>
      <c r="I197" s="16">
        <v>42581.413576388892</v>
      </c>
      <c r="J197" s="7">
        <v>0</v>
      </c>
      <c r="K197" s="123" t="str">
        <f t="shared" si="44"/>
        <v>4037/4038</v>
      </c>
      <c r="L197" s="25" t="str">
        <f>VLOOKUP(A197,'Trips&amp;Operators'!$C$1:$E$10000,3,FALSE)</f>
        <v>HELVIE</v>
      </c>
      <c r="M197" s="6">
        <f t="shared" si="45"/>
        <v>1.1817129634437151E-2</v>
      </c>
      <c r="N197" s="7">
        <f t="shared" si="46"/>
        <v>17.016666673589498</v>
      </c>
      <c r="O197" s="7"/>
      <c r="P197" s="7"/>
      <c r="Q197" s="26"/>
      <c r="R197" s="26"/>
      <c r="S197" s="41">
        <f t="shared" si="47"/>
        <v>1</v>
      </c>
      <c r="T197" s="59" t="str">
        <f t="shared" si="56"/>
        <v>NorthBound</v>
      </c>
      <c r="U197" s="84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08:37:08-0600',mode:absolute,to:'2016-07-30 10:55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97" s="64" t="str">
        <f t="shared" si="49"/>
        <v>N</v>
      </c>
      <c r="X197" s="126">
        <f t="shared" si="57"/>
        <v>1</v>
      </c>
      <c r="Y197" s="79">
        <f t="shared" si="50"/>
        <v>0.1125</v>
      </c>
      <c r="Z197" s="79">
        <f t="shared" si="51"/>
        <v>5.8909000000000002</v>
      </c>
      <c r="AA197" s="79">
        <f t="shared" si="52"/>
        <v>5.7784000000000004</v>
      </c>
      <c r="AB197" s="76" t="e">
        <f>VLOOKUP(A197,Enforcements!$C$7:$J$24,8,0)</f>
        <v>#N/A</v>
      </c>
      <c r="AC197" s="72" t="e">
        <f>VLOOKUP(A197,Enforcements!$C$7:$E$24,3,0)</f>
        <v>#N/A</v>
      </c>
      <c r="AD197" s="73" t="str">
        <f t="shared" si="53"/>
        <v>1825-30</v>
      </c>
      <c r="AE197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197" s="65" t="str">
        <f t="shared" si="55"/>
        <v>"C:\Program Files (x86)\AstroGrep\AstroGrep.exe" /spath="C:\Users\stu\Documents\Analysis\2016-02-23 RTDC Observations" /stypes="*4038*20160730*" /stext=" 15:.+((SYSTEM_STATE.+slice.+state.+changed )|(ment ac)|(system.+state.+changed )|(\|lc)|(penalty)|(\[timeout)|(PRM\|1\|D))" /e /r /s</v>
      </c>
      <c r="AG197" s="1" t="str">
        <f t="shared" si="58"/>
        <v>NW</v>
      </c>
    </row>
    <row r="198" spans="1:33" hidden="1" x14ac:dyDescent="0.25">
      <c r="A198" s="45" t="s">
        <v>713</v>
      </c>
      <c r="B198" s="7">
        <v>4026</v>
      </c>
      <c r="C198" s="25" t="s">
        <v>170</v>
      </c>
      <c r="D198" s="25" t="s">
        <v>365</v>
      </c>
      <c r="E198" s="16">
        <v>42581.392534722225</v>
      </c>
      <c r="F198" s="16">
        <v>42581.39366898148</v>
      </c>
      <c r="G198" s="7">
        <v>1</v>
      </c>
      <c r="H198" s="16" t="s">
        <v>877</v>
      </c>
      <c r="I198" s="16">
        <v>42581.411203703705</v>
      </c>
      <c r="J198" s="7">
        <v>0</v>
      </c>
      <c r="K198" s="123" t="str">
        <f t="shared" si="44"/>
        <v>4025/4026</v>
      </c>
      <c r="L198" s="25" t="str">
        <f>VLOOKUP(A198,'Trips&amp;Operators'!$C$1:$E$10000,3,FALSE)</f>
        <v>MADLOM</v>
      </c>
      <c r="M198" s="6">
        <f t="shared" si="45"/>
        <v>1.7534722224809229E-2</v>
      </c>
      <c r="N198" s="7">
        <f t="shared" si="46"/>
        <v>25.25000000372529</v>
      </c>
      <c r="O198" s="7"/>
      <c r="P198" s="7"/>
      <c r="Q198" s="26"/>
      <c r="R198" s="26"/>
      <c r="S198" s="41">
        <f t="shared" si="47"/>
        <v>1</v>
      </c>
      <c r="T198" s="59" t="str">
        <f t="shared" si="56"/>
        <v>Southbound</v>
      </c>
      <c r="U198" s="84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08:25:15-0600',mode:absolute,to:'2016-07-30 10:52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198" s="64" t="str">
        <f t="shared" si="49"/>
        <v>N</v>
      </c>
      <c r="X198" s="126">
        <f t="shared" si="57"/>
        <v>1</v>
      </c>
      <c r="Y198" s="79">
        <f t="shared" si="50"/>
        <v>5.86</v>
      </c>
      <c r="Z198" s="79">
        <f t="shared" si="51"/>
        <v>8.0399999999999999E-2</v>
      </c>
      <c r="AA198" s="79">
        <f t="shared" si="52"/>
        <v>5.7796000000000003</v>
      </c>
      <c r="AB198" s="76" t="e">
        <f>VLOOKUP(A198,Enforcements!$C$7:$J$24,8,0)</f>
        <v>#N/A</v>
      </c>
      <c r="AC198" s="72" t="e">
        <f>VLOOKUP(A198,Enforcements!$C$7:$E$24,3,0)</f>
        <v>#N/A</v>
      </c>
      <c r="AD198" s="73" t="str">
        <f t="shared" si="53"/>
        <v>1826-30</v>
      </c>
      <c r="AE198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198" s="65" t="str">
        <f t="shared" si="55"/>
        <v>"C:\Program Files (x86)\AstroGrep\AstroGrep.exe" /spath="C:\Users\stu\Documents\Analysis\2016-02-23 RTDC Observations" /stypes="*4026*20160730*" /stext=" 15:.+((SYSTEM_STATE.+slice.+state.+changed )|(ment ac)|(system.+state.+changed )|(\|lc)|(penalty)|(\[timeout)|(PRM\|1\|D))" /e /r /s</v>
      </c>
      <c r="AG198" s="1" t="str">
        <f t="shared" si="58"/>
        <v>NW</v>
      </c>
    </row>
    <row r="199" spans="1:33" hidden="1" x14ac:dyDescent="0.25">
      <c r="A199" s="45" t="s">
        <v>778</v>
      </c>
      <c r="B199" s="7">
        <v>4025</v>
      </c>
      <c r="C199" s="25" t="s">
        <v>170</v>
      </c>
      <c r="D199" s="25" t="s">
        <v>878</v>
      </c>
      <c r="E199" s="16">
        <v>42581.414641203701</v>
      </c>
      <c r="F199" s="16">
        <v>42581.418425925927</v>
      </c>
      <c r="G199" s="7">
        <v>5</v>
      </c>
      <c r="H199" s="16" t="s">
        <v>879</v>
      </c>
      <c r="I199" s="16">
        <v>42581.428981481484</v>
      </c>
      <c r="J199" s="7">
        <v>0</v>
      </c>
      <c r="K199" s="123" t="str">
        <f t="shared" si="44"/>
        <v>4025/4026</v>
      </c>
      <c r="L199" s="25" t="str">
        <f>VLOOKUP(A199,'Trips&amp;Operators'!$C$1:$E$10000,3,FALSE)</f>
        <v>NATION</v>
      </c>
      <c r="M199" s="6">
        <f t="shared" si="45"/>
        <v>1.0555555556493346E-2</v>
      </c>
      <c r="N199" s="7">
        <f t="shared" si="46"/>
        <v>15.200000001350418</v>
      </c>
      <c r="O199" s="7"/>
      <c r="P199" s="7"/>
      <c r="Q199" s="26"/>
      <c r="R199" s="26"/>
      <c r="S199" s="41">
        <f t="shared" si="47"/>
        <v>1</v>
      </c>
      <c r="T199" s="59" t="str">
        <f t="shared" si="56"/>
        <v>NorthBound</v>
      </c>
      <c r="U199" s="84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08:57:05-0600',mode:absolute,to:'2016-07-30 11:17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199" s="64" t="str">
        <f t="shared" si="49"/>
        <v>N</v>
      </c>
      <c r="X199" s="126">
        <f t="shared" si="57"/>
        <v>1</v>
      </c>
      <c r="Y199" s="79">
        <f t="shared" si="50"/>
        <v>0.1613</v>
      </c>
      <c r="Z199" s="79">
        <f t="shared" si="51"/>
        <v>5.8897000000000004</v>
      </c>
      <c r="AA199" s="79">
        <f t="shared" si="52"/>
        <v>5.7284000000000006</v>
      </c>
      <c r="AB199" s="76" t="e">
        <f>VLOOKUP(A199,Enforcements!$C$7:$J$24,8,0)</f>
        <v>#N/A</v>
      </c>
      <c r="AC199" s="72" t="e">
        <f>VLOOKUP(A199,Enforcements!$C$7:$E$24,3,0)</f>
        <v>#N/A</v>
      </c>
      <c r="AD199" s="73" t="str">
        <f t="shared" si="53"/>
        <v>1827-30</v>
      </c>
      <c r="AE199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199" s="65" t="str">
        <f t="shared" si="55"/>
        <v>"C:\Program Files (x86)\AstroGrep\AstroGrep.exe" /spath="C:\Users\stu\Documents\Analysis\2016-02-23 RTDC Observations" /stypes="*4025*20160730*" /stext=" 16:.+((SYSTEM_STATE.+slice.+state.+changed )|(ment ac)|(system.+state.+changed )|(\|lc)|(penalty)|(\[timeout)|(PRM\|1\|D))" /e /r /s</v>
      </c>
      <c r="AG199" s="1" t="str">
        <f t="shared" si="58"/>
        <v>NW</v>
      </c>
    </row>
    <row r="200" spans="1:33" hidden="1" x14ac:dyDescent="0.25">
      <c r="A200" s="45" t="s">
        <v>734</v>
      </c>
      <c r="B200" s="7">
        <v>4019</v>
      </c>
      <c r="C200" s="25" t="s">
        <v>170</v>
      </c>
      <c r="D200" s="25" t="s">
        <v>880</v>
      </c>
      <c r="E200" s="16">
        <v>42581.412141203706</v>
      </c>
      <c r="F200" s="16">
        <v>42581.412939814814</v>
      </c>
      <c r="G200" s="7">
        <v>1</v>
      </c>
      <c r="H200" s="16" t="s">
        <v>364</v>
      </c>
      <c r="I200" s="16">
        <v>42581.42460648148</v>
      </c>
      <c r="J200" s="7">
        <v>0</v>
      </c>
      <c r="K200" s="123" t="str">
        <f t="shared" si="44"/>
        <v>4019/4020</v>
      </c>
      <c r="L200" s="25" t="str">
        <f>VLOOKUP(A200,'Trips&amp;Operators'!$C$1:$E$10000,3,FALSE)</f>
        <v>YORK</v>
      </c>
      <c r="M200" s="6">
        <f t="shared" si="45"/>
        <v>1.1666666665405501E-2</v>
      </c>
      <c r="N200" s="7">
        <f t="shared" si="46"/>
        <v>16.799999998183921</v>
      </c>
      <c r="O200" s="7"/>
      <c r="P200" s="7"/>
      <c r="Q200" s="26"/>
      <c r="R200" s="26"/>
      <c r="S200" s="41">
        <f t="shared" si="47"/>
        <v>1</v>
      </c>
      <c r="T200" s="59" t="str">
        <f t="shared" si="56"/>
        <v>Southbound</v>
      </c>
      <c r="U200" s="84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08:53:29-0600',mode:absolute,to:'2016-07-30 11:11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0" s="64" t="str">
        <f t="shared" si="49"/>
        <v>N</v>
      </c>
      <c r="X200" s="126">
        <f t="shared" si="57"/>
        <v>1</v>
      </c>
      <c r="Y200" s="79">
        <f t="shared" si="50"/>
        <v>5.8582999999999998</v>
      </c>
      <c r="Z200" s="79">
        <f t="shared" si="51"/>
        <v>7.6200000000000004E-2</v>
      </c>
      <c r="AA200" s="79">
        <f t="shared" si="52"/>
        <v>5.7820999999999998</v>
      </c>
      <c r="AB200" s="76" t="e">
        <f>VLOOKUP(A200,Enforcements!$C$7:$J$24,8,0)</f>
        <v>#N/A</v>
      </c>
      <c r="AC200" s="72" t="e">
        <f>VLOOKUP(A200,Enforcements!$C$7:$E$24,3,0)</f>
        <v>#N/A</v>
      </c>
      <c r="AD200" s="73" t="str">
        <f t="shared" si="53"/>
        <v>1828-30</v>
      </c>
      <c r="AE200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00" s="65" t="str">
        <f t="shared" si="55"/>
        <v>"C:\Program Files (x86)\AstroGrep\AstroGrep.exe" /spath="C:\Users\stu\Documents\Analysis\2016-02-23 RTDC Observations" /stypes="*4019*20160730*" /stext=" 16:.+((SYSTEM_STATE.+slice.+state.+changed )|(ment ac)|(system.+state.+changed )|(\|lc)|(penalty)|(\[timeout)|(PRM\|1\|D))" /e /r /s</v>
      </c>
      <c r="AG200" s="1" t="str">
        <f t="shared" si="58"/>
        <v>NW</v>
      </c>
    </row>
    <row r="201" spans="1:33" hidden="1" x14ac:dyDescent="0.25">
      <c r="A201" s="45" t="s">
        <v>768</v>
      </c>
      <c r="B201" s="7">
        <v>4020</v>
      </c>
      <c r="C201" s="25" t="s">
        <v>170</v>
      </c>
      <c r="D201" s="25" t="s">
        <v>881</v>
      </c>
      <c r="E201" s="16">
        <v>42581.425833333335</v>
      </c>
      <c r="F201" s="16">
        <v>42581.426655092589</v>
      </c>
      <c r="G201" s="7">
        <v>1</v>
      </c>
      <c r="H201" s="16" t="s">
        <v>331</v>
      </c>
      <c r="I201" s="16">
        <v>42581.439942129633</v>
      </c>
      <c r="J201" s="7">
        <v>0</v>
      </c>
      <c r="K201" s="123" t="str">
        <f t="shared" si="44"/>
        <v>4019/4020</v>
      </c>
      <c r="L201" s="25" t="str">
        <f>VLOOKUP(A201,'Trips&amp;Operators'!$C$1:$E$10000,3,FALSE)</f>
        <v>YORK</v>
      </c>
      <c r="M201" s="6">
        <f t="shared" si="45"/>
        <v>1.3287037043482997E-2</v>
      </c>
      <c r="N201" s="7">
        <f t="shared" si="46"/>
        <v>19.133333342615515</v>
      </c>
      <c r="O201" s="7"/>
      <c r="P201" s="7"/>
      <c r="Q201" s="26"/>
      <c r="R201" s="26"/>
      <c r="S201" s="41">
        <f t="shared" si="47"/>
        <v>1</v>
      </c>
      <c r="T201" s="59" t="str">
        <f t="shared" si="56"/>
        <v>NorthBound</v>
      </c>
      <c r="U201" s="84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09:13:12-0600',mode:absolute,to:'2016-07-30 11:33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1" s="64" t="str">
        <f t="shared" si="49"/>
        <v>N</v>
      </c>
      <c r="X201" s="126">
        <f t="shared" si="57"/>
        <v>1</v>
      </c>
      <c r="Y201" s="79">
        <f t="shared" si="50"/>
        <v>0.107</v>
      </c>
      <c r="Z201" s="79">
        <f t="shared" si="51"/>
        <v>5.8901000000000003</v>
      </c>
      <c r="AA201" s="79">
        <f t="shared" si="52"/>
        <v>5.7831000000000001</v>
      </c>
      <c r="AB201" s="76" t="e">
        <f>VLOOKUP(A201,Enforcements!$C$7:$J$24,8,0)</f>
        <v>#N/A</v>
      </c>
      <c r="AC201" s="72" t="e">
        <f>VLOOKUP(A201,Enforcements!$C$7:$E$24,3,0)</f>
        <v>#N/A</v>
      </c>
      <c r="AD201" s="73" t="str">
        <f t="shared" si="53"/>
        <v>1829-30</v>
      </c>
      <c r="AE201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01" s="65" t="str">
        <f t="shared" si="55"/>
        <v>"C:\Program Files (x86)\AstroGrep\AstroGrep.exe" /spath="C:\Users\stu\Documents\Analysis\2016-02-23 RTDC Observations" /stypes="*4020*20160730*" /stext=" 16:.+((SYSTEM_STATE.+slice.+state.+changed )|(ment ac)|(system.+state.+changed )|(\|lc)|(penalty)|(\[timeout)|(PRM\|1\|D))" /e /r /s</v>
      </c>
      <c r="AG201" s="1" t="str">
        <f t="shared" si="58"/>
        <v>NW</v>
      </c>
    </row>
    <row r="202" spans="1:33" hidden="1" x14ac:dyDescent="0.25">
      <c r="A202" s="45" t="s">
        <v>742</v>
      </c>
      <c r="B202" s="7">
        <v>4037</v>
      </c>
      <c r="C202" s="25" t="s">
        <v>170</v>
      </c>
      <c r="D202" s="25" t="s">
        <v>883</v>
      </c>
      <c r="E202" s="16">
        <v>42581.426828703705</v>
      </c>
      <c r="F202" s="16">
        <v>42581.428182870368</v>
      </c>
      <c r="G202" s="7">
        <v>1</v>
      </c>
      <c r="H202" s="16" t="s">
        <v>320</v>
      </c>
      <c r="I202" s="16">
        <v>42581.439710648148</v>
      </c>
      <c r="J202" s="7">
        <v>0</v>
      </c>
      <c r="K202" s="123" t="str">
        <f t="shared" si="44"/>
        <v>4037/4038</v>
      </c>
      <c r="L202" s="25" t="str">
        <f>VLOOKUP(A202,'Trips&amp;Operators'!$C$1:$E$10000,3,FALSE)</f>
        <v>HELVIE</v>
      </c>
      <c r="M202" s="6">
        <f t="shared" si="45"/>
        <v>1.152777778042946E-2</v>
      </c>
      <c r="N202" s="7">
        <f t="shared" si="46"/>
        <v>16.600000003818423</v>
      </c>
      <c r="O202" s="7"/>
      <c r="P202" s="7"/>
      <c r="Q202" s="26"/>
      <c r="R202" s="26"/>
      <c r="S202" s="41">
        <f t="shared" si="47"/>
        <v>1</v>
      </c>
      <c r="T202" s="59" t="str">
        <f t="shared" si="56"/>
        <v>Southbound</v>
      </c>
      <c r="U202" s="84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09:14:38-0600',mode:absolute,to:'2016-07-30 11:33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2" s="64" t="str">
        <f t="shared" si="49"/>
        <v>N</v>
      </c>
      <c r="X202" s="126">
        <f t="shared" si="57"/>
        <v>1</v>
      </c>
      <c r="Y202" s="79">
        <f t="shared" si="50"/>
        <v>5.8592000000000004</v>
      </c>
      <c r="Z202" s="79">
        <f t="shared" si="51"/>
        <v>7.5700000000000003E-2</v>
      </c>
      <c r="AA202" s="79">
        <f t="shared" si="52"/>
        <v>5.7835000000000001</v>
      </c>
      <c r="AB202" s="76" t="e">
        <f>VLOOKUP(A202,Enforcements!$C$7:$J$24,8,0)</f>
        <v>#N/A</v>
      </c>
      <c r="AC202" s="72" t="e">
        <f>VLOOKUP(A202,Enforcements!$C$7:$E$24,3,0)</f>
        <v>#N/A</v>
      </c>
      <c r="AD202" s="73" t="str">
        <f t="shared" si="53"/>
        <v>1830-30</v>
      </c>
      <c r="AE202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02" s="65" t="str">
        <f t="shared" si="55"/>
        <v>"C:\Program Files (x86)\AstroGrep\AstroGrep.exe" /spath="C:\Users\stu\Documents\Analysis\2016-02-23 RTDC Observations" /stypes="*4037*20160730*" /stext=" 16:.+((SYSTEM_STATE.+slice.+state.+changed )|(ment ac)|(system.+state.+changed )|(\|lc)|(penalty)|(\[timeout)|(PRM\|1\|D))" /e /r /s</v>
      </c>
      <c r="AG202" s="1" t="str">
        <f t="shared" si="58"/>
        <v>NW</v>
      </c>
    </row>
    <row r="203" spans="1:33" hidden="1" x14ac:dyDescent="0.25">
      <c r="A203" s="45" t="s">
        <v>812</v>
      </c>
      <c r="B203" s="7">
        <v>4038</v>
      </c>
      <c r="C203" s="25" t="s">
        <v>170</v>
      </c>
      <c r="D203" s="25" t="s">
        <v>884</v>
      </c>
      <c r="E203" s="16">
        <v>42581.442708333336</v>
      </c>
      <c r="F203" s="16">
        <v>42581.444212962961</v>
      </c>
      <c r="G203" s="7">
        <v>2</v>
      </c>
      <c r="H203" s="16" t="s">
        <v>368</v>
      </c>
      <c r="I203" s="16">
        <v>42581.454814814817</v>
      </c>
      <c r="J203" s="7">
        <v>1</v>
      </c>
      <c r="K203" s="123" t="str">
        <f t="shared" si="44"/>
        <v>4037/4038</v>
      </c>
      <c r="L203" s="25" t="str">
        <f>VLOOKUP(A203,'Trips&amp;Operators'!$C$1:$E$10000,3,FALSE)</f>
        <v>HELVIE</v>
      </c>
      <c r="M203" s="6">
        <f t="shared" si="45"/>
        <v>1.0601851856335998E-2</v>
      </c>
      <c r="N203" s="7">
        <f t="shared" si="46"/>
        <v>15.266666673123837</v>
      </c>
      <c r="O203" s="7"/>
      <c r="P203" s="7"/>
      <c r="Q203" s="26"/>
      <c r="R203" s="26"/>
      <c r="S203" s="41">
        <f t="shared" si="47"/>
        <v>1</v>
      </c>
      <c r="T203" s="59" t="str">
        <f t="shared" si="56"/>
        <v>NorthBound</v>
      </c>
      <c r="U203" s="84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09:37:30-0600',mode:absolute,to:'2016-07-30 11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3" s="64" t="str">
        <f t="shared" si="49"/>
        <v>N</v>
      </c>
      <c r="X203" s="126">
        <f t="shared" si="57"/>
        <v>1</v>
      </c>
      <c r="Y203" s="79">
        <f t="shared" si="50"/>
        <v>0.10390000000000001</v>
      </c>
      <c r="Z203" s="79">
        <f t="shared" si="51"/>
        <v>5.8912000000000004</v>
      </c>
      <c r="AA203" s="79">
        <f t="shared" si="52"/>
        <v>5.7873000000000001</v>
      </c>
      <c r="AB203" s="76" t="e">
        <f>VLOOKUP(A203,Enforcements!$C$7:$J$24,8,0)</f>
        <v>#N/A</v>
      </c>
      <c r="AC203" s="72" t="e">
        <f>VLOOKUP(A203,Enforcements!$C$7:$E$24,3,0)</f>
        <v>#N/A</v>
      </c>
      <c r="AD203" s="73" t="str">
        <f t="shared" si="53"/>
        <v>1831-30</v>
      </c>
      <c r="AE203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03" s="65" t="str">
        <f t="shared" si="55"/>
        <v>"C:\Program Files (x86)\AstroGrep\AstroGrep.exe" /spath="C:\Users\stu\Documents\Analysis\2016-02-23 RTDC Observations" /stypes="*4038*20160730*" /stext=" 16:.+((SYSTEM_STATE.+slice.+state.+changed )|(ment ac)|(system.+state.+changed )|(\|lc)|(penalty)|(\[timeout)|(PRM\|1\|D))" /e /r /s</v>
      </c>
      <c r="AG203" s="1" t="str">
        <f t="shared" si="58"/>
        <v>NW</v>
      </c>
    </row>
    <row r="204" spans="1:33" hidden="1" x14ac:dyDescent="0.25">
      <c r="A204" s="45" t="s">
        <v>752</v>
      </c>
      <c r="B204" s="7">
        <v>4026</v>
      </c>
      <c r="C204" s="25" t="s">
        <v>170</v>
      </c>
      <c r="D204" s="25" t="s">
        <v>408</v>
      </c>
      <c r="E204" s="16">
        <v>42581.433113425926</v>
      </c>
      <c r="F204" s="16">
        <v>42581.434652777774</v>
      </c>
      <c r="G204" s="7">
        <v>2</v>
      </c>
      <c r="H204" s="16" t="s">
        <v>885</v>
      </c>
      <c r="I204" s="16">
        <v>42581.45453703704</v>
      </c>
      <c r="J204" s="7">
        <v>0</v>
      </c>
      <c r="K204" s="123" t="str">
        <f t="shared" si="44"/>
        <v>4025/4026</v>
      </c>
      <c r="L204" s="25" t="str">
        <f>VLOOKUP(A204,'Trips&amp;Operators'!$C$1:$E$10000,3,FALSE)</f>
        <v>NATION</v>
      </c>
      <c r="M204" s="6">
        <f t="shared" si="45"/>
        <v>1.9884259265381843E-2</v>
      </c>
      <c r="N204" s="7">
        <f t="shared" si="46"/>
        <v>28.633333342149854</v>
      </c>
      <c r="O204" s="7"/>
      <c r="P204" s="7"/>
      <c r="Q204" s="26"/>
      <c r="R204" s="26"/>
      <c r="S204" s="41">
        <f t="shared" si="47"/>
        <v>1</v>
      </c>
      <c r="T204" s="59" t="str">
        <f t="shared" si="56"/>
        <v>Southbound</v>
      </c>
      <c r="U204" s="84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09:23:41-0600',mode:absolute,to:'2016-07-30 11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04" s="64" t="str">
        <f t="shared" si="49"/>
        <v>N</v>
      </c>
      <c r="X204" s="126">
        <f t="shared" si="57"/>
        <v>1</v>
      </c>
      <c r="Y204" s="79">
        <f t="shared" si="50"/>
        <v>5.8585000000000003</v>
      </c>
      <c r="Z204" s="79">
        <f t="shared" si="51"/>
        <v>8.0600000000000005E-2</v>
      </c>
      <c r="AA204" s="79">
        <f t="shared" si="52"/>
        <v>5.7779000000000007</v>
      </c>
      <c r="AB204" s="76" t="e">
        <f>VLOOKUP(A204,Enforcements!$C$7:$J$24,8,0)</f>
        <v>#N/A</v>
      </c>
      <c r="AC204" s="72" t="e">
        <f>VLOOKUP(A204,Enforcements!$C$7:$E$24,3,0)</f>
        <v>#N/A</v>
      </c>
      <c r="AD204" s="73" t="str">
        <f t="shared" si="53"/>
        <v>1832-30</v>
      </c>
      <c r="AE204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04" s="65" t="str">
        <f t="shared" si="55"/>
        <v>"C:\Program Files (x86)\AstroGrep\AstroGrep.exe" /spath="C:\Users\stu\Documents\Analysis\2016-02-23 RTDC Observations" /stypes="*4026*20160730*" /stext=" 16:.+((SYSTEM_STATE.+slice.+state.+changed )|(ment ac)|(system.+state.+changed )|(\|lc)|(penalty)|(\[timeout)|(PRM\|1\|D))" /e /r /s</v>
      </c>
      <c r="AG204" s="1" t="str">
        <f t="shared" si="58"/>
        <v>NW</v>
      </c>
    </row>
    <row r="205" spans="1:33" hidden="1" x14ac:dyDescent="0.25">
      <c r="A205" s="45" t="s">
        <v>824</v>
      </c>
      <c r="B205" s="7">
        <v>4025</v>
      </c>
      <c r="C205" s="25" t="s">
        <v>170</v>
      </c>
      <c r="D205" s="25" t="s">
        <v>625</v>
      </c>
      <c r="E205" s="16">
        <v>42581.457384259258</v>
      </c>
      <c r="F205" s="16">
        <v>42581.458449074074</v>
      </c>
      <c r="G205" s="7">
        <v>1</v>
      </c>
      <c r="H205" s="16" t="s">
        <v>368</v>
      </c>
      <c r="I205" s="16">
        <v>42581.469537037039</v>
      </c>
      <c r="J205" s="7">
        <v>0</v>
      </c>
      <c r="K205" s="123" t="str">
        <f t="shared" si="44"/>
        <v>4025/4026</v>
      </c>
      <c r="L205" s="25" t="str">
        <f>VLOOKUP(A205,'Trips&amp;Operators'!$C$1:$E$10000,3,FALSE)</f>
        <v>NATION</v>
      </c>
      <c r="M205" s="6">
        <f t="shared" si="45"/>
        <v>1.1087962964666076E-2</v>
      </c>
      <c r="N205" s="7">
        <f t="shared" si="46"/>
        <v>15.966666669119149</v>
      </c>
      <c r="O205" s="7"/>
      <c r="P205" s="7"/>
      <c r="Q205" s="26"/>
      <c r="R205" s="26"/>
      <c r="S205" s="41">
        <f t="shared" si="47"/>
        <v>1</v>
      </c>
      <c r="T205" s="59" t="str">
        <f t="shared" ref="T205:T267" si="73">IF(ISEVEN(LEFT(AD205,4)),"Southbound","NorthBound")</f>
        <v>NorthBound</v>
      </c>
      <c r="U205" s="84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09:58:38-0600',mode:absolute,to:'2016-07-30 12:16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05" s="64" t="str">
        <f t="shared" si="49"/>
        <v>N</v>
      </c>
      <c r="X205" s="126">
        <f t="shared" si="57"/>
        <v>1</v>
      </c>
      <c r="Y205" s="79">
        <f t="shared" si="50"/>
        <v>0.11020000000000001</v>
      </c>
      <c r="Z205" s="79">
        <f t="shared" si="51"/>
        <v>5.8912000000000004</v>
      </c>
      <c r="AA205" s="79">
        <f t="shared" si="52"/>
        <v>5.7810000000000006</v>
      </c>
      <c r="AB205" s="76" t="e">
        <f>VLOOKUP(A205,Enforcements!$C$7:$J$24,8,0)</f>
        <v>#N/A</v>
      </c>
      <c r="AC205" s="72" t="e">
        <f>VLOOKUP(A205,Enforcements!$C$7:$E$24,3,0)</f>
        <v>#N/A</v>
      </c>
      <c r="AD205" s="73" t="str">
        <f t="shared" si="53"/>
        <v>1833-30</v>
      </c>
      <c r="AE205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05" s="65" t="str">
        <f t="shared" si="55"/>
        <v>"C:\Program Files (x86)\AstroGrep\AstroGrep.exe" /spath="C:\Users\stu\Documents\Analysis\2016-02-23 RTDC Observations" /stypes="*4025*20160730*" /stext=" 17:.+((SYSTEM_STATE.+slice.+state.+changed )|(ment ac)|(system.+state.+changed )|(\|lc)|(penalty)|(\[timeout)|(PRM\|1\|D))" /e /r /s</v>
      </c>
      <c r="AG205" s="1" t="str">
        <f t="shared" si="58"/>
        <v>NW</v>
      </c>
    </row>
    <row r="206" spans="1:33" hidden="1" x14ac:dyDescent="0.25">
      <c r="A206" s="45" t="s">
        <v>825</v>
      </c>
      <c r="B206" s="7">
        <v>4019</v>
      </c>
      <c r="C206" s="25" t="s">
        <v>170</v>
      </c>
      <c r="D206" s="25" t="s">
        <v>880</v>
      </c>
      <c r="E206" s="16">
        <v>42581.440960648149</v>
      </c>
      <c r="F206" s="16">
        <v>42581.441793981481</v>
      </c>
      <c r="G206" s="7">
        <v>1</v>
      </c>
      <c r="H206" s="16" t="s">
        <v>886</v>
      </c>
      <c r="I206" s="16">
        <v>42581.467719907407</v>
      </c>
      <c r="J206" s="7">
        <v>0</v>
      </c>
      <c r="K206" s="123" t="str">
        <f t="shared" si="44"/>
        <v>4019/4020</v>
      </c>
      <c r="L206" s="25" t="str">
        <f>VLOOKUP(A206,'Trips&amp;Operators'!$C$1:$E$10000,3,FALSE)</f>
        <v>YORK</v>
      </c>
      <c r="M206" s="6">
        <f t="shared" si="45"/>
        <v>2.5925925925548654E-2</v>
      </c>
      <c r="N206" s="7">
        <f t="shared" si="46"/>
        <v>37.333333332790062</v>
      </c>
      <c r="O206" s="7"/>
      <c r="P206" s="7"/>
      <c r="Q206" s="26"/>
      <c r="R206" s="26"/>
      <c r="S206" s="41">
        <f t="shared" si="47"/>
        <v>1</v>
      </c>
      <c r="T206" s="59" t="str">
        <f t="shared" si="73"/>
        <v>Southbound</v>
      </c>
      <c r="U206" s="84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09:34:59-0600',mode:absolute,to:'2016-07-30 12:13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6" s="64" t="str">
        <f t="shared" si="49"/>
        <v>N</v>
      </c>
      <c r="X206" s="126">
        <f t="shared" si="57"/>
        <v>1</v>
      </c>
      <c r="Y206" s="79">
        <f t="shared" si="50"/>
        <v>5.8582999999999998</v>
      </c>
      <c r="Z206" s="79">
        <f t="shared" si="51"/>
        <v>7.9699999999999993E-2</v>
      </c>
      <c r="AA206" s="79">
        <f t="shared" si="52"/>
        <v>5.7786</v>
      </c>
      <c r="AB206" s="76" t="e">
        <f>VLOOKUP(A206,Enforcements!$C$7:$J$24,8,0)</f>
        <v>#N/A</v>
      </c>
      <c r="AC206" s="72" t="e">
        <f>VLOOKUP(A206,Enforcements!$C$7:$E$24,3,0)</f>
        <v>#N/A</v>
      </c>
      <c r="AD206" s="73" t="str">
        <f t="shared" si="53"/>
        <v>1834-30</v>
      </c>
      <c r="AE206" s="65" t="str">
        <f t="shared" si="5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06" s="65" t="str">
        <f t="shared" si="55"/>
        <v>"C:\Program Files (x86)\AstroGrep\AstroGrep.exe" /spath="C:\Users\stu\Documents\Analysis\2016-02-23 RTDC Observations" /stypes="*4019*20160730*" /stext=" 17:.+((SYSTEM_STATE.+slice.+state.+changed )|(ment ac)|(system.+state.+changed )|(\|lc)|(penalty)|(\[timeout)|(PRM\|1\|D))" /e /r /s</v>
      </c>
      <c r="AG206" s="1" t="str">
        <f t="shared" si="58"/>
        <v>NW</v>
      </c>
    </row>
    <row r="207" spans="1:33" hidden="1" x14ac:dyDescent="0.25">
      <c r="A207" s="45" t="s">
        <v>832</v>
      </c>
      <c r="B207" s="7">
        <v>4020</v>
      </c>
      <c r="C207" s="25" t="s">
        <v>170</v>
      </c>
      <c r="D207" s="25" t="s">
        <v>887</v>
      </c>
      <c r="E207" s="16">
        <v>42581.469074074077</v>
      </c>
      <c r="F207" s="16">
        <v>42581.469861111109</v>
      </c>
      <c r="G207" s="7">
        <v>1</v>
      </c>
      <c r="H207" s="16" t="s">
        <v>888</v>
      </c>
      <c r="I207" s="16">
        <v>42581.482581018521</v>
      </c>
      <c r="J207" s="7">
        <v>1</v>
      </c>
      <c r="K207" s="123" t="str">
        <f t="shared" si="44"/>
        <v>4019/4020</v>
      </c>
      <c r="L207" s="25" t="str">
        <f>VLOOKUP(A207,'Trips&amp;Operators'!$C$1:$E$10000,3,FALSE)</f>
        <v>YORK</v>
      </c>
      <c r="M207" s="6">
        <f t="shared" si="45"/>
        <v>1.2719907412247267E-2</v>
      </c>
      <c r="N207" s="7">
        <f t="shared" si="46"/>
        <v>18.316666673636064</v>
      </c>
      <c r="O207" s="7"/>
      <c r="P207" s="7"/>
      <c r="Q207" s="26"/>
      <c r="R207" s="26"/>
      <c r="S207" s="41">
        <f t="shared" si="47"/>
        <v>1</v>
      </c>
      <c r="T207" s="59" t="str">
        <f t="shared" si="73"/>
        <v>NorthBound</v>
      </c>
      <c r="U207" s="84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10:15:28-0600',mode:absolute,to:'2016-07-30 12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7" s="64" t="str">
        <f t="shared" si="49"/>
        <v>N</v>
      </c>
      <c r="X207" s="126">
        <f t="shared" si="57"/>
        <v>1</v>
      </c>
      <c r="Y207" s="79">
        <f t="shared" si="50"/>
        <v>0.11</v>
      </c>
      <c r="Z207" s="79">
        <f t="shared" si="51"/>
        <v>5.8905000000000003</v>
      </c>
      <c r="AA207" s="79">
        <f t="shared" si="52"/>
        <v>5.7805</v>
      </c>
      <c r="AB207" s="76" t="e">
        <f>VLOOKUP(A207,Enforcements!$C$7:$J$24,8,0)</f>
        <v>#N/A</v>
      </c>
      <c r="AC207" s="72" t="e">
        <f>VLOOKUP(A207,Enforcements!$C$7:$E$24,3,0)</f>
        <v>#N/A</v>
      </c>
      <c r="AD207" s="73" t="str">
        <f t="shared" si="53"/>
        <v>1835-30</v>
      </c>
      <c r="AE207" s="65" t="str">
        <f t="shared" si="5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07" s="65" t="str">
        <f t="shared" si="55"/>
        <v>"C:\Program Files (x86)\AstroGrep\AstroGrep.exe" /spath="C:\Users\stu\Documents\Analysis\2016-02-23 RTDC Observations" /stypes="*4020*20160730*" /stext=" 17:.+((SYSTEM_STATE.+slice.+state.+changed )|(ment ac)|(system.+state.+changed )|(\|lc)|(penalty)|(\[timeout)|(PRM\|1\|D))" /e /r /s</v>
      </c>
      <c r="AG207" s="1" t="str">
        <f t="shared" si="58"/>
        <v>NW</v>
      </c>
    </row>
    <row r="208" spans="1:33" hidden="1" x14ac:dyDescent="0.25">
      <c r="A208" s="45" t="s">
        <v>816</v>
      </c>
      <c r="B208" s="7">
        <v>4037</v>
      </c>
      <c r="C208" s="25" t="s">
        <v>170</v>
      </c>
      <c r="D208" s="25" t="s">
        <v>889</v>
      </c>
      <c r="E208" s="16">
        <v>42581.467928240738</v>
      </c>
      <c r="F208" s="16">
        <v>42581.469513888886</v>
      </c>
      <c r="G208" s="7">
        <v>2</v>
      </c>
      <c r="H208" s="16" t="s">
        <v>890</v>
      </c>
      <c r="I208" s="16">
        <v>42581.480613425927</v>
      </c>
      <c r="J208" s="7">
        <v>1</v>
      </c>
      <c r="K208" s="123" t="str">
        <f t="shared" si="44"/>
        <v>4037/4038</v>
      </c>
      <c r="L208" s="25" t="str">
        <f>VLOOKUP(A208,'Trips&amp;Operators'!$C$1:$E$10000,3,FALSE)</f>
        <v>HELVIE</v>
      </c>
      <c r="M208" s="6">
        <f t="shared" si="45"/>
        <v>1.1099537041445728E-2</v>
      </c>
      <c r="N208" s="7">
        <f t="shared" si="46"/>
        <v>15.983333339681849</v>
      </c>
      <c r="O208" s="7"/>
      <c r="P208" s="7"/>
      <c r="Q208" s="26"/>
      <c r="R208" s="26"/>
      <c r="S208" s="41">
        <f t="shared" si="47"/>
        <v>1</v>
      </c>
      <c r="T208" s="59" t="str">
        <f t="shared" si="73"/>
        <v>Southbound</v>
      </c>
      <c r="U208" s="84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10:13:49-0600',mode:absolute,to:'2016-07-30 12:32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08" s="64" t="str">
        <f t="shared" si="49"/>
        <v>N</v>
      </c>
      <c r="X208" s="126">
        <f t="shared" si="57"/>
        <v>1</v>
      </c>
      <c r="Y208" s="79">
        <f t="shared" si="50"/>
        <v>5.8596000000000004</v>
      </c>
      <c r="Z208" s="79">
        <f t="shared" si="51"/>
        <v>8.1100000000000005E-2</v>
      </c>
      <c r="AA208" s="79">
        <f t="shared" si="52"/>
        <v>5.7785000000000002</v>
      </c>
      <c r="AB208" s="76" t="e">
        <f>VLOOKUP(A208,Enforcements!$C$7:$J$24,8,0)</f>
        <v>#N/A</v>
      </c>
      <c r="AC208" s="72" t="e">
        <f>VLOOKUP(A208,Enforcements!$C$7:$E$24,3,0)</f>
        <v>#N/A</v>
      </c>
      <c r="AD208" s="73" t="str">
        <f t="shared" si="53"/>
        <v>1836-30</v>
      </c>
      <c r="AE208" s="65" t="str">
        <f t="shared" si="5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08" s="65" t="str">
        <f t="shared" si="55"/>
        <v>"C:\Program Files (x86)\AstroGrep\AstroGrep.exe" /spath="C:\Users\stu\Documents\Analysis\2016-02-23 RTDC Observations" /stypes="*4037*20160730*" /stext=" 17:.+((SYSTEM_STATE.+slice.+state.+changed )|(ment ac)|(system.+state.+changed )|(\|lc)|(penalty)|(\[timeout)|(PRM\|1\|D))" /e /r /s</v>
      </c>
      <c r="AG208" s="1" t="str">
        <f t="shared" si="58"/>
        <v>NW</v>
      </c>
    </row>
    <row r="209" spans="1:33" hidden="1" x14ac:dyDescent="0.25">
      <c r="A209" s="45" t="s">
        <v>754</v>
      </c>
      <c r="B209" s="7">
        <v>4038</v>
      </c>
      <c r="C209" s="25" t="s">
        <v>170</v>
      </c>
      <c r="D209" s="25" t="s">
        <v>887</v>
      </c>
      <c r="E209" s="16">
        <v>42581.483819444446</v>
      </c>
      <c r="F209" s="16">
        <v>42581.485092592593</v>
      </c>
      <c r="G209" s="7">
        <v>1</v>
      </c>
      <c r="H209" s="16" t="s">
        <v>876</v>
      </c>
      <c r="I209" s="16">
        <v>42581.495752314811</v>
      </c>
      <c r="J209" s="7">
        <v>0</v>
      </c>
      <c r="K209" s="123" t="str">
        <f t="shared" si="44"/>
        <v>4037/4038</v>
      </c>
      <c r="L209" s="25" t="str">
        <f>VLOOKUP(A209,'Trips&amp;Operators'!$C$1:$E$10000,3,FALSE)</f>
        <v>HELVIE</v>
      </c>
      <c r="M209" s="6">
        <f t="shared" si="45"/>
        <v>1.0659722218406387E-2</v>
      </c>
      <c r="N209" s="7">
        <f t="shared" si="46"/>
        <v>15.349999994505197</v>
      </c>
      <c r="O209" s="7"/>
      <c r="P209" s="7"/>
      <c r="Q209" s="26"/>
      <c r="R209" s="26"/>
      <c r="S209" s="41">
        <f t="shared" si="47"/>
        <v>1</v>
      </c>
      <c r="T209" s="59" t="str">
        <f t="shared" si="73"/>
        <v>NorthBound</v>
      </c>
      <c r="U209" s="84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10:36:42-0600',mode:absolute,to:'2016-07-30 12:53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09" s="64" t="str">
        <f t="shared" si="49"/>
        <v>N</v>
      </c>
      <c r="X209" s="126">
        <f t="shared" si="57"/>
        <v>1</v>
      </c>
      <c r="Y209" s="79">
        <f t="shared" si="50"/>
        <v>0.11</v>
      </c>
      <c r="Z209" s="79">
        <f t="shared" si="51"/>
        <v>5.8909000000000002</v>
      </c>
      <c r="AA209" s="79">
        <f t="shared" si="52"/>
        <v>5.7808999999999999</v>
      </c>
      <c r="AB209" s="76" t="e">
        <f>VLOOKUP(A209,Enforcements!$C$7:$J$24,8,0)</f>
        <v>#N/A</v>
      </c>
      <c r="AC209" s="72" t="e">
        <f>VLOOKUP(A209,Enforcements!$C$7:$E$24,3,0)</f>
        <v>#N/A</v>
      </c>
      <c r="AD209" s="73" t="str">
        <f t="shared" si="53"/>
        <v>1837-30</v>
      </c>
      <c r="AE209" s="65" t="str">
        <f t="shared" si="5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09" s="65" t="str">
        <f t="shared" si="55"/>
        <v>"C:\Program Files (x86)\AstroGrep\AstroGrep.exe" /spath="C:\Users\stu\Documents\Analysis\2016-02-23 RTDC Observations" /stypes="*4038*20160730*" /stext=" 17:.+((SYSTEM_STATE.+slice.+state.+changed )|(ment ac)|(system.+state.+changed )|(\|lc)|(penalty)|(\[timeout)|(PRM\|1\|D))" /e /r /s</v>
      </c>
      <c r="AG209" s="1" t="str">
        <f t="shared" si="58"/>
        <v>NW</v>
      </c>
    </row>
    <row r="210" spans="1:33" hidden="1" x14ac:dyDescent="0.25">
      <c r="A210" s="45" t="s">
        <v>803</v>
      </c>
      <c r="B210" s="7">
        <v>4026</v>
      </c>
      <c r="C210" s="25" t="s">
        <v>170</v>
      </c>
      <c r="D210" s="25" t="s">
        <v>889</v>
      </c>
      <c r="E210" s="16">
        <v>42581.476990740739</v>
      </c>
      <c r="F210" s="16">
        <v>42581.477905092594</v>
      </c>
      <c r="G210" s="7">
        <v>1</v>
      </c>
      <c r="H210" s="16" t="s">
        <v>891</v>
      </c>
      <c r="I210" s="16">
        <v>42581.494826388887</v>
      </c>
      <c r="J210" s="7">
        <v>0</v>
      </c>
      <c r="K210" s="123" t="str">
        <f t="shared" si="44"/>
        <v>4025/4026</v>
      </c>
      <c r="L210" s="25" t="str">
        <f>VLOOKUP(A210,'Trips&amp;Operators'!$C$1:$E$10000,3,FALSE)</f>
        <v>NATION</v>
      </c>
      <c r="M210" s="6">
        <f t="shared" si="45"/>
        <v>1.6921296293730848E-2</v>
      </c>
      <c r="N210" s="7">
        <f t="shared" si="46"/>
        <v>24.36666666297242</v>
      </c>
      <c r="O210" s="7"/>
      <c r="P210" s="7"/>
      <c r="Q210" s="26"/>
      <c r="R210" s="26"/>
      <c r="S210" s="41">
        <f t="shared" si="47"/>
        <v>1</v>
      </c>
      <c r="T210" s="59" t="str">
        <f t="shared" si="73"/>
        <v>Southbound</v>
      </c>
      <c r="U210" s="84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1</v>
      </c>
      <c r="V210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10:26:52-0600',mode:absolute,to:'2016-07-30 12:52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0" s="64" t="str">
        <f t="shared" si="49"/>
        <v>N</v>
      </c>
      <c r="X210" s="126">
        <f t="shared" si="57"/>
        <v>1</v>
      </c>
      <c r="Y210" s="79">
        <f t="shared" si="50"/>
        <v>5.8596000000000004</v>
      </c>
      <c r="Z210" s="79">
        <f t="shared" si="51"/>
        <v>8.3799999999999999E-2</v>
      </c>
      <c r="AA210" s="79">
        <f t="shared" si="52"/>
        <v>5.7758000000000003</v>
      </c>
      <c r="AB210" s="76" t="e">
        <f>VLOOKUP(A210,Enforcements!$C$7:$J$24,8,0)</f>
        <v>#N/A</v>
      </c>
      <c r="AC210" s="72" t="e">
        <f>VLOOKUP(A210,Enforcements!$C$7:$E$24,3,0)</f>
        <v>#N/A</v>
      </c>
      <c r="AD210" s="73" t="str">
        <f t="shared" si="53"/>
        <v>1838-30</v>
      </c>
      <c r="AE210" s="65" t="str">
        <f t="shared" si="5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10" s="65" t="str">
        <f t="shared" si="55"/>
        <v>"C:\Program Files (x86)\AstroGrep\AstroGrep.exe" /spath="C:\Users\stu\Documents\Analysis\2016-02-23 RTDC Observations" /stypes="*4026*20160730*" /stext=" 17:.+((SYSTEM_STATE.+slice.+state.+changed )|(ment ac)|(system.+state.+changed )|(\|lc)|(penalty)|(\[timeout)|(PRM\|1\|D))" /e /r /s</v>
      </c>
      <c r="AG210" s="1" t="str">
        <f t="shared" si="58"/>
        <v>NW</v>
      </c>
    </row>
    <row r="211" spans="1:33" hidden="1" x14ac:dyDescent="0.25">
      <c r="A211" s="45" t="s">
        <v>755</v>
      </c>
      <c r="B211" s="7">
        <v>4025</v>
      </c>
      <c r="C211" s="25" t="s">
        <v>170</v>
      </c>
      <c r="D211" s="25" t="s">
        <v>892</v>
      </c>
      <c r="E211" s="16">
        <v>42581.49732638889</v>
      </c>
      <c r="F211" s="16">
        <v>42581.498402777775</v>
      </c>
      <c r="G211" s="7">
        <v>1</v>
      </c>
      <c r="H211" s="16" t="s">
        <v>888</v>
      </c>
      <c r="I211" s="16">
        <v>42581.509965277779</v>
      </c>
      <c r="J211" s="7">
        <v>0</v>
      </c>
      <c r="K211" s="123" t="str">
        <f t="shared" si="44"/>
        <v>4025/4026</v>
      </c>
      <c r="L211" s="25" t="str">
        <f>VLOOKUP(A211,'Trips&amp;Operators'!$C$1:$E$10000,3,FALSE)</f>
        <v>NATION</v>
      </c>
      <c r="M211" s="6">
        <f t="shared" si="45"/>
        <v>1.156250000349246E-2</v>
      </c>
      <c r="N211" s="7">
        <f t="shared" si="46"/>
        <v>16.650000005029142</v>
      </c>
      <c r="O211" s="7"/>
      <c r="P211" s="7"/>
      <c r="Q211" s="26"/>
      <c r="R211" s="26"/>
      <c r="S211" s="41">
        <f t="shared" si="47"/>
        <v>1</v>
      </c>
      <c r="T211" s="59" t="str">
        <f t="shared" si="73"/>
        <v>NorthBound</v>
      </c>
      <c r="U211" s="84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4" t="str">
        <f t="shared" si="48"/>
        <v>https://search-rtdc-monitor-bjffxe2xuh6vdkpspy63sjmuny.us-east-1.es.amazonaws.com/_plugin/kibana/#/discover/Steve-Slow-Train-Analysis-(2080s-and-2083s)?_g=(refreshInterval:(display:Off,section:0,value:0),time:(from:'2016-07-30 10:56:09-0600',mode:absolute,to:'2016-07-30 13:14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1" s="64" t="str">
        <f t="shared" si="49"/>
        <v>N</v>
      </c>
      <c r="X211" s="126">
        <f t="shared" si="57"/>
        <v>1</v>
      </c>
      <c r="Y211" s="79">
        <f t="shared" si="50"/>
        <v>0.11260000000000001</v>
      </c>
      <c r="Z211" s="79">
        <f t="shared" si="51"/>
        <v>5.8905000000000003</v>
      </c>
      <c r="AA211" s="79">
        <f t="shared" si="52"/>
        <v>5.7779000000000007</v>
      </c>
      <c r="AB211" s="76" t="e">
        <f>VLOOKUP(A211,Enforcements!$C$7:$J$24,8,0)</f>
        <v>#N/A</v>
      </c>
      <c r="AC211" s="72" t="e">
        <f>VLOOKUP(A211,Enforcements!$C$7:$E$24,3,0)</f>
        <v>#N/A</v>
      </c>
      <c r="AD211" s="73" t="str">
        <f t="shared" si="53"/>
        <v>1839-30</v>
      </c>
      <c r="AE211" s="65" t="str">
        <f t="shared" si="5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11" s="65" t="str">
        <f t="shared" si="55"/>
        <v>"C:\Program Files (x86)\AstroGrep\AstroGrep.exe" /spath="C:\Users\stu\Documents\Analysis\2016-02-23 RTDC Observations" /stypes="*4025*20160730*" /stext=" 18:.+((SYSTEM_STATE.+slice.+state.+changed )|(ment ac)|(system.+state.+changed )|(\|lc)|(penalty)|(\[timeout)|(PRM\|1\|D))" /e /r /s</v>
      </c>
      <c r="AG211" s="1" t="str">
        <f t="shared" si="58"/>
        <v>NW</v>
      </c>
    </row>
    <row r="212" spans="1:33" hidden="1" x14ac:dyDescent="0.25">
      <c r="A212" s="45" t="s">
        <v>792</v>
      </c>
      <c r="B212" s="7">
        <v>4019</v>
      </c>
      <c r="C212" s="25" t="s">
        <v>170</v>
      </c>
      <c r="D212" s="25" t="s">
        <v>366</v>
      </c>
      <c r="E212" s="16">
        <v>42581.483831018515</v>
      </c>
      <c r="F212" s="16">
        <v>42581.484814814816</v>
      </c>
      <c r="G212" s="7">
        <v>1</v>
      </c>
      <c r="H212" s="16" t="s">
        <v>894</v>
      </c>
      <c r="I212" s="16">
        <v>42581.509120370371</v>
      </c>
      <c r="J212" s="7">
        <v>0</v>
      </c>
      <c r="K212" s="123" t="str">
        <f t="shared" ref="K212:K273" si="74">IF(ISEVEN(B212),(B212-1)&amp;"/"&amp;B212,B212&amp;"/"&amp;(B212+1))</f>
        <v>4019/4020</v>
      </c>
      <c r="L212" s="25" t="str">
        <f>VLOOKUP(A212,'Trips&amp;Operators'!$C$1:$E$10000,3,FALSE)</f>
        <v>YORK</v>
      </c>
      <c r="M212" s="6">
        <f t="shared" ref="M212:M273" si="75">I212-F212</f>
        <v>2.4305555554747116E-2</v>
      </c>
      <c r="N212" s="7">
        <f t="shared" ref="N212:P273" si="76">24*60*SUM($M212:$M212)</f>
        <v>34.999999998835847</v>
      </c>
      <c r="O212" s="7"/>
      <c r="P212" s="7"/>
      <c r="Q212" s="26"/>
      <c r="R212" s="26"/>
      <c r="S212" s="41">
        <f t="shared" ref="S212:S273" si="77">SUM(U212:U212)/IF(AG212="EC",12,1)</f>
        <v>1</v>
      </c>
      <c r="T212" s="59" t="str">
        <f t="shared" si="73"/>
        <v>Southbound</v>
      </c>
      <c r="U212" s="84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4" t="str">
        <f t="shared" ref="V212:V273" si="78">"https://search-rtdc-monitor-bjffxe2xuh6vdkpspy63sjmuny.us-east-1.es.amazonaws.com/_plugin/kibana/#/discover/Steve-Slow-Train-Analysis-(2080s-and-2083s)?_g=(refreshInterval:(display:Off,section:0,value:0),time:(from:'"&amp;TEXT(E212-1/24,"yyyy-MM-DD hh:mm:ss")&amp;"-0600',mode:absolute,to:'"&amp;TEXT(I212+1/24,"yyyy-MM-DD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212&amp;"%22')),sort:!(Time,asc))"</f>
        <v>https://search-rtdc-monitor-bjffxe2xuh6vdkpspy63sjmuny.us-east-1.es.amazonaws.com/_plugin/kibana/#/discover/Steve-Slow-Train-Analysis-(2080s-and-2083s)?_g=(refreshInterval:(display:Off,section:0,value:0),time:(from:'2016-07-30 10:36:43-0600',mode:absolute,to:'2016-07-30 13:13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2" s="64" t="str">
        <f t="shared" ref="W212:W216" si="79">IF(AA212&lt;IF(AG212="EC",23,5.65),"Y","N")</f>
        <v>N</v>
      </c>
      <c r="X212" s="126">
        <f t="shared" ref="X212:X216" si="80">VALUE(LEFT(AD212,4))-VALUE(LEFT(AD211,4))</f>
        <v>1</v>
      </c>
      <c r="Y212" s="79">
        <f t="shared" ref="Y212:Y216" si="81">RIGHT(D212,LEN(D212)-4)/10000</f>
        <v>5.8577000000000004</v>
      </c>
      <c r="Z212" s="79">
        <f t="shared" ref="Z212:Z216" si="82">RIGHT(H212,LEN(H212)-4)/10000</f>
        <v>7.8E-2</v>
      </c>
      <c r="AA212" s="79">
        <f t="shared" ref="AA212:AA273" si="83">ABS(Z212-Y212)</f>
        <v>5.7797000000000001</v>
      </c>
      <c r="AB212" s="76" t="e">
        <f>VLOOKUP(A212,Enforcements!$C$7:$J$24,8,0)</f>
        <v>#N/A</v>
      </c>
      <c r="AC212" s="72" t="e">
        <f>VLOOKUP(A212,Enforcements!$C$7:$E$24,3,0)</f>
        <v>#N/A</v>
      </c>
      <c r="AD212" s="73" t="str">
        <f t="shared" ref="AD212:AD273" si="84">IF(LEN(A212)=6,"0"&amp;A212,A212)</f>
        <v>1840-30</v>
      </c>
      <c r="AE212" s="65" t="str">
        <f t="shared" ref="AE212:AE273" si="85">"aws s3 cp "&amp;s3_bucket&amp;"/RTDC"&amp;B212&amp;"/"&amp;TEXT(F212,"YYYY-MM-DD")&amp;"/ "&amp;search_path&amp;"\RTDC"&amp;B212&amp;"\"&amp;TEXT(F212,"YYYY-MM-DD")&amp;" --recursive &amp; """&amp;walkandungz&amp;""" "&amp;search_path&amp;"\RTDC"&amp;B212&amp;"\"&amp;TEXT(F212,"YYYY-MM-DD")
&amp;" &amp; "&amp;"aws s3 cp "&amp;s3_bucket&amp;"/RTDC"&amp;B212&amp;"/"&amp;TEXT(F212+1,"YYYY-MM-DD")&amp;"/ "&amp;search_path&amp;"\RTDC"&amp;B212&amp;"\"&amp;TEXT(F212+1,"YYYY-MM-DD")&amp;" --recursive &amp; """&amp;walkandungz&amp;""" "&amp;search_path&amp;"\RTDC"&amp;B212&amp;"\"&amp;TEXT(F212+1,"YYYY-MM-DD")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12" s="65" t="str">
        <f t="shared" ref="AF212:AF273" si="86">astrogrep_path&amp;" /spath="&amp;search_path&amp;" /stypes=""*"&amp;B212&amp;"*"&amp;TEXT(I212-utc_offset/24,"YYYYMMDD")&amp;"*"" /stext="" "&amp;TEXT(I212-utc_offset/24,"HH")&amp;search_regexp&amp;""" /e /r /s"</f>
        <v>"C:\Program Files (x86)\AstroGrep\AstroGrep.exe" /spath="C:\Users\stu\Documents\Analysis\2016-02-23 RTDC Observations" /stypes="*4019*20160730*" /stext=" 18:.+((SYSTEM_STATE.+slice.+state.+changed )|(ment ac)|(system.+state.+changed )|(\|lc)|(penalty)|(\[timeout)|(PRM\|1\|D))" /e /r /s</v>
      </c>
      <c r="AG212" s="1" t="str">
        <f t="shared" ref="AG212:AG271" si="87">IF(VALUE(LEFT(AD212,2))&lt;=2,"EC",IF(OR(VALUE(LEFT(AD212,2))=8,VALUE(LEFT(AD212,2))=18),"NW","GL"))</f>
        <v>NW</v>
      </c>
    </row>
    <row r="213" spans="1:33" hidden="1" x14ac:dyDescent="0.25">
      <c r="A213" s="45" t="s">
        <v>763</v>
      </c>
      <c r="B213" s="7">
        <v>4020</v>
      </c>
      <c r="C213" s="25" t="s">
        <v>170</v>
      </c>
      <c r="D213" s="25" t="s">
        <v>895</v>
      </c>
      <c r="E213" s="16">
        <v>42581.510694444441</v>
      </c>
      <c r="F213" s="16">
        <v>42581.511736111112</v>
      </c>
      <c r="G213" s="7">
        <v>1</v>
      </c>
      <c r="H213" s="16" t="s">
        <v>896</v>
      </c>
      <c r="I213" s="16">
        <v>42581.523414351854</v>
      </c>
      <c r="J213" s="7">
        <v>0</v>
      </c>
      <c r="K213" s="123" t="str">
        <f t="shared" si="74"/>
        <v>4019/4020</v>
      </c>
      <c r="L213" s="25" t="str">
        <f>VLOOKUP(A213,'Trips&amp;Operators'!$C$1:$E$10000,3,FALSE)</f>
        <v>YORK</v>
      </c>
      <c r="M213" s="6">
        <f t="shared" si="75"/>
        <v>1.1678240742185153E-2</v>
      </c>
      <c r="N213" s="7">
        <f t="shared" si="76"/>
        <v>16.81666666874662</v>
      </c>
      <c r="O213" s="7"/>
      <c r="P213" s="7"/>
      <c r="Q213" s="26"/>
      <c r="R213" s="26"/>
      <c r="S213" s="41">
        <f t="shared" si="77"/>
        <v>1</v>
      </c>
      <c r="T213" s="59" t="str">
        <f t="shared" si="73"/>
        <v>NorthBound</v>
      </c>
      <c r="U213" s="84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1</v>
      </c>
      <c r="V21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11:15:24-0600',mode:absolute,to:'2016-07-30 13:33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3" s="64" t="str">
        <f t="shared" si="79"/>
        <v>N</v>
      </c>
      <c r="X213" s="126">
        <f t="shared" si="80"/>
        <v>1</v>
      </c>
      <c r="Y213" s="79">
        <f t="shared" si="81"/>
        <v>0.1065</v>
      </c>
      <c r="Z213" s="79">
        <f t="shared" si="82"/>
        <v>5.8879000000000001</v>
      </c>
      <c r="AA213" s="79">
        <f t="shared" si="83"/>
        <v>5.7814000000000005</v>
      </c>
      <c r="AB213" s="76" t="e">
        <f>VLOOKUP(A213,Enforcements!$C$7:$J$24,8,0)</f>
        <v>#N/A</v>
      </c>
      <c r="AC213" s="72" t="e">
        <f>VLOOKUP(A213,Enforcements!$C$7:$E$24,3,0)</f>
        <v>#N/A</v>
      </c>
      <c r="AD213" s="73" t="str">
        <f t="shared" si="84"/>
        <v>1841-30</v>
      </c>
      <c r="AE213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13" s="65" t="str">
        <f t="shared" si="86"/>
        <v>"C:\Program Files (x86)\AstroGrep\AstroGrep.exe" /spath="C:\Users\stu\Documents\Analysis\2016-02-23 RTDC Observations" /stypes="*4020*20160730*" /stext=" 18:.+((SYSTEM_STATE.+slice.+state.+changed )|(ment ac)|(system.+state.+changed )|(\|lc)|(penalty)|(\[timeout)|(PRM\|1\|D))" /e /r /s</v>
      </c>
      <c r="AG213" s="1" t="str">
        <f t="shared" si="87"/>
        <v>NW</v>
      </c>
    </row>
    <row r="214" spans="1:33" hidden="1" x14ac:dyDescent="0.25">
      <c r="A214" s="45" t="s">
        <v>811</v>
      </c>
      <c r="B214" s="7">
        <v>4037</v>
      </c>
      <c r="C214" s="25" t="s">
        <v>170</v>
      </c>
      <c r="D214" s="25" t="s">
        <v>883</v>
      </c>
      <c r="E214" s="16">
        <v>42581.5078125</v>
      </c>
      <c r="F214" s="16">
        <v>42581.50880787037</v>
      </c>
      <c r="G214" s="7">
        <v>1</v>
      </c>
      <c r="H214" s="16" t="s">
        <v>897</v>
      </c>
      <c r="I214" s="16">
        <v>42581.52175925926</v>
      </c>
      <c r="J214" s="7">
        <v>0</v>
      </c>
      <c r="K214" s="123" t="str">
        <f t="shared" si="74"/>
        <v>4037/4038</v>
      </c>
      <c r="L214" s="25" t="str">
        <f>VLOOKUP(A214,'Trips&amp;Operators'!$C$1:$E$10000,3,FALSE)</f>
        <v>HELVIE</v>
      </c>
      <c r="M214" s="6">
        <f t="shared" si="75"/>
        <v>1.2951388889632653E-2</v>
      </c>
      <c r="N214" s="7">
        <f t="shared" si="76"/>
        <v>18.650000001071021</v>
      </c>
      <c r="O214" s="7"/>
      <c r="P214" s="7"/>
      <c r="Q214" s="26"/>
      <c r="R214" s="26"/>
      <c r="S214" s="41">
        <f t="shared" si="77"/>
        <v>1</v>
      </c>
      <c r="T214" s="59" t="str">
        <f t="shared" si="73"/>
        <v>Southbound</v>
      </c>
      <c r="U214" s="84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1</v>
      </c>
      <c r="V21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11:11:15-0600',mode:absolute,to:'2016-07-30 13:31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14" s="64" t="str">
        <f t="shared" si="79"/>
        <v>N</v>
      </c>
      <c r="X214" s="126">
        <f t="shared" si="80"/>
        <v>1</v>
      </c>
      <c r="Y214" s="79">
        <f t="shared" si="81"/>
        <v>5.8592000000000004</v>
      </c>
      <c r="Z214" s="79">
        <f t="shared" si="82"/>
        <v>8.1500000000000003E-2</v>
      </c>
      <c r="AA214" s="79">
        <f t="shared" si="83"/>
        <v>5.7777000000000003</v>
      </c>
      <c r="AB214" s="76" t="e">
        <f>VLOOKUP(A214,Enforcements!$C$7:$J$24,8,0)</f>
        <v>#N/A</v>
      </c>
      <c r="AC214" s="72" t="e">
        <f>VLOOKUP(A214,Enforcements!$C$7:$E$24,3,0)</f>
        <v>#N/A</v>
      </c>
      <c r="AD214" s="73" t="str">
        <f t="shared" si="84"/>
        <v>1842-30</v>
      </c>
      <c r="AE214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14" s="65" t="str">
        <f t="shared" si="86"/>
        <v>"C:\Program Files (x86)\AstroGrep\AstroGrep.exe" /spath="C:\Users\stu\Documents\Analysis\2016-02-23 RTDC Observations" /stypes="*4037*20160730*" /stext=" 18:.+((SYSTEM_STATE.+slice.+state.+changed )|(ment ac)|(system.+state.+changed )|(\|lc)|(penalty)|(\[timeout)|(PRM\|1\|D))" /e /r /s</v>
      </c>
      <c r="AG214" s="1" t="str">
        <f t="shared" si="87"/>
        <v>NW</v>
      </c>
    </row>
    <row r="215" spans="1:33" hidden="1" x14ac:dyDescent="0.25">
      <c r="A215" s="45" t="s">
        <v>761</v>
      </c>
      <c r="B215" s="7">
        <v>4038</v>
      </c>
      <c r="C215" s="25" t="s">
        <v>170</v>
      </c>
      <c r="D215" s="25" t="s">
        <v>898</v>
      </c>
      <c r="E215" s="16">
        <v>42581.525127314817</v>
      </c>
      <c r="F215" s="16">
        <v>42581.526273148149</v>
      </c>
      <c r="G215" s="7">
        <v>1</v>
      </c>
      <c r="H215" s="16" t="s">
        <v>407</v>
      </c>
      <c r="I215" s="16">
        <v>42581.537407407406</v>
      </c>
      <c r="J215" s="7">
        <v>0</v>
      </c>
      <c r="K215" s="123" t="str">
        <f t="shared" si="74"/>
        <v>4037/4038</v>
      </c>
      <c r="L215" s="25" t="str">
        <f>VLOOKUP(A215,'Trips&amp;Operators'!$C$1:$E$10000,3,FALSE)</f>
        <v>HELVIE</v>
      </c>
      <c r="M215" s="6">
        <f t="shared" si="75"/>
        <v>1.113425925723277E-2</v>
      </c>
      <c r="N215" s="7">
        <f t="shared" si="76"/>
        <v>16.033333330415189</v>
      </c>
      <c r="O215" s="7"/>
      <c r="P215" s="7"/>
      <c r="Q215" s="26"/>
      <c r="R215" s="26"/>
      <c r="S215" s="41">
        <f t="shared" si="77"/>
        <v>1</v>
      </c>
      <c r="T215" s="59" t="str">
        <f t="shared" si="73"/>
        <v>NorthBound</v>
      </c>
      <c r="U215" s="84">
        <f>IF(AG215="EC",COUNTIFS(Variables!$M$2:$M$19,IF(T215="NorthBound","&gt;=","&lt;=")&amp;Y215,Variables!$M$2:$M$19,IF(T215="NorthBound","&lt;=","&gt;=")&amp;Z215),COUNTIFS(Variables!$P$2:$P$19,IF(T215="NorthBound","&gt;=","&lt;=")&amp;Y215,Variables!$P$2:$P$19,IF(T215="NorthBound","&lt;=","&gt;=")&amp;Z215))</f>
        <v>1</v>
      </c>
      <c r="V21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11:36:11-0600',mode:absolute,to:'2016-07-30 13:53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15" s="64" t="str">
        <f t="shared" si="79"/>
        <v>N</v>
      </c>
      <c r="X215" s="126">
        <f t="shared" si="80"/>
        <v>1</v>
      </c>
      <c r="Y215" s="79">
        <f t="shared" si="81"/>
        <v>0.11119999999999999</v>
      </c>
      <c r="Z215" s="79">
        <f t="shared" si="82"/>
        <v>5.8898999999999999</v>
      </c>
      <c r="AA215" s="79">
        <f t="shared" si="83"/>
        <v>5.7786999999999997</v>
      </c>
      <c r="AB215" s="76" t="e">
        <f>VLOOKUP(A215,Enforcements!$C$7:$J$24,8,0)</f>
        <v>#N/A</v>
      </c>
      <c r="AC215" s="72" t="e">
        <f>VLOOKUP(A215,Enforcements!$C$7:$E$24,3,0)</f>
        <v>#N/A</v>
      </c>
      <c r="AD215" s="73" t="str">
        <f t="shared" si="84"/>
        <v>1843-30</v>
      </c>
      <c r="AE215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15" s="65" t="str">
        <f t="shared" si="86"/>
        <v>"C:\Program Files (x86)\AstroGrep\AstroGrep.exe" /spath="C:\Users\stu\Documents\Analysis\2016-02-23 RTDC Observations" /stypes="*4038*20160730*" /stext=" 18:.+((SYSTEM_STATE.+slice.+state.+changed )|(ment ac)|(system.+state.+changed )|(\|lc)|(penalty)|(\[timeout)|(PRM\|1\|D))" /e /r /s</v>
      </c>
      <c r="AG215" s="1" t="str">
        <f t="shared" si="87"/>
        <v>NW</v>
      </c>
    </row>
    <row r="216" spans="1:33" hidden="1" x14ac:dyDescent="0.25">
      <c r="A216" s="45" t="s">
        <v>723</v>
      </c>
      <c r="B216" s="7">
        <v>4026</v>
      </c>
      <c r="C216" s="25" t="s">
        <v>170</v>
      </c>
      <c r="D216" s="25" t="s">
        <v>366</v>
      </c>
      <c r="E216" s="16">
        <v>42581.513078703705</v>
      </c>
      <c r="F216" s="16">
        <v>42581.514814814815</v>
      </c>
      <c r="G216" s="7">
        <v>2</v>
      </c>
      <c r="H216" s="16" t="s">
        <v>899</v>
      </c>
      <c r="I216" s="16">
        <v>42581.538171296299</v>
      </c>
      <c r="J216" s="7">
        <v>0</v>
      </c>
      <c r="K216" s="123" t="str">
        <f t="shared" si="74"/>
        <v>4025/4026</v>
      </c>
      <c r="L216" s="25" t="str">
        <f>VLOOKUP(A216,'Trips&amp;Operators'!$C$1:$E$10000,3,FALSE)</f>
        <v>NATION</v>
      </c>
      <c r="M216" s="6">
        <f t="shared" si="75"/>
        <v>2.3356481484370306E-2</v>
      </c>
      <c r="N216" s="7">
        <f t="shared" si="76"/>
        <v>33.633333337493241</v>
      </c>
      <c r="O216" s="7"/>
      <c r="P216" s="7"/>
      <c r="Q216" s="26"/>
      <c r="R216" s="26"/>
      <c r="S216" s="41">
        <f t="shared" si="77"/>
        <v>1</v>
      </c>
      <c r="T216" s="59" t="str">
        <f t="shared" si="73"/>
        <v>Southbound</v>
      </c>
      <c r="U216" s="84">
        <f>IF(AG216="EC",COUNTIFS(Variables!$M$2:$M$19,IF(T216="NorthBound","&gt;=","&lt;=")&amp;Y216,Variables!$M$2:$M$19,IF(T216="NorthBound","&lt;=","&gt;=")&amp;Z216),COUNTIFS(Variables!$P$2:$P$19,IF(T216="NorthBound","&gt;=","&lt;=")&amp;Y216,Variables!$P$2:$P$19,IF(T216="NorthBound","&lt;=","&gt;=")&amp;Z216))</f>
        <v>1</v>
      </c>
      <c r="V21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11:18:50-0600',mode:absolute,to:'2016-07-30 13:54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16" s="64" t="str">
        <f t="shared" si="79"/>
        <v>N</v>
      </c>
      <c r="X216" s="126">
        <f t="shared" si="80"/>
        <v>1</v>
      </c>
      <c r="Y216" s="79">
        <f t="shared" si="81"/>
        <v>5.8577000000000004</v>
      </c>
      <c r="Z216" s="79">
        <f t="shared" si="82"/>
        <v>8.3900000000000002E-2</v>
      </c>
      <c r="AA216" s="79">
        <f t="shared" si="83"/>
        <v>5.7738000000000005</v>
      </c>
      <c r="AB216" s="76" t="e">
        <f>VLOOKUP(A216,Enforcements!$C$7:$J$24,8,0)</f>
        <v>#N/A</v>
      </c>
      <c r="AC216" s="72" t="e">
        <f>VLOOKUP(A216,Enforcements!$C$7:$E$24,3,0)</f>
        <v>#N/A</v>
      </c>
      <c r="AD216" s="73" t="str">
        <f t="shared" si="84"/>
        <v>1844-30</v>
      </c>
      <c r="AE216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16" s="65" t="str">
        <f t="shared" si="86"/>
        <v>"C:\Program Files (x86)\AstroGrep\AstroGrep.exe" /spath="C:\Users\stu\Documents\Analysis\2016-02-23 RTDC Observations" /stypes="*4026*20160730*" /stext=" 18:.+((SYSTEM_STATE.+slice.+state.+changed )|(ment ac)|(system.+state.+changed )|(\|lc)|(penalty)|(\[timeout)|(PRM\|1\|D))" /e /r /s</v>
      </c>
      <c r="AG216" s="1" t="str">
        <f t="shared" si="87"/>
        <v>NW</v>
      </c>
    </row>
    <row r="217" spans="1:33" hidden="1" x14ac:dyDescent="0.25">
      <c r="A217" s="45" t="s">
        <v>726</v>
      </c>
      <c r="B217" s="7">
        <v>4025</v>
      </c>
      <c r="C217" s="25" t="s">
        <v>170</v>
      </c>
      <c r="D217" s="25" t="s">
        <v>900</v>
      </c>
      <c r="E217" s="16">
        <v>42581.540231481478</v>
      </c>
      <c r="F217" s="16">
        <v>42581.54105324074</v>
      </c>
      <c r="G217" s="7">
        <v>1</v>
      </c>
      <c r="H217" s="16" t="s">
        <v>879</v>
      </c>
      <c r="I217" s="16">
        <v>42581.552094907405</v>
      </c>
      <c r="J217" s="7">
        <v>0</v>
      </c>
      <c r="K217" s="123" t="str">
        <f t="shared" si="74"/>
        <v>4025/4026</v>
      </c>
      <c r="L217" s="25" t="str">
        <f>VLOOKUP(A217,'Trips&amp;Operators'!$C$1:$E$10000,3,FALSE)</f>
        <v>NATION</v>
      </c>
      <c r="M217" s="6">
        <f t="shared" si="75"/>
        <v>1.1041666664823424E-2</v>
      </c>
      <c r="N217" s="7">
        <f t="shared" si="76"/>
        <v>15.899999997345731</v>
      </c>
      <c r="O217" s="7"/>
      <c r="P217" s="7"/>
      <c r="Q217" s="26"/>
      <c r="R217" s="26"/>
      <c r="S217" s="41">
        <f t="shared" si="77"/>
        <v>1</v>
      </c>
      <c r="T217" s="59" t="str">
        <f t="shared" si="73"/>
        <v>NorthBound</v>
      </c>
      <c r="U217" s="84">
        <f>IF(AG217="EC",COUNTIFS(Variables!$M$2:$M$19,IF(T217="NorthBound","&gt;=","&lt;=")&amp;Y217,Variables!$M$2:$M$19,IF(T217="NorthBound","&lt;=","&gt;=")&amp;Z217),COUNTIFS(Variables!$P$2:$P$19,IF(T217="NorthBound","&gt;=","&lt;=")&amp;Y217,Variables!$P$2:$P$19,IF(T217="NorthBound","&lt;=","&gt;=")&amp;Z217))</f>
        <v>1</v>
      </c>
      <c r="V21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11:57:56-0600',mode:absolute,to:'2016-07-30 14:15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17" s="64" t="str">
        <f t="shared" ref="W217:W273" si="88">IF(AA217&lt;IF(AG217="EC",23,5.65),"Y","N")</f>
        <v>N</v>
      </c>
      <c r="X217" s="126">
        <f t="shared" ref="X217:X274" si="89">VALUE(LEFT(AD217,4))-VALUE(LEFT(AD216,4))</f>
        <v>1</v>
      </c>
      <c r="Y217" s="79">
        <f t="shared" ref="Y217:Y273" si="90">RIGHT(D217,LEN(D217)-4)/10000</f>
        <v>0.1132</v>
      </c>
      <c r="Z217" s="79">
        <f t="shared" ref="Z217:Z273" si="91">RIGHT(H217,LEN(H217)-4)/10000</f>
        <v>5.8897000000000004</v>
      </c>
      <c r="AA217" s="79">
        <f t="shared" si="83"/>
        <v>5.7765000000000004</v>
      </c>
      <c r="AB217" s="76" t="e">
        <f>VLOOKUP(A217,Enforcements!$C$7:$J$24,8,0)</f>
        <v>#N/A</v>
      </c>
      <c r="AC217" s="72" t="e">
        <f>VLOOKUP(A217,Enforcements!$C$7:$E$24,3,0)</f>
        <v>#N/A</v>
      </c>
      <c r="AD217" s="73" t="str">
        <f t="shared" si="84"/>
        <v>1845-30</v>
      </c>
      <c r="AE217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17" s="65" t="str">
        <f t="shared" si="86"/>
        <v>"C:\Program Files (x86)\AstroGrep\AstroGrep.exe" /spath="C:\Users\stu\Documents\Analysis\2016-02-23 RTDC Observations" /stypes="*4025*20160730*" /stext=" 19:.+((SYSTEM_STATE.+slice.+state.+changed )|(ment ac)|(system.+state.+changed )|(\|lc)|(penalty)|(\[timeout)|(PRM\|1\|D))" /e /r /s</v>
      </c>
      <c r="AG217" s="1" t="str">
        <f t="shared" si="87"/>
        <v>NW</v>
      </c>
    </row>
    <row r="218" spans="1:33" hidden="1" x14ac:dyDescent="0.25">
      <c r="A218" s="45" t="s">
        <v>749</v>
      </c>
      <c r="B218" s="7">
        <v>4019</v>
      </c>
      <c r="C218" s="25" t="s">
        <v>170</v>
      </c>
      <c r="D218" s="25" t="s">
        <v>470</v>
      </c>
      <c r="E218" s="16">
        <v>42581.524618055555</v>
      </c>
      <c r="F218" s="16">
        <v>42581.525451388887</v>
      </c>
      <c r="G218" s="7">
        <v>1</v>
      </c>
      <c r="H218" s="16" t="s">
        <v>402</v>
      </c>
      <c r="I218" s="16">
        <v>42581.550625000003</v>
      </c>
      <c r="J218" s="7">
        <v>0</v>
      </c>
      <c r="K218" s="123" t="str">
        <f t="shared" si="74"/>
        <v>4019/4020</v>
      </c>
      <c r="L218" s="25" t="str">
        <f>VLOOKUP(A218,'Trips&amp;Operators'!$C$1:$E$10000,3,FALSE)</f>
        <v>YORK</v>
      </c>
      <c r="M218" s="6">
        <f t="shared" si="75"/>
        <v>2.5173611116770189E-2</v>
      </c>
      <c r="N218" s="7">
        <f t="shared" si="76"/>
        <v>36.250000008149073</v>
      </c>
      <c r="O218" s="7"/>
      <c r="P218" s="7"/>
      <c r="Q218" s="26"/>
      <c r="R218" s="26"/>
      <c r="S218" s="41">
        <f t="shared" si="77"/>
        <v>1</v>
      </c>
      <c r="T218" s="59" t="str">
        <f t="shared" si="73"/>
        <v>Southbound</v>
      </c>
      <c r="U218" s="84">
        <f>IF(AG218="EC",COUNTIFS(Variables!$M$2:$M$19,IF(T218="NorthBound","&gt;=","&lt;=")&amp;Y218,Variables!$M$2:$M$19,IF(T218="NorthBound","&lt;=","&gt;=")&amp;Z218),COUNTIFS(Variables!$P$2:$P$19,IF(T218="NorthBound","&gt;=","&lt;=")&amp;Y218,Variables!$P$2:$P$19,IF(T218="NorthBound","&lt;=","&gt;=")&amp;Z218))</f>
        <v>1</v>
      </c>
      <c r="V21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11:35:27-0600',mode:absolute,to:'2016-07-30 14:12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8" s="64" t="str">
        <f t="shared" si="88"/>
        <v>N</v>
      </c>
      <c r="X218" s="126">
        <f t="shared" si="89"/>
        <v>1</v>
      </c>
      <c r="Y218" s="79">
        <f t="shared" si="90"/>
        <v>5.8559999999999999</v>
      </c>
      <c r="Z218" s="79">
        <f t="shared" si="91"/>
        <v>7.7299999999999994E-2</v>
      </c>
      <c r="AA218" s="79">
        <f t="shared" si="83"/>
        <v>5.7786999999999997</v>
      </c>
      <c r="AB218" s="76" t="e">
        <f>VLOOKUP(A218,Enforcements!$C$7:$J$24,8,0)</f>
        <v>#N/A</v>
      </c>
      <c r="AC218" s="72" t="e">
        <f>VLOOKUP(A218,Enforcements!$C$7:$E$24,3,0)</f>
        <v>#N/A</v>
      </c>
      <c r="AD218" s="73" t="str">
        <f t="shared" si="84"/>
        <v>1846-30</v>
      </c>
      <c r="AE218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18" s="65" t="str">
        <f t="shared" si="86"/>
        <v>"C:\Program Files (x86)\AstroGrep\AstroGrep.exe" /spath="C:\Users\stu\Documents\Analysis\2016-02-23 RTDC Observations" /stypes="*4019*20160730*" /stext=" 19:.+((SYSTEM_STATE.+slice.+state.+changed )|(ment ac)|(system.+state.+changed )|(\|lc)|(penalty)|(\[timeout)|(PRM\|1\|D))" /e /r /s</v>
      </c>
      <c r="AG218" s="1" t="str">
        <f t="shared" si="87"/>
        <v>NW</v>
      </c>
    </row>
    <row r="219" spans="1:33" hidden="1" x14ac:dyDescent="0.25">
      <c r="A219" s="45" t="s">
        <v>735</v>
      </c>
      <c r="B219" s="7">
        <v>4020</v>
      </c>
      <c r="C219" s="25" t="s">
        <v>170</v>
      </c>
      <c r="D219" s="25" t="s">
        <v>901</v>
      </c>
      <c r="E219" s="16">
        <v>42581.551793981482</v>
      </c>
      <c r="F219" s="16">
        <v>42581.552534722221</v>
      </c>
      <c r="G219" s="7">
        <v>1</v>
      </c>
      <c r="H219" s="16" t="s">
        <v>902</v>
      </c>
      <c r="I219" s="16">
        <v>42581.565081018518</v>
      </c>
      <c r="J219" s="7">
        <v>0</v>
      </c>
      <c r="K219" s="123" t="str">
        <f t="shared" si="74"/>
        <v>4019/4020</v>
      </c>
      <c r="L219" s="25" t="str">
        <f>VLOOKUP(A219,'Trips&amp;Operators'!$C$1:$E$10000,3,FALSE)</f>
        <v>YORK</v>
      </c>
      <c r="M219" s="6">
        <f t="shared" si="75"/>
        <v>1.2546296296932269E-2</v>
      </c>
      <c r="N219" s="7">
        <f t="shared" si="76"/>
        <v>18.066666667582467</v>
      </c>
      <c r="O219" s="7"/>
      <c r="P219" s="7"/>
      <c r="Q219" s="26"/>
      <c r="R219" s="26"/>
      <c r="S219" s="41">
        <f t="shared" si="77"/>
        <v>1</v>
      </c>
      <c r="T219" s="59" t="str">
        <f t="shared" si="73"/>
        <v>NorthBound</v>
      </c>
      <c r="U219" s="84">
        <f>IF(AG219="EC",COUNTIFS(Variables!$M$2:$M$19,IF(T219="NorthBound","&gt;=","&lt;=")&amp;Y219,Variables!$M$2:$M$19,IF(T219="NorthBound","&lt;=","&gt;=")&amp;Z219),COUNTIFS(Variables!$P$2:$P$19,IF(T219="NorthBound","&gt;=","&lt;=")&amp;Y219,Variables!$P$2:$P$19,IF(T219="NorthBound","&lt;=","&gt;=")&amp;Z219))</f>
        <v>1</v>
      </c>
      <c r="V21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12:14:35-0600',mode:absolute,to:'2016-07-30 14:33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19" s="64" t="str">
        <f t="shared" si="88"/>
        <v>N</v>
      </c>
      <c r="X219" s="126">
        <f t="shared" si="89"/>
        <v>1</v>
      </c>
      <c r="Y219" s="79">
        <f t="shared" si="90"/>
        <v>0.106</v>
      </c>
      <c r="Z219" s="79">
        <f t="shared" si="91"/>
        <v>5.8867000000000003</v>
      </c>
      <c r="AA219" s="79">
        <f t="shared" si="83"/>
        <v>5.7807000000000004</v>
      </c>
      <c r="AB219" s="76" t="e">
        <f>VLOOKUP(A219,Enforcements!$C$7:$J$24,8,0)</f>
        <v>#N/A</v>
      </c>
      <c r="AC219" s="72" t="e">
        <f>VLOOKUP(A219,Enforcements!$C$7:$E$24,3,0)</f>
        <v>#N/A</v>
      </c>
      <c r="AD219" s="73" t="str">
        <f t="shared" si="84"/>
        <v>1847-30</v>
      </c>
      <c r="AE219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19" s="65" t="str">
        <f t="shared" si="86"/>
        <v>"C:\Program Files (x86)\AstroGrep\AstroGrep.exe" /spath="C:\Users\stu\Documents\Analysis\2016-02-23 RTDC Observations" /stypes="*4020*20160730*" /stext=" 19:.+((SYSTEM_STATE.+slice.+state.+changed )|(ment ac)|(system.+state.+changed )|(\|lc)|(penalty)|(\[timeout)|(PRM\|1\|D))" /e /r /s</v>
      </c>
      <c r="AG219" s="1" t="str">
        <f t="shared" si="87"/>
        <v>NW</v>
      </c>
    </row>
    <row r="220" spans="1:33" hidden="1" x14ac:dyDescent="0.25">
      <c r="A220" s="45" t="s">
        <v>733</v>
      </c>
      <c r="B220" s="7">
        <v>4037</v>
      </c>
      <c r="C220" s="25" t="s">
        <v>170</v>
      </c>
      <c r="D220" s="25" t="s">
        <v>493</v>
      </c>
      <c r="E220" s="16">
        <v>42581.550300925926</v>
      </c>
      <c r="F220" s="16">
        <v>42581.551249999997</v>
      </c>
      <c r="G220" s="7">
        <v>1</v>
      </c>
      <c r="H220" s="16" t="s">
        <v>903</v>
      </c>
      <c r="I220" s="16">
        <v>42581.564664351848</v>
      </c>
      <c r="J220" s="7">
        <v>0</v>
      </c>
      <c r="K220" s="123" t="str">
        <f t="shared" si="74"/>
        <v>4037/4038</v>
      </c>
      <c r="L220" s="25" t="str">
        <f>VLOOKUP(A220,'Trips&amp;Operators'!$C$1:$E$10000,3,FALSE)</f>
        <v>HELVIE</v>
      </c>
      <c r="M220" s="6">
        <f t="shared" si="75"/>
        <v>1.3414351851679385E-2</v>
      </c>
      <c r="N220" s="7">
        <f t="shared" si="76"/>
        <v>19.316666666418314</v>
      </c>
      <c r="O220" s="7"/>
      <c r="P220" s="7"/>
      <c r="Q220" s="26"/>
      <c r="R220" s="26"/>
      <c r="S220" s="41">
        <f t="shared" si="77"/>
        <v>1</v>
      </c>
      <c r="T220" s="59" t="str">
        <f t="shared" si="73"/>
        <v>Southbound</v>
      </c>
      <c r="U220" s="84">
        <f>IF(AG220="EC",COUNTIFS(Variables!$M$2:$M$19,IF(T220="NorthBound","&gt;=","&lt;=")&amp;Y220,Variables!$M$2:$M$19,IF(T220="NorthBound","&lt;=","&gt;=")&amp;Z220),COUNTIFS(Variables!$P$2:$P$19,IF(T220="NorthBound","&gt;=","&lt;=")&amp;Y220,Variables!$P$2:$P$19,IF(T220="NorthBound","&lt;=","&gt;=")&amp;Z220))</f>
        <v>1</v>
      </c>
      <c r="V22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12:12:26-0600',mode:absolute,to:'2016-07-30 14:33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20" s="64" t="str">
        <f t="shared" si="88"/>
        <v>N</v>
      </c>
      <c r="X220" s="126">
        <f t="shared" si="89"/>
        <v>1</v>
      </c>
      <c r="Y220" s="79">
        <f t="shared" si="90"/>
        <v>5.8578999999999999</v>
      </c>
      <c r="Z220" s="79">
        <f t="shared" si="91"/>
        <v>8.2900000000000001E-2</v>
      </c>
      <c r="AA220" s="79">
        <f t="shared" si="83"/>
        <v>5.7749999999999995</v>
      </c>
      <c r="AB220" s="76" t="e">
        <f>VLOOKUP(A220,Enforcements!$C$7:$J$24,8,0)</f>
        <v>#N/A</v>
      </c>
      <c r="AC220" s="72" t="e">
        <f>VLOOKUP(A220,Enforcements!$C$7:$E$24,3,0)</f>
        <v>#N/A</v>
      </c>
      <c r="AD220" s="73" t="str">
        <f t="shared" si="84"/>
        <v>1848-30</v>
      </c>
      <c r="AE220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20" s="65" t="str">
        <f t="shared" si="86"/>
        <v>"C:\Program Files (x86)\AstroGrep\AstroGrep.exe" /spath="C:\Users\stu\Documents\Analysis\2016-02-23 RTDC Observations" /stypes="*4037*20160730*" /stext=" 19:.+((SYSTEM_STATE.+slice.+state.+changed )|(ment ac)|(system.+state.+changed )|(\|lc)|(penalty)|(\[timeout)|(PRM\|1\|D))" /e /r /s</v>
      </c>
      <c r="AG220" s="1" t="str">
        <f t="shared" si="87"/>
        <v>NW</v>
      </c>
    </row>
    <row r="221" spans="1:33" x14ac:dyDescent="0.25">
      <c r="A221" s="45" t="s">
        <v>773</v>
      </c>
      <c r="B221" s="7">
        <v>4038</v>
      </c>
      <c r="C221" s="25" t="s">
        <v>170</v>
      </c>
      <c r="D221" s="25" t="s">
        <v>904</v>
      </c>
      <c r="E221" s="16">
        <v>42581.566678240742</v>
      </c>
      <c r="F221" s="16">
        <v>42581.568391203706</v>
      </c>
      <c r="G221" s="7">
        <v>2</v>
      </c>
      <c r="H221" s="16" t="s">
        <v>905</v>
      </c>
      <c r="I221" s="16">
        <v>42581.574895833335</v>
      </c>
      <c r="J221" s="7">
        <v>1</v>
      </c>
      <c r="K221" s="123" t="str">
        <f t="shared" si="74"/>
        <v>4037/4038</v>
      </c>
      <c r="L221" s="25" t="str">
        <f>VLOOKUP(A221,'Trips&amp;Operators'!$C$1:$E$10000,3,FALSE)</f>
        <v>DE LA ROSA</v>
      </c>
      <c r="M221" s="6">
        <f t="shared" si="75"/>
        <v>6.5046296294895001E-3</v>
      </c>
      <c r="N221" s="7"/>
      <c r="O221" s="7"/>
      <c r="P221" s="7">
        <f t="shared" si="76"/>
        <v>9.3666666664648801</v>
      </c>
      <c r="Q221" s="26"/>
      <c r="R221" s="26" t="s">
        <v>929</v>
      </c>
      <c r="S221" s="41">
        <f t="shared" si="77"/>
        <v>1</v>
      </c>
      <c r="T221" s="59" t="str">
        <f t="shared" si="73"/>
        <v>NorthBound</v>
      </c>
      <c r="U221" s="84">
        <f>IF(AG221="EC",COUNTIFS(Variables!$M$2:$M$19,IF(T221="NorthBound","&gt;=","&lt;=")&amp;Y221,Variables!$M$2:$M$19,IF(T221="NorthBound","&lt;=","&gt;=")&amp;Z221),COUNTIFS(Variables!$P$2:$P$19,IF(T221="NorthBound","&gt;=","&lt;=")&amp;Y221,Variables!$P$2:$P$19,IF(T221="NorthBound","&lt;=","&gt;=")&amp;Z221))</f>
        <v>1</v>
      </c>
      <c r="V22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12:36:01-0600',mode:absolute,to:'2016-07-30 14:47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21" s="64" t="str">
        <f t="shared" si="88"/>
        <v>Y</v>
      </c>
      <c r="X221" s="126">
        <f t="shared" si="89"/>
        <v>1</v>
      </c>
      <c r="Y221" s="79">
        <f t="shared" si="90"/>
        <v>0.1118</v>
      </c>
      <c r="Z221" s="79">
        <f t="shared" si="91"/>
        <v>3.0123000000000002</v>
      </c>
      <c r="AA221" s="79">
        <f t="shared" si="83"/>
        <v>2.9005000000000001</v>
      </c>
      <c r="AB221" s="76" t="e">
        <f>VLOOKUP(A221,Enforcements!$C$7:$J$24,8,0)</f>
        <v>#N/A</v>
      </c>
      <c r="AC221" s="72" t="e">
        <f>VLOOKUP(A221,Enforcements!$C$7:$E$24,3,0)</f>
        <v>#N/A</v>
      </c>
      <c r="AD221" s="73" t="str">
        <f t="shared" si="84"/>
        <v>1849-30</v>
      </c>
      <c r="AE221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21" s="65" t="str">
        <f t="shared" si="86"/>
        <v>"C:\Program Files (x86)\AstroGrep\AstroGrep.exe" /spath="C:\Users\stu\Documents\Analysis\2016-02-23 RTDC Observations" /stypes="*4038*20160730*" /stext=" 19:.+((SYSTEM_STATE.+slice.+state.+changed )|(ment ac)|(system.+state.+changed )|(\|lc)|(penalty)|(\[timeout)|(PRM\|1\|D))" /e /r /s</v>
      </c>
      <c r="AG221" s="1" t="str">
        <f t="shared" si="87"/>
        <v>NW</v>
      </c>
    </row>
    <row r="222" spans="1:33" hidden="1" x14ac:dyDescent="0.25">
      <c r="A222" s="45" t="s">
        <v>758</v>
      </c>
      <c r="B222" s="7">
        <v>4026</v>
      </c>
      <c r="C222" s="25" t="s">
        <v>170</v>
      </c>
      <c r="D222" s="25" t="s">
        <v>630</v>
      </c>
      <c r="E222" s="16">
        <v>42581.556307870371</v>
      </c>
      <c r="F222" s="16">
        <v>42581.557453703703</v>
      </c>
      <c r="G222" s="7">
        <v>1</v>
      </c>
      <c r="H222" s="16" t="s">
        <v>482</v>
      </c>
      <c r="I222" s="16">
        <v>42581.578553240739</v>
      </c>
      <c r="J222" s="7">
        <v>0</v>
      </c>
      <c r="K222" s="123" t="str">
        <f t="shared" si="74"/>
        <v>4025/4026</v>
      </c>
      <c r="L222" s="25" t="str">
        <f>VLOOKUP(A222,'Trips&amp;Operators'!$C$1:$E$10000,3,FALSE)</f>
        <v>NATION</v>
      </c>
      <c r="M222" s="6">
        <f t="shared" si="75"/>
        <v>2.1099537036207039E-2</v>
      </c>
      <c r="N222" s="7">
        <f t="shared" si="76"/>
        <v>30.383333332138136</v>
      </c>
      <c r="O222" s="7"/>
      <c r="P222" s="7"/>
      <c r="Q222" s="26"/>
      <c r="R222" s="26"/>
      <c r="S222" s="41">
        <f t="shared" si="77"/>
        <v>1</v>
      </c>
      <c r="T222" s="59" t="str">
        <f t="shared" si="73"/>
        <v>Southbound</v>
      </c>
      <c r="U222" s="84">
        <f>IF(AG222="EC",COUNTIFS(Variables!$M$2:$M$19,IF(T222="NorthBound","&gt;=","&lt;=")&amp;Y222,Variables!$M$2:$M$19,IF(T222="NorthBound","&lt;=","&gt;=")&amp;Z222),COUNTIFS(Variables!$P$2:$P$19,IF(T222="NorthBound","&gt;=","&lt;=")&amp;Y222,Variables!$P$2:$P$19,IF(T222="NorthBound","&lt;=","&gt;=")&amp;Z222))</f>
        <v>1</v>
      </c>
      <c r="V22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12:21:05-0600',mode:absolute,to:'2016-07-30 14:53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2" s="64" t="str">
        <f t="shared" si="88"/>
        <v>N</v>
      </c>
      <c r="X222" s="126">
        <f t="shared" si="89"/>
        <v>1</v>
      </c>
      <c r="Y222" s="79">
        <f t="shared" si="90"/>
        <v>5.8574000000000002</v>
      </c>
      <c r="Z222" s="79">
        <f t="shared" si="91"/>
        <v>8.2199999999999995E-2</v>
      </c>
      <c r="AA222" s="79">
        <f t="shared" si="83"/>
        <v>5.7751999999999999</v>
      </c>
      <c r="AB222" s="76" t="e">
        <f>VLOOKUP(A222,Enforcements!$C$7:$J$24,8,0)</f>
        <v>#N/A</v>
      </c>
      <c r="AC222" s="72" t="e">
        <f>VLOOKUP(A222,Enforcements!$C$7:$E$24,3,0)</f>
        <v>#N/A</v>
      </c>
      <c r="AD222" s="73" t="str">
        <f t="shared" si="84"/>
        <v>1850-30</v>
      </c>
      <c r="AE222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22" s="65" t="str">
        <f t="shared" si="86"/>
        <v>"C:\Program Files (x86)\AstroGrep\AstroGrep.exe" /spath="C:\Users\stu\Documents\Analysis\2016-02-23 RTDC Observations" /stypes="*4026*20160730*" /stext=" 19:.+((SYSTEM_STATE.+slice.+state.+changed )|(ment ac)|(system.+state.+changed )|(\|lc)|(penalty)|(\[timeout)|(PRM\|1\|D))" /e /r /s</v>
      </c>
      <c r="AG222" s="1" t="str">
        <f t="shared" si="87"/>
        <v>NW</v>
      </c>
    </row>
    <row r="223" spans="1:33" hidden="1" x14ac:dyDescent="0.25">
      <c r="A223" s="45" t="s">
        <v>760</v>
      </c>
      <c r="B223" s="7">
        <v>4025</v>
      </c>
      <c r="C223" s="25" t="s">
        <v>170</v>
      </c>
      <c r="D223" s="25" t="s">
        <v>892</v>
      </c>
      <c r="E223" s="16">
        <v>42581.58153935185</v>
      </c>
      <c r="F223" s="16">
        <v>42581.582384259258</v>
      </c>
      <c r="G223" s="7">
        <v>1</v>
      </c>
      <c r="H223" s="16" t="s">
        <v>591</v>
      </c>
      <c r="I223" s="16">
        <v>42581.593981481485</v>
      </c>
      <c r="J223" s="7">
        <v>0</v>
      </c>
      <c r="K223" s="123" t="str">
        <f t="shared" si="74"/>
        <v>4025/4026</v>
      </c>
      <c r="L223" s="25" t="str">
        <f>VLOOKUP(A223,'Trips&amp;Operators'!$C$1:$E$10000,3,FALSE)</f>
        <v>STORY</v>
      </c>
      <c r="M223" s="6">
        <f t="shared" si="75"/>
        <v>1.1597222226555459E-2</v>
      </c>
      <c r="N223" s="7">
        <f t="shared" si="76"/>
        <v>16.700000006239861</v>
      </c>
      <c r="O223" s="7"/>
      <c r="P223" s="7"/>
      <c r="Q223" s="26"/>
      <c r="R223" s="26"/>
      <c r="S223" s="41">
        <f t="shared" si="77"/>
        <v>1</v>
      </c>
      <c r="T223" s="59" t="str">
        <f t="shared" si="73"/>
        <v>NorthBound</v>
      </c>
      <c r="U223" s="84">
        <f>IF(AG223="EC",COUNTIFS(Variables!$M$2:$M$19,IF(T223="NorthBound","&gt;=","&lt;=")&amp;Y223,Variables!$M$2:$M$19,IF(T223="NorthBound","&lt;=","&gt;=")&amp;Z223),COUNTIFS(Variables!$P$2:$P$19,IF(T223="NorthBound","&gt;=","&lt;=")&amp;Y223,Variables!$P$2:$P$19,IF(T223="NorthBound","&lt;=","&gt;=")&amp;Z223))</f>
        <v>1</v>
      </c>
      <c r="V22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12:57:25-0600',mode:absolute,to:'2016-07-30 15:15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23" s="64" t="str">
        <f t="shared" si="88"/>
        <v>N</v>
      </c>
      <c r="X223" s="126">
        <f t="shared" si="89"/>
        <v>1</v>
      </c>
      <c r="Y223" s="79">
        <f t="shared" si="90"/>
        <v>0.11260000000000001</v>
      </c>
      <c r="Z223" s="79">
        <f t="shared" si="91"/>
        <v>5.8933</v>
      </c>
      <c r="AA223" s="79">
        <f t="shared" si="83"/>
        <v>5.7807000000000004</v>
      </c>
      <c r="AB223" s="76" t="e">
        <f>VLOOKUP(A223,Enforcements!$C$7:$J$24,8,0)</f>
        <v>#N/A</v>
      </c>
      <c r="AC223" s="72" t="e">
        <f>VLOOKUP(A223,Enforcements!$C$7:$E$24,3,0)</f>
        <v>#N/A</v>
      </c>
      <c r="AD223" s="73" t="str">
        <f t="shared" si="84"/>
        <v>1851-30</v>
      </c>
      <c r="AE223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23" s="65" t="str">
        <f t="shared" si="86"/>
        <v>"C:\Program Files (x86)\AstroGrep\AstroGrep.exe" /spath="C:\Users\stu\Documents\Analysis\2016-02-23 RTDC Observations" /stypes="*4025*20160730*" /stext=" 20:.+((SYSTEM_STATE.+slice.+state.+changed )|(ment ac)|(system.+state.+changed )|(\|lc)|(penalty)|(\[timeout)|(PRM\|1\|D))" /e /r /s</v>
      </c>
      <c r="AG223" s="1" t="str">
        <f t="shared" si="87"/>
        <v>NW</v>
      </c>
    </row>
    <row r="224" spans="1:33" hidden="1" x14ac:dyDescent="0.25">
      <c r="A224" s="45" t="s">
        <v>759</v>
      </c>
      <c r="B224" s="7">
        <v>4019</v>
      </c>
      <c r="C224" s="25" t="s">
        <v>170</v>
      </c>
      <c r="D224" s="25" t="s">
        <v>906</v>
      </c>
      <c r="E224" s="16">
        <v>42581.571377314816</v>
      </c>
      <c r="F224" s="16">
        <v>42581.572118055556</v>
      </c>
      <c r="G224" s="7">
        <v>1</v>
      </c>
      <c r="H224" s="16" t="s">
        <v>907</v>
      </c>
      <c r="I224" s="16">
        <v>42581.592314814814</v>
      </c>
      <c r="J224" s="7">
        <v>0</v>
      </c>
      <c r="K224" s="123" t="str">
        <f t="shared" si="74"/>
        <v>4019/4020</v>
      </c>
      <c r="L224" s="25" t="str">
        <f>VLOOKUP(A224,'Trips&amp;Operators'!$C$1:$E$10000,3,FALSE)</f>
        <v>YORK</v>
      </c>
      <c r="M224" s="6">
        <f t="shared" si="75"/>
        <v>2.0196759258396924E-2</v>
      </c>
      <c r="N224" s="7">
        <f t="shared" si="76"/>
        <v>29.08333333209157</v>
      </c>
      <c r="O224" s="7"/>
      <c r="P224" s="7"/>
      <c r="Q224" s="26"/>
      <c r="R224" s="26"/>
      <c r="S224" s="41">
        <f t="shared" si="77"/>
        <v>1</v>
      </c>
      <c r="T224" s="59" t="str">
        <f t="shared" si="73"/>
        <v>Southbound</v>
      </c>
      <c r="U224" s="84">
        <f>IF(AG224="EC",COUNTIFS(Variables!$M$2:$M$19,IF(T224="NorthBound","&gt;=","&lt;=")&amp;Y224,Variables!$M$2:$M$19,IF(T224="NorthBound","&lt;=","&gt;=")&amp;Z224),COUNTIFS(Variables!$P$2:$P$19,IF(T224="NorthBound","&gt;=","&lt;=")&amp;Y224,Variables!$P$2:$P$19,IF(T224="NorthBound","&lt;=","&gt;=")&amp;Z224))</f>
        <v>1</v>
      </c>
      <c r="V22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12:42:47-0600',mode:absolute,to:'2016-07-30 15:12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24" s="64" t="str">
        <f t="shared" si="88"/>
        <v>N</v>
      </c>
      <c r="X224" s="126">
        <f t="shared" si="89"/>
        <v>1</v>
      </c>
      <c r="Y224" s="79">
        <f t="shared" si="90"/>
        <v>5.8551000000000002</v>
      </c>
      <c r="Z224" s="79">
        <f t="shared" si="91"/>
        <v>8.1299999999999997E-2</v>
      </c>
      <c r="AA224" s="79">
        <f t="shared" si="83"/>
        <v>5.7738000000000005</v>
      </c>
      <c r="AB224" s="76" t="e">
        <f>VLOOKUP(A224,Enforcements!$C$7:$J$24,8,0)</f>
        <v>#N/A</v>
      </c>
      <c r="AC224" s="72" t="e">
        <f>VLOOKUP(A224,Enforcements!$C$7:$E$24,3,0)</f>
        <v>#N/A</v>
      </c>
      <c r="AD224" s="73" t="str">
        <f t="shared" si="84"/>
        <v>1852-30</v>
      </c>
      <c r="AE224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24" s="65" t="str">
        <f t="shared" si="86"/>
        <v>"C:\Program Files (x86)\AstroGrep\AstroGrep.exe" /spath="C:\Users\stu\Documents\Analysis\2016-02-23 RTDC Observations" /stypes="*4019*20160730*" /stext=" 20:.+((SYSTEM_STATE.+slice.+state.+changed )|(ment ac)|(system.+state.+changed )|(\|lc)|(penalty)|(\[timeout)|(PRM\|1\|D))" /e /r /s</v>
      </c>
      <c r="AG224" s="1" t="str">
        <f t="shared" si="87"/>
        <v>NW</v>
      </c>
    </row>
    <row r="225" spans="1:33" hidden="1" x14ac:dyDescent="0.25">
      <c r="A225" s="45" t="s">
        <v>737</v>
      </c>
      <c r="B225" s="7">
        <v>4020</v>
      </c>
      <c r="C225" s="25" t="s">
        <v>170</v>
      </c>
      <c r="D225" s="25" t="s">
        <v>908</v>
      </c>
      <c r="E225" s="16">
        <v>42581.595497685186</v>
      </c>
      <c r="F225" s="16">
        <v>42581.59648148148</v>
      </c>
      <c r="G225" s="7">
        <v>1</v>
      </c>
      <c r="H225" s="16" t="s">
        <v>909</v>
      </c>
      <c r="I225" s="16">
        <v>42581.606840277775</v>
      </c>
      <c r="J225" s="7">
        <v>0</v>
      </c>
      <c r="K225" s="123" t="str">
        <f t="shared" si="74"/>
        <v>4019/4020</v>
      </c>
      <c r="L225" s="25" t="str">
        <f>VLOOKUP(A225,'Trips&amp;Operators'!$C$1:$E$10000,3,FALSE)</f>
        <v>ADANE</v>
      </c>
      <c r="M225" s="6">
        <f t="shared" si="75"/>
        <v>1.0358796294895001E-2</v>
      </c>
      <c r="N225" s="7">
        <f t="shared" si="76"/>
        <v>14.916666664648801</v>
      </c>
      <c r="O225" s="7"/>
      <c r="P225" s="7"/>
      <c r="Q225" s="26"/>
      <c r="R225" s="26"/>
      <c r="S225" s="41">
        <f t="shared" si="77"/>
        <v>1</v>
      </c>
      <c r="T225" s="59" t="str">
        <f t="shared" si="73"/>
        <v>NorthBound</v>
      </c>
      <c r="U225" s="84">
        <f>IF(AG225="EC",COUNTIFS(Variables!$M$2:$M$19,IF(T225="NorthBound","&gt;=","&lt;=")&amp;Y225,Variables!$M$2:$M$19,IF(T225="NorthBound","&lt;=","&gt;=")&amp;Z225),COUNTIFS(Variables!$P$2:$P$19,IF(T225="NorthBound","&gt;=","&lt;=")&amp;Y225,Variables!$P$2:$P$19,IF(T225="NorthBound","&lt;=","&gt;=")&amp;Z225))</f>
        <v>1</v>
      </c>
      <c r="V22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13:17:31-0600',mode:absolute,to:'2016-07-30 15:33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25" s="64" t="str">
        <f t="shared" si="88"/>
        <v>N</v>
      </c>
      <c r="X225" s="126">
        <f t="shared" si="89"/>
        <v>1</v>
      </c>
      <c r="Y225" s="79">
        <f t="shared" si="90"/>
        <v>0.11070000000000001</v>
      </c>
      <c r="Z225" s="79">
        <f t="shared" si="91"/>
        <v>5.7607999999999997</v>
      </c>
      <c r="AA225" s="79">
        <f t="shared" si="83"/>
        <v>5.6501000000000001</v>
      </c>
      <c r="AB225" s="76" t="e">
        <f>VLOOKUP(A225,Enforcements!$C$7:$J$24,8,0)</f>
        <v>#N/A</v>
      </c>
      <c r="AC225" s="72" t="e">
        <f>VLOOKUP(A225,Enforcements!$C$7:$E$24,3,0)</f>
        <v>#N/A</v>
      </c>
      <c r="AD225" s="73" t="str">
        <f t="shared" si="84"/>
        <v>1853-30</v>
      </c>
      <c r="AE225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25" s="65" t="str">
        <f t="shared" si="86"/>
        <v>"C:\Program Files (x86)\AstroGrep\AstroGrep.exe" /spath="C:\Users\stu\Documents\Analysis\2016-02-23 RTDC Observations" /stypes="*4020*20160730*" /stext=" 20:.+((SYSTEM_STATE.+slice.+state.+changed )|(ment ac)|(system.+state.+changed )|(\|lc)|(penalty)|(\[timeout)|(PRM\|1\|D))" /e /r /s</v>
      </c>
      <c r="AG225" s="1" t="str">
        <f t="shared" si="87"/>
        <v>NW</v>
      </c>
    </row>
    <row r="226" spans="1:33" hidden="1" x14ac:dyDescent="0.25">
      <c r="A226" s="45" t="s">
        <v>716</v>
      </c>
      <c r="B226" s="7">
        <v>4037</v>
      </c>
      <c r="C226" s="25" t="s">
        <v>170</v>
      </c>
      <c r="D226" s="25" t="s">
        <v>910</v>
      </c>
      <c r="E226" s="16">
        <v>42581.591921296298</v>
      </c>
      <c r="F226" s="16">
        <v>42581.593090277776</v>
      </c>
      <c r="G226" s="7">
        <v>1</v>
      </c>
      <c r="H226" s="16" t="s">
        <v>911</v>
      </c>
      <c r="I226" s="16">
        <v>42581.605474537035</v>
      </c>
      <c r="J226" s="7">
        <v>0</v>
      </c>
      <c r="K226" s="123" t="str">
        <f t="shared" si="74"/>
        <v>4037/4038</v>
      </c>
      <c r="L226" s="25" t="str">
        <f>VLOOKUP(A226,'Trips&amp;Operators'!$C$1:$E$10000,3,FALSE)</f>
        <v>DE LA ROSA</v>
      </c>
      <c r="M226" s="6">
        <f t="shared" si="75"/>
        <v>1.2384259258396924E-2</v>
      </c>
      <c r="N226" s="7">
        <f t="shared" si="76"/>
        <v>17.83333333209157</v>
      </c>
      <c r="O226" s="7"/>
      <c r="P226" s="7"/>
      <c r="Q226" s="26"/>
      <c r="R226" s="26"/>
      <c r="S226" s="41">
        <f t="shared" si="77"/>
        <v>1</v>
      </c>
      <c r="T226" s="59" t="str">
        <f t="shared" si="73"/>
        <v>Southbound</v>
      </c>
      <c r="U226" s="84">
        <f>IF(AG226="EC",COUNTIFS(Variables!$M$2:$M$19,IF(T226="NorthBound","&gt;=","&lt;=")&amp;Y226,Variables!$M$2:$M$19,IF(T226="NorthBound","&lt;=","&gt;=")&amp;Z226),COUNTIFS(Variables!$P$2:$P$19,IF(T226="NorthBound","&gt;=","&lt;=")&amp;Y226,Variables!$P$2:$P$19,IF(T226="NorthBound","&lt;=","&gt;=")&amp;Z226))</f>
        <v>1</v>
      </c>
      <c r="V22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13:12:22-0600',mode:absolute,to:'2016-07-30 15:31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26" s="64" t="str">
        <f t="shared" si="88"/>
        <v>N</v>
      </c>
      <c r="X226" s="126">
        <f t="shared" si="89"/>
        <v>1</v>
      </c>
      <c r="Y226" s="79">
        <f t="shared" si="90"/>
        <v>5.8639999999999999</v>
      </c>
      <c r="Z226" s="79">
        <f t="shared" si="91"/>
        <v>8.2400000000000001E-2</v>
      </c>
      <c r="AA226" s="79">
        <f t="shared" si="83"/>
        <v>5.7816000000000001</v>
      </c>
      <c r="AB226" s="76" t="e">
        <f>VLOOKUP(A226,Enforcements!$C$7:$J$24,8,0)</f>
        <v>#N/A</v>
      </c>
      <c r="AC226" s="72" t="e">
        <f>VLOOKUP(A226,Enforcements!$C$7:$E$24,3,0)</f>
        <v>#N/A</v>
      </c>
      <c r="AD226" s="73" t="str">
        <f t="shared" si="84"/>
        <v>1854-30</v>
      </c>
      <c r="AE226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26" s="65" t="str">
        <f t="shared" si="86"/>
        <v>"C:\Program Files (x86)\AstroGrep\AstroGrep.exe" /spath="C:\Users\stu\Documents\Analysis\2016-02-23 RTDC Observations" /stypes="*4037*20160730*" /stext=" 20:.+((SYSTEM_STATE.+slice.+state.+changed )|(ment ac)|(system.+state.+changed )|(\|lc)|(penalty)|(\[timeout)|(PRM\|1\|D))" /e /r /s</v>
      </c>
      <c r="AG226" s="1" t="str">
        <f t="shared" si="87"/>
        <v>NW</v>
      </c>
    </row>
    <row r="227" spans="1:33" hidden="1" x14ac:dyDescent="0.25">
      <c r="A227" s="45" t="s">
        <v>762</v>
      </c>
      <c r="B227" s="7">
        <v>4038</v>
      </c>
      <c r="C227" s="25" t="s">
        <v>170</v>
      </c>
      <c r="D227" s="25" t="s">
        <v>912</v>
      </c>
      <c r="E227" s="16">
        <v>42581.607777777775</v>
      </c>
      <c r="F227" s="16">
        <v>42581.609236111108</v>
      </c>
      <c r="G227" s="7">
        <v>2</v>
      </c>
      <c r="H227" s="16" t="s">
        <v>913</v>
      </c>
      <c r="I227" s="16">
        <v>42581.621620370373</v>
      </c>
      <c r="J227" s="7">
        <v>0</v>
      </c>
      <c r="K227" s="123" t="str">
        <f t="shared" si="74"/>
        <v>4037/4038</v>
      </c>
      <c r="L227" s="25" t="str">
        <f>VLOOKUP(A227,'Trips&amp;Operators'!$C$1:$E$10000,3,FALSE)</f>
        <v>DE LA ROSA</v>
      </c>
      <c r="M227" s="6">
        <f t="shared" si="75"/>
        <v>1.2384259265672881E-2</v>
      </c>
      <c r="N227" s="7">
        <f t="shared" si="76"/>
        <v>17.833333342568949</v>
      </c>
      <c r="O227" s="7"/>
      <c r="P227" s="7"/>
      <c r="Q227" s="26"/>
      <c r="R227" s="26"/>
      <c r="S227" s="41">
        <f t="shared" si="77"/>
        <v>1</v>
      </c>
      <c r="T227" s="59" t="str">
        <f t="shared" si="73"/>
        <v>NorthBound</v>
      </c>
      <c r="U227" s="84">
        <f>IF(AG227="EC",COUNTIFS(Variables!$M$2:$M$19,IF(T227="NorthBound","&gt;=","&lt;=")&amp;Y227,Variables!$M$2:$M$19,IF(T227="NorthBound","&lt;=","&gt;=")&amp;Z227),COUNTIFS(Variables!$P$2:$P$19,IF(T227="NorthBound","&gt;=","&lt;=")&amp;Y227,Variables!$P$2:$P$19,IF(T227="NorthBound","&lt;=","&gt;=")&amp;Z227))</f>
        <v>1</v>
      </c>
      <c r="V22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13:35:12-0600',mode:absolute,to:'2016-07-30 15:55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27" s="64" t="str">
        <f t="shared" si="88"/>
        <v>N</v>
      </c>
      <c r="X227" s="126">
        <f t="shared" si="89"/>
        <v>1</v>
      </c>
      <c r="Y227" s="79">
        <f t="shared" si="90"/>
        <v>0.1116</v>
      </c>
      <c r="Z227" s="79">
        <f t="shared" si="91"/>
        <v>5.8958000000000004</v>
      </c>
      <c r="AA227" s="79">
        <f t="shared" si="83"/>
        <v>5.7842000000000002</v>
      </c>
      <c r="AB227" s="76" t="e">
        <f>VLOOKUP(A227,Enforcements!$C$7:$J$24,8,0)</f>
        <v>#N/A</v>
      </c>
      <c r="AC227" s="72" t="e">
        <f>VLOOKUP(A227,Enforcements!$C$7:$E$24,3,0)</f>
        <v>#N/A</v>
      </c>
      <c r="AD227" s="73" t="str">
        <f t="shared" si="84"/>
        <v>1855-30</v>
      </c>
      <c r="AE227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27" s="65" t="str">
        <f t="shared" si="86"/>
        <v>"C:\Program Files (x86)\AstroGrep\AstroGrep.exe" /spath="C:\Users\stu\Documents\Analysis\2016-02-23 RTDC Observations" /stypes="*4038*20160730*" /stext=" 20:.+((SYSTEM_STATE.+slice.+state.+changed )|(ment ac)|(system.+state.+changed )|(\|lc)|(penalty)|(\[timeout)|(PRM\|1\|D))" /e /r /s</v>
      </c>
      <c r="AG227" s="1" t="str">
        <f t="shared" si="87"/>
        <v>NW</v>
      </c>
    </row>
    <row r="228" spans="1:33" hidden="1" x14ac:dyDescent="0.25">
      <c r="A228" s="45" t="s">
        <v>798</v>
      </c>
      <c r="B228" s="7">
        <v>4026</v>
      </c>
      <c r="C228" s="25" t="s">
        <v>170</v>
      </c>
      <c r="D228" s="25" t="s">
        <v>914</v>
      </c>
      <c r="E228" s="16">
        <v>42581.596053240741</v>
      </c>
      <c r="F228" s="16">
        <v>42581.59715277778</v>
      </c>
      <c r="G228" s="7">
        <v>1</v>
      </c>
      <c r="H228" s="16" t="s">
        <v>915</v>
      </c>
      <c r="I228" s="16">
        <v>42581.620081018518</v>
      </c>
      <c r="J228" s="7">
        <v>0</v>
      </c>
      <c r="K228" s="123" t="str">
        <f t="shared" si="74"/>
        <v>4025/4026</v>
      </c>
      <c r="L228" s="25" t="str">
        <f>VLOOKUP(A228,'Trips&amp;Operators'!$C$1:$E$10000,3,FALSE)</f>
        <v>STORY</v>
      </c>
      <c r="M228" s="6">
        <f t="shared" si="75"/>
        <v>2.2928240738110617E-2</v>
      </c>
      <c r="N228" s="7">
        <f t="shared" si="76"/>
        <v>33.016666662879288</v>
      </c>
      <c r="O228" s="7"/>
      <c r="P228" s="7"/>
      <c r="Q228" s="26"/>
      <c r="R228" s="26"/>
      <c r="S228" s="41">
        <f t="shared" si="77"/>
        <v>1</v>
      </c>
      <c r="T228" s="59" t="str">
        <f t="shared" si="73"/>
        <v>Southbound</v>
      </c>
      <c r="U228" s="84">
        <f>IF(AG228="EC",COUNTIFS(Variables!$M$2:$M$19,IF(T228="NorthBound","&gt;=","&lt;=")&amp;Y228,Variables!$M$2:$M$19,IF(T228="NorthBound","&lt;=","&gt;=")&amp;Z228),COUNTIFS(Variables!$P$2:$P$19,IF(T228="NorthBound","&gt;=","&lt;=")&amp;Y228,Variables!$P$2:$P$19,IF(T228="NorthBound","&lt;=","&gt;=")&amp;Z228))</f>
        <v>1</v>
      </c>
      <c r="V22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13:18:19-0600',mode:absolute,to:'2016-07-30 15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28" s="64" t="str">
        <f t="shared" si="88"/>
        <v>N</v>
      </c>
      <c r="X228" s="126">
        <f t="shared" si="89"/>
        <v>1</v>
      </c>
      <c r="Y228" s="79">
        <f t="shared" si="90"/>
        <v>5.8605999999999998</v>
      </c>
      <c r="Z228" s="79">
        <f t="shared" si="91"/>
        <v>6.4699999999999994E-2</v>
      </c>
      <c r="AA228" s="79">
        <f t="shared" si="83"/>
        <v>5.7958999999999996</v>
      </c>
      <c r="AB228" s="76" t="e">
        <f>VLOOKUP(A228,Enforcements!$C$7:$J$24,8,0)</f>
        <v>#N/A</v>
      </c>
      <c r="AC228" s="72" t="e">
        <f>VLOOKUP(A228,Enforcements!$C$7:$E$24,3,0)</f>
        <v>#N/A</v>
      </c>
      <c r="AD228" s="73" t="str">
        <f t="shared" si="84"/>
        <v>1856-30</v>
      </c>
      <c r="AE228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28" s="65" t="str">
        <f t="shared" si="86"/>
        <v>"C:\Program Files (x86)\AstroGrep\AstroGrep.exe" /spath="C:\Users\stu\Documents\Analysis\2016-02-23 RTDC Observations" /stypes="*4026*20160730*" /stext=" 20:.+((SYSTEM_STATE.+slice.+state.+changed )|(ment ac)|(system.+state.+changed )|(\|lc)|(penalty)|(\[timeout)|(PRM\|1\|D))" /e /r /s</v>
      </c>
      <c r="AG228" s="1" t="str">
        <f t="shared" si="87"/>
        <v>NW</v>
      </c>
    </row>
    <row r="229" spans="1:33" hidden="1" x14ac:dyDescent="0.25">
      <c r="A229" s="45" t="s">
        <v>764</v>
      </c>
      <c r="B229" s="7">
        <v>4025</v>
      </c>
      <c r="C229" s="25" t="s">
        <v>170</v>
      </c>
      <c r="D229" s="25" t="s">
        <v>916</v>
      </c>
      <c r="E229" s="16">
        <v>42581.621874999997</v>
      </c>
      <c r="F229" s="16">
        <v>42581.622939814813</v>
      </c>
      <c r="G229" s="7">
        <v>1</v>
      </c>
      <c r="H229" s="16" t="s">
        <v>917</v>
      </c>
      <c r="I229" s="16">
        <v>42581.636747685188</v>
      </c>
      <c r="J229" s="7">
        <v>0</v>
      </c>
      <c r="K229" s="123" t="str">
        <f t="shared" si="74"/>
        <v>4025/4026</v>
      </c>
      <c r="L229" s="25" t="str">
        <f>VLOOKUP(A229,'Trips&amp;Operators'!$C$1:$E$10000,3,FALSE)</f>
        <v>STORY</v>
      </c>
      <c r="M229" s="6">
        <f t="shared" si="75"/>
        <v>1.3807870374876074E-2</v>
      </c>
      <c r="N229" s="7">
        <f t="shared" si="76"/>
        <v>19.883333339821547</v>
      </c>
      <c r="O229" s="7"/>
      <c r="P229" s="7"/>
      <c r="Q229" s="26"/>
      <c r="R229" s="26"/>
      <c r="S229" s="41">
        <f t="shared" si="77"/>
        <v>1</v>
      </c>
      <c r="T229" s="59" t="str">
        <f t="shared" si="73"/>
        <v>NorthBound</v>
      </c>
      <c r="U229" s="84">
        <f>IF(AG229="EC",COUNTIFS(Variables!$M$2:$M$19,IF(T229="NorthBound","&gt;=","&lt;=")&amp;Y229,Variables!$M$2:$M$19,IF(T229="NorthBound","&lt;=","&gt;=")&amp;Z229),COUNTIFS(Variables!$P$2:$P$19,IF(T229="NorthBound","&gt;=","&lt;=")&amp;Y229,Variables!$P$2:$P$19,IF(T229="NorthBound","&lt;=","&gt;=")&amp;Z229))</f>
        <v>1</v>
      </c>
      <c r="V22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13:55:30-0600',mode:absolute,to:'2016-07-30 16:16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29" s="64" t="str">
        <f t="shared" si="88"/>
        <v>N</v>
      </c>
      <c r="X229" s="126">
        <f t="shared" si="89"/>
        <v>1</v>
      </c>
      <c r="Y229" s="79">
        <f t="shared" si="90"/>
        <v>9.06E-2</v>
      </c>
      <c r="Z229" s="79">
        <f t="shared" si="91"/>
        <v>5.8959999999999999</v>
      </c>
      <c r="AA229" s="79">
        <f t="shared" si="83"/>
        <v>5.8053999999999997</v>
      </c>
      <c r="AB229" s="76" t="e">
        <f>VLOOKUP(A229,Enforcements!$C$7:$J$24,8,0)</f>
        <v>#N/A</v>
      </c>
      <c r="AC229" s="72" t="e">
        <f>VLOOKUP(A229,Enforcements!$C$7:$E$24,3,0)</f>
        <v>#N/A</v>
      </c>
      <c r="AD229" s="73" t="str">
        <f t="shared" si="84"/>
        <v>1857-30</v>
      </c>
      <c r="AE229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29" s="65" t="str">
        <f t="shared" si="86"/>
        <v>"C:\Program Files (x86)\AstroGrep\AstroGrep.exe" /spath="C:\Users\stu\Documents\Analysis\2016-02-23 RTDC Observations" /stypes="*4025*20160730*" /stext=" 21:.+((SYSTEM_STATE.+slice.+state.+changed )|(ment ac)|(system.+state.+changed )|(\|lc)|(penalty)|(\[timeout)|(PRM\|1\|D))" /e /r /s</v>
      </c>
      <c r="AG229" s="1" t="str">
        <f t="shared" si="87"/>
        <v>NW</v>
      </c>
    </row>
    <row r="230" spans="1:33" hidden="1" x14ac:dyDescent="0.25">
      <c r="A230" s="45" t="s">
        <v>772</v>
      </c>
      <c r="B230" s="7">
        <v>4019</v>
      </c>
      <c r="C230" s="25" t="s">
        <v>170</v>
      </c>
      <c r="D230" s="25" t="s">
        <v>918</v>
      </c>
      <c r="E230" s="16">
        <v>42581.618634259263</v>
      </c>
      <c r="F230" s="16">
        <v>42581.619826388887</v>
      </c>
      <c r="G230" s="7">
        <v>1</v>
      </c>
      <c r="H230" s="16" t="s">
        <v>456</v>
      </c>
      <c r="I230" s="16">
        <v>42581.633136574077</v>
      </c>
      <c r="J230" s="7">
        <v>0</v>
      </c>
      <c r="K230" s="123" t="str">
        <f t="shared" si="74"/>
        <v>4019/4020</v>
      </c>
      <c r="L230" s="25" t="str">
        <f>VLOOKUP(A230,'Trips&amp;Operators'!$C$1:$E$10000,3,FALSE)</f>
        <v>ADANE</v>
      </c>
      <c r="M230" s="6">
        <f t="shared" si="75"/>
        <v>1.3310185189766344E-2</v>
      </c>
      <c r="N230" s="7">
        <f t="shared" si="76"/>
        <v>19.166666673263535</v>
      </c>
      <c r="O230" s="7"/>
      <c r="P230" s="7"/>
      <c r="Q230" s="26"/>
      <c r="R230" s="26"/>
      <c r="S230" s="41">
        <f t="shared" si="77"/>
        <v>1</v>
      </c>
      <c r="T230" s="59" t="str">
        <f t="shared" si="73"/>
        <v>Southbound</v>
      </c>
      <c r="U230" s="84">
        <f>IF(AG230="EC",COUNTIFS(Variables!$M$2:$M$19,IF(T230="NorthBound","&gt;=","&lt;=")&amp;Y230,Variables!$M$2:$M$19,IF(T230="NorthBound","&lt;=","&gt;=")&amp;Z230),COUNTIFS(Variables!$P$2:$P$19,IF(T230="NorthBound","&gt;=","&lt;=")&amp;Y230,Variables!$P$2:$P$19,IF(T230="NorthBound","&lt;=","&gt;=")&amp;Z230))</f>
        <v>1</v>
      </c>
      <c r="V23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13:50:50-0600',mode:absolute,to:'2016-07-30 16:11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30" s="64" t="str">
        <f t="shared" si="88"/>
        <v>N</v>
      </c>
      <c r="X230" s="126">
        <f t="shared" si="89"/>
        <v>1</v>
      </c>
      <c r="Y230" s="79">
        <f t="shared" si="90"/>
        <v>5.8619000000000003</v>
      </c>
      <c r="Z230" s="79">
        <f t="shared" si="91"/>
        <v>7.5499999999999998E-2</v>
      </c>
      <c r="AA230" s="79">
        <f t="shared" si="83"/>
        <v>5.7864000000000004</v>
      </c>
      <c r="AB230" s="76" t="e">
        <f>VLOOKUP(A230,Enforcements!$C$7:$J$24,8,0)</f>
        <v>#N/A</v>
      </c>
      <c r="AC230" s="72" t="e">
        <f>VLOOKUP(A230,Enforcements!$C$7:$E$24,3,0)</f>
        <v>#N/A</v>
      </c>
      <c r="AD230" s="73" t="str">
        <f t="shared" si="84"/>
        <v>1858-30</v>
      </c>
      <c r="AE230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30" s="65" t="str">
        <f t="shared" si="86"/>
        <v>"C:\Program Files (x86)\AstroGrep\AstroGrep.exe" /spath="C:\Users\stu\Documents\Analysis\2016-02-23 RTDC Observations" /stypes="*4019*20160730*" /stext=" 21:.+((SYSTEM_STATE.+slice.+state.+changed )|(ment ac)|(system.+state.+changed )|(\|lc)|(penalty)|(\[timeout)|(PRM\|1\|D))" /e /r /s</v>
      </c>
      <c r="AG230" s="1" t="str">
        <f t="shared" si="87"/>
        <v>NW</v>
      </c>
    </row>
    <row r="231" spans="1:33" hidden="1" x14ac:dyDescent="0.25">
      <c r="A231" s="45" t="s">
        <v>745</v>
      </c>
      <c r="B231" s="7">
        <v>4020</v>
      </c>
      <c r="C231" s="25" t="s">
        <v>170</v>
      </c>
      <c r="D231" s="25" t="s">
        <v>919</v>
      </c>
      <c r="E231" s="16">
        <v>42581.636377314811</v>
      </c>
      <c r="F231" s="16">
        <v>42581.637199074074</v>
      </c>
      <c r="G231" s="7">
        <v>1</v>
      </c>
      <c r="H231" s="16" t="s">
        <v>531</v>
      </c>
      <c r="I231" s="16">
        <v>42581.64775462963</v>
      </c>
      <c r="J231" s="7">
        <v>0</v>
      </c>
      <c r="K231" s="123" t="str">
        <f t="shared" si="74"/>
        <v>4019/4020</v>
      </c>
      <c r="L231" s="25" t="str">
        <f>VLOOKUP(A231,'Trips&amp;Operators'!$C$1:$E$10000,3,FALSE)</f>
        <v>ADANE</v>
      </c>
      <c r="M231" s="6">
        <f t="shared" si="75"/>
        <v>1.0555555556493346E-2</v>
      </c>
      <c r="N231" s="7">
        <f t="shared" si="76"/>
        <v>15.200000001350418</v>
      </c>
      <c r="O231" s="7"/>
      <c r="P231" s="7"/>
      <c r="Q231" s="26"/>
      <c r="R231" s="26"/>
      <c r="S231" s="41">
        <f t="shared" si="77"/>
        <v>1</v>
      </c>
      <c r="T231" s="59" t="str">
        <f t="shared" si="73"/>
        <v>NorthBound</v>
      </c>
      <c r="U231" s="84">
        <f>IF(AG231="EC",COUNTIFS(Variables!$M$2:$M$19,IF(T231="NorthBound","&gt;=","&lt;=")&amp;Y231,Variables!$M$2:$M$19,IF(T231="NorthBound","&lt;=","&gt;=")&amp;Z231),COUNTIFS(Variables!$P$2:$P$19,IF(T231="NorthBound","&gt;=","&lt;=")&amp;Y231,Variables!$P$2:$P$19,IF(T231="NorthBound","&lt;=","&gt;=")&amp;Z231))</f>
        <v>1</v>
      </c>
      <c r="V23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14:16:23-0600',mode:absolute,to:'2016-07-30 16:32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31" s="64" t="str">
        <f t="shared" si="88"/>
        <v>N</v>
      </c>
      <c r="X231" s="126">
        <f t="shared" si="89"/>
        <v>1</v>
      </c>
      <c r="Y231" s="79">
        <f t="shared" si="90"/>
        <v>0.10299999999999999</v>
      </c>
      <c r="Z231" s="79">
        <f t="shared" si="91"/>
        <v>5.7603</v>
      </c>
      <c r="AA231" s="79">
        <f t="shared" si="83"/>
        <v>5.6573000000000002</v>
      </c>
      <c r="AB231" s="76" t="e">
        <f>VLOOKUP(A231,Enforcements!$C$7:$J$24,8,0)</f>
        <v>#N/A</v>
      </c>
      <c r="AC231" s="72" t="e">
        <f>VLOOKUP(A231,Enforcements!$C$7:$E$24,3,0)</f>
        <v>#N/A</v>
      </c>
      <c r="AD231" s="73" t="str">
        <f t="shared" si="84"/>
        <v>1859-30</v>
      </c>
      <c r="AE231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31" s="65" t="str">
        <f t="shared" si="86"/>
        <v>"C:\Program Files (x86)\AstroGrep\AstroGrep.exe" /spath="C:\Users\stu\Documents\Analysis\2016-02-23 RTDC Observations" /stypes="*4020*20160730*" /stext=" 21:.+((SYSTEM_STATE.+slice.+state.+changed )|(ment ac)|(system.+state.+changed )|(\|lc)|(penalty)|(\[timeout)|(PRM\|1\|D))" /e /r /s</v>
      </c>
      <c r="AG231" s="1" t="str">
        <f t="shared" si="87"/>
        <v>NW</v>
      </c>
    </row>
    <row r="232" spans="1:33" hidden="1" x14ac:dyDescent="0.25">
      <c r="A232" s="45" t="s">
        <v>822</v>
      </c>
      <c r="B232" s="7">
        <v>4037</v>
      </c>
      <c r="C232" s="25" t="s">
        <v>170</v>
      </c>
      <c r="D232" s="25" t="s">
        <v>406</v>
      </c>
      <c r="E232" s="16">
        <v>42581.63453703704</v>
      </c>
      <c r="F232" s="16">
        <v>42581.635868055557</v>
      </c>
      <c r="G232" s="7">
        <v>1</v>
      </c>
      <c r="H232" s="16" t="s">
        <v>921</v>
      </c>
      <c r="I232" s="16">
        <v>42581.64702546296</v>
      </c>
      <c r="J232" s="7">
        <v>0</v>
      </c>
      <c r="K232" s="123" t="str">
        <f t="shared" si="74"/>
        <v>4037/4038</v>
      </c>
      <c r="L232" s="25" t="str">
        <f>VLOOKUP(A232,'Trips&amp;Operators'!$C$1:$E$10000,3,FALSE)</f>
        <v>DE LA ROSA</v>
      </c>
      <c r="M232" s="6">
        <f t="shared" si="75"/>
        <v>1.1157407403516117E-2</v>
      </c>
      <c r="N232" s="7">
        <f t="shared" si="76"/>
        <v>16.066666661063209</v>
      </c>
      <c r="O232" s="7"/>
      <c r="P232" s="7"/>
      <c r="Q232" s="26"/>
      <c r="R232" s="26"/>
      <c r="S232" s="41">
        <f t="shared" si="77"/>
        <v>1</v>
      </c>
      <c r="T232" s="59" t="str">
        <f t="shared" si="73"/>
        <v>Southbound</v>
      </c>
      <c r="U232" s="84">
        <f>IF(AG232="EC",COUNTIFS(Variables!$M$2:$M$19,IF(T232="NorthBound","&gt;=","&lt;=")&amp;Y232,Variables!$M$2:$M$19,IF(T232="NorthBound","&lt;=","&gt;=")&amp;Z232),COUNTIFS(Variables!$P$2:$P$19,IF(T232="NorthBound","&gt;=","&lt;=")&amp;Y232,Variables!$P$2:$P$19,IF(T232="NorthBound","&lt;=","&gt;=")&amp;Z232))</f>
        <v>1</v>
      </c>
      <c r="V23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14:13:44-0600',mode:absolute,to:'2016-07-30 16:31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32" s="64" t="str">
        <f t="shared" si="88"/>
        <v>N</v>
      </c>
      <c r="X232" s="126">
        <f t="shared" si="89"/>
        <v>1</v>
      </c>
      <c r="Y232" s="79">
        <f t="shared" si="90"/>
        <v>5.8647</v>
      </c>
      <c r="Z232" s="79">
        <f t="shared" si="91"/>
        <v>7.6799999999999993E-2</v>
      </c>
      <c r="AA232" s="79">
        <f t="shared" si="83"/>
        <v>5.7878999999999996</v>
      </c>
      <c r="AB232" s="76" t="e">
        <f>VLOOKUP(A232,Enforcements!$C$7:$J$24,8,0)</f>
        <v>#N/A</v>
      </c>
      <c r="AC232" s="72" t="e">
        <f>VLOOKUP(A232,Enforcements!$C$7:$E$24,3,0)</f>
        <v>#N/A</v>
      </c>
      <c r="AD232" s="73" t="str">
        <f t="shared" si="84"/>
        <v>1860-30</v>
      </c>
      <c r="AE232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32" s="65" t="str">
        <f t="shared" si="86"/>
        <v>"C:\Program Files (x86)\AstroGrep\AstroGrep.exe" /spath="C:\Users\stu\Documents\Analysis\2016-02-23 RTDC Observations" /stypes="*4037*20160730*" /stext=" 21:.+((SYSTEM_STATE.+slice.+state.+changed )|(ment ac)|(system.+state.+changed )|(\|lc)|(penalty)|(\[timeout)|(PRM\|1\|D))" /e /r /s</v>
      </c>
      <c r="AG232" s="1" t="str">
        <f t="shared" si="87"/>
        <v>NW</v>
      </c>
    </row>
    <row r="233" spans="1:33" hidden="1" x14ac:dyDescent="0.25">
      <c r="A233" s="45" t="s">
        <v>507</v>
      </c>
      <c r="B233" s="7">
        <v>4038</v>
      </c>
      <c r="C233" s="25" t="s">
        <v>170</v>
      </c>
      <c r="D233" s="25" t="s">
        <v>397</v>
      </c>
      <c r="E233" s="16">
        <v>42581.649444444447</v>
      </c>
      <c r="F233" s="16">
        <v>42581.650462962964</v>
      </c>
      <c r="G233" s="7">
        <v>1</v>
      </c>
      <c r="H233" s="16" t="s">
        <v>508</v>
      </c>
      <c r="I233" s="16">
        <v>42581.663483796299</v>
      </c>
      <c r="J233" s="7">
        <v>0</v>
      </c>
      <c r="K233" s="123" t="str">
        <f t="shared" si="74"/>
        <v>4037/4038</v>
      </c>
      <c r="L233" s="25" t="str">
        <f>VLOOKUP(A233,'Trips&amp;Operators'!$C$1:$E$10000,3,FALSE)</f>
        <v>DE LA ROSA</v>
      </c>
      <c r="M233" s="6">
        <f t="shared" si="75"/>
        <v>1.3020833335758653E-2</v>
      </c>
      <c r="N233" s="7">
        <f t="shared" si="76"/>
        <v>18.75000000349246</v>
      </c>
      <c r="O233" s="7"/>
      <c r="P233" s="7"/>
      <c r="Q233" s="26"/>
      <c r="R233" s="26"/>
      <c r="S233" s="41">
        <f t="shared" si="77"/>
        <v>1</v>
      </c>
      <c r="T233" s="59" t="str">
        <f t="shared" si="73"/>
        <v>NorthBound</v>
      </c>
      <c r="U233" s="84">
        <f>IF(AG233="EC",COUNTIFS(Variables!$M$2:$M$19,IF(T233="NorthBound","&gt;=","&lt;=")&amp;Y233,Variables!$M$2:$M$19,IF(T233="NorthBound","&lt;=","&gt;=")&amp;Z233),COUNTIFS(Variables!$P$2:$P$19,IF(T233="NorthBound","&gt;=","&lt;=")&amp;Y233,Variables!$P$2:$P$19,IF(T233="NorthBound","&lt;=","&gt;=")&amp;Z233))</f>
        <v>1</v>
      </c>
      <c r="V23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14:35:12-0600',mode:absolute,to:'2016-07-30 16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3" s="64" t="str">
        <f t="shared" si="88"/>
        <v>N</v>
      </c>
      <c r="X233" s="126">
        <f t="shared" si="89"/>
        <v>1</v>
      </c>
      <c r="Y233" s="79">
        <f t="shared" si="90"/>
        <v>0.10580000000000001</v>
      </c>
      <c r="Z233" s="79">
        <f t="shared" si="91"/>
        <v>5.8967000000000001</v>
      </c>
      <c r="AA233" s="79">
        <f t="shared" si="83"/>
        <v>5.7908999999999997</v>
      </c>
      <c r="AB233" s="76" t="e">
        <f>VLOOKUP(A233,Enforcements!$C$7:$J$24,8,0)</f>
        <v>#N/A</v>
      </c>
      <c r="AC233" s="72" t="e">
        <f>VLOOKUP(A233,Enforcements!$C$7:$E$24,3,0)</f>
        <v>#N/A</v>
      </c>
      <c r="AD233" s="73" t="str">
        <f t="shared" si="84"/>
        <v>1861-30</v>
      </c>
      <c r="AE233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33" s="65" t="str">
        <f t="shared" si="86"/>
        <v>"C:\Program Files (x86)\AstroGrep\AstroGrep.exe" /spath="C:\Users\stu\Documents\Analysis\2016-02-23 RTDC Observations" /stypes="*4038*20160730*" /stext=" 21:.+((SYSTEM_STATE.+slice.+state.+changed )|(ment ac)|(system.+state.+changed )|(\|lc)|(penalty)|(\[timeout)|(PRM\|1\|D))" /e /r /s</v>
      </c>
      <c r="AG233" s="1" t="str">
        <f t="shared" si="87"/>
        <v>NW</v>
      </c>
    </row>
    <row r="234" spans="1:33" hidden="1" x14ac:dyDescent="0.25">
      <c r="A234" s="45" t="s">
        <v>823</v>
      </c>
      <c r="B234" s="7">
        <v>4026</v>
      </c>
      <c r="C234" s="25" t="s">
        <v>170</v>
      </c>
      <c r="D234" s="25" t="s">
        <v>518</v>
      </c>
      <c r="E234" s="16">
        <v>42581.639872685184</v>
      </c>
      <c r="F234" s="16">
        <v>42581.640763888892</v>
      </c>
      <c r="G234" s="7">
        <v>1</v>
      </c>
      <c r="H234" s="16" t="s">
        <v>922</v>
      </c>
      <c r="I234" s="16">
        <v>42581.662210648145</v>
      </c>
      <c r="J234" s="7">
        <v>1</v>
      </c>
      <c r="K234" s="123" t="str">
        <f t="shared" si="74"/>
        <v>4025/4026</v>
      </c>
      <c r="L234" s="25" t="str">
        <f>VLOOKUP(A234,'Trips&amp;Operators'!$C$1:$E$10000,3,FALSE)</f>
        <v>STORY</v>
      </c>
      <c r="M234" s="6">
        <f t="shared" si="75"/>
        <v>2.1446759252285119E-2</v>
      </c>
      <c r="N234" s="7">
        <f t="shared" si="76"/>
        <v>30.883333323290572</v>
      </c>
      <c r="O234" s="7"/>
      <c r="P234" s="7"/>
      <c r="Q234" s="26"/>
      <c r="R234" s="26"/>
      <c r="S234" s="41">
        <f t="shared" si="77"/>
        <v>1</v>
      </c>
      <c r="T234" s="59" t="str">
        <f t="shared" si="73"/>
        <v>Southbound</v>
      </c>
      <c r="U234" s="84">
        <f>IF(AG234="EC",COUNTIFS(Variables!$M$2:$M$19,IF(T234="NorthBound","&gt;=","&lt;=")&amp;Y234,Variables!$M$2:$M$19,IF(T234="NorthBound","&lt;=","&gt;=")&amp;Z234),COUNTIFS(Variables!$P$2:$P$19,IF(T234="NorthBound","&gt;=","&lt;=")&amp;Y234,Variables!$P$2:$P$19,IF(T234="NorthBound","&lt;=","&gt;=")&amp;Z234))</f>
        <v>1</v>
      </c>
      <c r="V23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14:21:25-0600',mode:absolute,to:'2016-07-30 16:53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34" s="64" t="str">
        <f t="shared" si="88"/>
        <v>N</v>
      </c>
      <c r="X234" s="126">
        <f t="shared" si="89"/>
        <v>1</v>
      </c>
      <c r="Y234" s="79">
        <f t="shared" si="90"/>
        <v>5.8648999999999996</v>
      </c>
      <c r="Z234" s="79">
        <f t="shared" si="91"/>
        <v>6.2799999999999995E-2</v>
      </c>
      <c r="AA234" s="79">
        <f t="shared" si="83"/>
        <v>5.8020999999999994</v>
      </c>
      <c r="AB234" s="76" t="e">
        <f>VLOOKUP(A234,Enforcements!$C$7:$J$24,8,0)</f>
        <v>#N/A</v>
      </c>
      <c r="AC234" s="72" t="e">
        <f>VLOOKUP(A234,Enforcements!$C$7:$E$24,3,0)</f>
        <v>#N/A</v>
      </c>
      <c r="AD234" s="73" t="str">
        <f t="shared" si="84"/>
        <v>1862-30</v>
      </c>
      <c r="AE234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34" s="65" t="str">
        <f t="shared" si="86"/>
        <v>"C:\Program Files (x86)\AstroGrep\AstroGrep.exe" /spath="C:\Users\stu\Documents\Analysis\2016-02-23 RTDC Observations" /stypes="*4026*20160730*" /stext=" 21:.+((SYSTEM_STATE.+slice.+state.+changed )|(ment ac)|(system.+state.+changed )|(\|lc)|(penalty)|(\[timeout)|(PRM\|1\|D))" /e /r /s</v>
      </c>
      <c r="AG234" s="1" t="str">
        <f t="shared" si="87"/>
        <v>NW</v>
      </c>
    </row>
    <row r="235" spans="1:33" hidden="1" x14ac:dyDescent="0.25">
      <c r="A235" s="45" t="s">
        <v>509</v>
      </c>
      <c r="B235" s="7">
        <v>4025</v>
      </c>
      <c r="C235" s="25" t="s">
        <v>170</v>
      </c>
      <c r="D235" s="25" t="s">
        <v>510</v>
      </c>
      <c r="E235" s="16">
        <v>42581.663611111115</v>
      </c>
      <c r="F235" s="16">
        <v>42581.664942129632</v>
      </c>
      <c r="G235" s="7">
        <v>1</v>
      </c>
      <c r="H235" s="16" t="s">
        <v>511</v>
      </c>
      <c r="I235" s="16">
        <v>42581.678379629629</v>
      </c>
      <c r="J235" s="7">
        <v>1</v>
      </c>
      <c r="K235" s="123" t="str">
        <f t="shared" si="74"/>
        <v>4025/4026</v>
      </c>
      <c r="L235" s="25" t="str">
        <f>VLOOKUP(A235,'Trips&amp;Operators'!$C$1:$E$10000,3,FALSE)</f>
        <v>STORY</v>
      </c>
      <c r="M235" s="6">
        <f t="shared" si="75"/>
        <v>1.3437499997962732E-2</v>
      </c>
      <c r="N235" s="7">
        <f t="shared" si="76"/>
        <v>19.349999997066334</v>
      </c>
      <c r="O235" s="7"/>
      <c r="P235" s="7"/>
      <c r="Q235" s="26"/>
      <c r="R235" s="26"/>
      <c r="S235" s="41">
        <f t="shared" si="77"/>
        <v>1</v>
      </c>
      <c r="T235" s="59" t="str">
        <f t="shared" si="73"/>
        <v>NorthBound</v>
      </c>
      <c r="U235" s="84">
        <f>IF(AG235="EC",COUNTIFS(Variables!$M$2:$M$19,IF(T235="NorthBound","&gt;=","&lt;=")&amp;Y235,Variables!$M$2:$M$19,IF(T235="NorthBound","&lt;=","&gt;=")&amp;Z235),COUNTIFS(Variables!$P$2:$P$19,IF(T235="NorthBound","&gt;=","&lt;=")&amp;Y235,Variables!$P$2:$P$19,IF(T235="NorthBound","&lt;=","&gt;=")&amp;Z235))</f>
        <v>1</v>
      </c>
      <c r="V23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14:55:36-0600',mode:absolute,to:'2016-07-30 17:16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35" s="64" t="str">
        <f t="shared" si="88"/>
        <v>N</v>
      </c>
      <c r="X235" s="126">
        <f t="shared" si="89"/>
        <v>1</v>
      </c>
      <c r="Y235" s="79">
        <f t="shared" si="90"/>
        <v>9.1800000000000007E-2</v>
      </c>
      <c r="Z235" s="79">
        <f t="shared" si="91"/>
        <v>5.8973000000000004</v>
      </c>
      <c r="AA235" s="79">
        <f t="shared" si="83"/>
        <v>5.8055000000000003</v>
      </c>
      <c r="AB235" s="76" t="e">
        <f>VLOOKUP(A235,Enforcements!$C$7:$J$24,8,0)</f>
        <v>#N/A</v>
      </c>
      <c r="AC235" s="72" t="e">
        <f>VLOOKUP(A235,Enforcements!$C$7:$E$24,3,0)</f>
        <v>#N/A</v>
      </c>
      <c r="AD235" s="73" t="str">
        <f t="shared" si="84"/>
        <v>1863-30</v>
      </c>
      <c r="AE235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35" s="65" t="str">
        <f t="shared" si="86"/>
        <v>"C:\Program Files (x86)\AstroGrep\AstroGrep.exe" /spath="C:\Users\stu\Documents\Analysis\2016-02-23 RTDC Observations" /stypes="*4025*20160730*" /stext=" 22:.+((SYSTEM_STATE.+slice.+state.+changed )|(ment ac)|(system.+state.+changed )|(\|lc)|(penalty)|(\[timeout)|(PRM\|1\|D))" /e /r /s</v>
      </c>
      <c r="AG235" s="1" t="str">
        <f t="shared" si="87"/>
        <v>NW</v>
      </c>
    </row>
    <row r="236" spans="1:33" hidden="1" x14ac:dyDescent="0.25">
      <c r="A236" s="45" t="s">
        <v>512</v>
      </c>
      <c r="B236" s="7">
        <v>4019</v>
      </c>
      <c r="C236" s="25" t="s">
        <v>170</v>
      </c>
      <c r="D236" s="25" t="s">
        <v>395</v>
      </c>
      <c r="E236" s="16">
        <v>42581.662546296298</v>
      </c>
      <c r="F236" s="16">
        <v>42581.66337962963</v>
      </c>
      <c r="G236" s="7">
        <v>1</v>
      </c>
      <c r="H236" s="16" t="s">
        <v>513</v>
      </c>
      <c r="I236" s="16">
        <v>42581.675405092596</v>
      </c>
      <c r="J236" s="7">
        <v>1</v>
      </c>
      <c r="K236" s="123" t="str">
        <f t="shared" si="74"/>
        <v>4019/4020</v>
      </c>
      <c r="L236" s="25" t="str">
        <f>VLOOKUP(A236,'Trips&amp;Operators'!$C$1:$E$10000,3,FALSE)</f>
        <v>ADANE</v>
      </c>
      <c r="M236" s="6">
        <f t="shared" si="75"/>
        <v>1.2025462965539191E-2</v>
      </c>
      <c r="N236" s="7">
        <f t="shared" si="76"/>
        <v>17.316666670376435</v>
      </c>
      <c r="O236" s="7"/>
      <c r="P236" s="7"/>
      <c r="Q236" s="26"/>
      <c r="R236" s="26"/>
      <c r="S236" s="41">
        <f t="shared" si="77"/>
        <v>1</v>
      </c>
      <c r="T236" s="59" t="str">
        <f t="shared" si="73"/>
        <v>Southbound</v>
      </c>
      <c r="U236" s="84">
        <f>IF(AG236="EC",COUNTIFS(Variables!$M$2:$M$19,IF(T236="NorthBound","&gt;=","&lt;=")&amp;Y236,Variables!$M$2:$M$19,IF(T236="NorthBound","&lt;=","&gt;=")&amp;Z236),COUNTIFS(Variables!$P$2:$P$19,IF(T236="NorthBound","&gt;=","&lt;=")&amp;Y236,Variables!$P$2:$P$19,IF(T236="NorthBound","&lt;=","&gt;=")&amp;Z236))</f>
        <v>1</v>
      </c>
      <c r="V23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14:54:04-0600',mode:absolute,to:'2016-07-30 17:12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36" s="64" t="str">
        <f t="shared" si="88"/>
        <v>N</v>
      </c>
      <c r="X236" s="126">
        <f t="shared" si="89"/>
        <v>1</v>
      </c>
      <c r="Y236" s="79">
        <f t="shared" si="90"/>
        <v>5.8634000000000004</v>
      </c>
      <c r="Z236" s="79">
        <v>0.06</v>
      </c>
      <c r="AA236" s="79">
        <f t="shared" si="83"/>
        <v>5.8034000000000008</v>
      </c>
      <c r="AB236" s="76" t="e">
        <f>VLOOKUP(A236,Enforcements!$C$7:$J$24,8,0)</f>
        <v>#N/A</v>
      </c>
      <c r="AC236" s="72" t="e">
        <f>VLOOKUP(A236,Enforcements!$C$7:$E$24,3,0)</f>
        <v>#N/A</v>
      </c>
      <c r="AD236" s="73" t="str">
        <f t="shared" si="84"/>
        <v>1864-30</v>
      </c>
      <c r="AE236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36" s="65" t="str">
        <f t="shared" si="86"/>
        <v>"C:\Program Files (x86)\AstroGrep\AstroGrep.exe" /spath="C:\Users\stu\Documents\Analysis\2016-02-23 RTDC Observations" /stypes="*4019*20160730*" /stext=" 22:.+((SYSTEM_STATE.+slice.+state.+changed )|(ment ac)|(system.+state.+changed )|(\|lc)|(penalty)|(\[timeout)|(PRM\|1\|D))" /e /r /s</v>
      </c>
      <c r="AG236" s="1" t="str">
        <f t="shared" si="87"/>
        <v>NW</v>
      </c>
    </row>
    <row r="237" spans="1:33" hidden="1" x14ac:dyDescent="0.25">
      <c r="A237" s="45" t="s">
        <v>514</v>
      </c>
      <c r="B237" s="7">
        <v>4020</v>
      </c>
      <c r="C237" s="25" t="s">
        <v>170</v>
      </c>
      <c r="D237" s="25" t="s">
        <v>515</v>
      </c>
      <c r="E237" s="16">
        <v>42581.678946759261</v>
      </c>
      <c r="F237" s="16">
        <v>42581.679814814815</v>
      </c>
      <c r="G237" s="7">
        <v>1</v>
      </c>
      <c r="H237" s="16" t="s">
        <v>516</v>
      </c>
      <c r="I237" s="16">
        <v>42581.689155092594</v>
      </c>
      <c r="J237" s="7">
        <v>0</v>
      </c>
      <c r="K237" s="123" t="str">
        <f t="shared" si="74"/>
        <v>4019/4020</v>
      </c>
      <c r="L237" s="25" t="str">
        <f>VLOOKUP(A237,'Trips&amp;Operators'!$C$1:$E$10000,3,FALSE)</f>
        <v>ADANE</v>
      </c>
      <c r="M237" s="6">
        <f t="shared" si="75"/>
        <v>9.340277778392192E-3</v>
      </c>
      <c r="N237" s="7">
        <f t="shared" si="76"/>
        <v>13.450000000884756</v>
      </c>
      <c r="O237" s="7"/>
      <c r="P237" s="7"/>
      <c r="Q237" s="26"/>
      <c r="R237" s="26"/>
      <c r="S237" s="41">
        <f t="shared" si="77"/>
        <v>1</v>
      </c>
      <c r="T237" s="59" t="str">
        <f t="shared" si="73"/>
        <v>NorthBound</v>
      </c>
      <c r="U237" s="84">
        <f>IF(AG237="EC",COUNTIFS(Variables!$M$2:$M$19,IF(T237="NorthBound","&gt;=","&lt;=")&amp;Y237,Variables!$M$2:$M$19,IF(T237="NorthBound","&lt;=","&gt;=")&amp;Z237),COUNTIFS(Variables!$P$2:$P$19,IF(T237="NorthBound","&gt;=","&lt;=")&amp;Y237,Variables!$P$2:$P$19,IF(T237="NorthBound","&lt;=","&gt;=")&amp;Z237))</f>
        <v>1</v>
      </c>
      <c r="V23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15:17:41-0600',mode:absolute,to:'2016-07-30 17:32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37" s="64" t="str">
        <f t="shared" si="88"/>
        <v>N</v>
      </c>
      <c r="X237" s="126">
        <f t="shared" si="89"/>
        <v>1</v>
      </c>
      <c r="Y237" s="79">
        <f t="shared" si="90"/>
        <v>9.5500000000000002E-2</v>
      </c>
      <c r="Z237" s="79">
        <f t="shared" si="91"/>
        <v>5.7596999999999996</v>
      </c>
      <c r="AA237" s="79">
        <f t="shared" si="83"/>
        <v>5.6641999999999992</v>
      </c>
      <c r="AB237" s="76" t="e">
        <f>VLOOKUP(A237,Enforcements!$C$7:$J$24,8,0)</f>
        <v>#N/A</v>
      </c>
      <c r="AC237" s="72" t="e">
        <f>VLOOKUP(A237,Enforcements!$C$7:$E$24,3,0)</f>
        <v>#N/A</v>
      </c>
      <c r="AD237" s="73" t="str">
        <f t="shared" si="84"/>
        <v>1865-30</v>
      </c>
      <c r="AE237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37" s="65" t="str">
        <f t="shared" si="86"/>
        <v>"C:\Program Files (x86)\AstroGrep\AstroGrep.exe" /spath="C:\Users\stu\Documents\Analysis\2016-02-23 RTDC Observations" /stypes="*4020*20160730*" /stext=" 22:.+((SYSTEM_STATE.+slice.+state.+changed )|(ment ac)|(system.+state.+changed )|(\|lc)|(penalty)|(\[timeout)|(PRM\|1\|D))" /e /r /s</v>
      </c>
      <c r="AG237" s="1" t="str">
        <f t="shared" si="87"/>
        <v>NW</v>
      </c>
    </row>
    <row r="238" spans="1:33" hidden="1" x14ac:dyDescent="0.25">
      <c r="A238" s="45" t="s">
        <v>517</v>
      </c>
      <c r="B238" s="7">
        <v>4037</v>
      </c>
      <c r="C238" s="25" t="s">
        <v>170</v>
      </c>
      <c r="D238" s="25" t="s">
        <v>518</v>
      </c>
      <c r="E238" s="16">
        <v>42581.676921296297</v>
      </c>
      <c r="F238" s="16">
        <v>42581.677789351852</v>
      </c>
      <c r="G238" s="7">
        <v>1</v>
      </c>
      <c r="H238" s="16" t="s">
        <v>401</v>
      </c>
      <c r="I238" s="16">
        <v>42581.688506944447</v>
      </c>
      <c r="J238" s="7">
        <v>0</v>
      </c>
      <c r="K238" s="123" t="str">
        <f t="shared" si="74"/>
        <v>4037/4038</v>
      </c>
      <c r="L238" s="25" t="str">
        <f>VLOOKUP(A238,'Trips&amp;Operators'!$C$1:$E$10000,3,FALSE)</f>
        <v>DE LA ROSA</v>
      </c>
      <c r="M238" s="6">
        <f t="shared" si="75"/>
        <v>1.0717592595028691E-2</v>
      </c>
      <c r="N238" s="7">
        <f t="shared" si="76"/>
        <v>15.433333336841315</v>
      </c>
      <c r="O238" s="7"/>
      <c r="P238" s="7"/>
      <c r="Q238" s="26"/>
      <c r="R238" s="26"/>
      <c r="S238" s="41">
        <f t="shared" si="77"/>
        <v>1</v>
      </c>
      <c r="T238" s="59" t="str">
        <f t="shared" si="73"/>
        <v>Southbound</v>
      </c>
      <c r="U238" s="84">
        <f>IF(AG238="EC",COUNTIFS(Variables!$M$2:$M$19,IF(T238="NorthBound","&gt;=","&lt;=")&amp;Y238,Variables!$M$2:$M$19,IF(T238="NorthBound","&lt;=","&gt;=")&amp;Z238),COUNTIFS(Variables!$P$2:$P$19,IF(T238="NorthBound","&gt;=","&lt;=")&amp;Y238,Variables!$P$2:$P$19,IF(T238="NorthBound","&lt;=","&gt;=")&amp;Z238))</f>
        <v>1</v>
      </c>
      <c r="V23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15:14:46-0600',mode:absolute,to:'2016-07-30 17:31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38" s="64" t="str">
        <f t="shared" si="88"/>
        <v>N</v>
      </c>
      <c r="X238" s="126">
        <f t="shared" si="89"/>
        <v>1</v>
      </c>
      <c r="Y238" s="79">
        <f t="shared" si="90"/>
        <v>5.8648999999999996</v>
      </c>
      <c r="Z238" s="79">
        <f t="shared" si="91"/>
        <v>7.8700000000000006E-2</v>
      </c>
      <c r="AA238" s="79">
        <f t="shared" si="83"/>
        <v>5.7861999999999991</v>
      </c>
      <c r="AB238" s="76" t="e">
        <f>VLOOKUP(A238,Enforcements!$C$7:$J$24,8,0)</f>
        <v>#N/A</v>
      </c>
      <c r="AC238" s="72" t="e">
        <f>VLOOKUP(A238,Enforcements!$C$7:$E$24,3,0)</f>
        <v>#N/A</v>
      </c>
      <c r="AD238" s="73" t="str">
        <f t="shared" si="84"/>
        <v>1866-30</v>
      </c>
      <c r="AE238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38" s="65" t="str">
        <f t="shared" si="86"/>
        <v>"C:\Program Files (x86)\AstroGrep\AstroGrep.exe" /spath="C:\Users\stu\Documents\Analysis\2016-02-23 RTDC Observations" /stypes="*4037*20160730*" /stext=" 22:.+((SYSTEM_STATE.+slice.+state.+changed )|(ment ac)|(system.+state.+changed )|(\|lc)|(penalty)|(\[timeout)|(PRM\|1\|D))" /e /r /s</v>
      </c>
      <c r="AG238" s="1" t="str">
        <f t="shared" si="87"/>
        <v>NW</v>
      </c>
    </row>
    <row r="239" spans="1:33" hidden="1" x14ac:dyDescent="0.25">
      <c r="A239" s="45" t="s">
        <v>519</v>
      </c>
      <c r="B239" s="7">
        <v>4038</v>
      </c>
      <c r="C239" s="25" t="s">
        <v>170</v>
      </c>
      <c r="D239" s="25" t="s">
        <v>520</v>
      </c>
      <c r="E239" s="16">
        <v>42581.691041666665</v>
      </c>
      <c r="F239" s="16">
        <v>42581.692118055558</v>
      </c>
      <c r="G239" s="7">
        <v>1</v>
      </c>
      <c r="H239" s="16" t="s">
        <v>521</v>
      </c>
      <c r="I239" s="16">
        <v>42581.705000000002</v>
      </c>
      <c r="J239" s="7">
        <v>0</v>
      </c>
      <c r="K239" s="123" t="str">
        <f t="shared" si="74"/>
        <v>4037/4038</v>
      </c>
      <c r="L239" s="25" t="str">
        <f>VLOOKUP(A239,'Trips&amp;Operators'!$C$1:$E$10000,3,FALSE)</f>
        <v>DE LA ROSA</v>
      </c>
      <c r="M239" s="6">
        <f t="shared" si="75"/>
        <v>1.2881944443506654E-2</v>
      </c>
      <c r="N239" s="7">
        <f t="shared" si="76"/>
        <v>18.549999998649582</v>
      </c>
      <c r="O239" s="7"/>
      <c r="P239" s="7"/>
      <c r="Q239" s="26"/>
      <c r="R239" s="26"/>
      <c r="S239" s="41">
        <f t="shared" si="77"/>
        <v>1</v>
      </c>
      <c r="T239" s="59" t="str">
        <f t="shared" si="73"/>
        <v>NorthBound</v>
      </c>
      <c r="U239" s="84">
        <f>IF(AG239="EC",COUNTIFS(Variables!$M$2:$M$19,IF(T239="NorthBound","&gt;=","&lt;=")&amp;Y239,Variables!$M$2:$M$19,IF(T239="NorthBound","&lt;=","&gt;=")&amp;Z239),COUNTIFS(Variables!$P$2:$P$19,IF(T239="NorthBound","&gt;=","&lt;=")&amp;Y239,Variables!$P$2:$P$19,IF(T239="NorthBound","&lt;=","&gt;=")&amp;Z239))</f>
        <v>1</v>
      </c>
      <c r="V23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15:35:06-0600',mode:absolute,to:'2016-07-30 17:55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39" s="64" t="str">
        <f t="shared" si="88"/>
        <v>N</v>
      </c>
      <c r="X239" s="126">
        <f t="shared" si="89"/>
        <v>1</v>
      </c>
      <c r="Y239" s="79">
        <f t="shared" si="90"/>
        <v>0.1069</v>
      </c>
      <c r="Z239" s="79">
        <f t="shared" si="91"/>
        <v>5.8977000000000004</v>
      </c>
      <c r="AA239" s="79">
        <f t="shared" si="83"/>
        <v>5.7908000000000008</v>
      </c>
      <c r="AB239" s="76" t="e">
        <f>VLOOKUP(A239,Enforcements!$C$7:$J$24,8,0)</f>
        <v>#N/A</v>
      </c>
      <c r="AC239" s="72" t="e">
        <f>VLOOKUP(A239,Enforcements!$C$7:$E$24,3,0)</f>
        <v>#N/A</v>
      </c>
      <c r="AD239" s="73" t="str">
        <f t="shared" si="84"/>
        <v>1867-30</v>
      </c>
      <c r="AE239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39" s="65" t="str">
        <f t="shared" si="86"/>
        <v>"C:\Program Files (x86)\AstroGrep\AstroGrep.exe" /spath="C:\Users\stu\Documents\Analysis\2016-02-23 RTDC Observations" /stypes="*4038*20160730*" /stext=" 22:.+((SYSTEM_STATE.+slice.+state.+changed )|(ment ac)|(system.+state.+changed )|(\|lc)|(penalty)|(\[timeout)|(PRM\|1\|D))" /e /r /s</v>
      </c>
      <c r="AG239" s="1" t="str">
        <f t="shared" si="87"/>
        <v>NW</v>
      </c>
    </row>
    <row r="240" spans="1:33" hidden="1" x14ac:dyDescent="0.25">
      <c r="A240" s="45" t="s">
        <v>522</v>
      </c>
      <c r="B240" s="7">
        <v>4026</v>
      </c>
      <c r="C240" s="25" t="s">
        <v>170</v>
      </c>
      <c r="D240" s="25" t="s">
        <v>406</v>
      </c>
      <c r="E240" s="16">
        <v>42581.680347222224</v>
      </c>
      <c r="F240" s="16">
        <v>42581.681250000001</v>
      </c>
      <c r="G240" s="7">
        <v>1</v>
      </c>
      <c r="H240" s="16" t="s">
        <v>523</v>
      </c>
      <c r="I240" s="16">
        <v>42581.70349537037</v>
      </c>
      <c r="J240" s="7">
        <v>0</v>
      </c>
      <c r="K240" s="123" t="str">
        <f t="shared" si="74"/>
        <v>4025/4026</v>
      </c>
      <c r="L240" s="25" t="str">
        <f>VLOOKUP(A240,'Trips&amp;Operators'!$C$1:$E$10000,3,FALSE)</f>
        <v>STORY</v>
      </c>
      <c r="M240" s="6">
        <f t="shared" si="75"/>
        <v>2.2245370368182193E-2</v>
      </c>
      <c r="N240" s="7">
        <f t="shared" si="76"/>
        <v>32.033333330182359</v>
      </c>
      <c r="O240" s="7"/>
      <c r="P240" s="7"/>
      <c r="Q240" s="26"/>
      <c r="R240" s="26"/>
      <c r="S240" s="41">
        <f t="shared" si="77"/>
        <v>1</v>
      </c>
      <c r="T240" s="59" t="str">
        <f t="shared" si="73"/>
        <v>Southbound</v>
      </c>
      <c r="U240" s="84">
        <f>IF(AG240="EC",COUNTIFS(Variables!$M$2:$M$19,IF(T240="NorthBound","&gt;=","&lt;=")&amp;Y240,Variables!$M$2:$M$19,IF(T240="NorthBound","&lt;=","&gt;=")&amp;Z240),COUNTIFS(Variables!$P$2:$P$19,IF(T240="NorthBound","&gt;=","&lt;=")&amp;Y240,Variables!$P$2:$P$19,IF(T240="NorthBound","&lt;=","&gt;=")&amp;Z240))</f>
        <v>1</v>
      </c>
      <c r="V24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15:19:42-0600',mode:absolute,to:'2016-07-30 17:53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40" s="64" t="str">
        <f t="shared" si="88"/>
        <v>N</v>
      </c>
      <c r="X240" s="126">
        <f t="shared" si="89"/>
        <v>1</v>
      </c>
      <c r="Y240" s="79">
        <f t="shared" si="90"/>
        <v>5.8647</v>
      </c>
      <c r="Z240" s="79">
        <f t="shared" si="91"/>
        <v>6.6299999999999998E-2</v>
      </c>
      <c r="AA240" s="79">
        <f t="shared" si="83"/>
        <v>5.7984</v>
      </c>
      <c r="AB240" s="76" t="e">
        <f>VLOOKUP(A240,Enforcements!$C$7:$J$24,8,0)</f>
        <v>#N/A</v>
      </c>
      <c r="AC240" s="72" t="e">
        <f>VLOOKUP(A240,Enforcements!$C$7:$E$24,3,0)</f>
        <v>#N/A</v>
      </c>
      <c r="AD240" s="73" t="str">
        <f t="shared" si="84"/>
        <v>1868-30</v>
      </c>
      <c r="AE240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40" s="65" t="str">
        <f t="shared" si="86"/>
        <v>"C:\Program Files (x86)\AstroGrep\AstroGrep.exe" /spath="C:\Users\stu\Documents\Analysis\2016-02-23 RTDC Observations" /stypes="*4026*20160730*" /stext=" 22:.+((SYSTEM_STATE.+slice.+state.+changed )|(ment ac)|(system.+state.+changed )|(\|lc)|(penalty)|(\[timeout)|(PRM\|1\|D))" /e /r /s</v>
      </c>
      <c r="AG240" s="1" t="str">
        <f t="shared" si="87"/>
        <v>NW</v>
      </c>
    </row>
    <row r="241" spans="1:33" hidden="1" x14ac:dyDescent="0.25">
      <c r="A241" s="45" t="s">
        <v>524</v>
      </c>
      <c r="B241" s="7">
        <v>4025</v>
      </c>
      <c r="C241" s="25" t="s">
        <v>170</v>
      </c>
      <c r="D241" s="25" t="s">
        <v>525</v>
      </c>
      <c r="E241" s="16">
        <v>42581.707129629627</v>
      </c>
      <c r="F241" s="16">
        <v>42581.708831018521</v>
      </c>
      <c r="G241" s="7">
        <v>2</v>
      </c>
      <c r="H241" s="16" t="s">
        <v>526</v>
      </c>
      <c r="I241" s="16">
        <v>42581.722094907411</v>
      </c>
      <c r="J241" s="7">
        <v>1</v>
      </c>
      <c r="K241" s="123" t="str">
        <f t="shared" si="74"/>
        <v>4025/4026</v>
      </c>
      <c r="L241" s="25" t="str">
        <f>VLOOKUP(A241,'Trips&amp;Operators'!$C$1:$E$10000,3,FALSE)</f>
        <v>STAMBAUGH</v>
      </c>
      <c r="M241" s="6">
        <f t="shared" si="75"/>
        <v>1.3263888889923692E-2</v>
      </c>
      <c r="N241" s="7">
        <f t="shared" si="76"/>
        <v>19.100000001490116</v>
      </c>
      <c r="O241" s="7"/>
      <c r="P241" s="7"/>
      <c r="Q241" s="26"/>
      <c r="R241" s="26"/>
      <c r="S241" s="41">
        <f t="shared" si="77"/>
        <v>1</v>
      </c>
      <c r="T241" s="59" t="str">
        <f t="shared" si="73"/>
        <v>NorthBound</v>
      </c>
      <c r="U241" s="84">
        <f>IF(AG241="EC",COUNTIFS(Variables!$M$2:$M$19,IF(T241="NorthBound","&gt;=","&lt;=")&amp;Y241,Variables!$M$2:$M$19,IF(T241="NorthBound","&lt;=","&gt;=")&amp;Z241),COUNTIFS(Variables!$P$2:$P$19,IF(T241="NorthBound","&gt;=","&lt;=")&amp;Y241,Variables!$P$2:$P$19,IF(T241="NorthBound","&lt;=","&gt;=")&amp;Z241))</f>
        <v>1</v>
      </c>
      <c r="V24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15:58:16-0600',mode:absolute,to:'2016-07-30 18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41" s="64" t="str">
        <f t="shared" si="88"/>
        <v>N</v>
      </c>
      <c r="X241" s="126">
        <f t="shared" si="89"/>
        <v>1</v>
      </c>
      <c r="Y241" s="79">
        <f t="shared" si="90"/>
        <v>9.69E-2</v>
      </c>
      <c r="Z241" s="79">
        <f t="shared" si="91"/>
        <v>5.8949999999999996</v>
      </c>
      <c r="AA241" s="79">
        <f t="shared" si="83"/>
        <v>5.7980999999999998</v>
      </c>
      <c r="AB241" s="76" t="e">
        <f>VLOOKUP(A241,Enforcements!$C$7:$J$24,8,0)</f>
        <v>#N/A</v>
      </c>
      <c r="AC241" s="72" t="e">
        <f>VLOOKUP(A241,Enforcements!$C$7:$E$24,3,0)</f>
        <v>#N/A</v>
      </c>
      <c r="AD241" s="73" t="str">
        <f t="shared" si="84"/>
        <v>1869-30</v>
      </c>
      <c r="AE241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41" s="65" t="str">
        <f t="shared" si="86"/>
        <v>"C:\Program Files (x86)\AstroGrep\AstroGrep.exe" /spath="C:\Users\stu\Documents\Analysis\2016-02-23 RTDC Observations" /stypes="*4025*20160730*" /stext=" 23:.+((SYSTEM_STATE.+slice.+state.+changed )|(ment ac)|(system.+state.+changed )|(\|lc)|(penalty)|(\[timeout)|(PRM\|1\|D))" /e /r /s</v>
      </c>
      <c r="AG241" s="1" t="str">
        <f t="shared" si="87"/>
        <v>NW</v>
      </c>
    </row>
    <row r="242" spans="1:33" hidden="1" x14ac:dyDescent="0.25">
      <c r="A242" s="45" t="s">
        <v>527</v>
      </c>
      <c r="B242" s="7">
        <v>4019</v>
      </c>
      <c r="C242" s="25" t="s">
        <v>170</v>
      </c>
      <c r="D242" s="25" t="s">
        <v>528</v>
      </c>
      <c r="E242" s="16">
        <v>42581.701064814813</v>
      </c>
      <c r="F242" s="16">
        <v>42581.701990740738</v>
      </c>
      <c r="G242" s="7">
        <v>1</v>
      </c>
      <c r="H242" s="16" t="s">
        <v>405</v>
      </c>
      <c r="I242" s="16">
        <v>42581.71675925926</v>
      </c>
      <c r="J242" s="7">
        <v>0</v>
      </c>
      <c r="K242" s="123" t="str">
        <f t="shared" si="74"/>
        <v>4019/4020</v>
      </c>
      <c r="L242" s="25" t="str">
        <f>VLOOKUP(A242,'Trips&amp;Operators'!$C$1:$E$10000,3,FALSE)</f>
        <v>ADANE</v>
      </c>
      <c r="M242" s="6">
        <f t="shared" si="75"/>
        <v>1.4768518522032537E-2</v>
      </c>
      <c r="N242" s="7">
        <f t="shared" si="76"/>
        <v>21.266666671726853</v>
      </c>
      <c r="O242" s="7"/>
      <c r="P242" s="7"/>
      <c r="Q242" s="26"/>
      <c r="R242" s="26"/>
      <c r="S242" s="41">
        <f t="shared" si="77"/>
        <v>1</v>
      </c>
      <c r="T242" s="59" t="str">
        <f t="shared" si="73"/>
        <v>Southbound</v>
      </c>
      <c r="U242" s="84">
        <f>IF(AG242="EC",COUNTIFS(Variables!$M$2:$M$19,IF(T242="NorthBound","&gt;=","&lt;=")&amp;Y242,Variables!$M$2:$M$19,IF(T242="NorthBound","&lt;=","&gt;=")&amp;Z242),COUNTIFS(Variables!$P$2:$P$19,IF(T242="NorthBound","&gt;=","&lt;=")&amp;Y242,Variables!$P$2:$P$19,IF(T242="NorthBound","&lt;=","&gt;=")&amp;Z242))</f>
        <v>1</v>
      </c>
      <c r="V24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15:49:32-0600',mode:absolute,to:'2016-07-30 18:12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42" s="64" t="str">
        <f t="shared" si="88"/>
        <v>N</v>
      </c>
      <c r="X242" s="126">
        <f t="shared" si="89"/>
        <v>1</v>
      </c>
      <c r="Y242" s="79">
        <f t="shared" si="90"/>
        <v>5.8667999999999996</v>
      </c>
      <c r="Z242" s="79">
        <f t="shared" si="91"/>
        <v>6.6400000000000001E-2</v>
      </c>
      <c r="AA242" s="79">
        <f t="shared" si="83"/>
        <v>5.8003999999999998</v>
      </c>
      <c r="AB242" s="76" t="e">
        <f>VLOOKUP(A242,Enforcements!$C$7:$J$24,8,0)</f>
        <v>#N/A</v>
      </c>
      <c r="AC242" s="72" t="e">
        <f>VLOOKUP(A242,Enforcements!$C$7:$E$24,3,0)</f>
        <v>#N/A</v>
      </c>
      <c r="AD242" s="73" t="str">
        <f t="shared" si="84"/>
        <v>1870-30</v>
      </c>
      <c r="AE242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42" s="65" t="str">
        <f t="shared" si="86"/>
        <v>"C:\Program Files (x86)\AstroGrep\AstroGrep.exe" /spath="C:\Users\stu\Documents\Analysis\2016-02-23 RTDC Observations" /stypes="*4019*20160730*" /stext=" 23:.+((SYSTEM_STATE.+slice.+state.+changed )|(ment ac)|(system.+state.+changed )|(\|lc)|(penalty)|(\[timeout)|(PRM\|1\|D))" /e /r /s</v>
      </c>
      <c r="AG242" s="1" t="str">
        <f t="shared" si="87"/>
        <v>NW</v>
      </c>
    </row>
    <row r="243" spans="1:33" hidden="1" x14ac:dyDescent="0.25">
      <c r="A243" s="45" t="s">
        <v>529</v>
      </c>
      <c r="B243" s="7">
        <v>4020</v>
      </c>
      <c r="C243" s="25" t="s">
        <v>170</v>
      </c>
      <c r="D243" s="25" t="s">
        <v>530</v>
      </c>
      <c r="E243" s="16">
        <v>42581.720509259256</v>
      </c>
      <c r="F243" s="16">
        <v>42581.721319444441</v>
      </c>
      <c r="G243" s="7">
        <v>1</v>
      </c>
      <c r="H243" s="16" t="s">
        <v>531</v>
      </c>
      <c r="I243" s="16">
        <v>42581.731435185182</v>
      </c>
      <c r="J243" s="7">
        <v>0</v>
      </c>
      <c r="K243" s="123" t="str">
        <f t="shared" si="74"/>
        <v>4019/4020</v>
      </c>
      <c r="L243" s="25" t="str">
        <f>VLOOKUP(A243,'Trips&amp;Operators'!$C$1:$E$10000,3,FALSE)</f>
        <v>ADANE</v>
      </c>
      <c r="M243" s="6">
        <f t="shared" si="75"/>
        <v>1.0115740740729962E-2</v>
      </c>
      <c r="N243" s="7">
        <f t="shared" si="76"/>
        <v>14.566666666651145</v>
      </c>
      <c r="O243" s="7"/>
      <c r="P243" s="7"/>
      <c r="Q243" s="26"/>
      <c r="R243" s="26"/>
      <c r="S243" s="41">
        <f t="shared" si="77"/>
        <v>1</v>
      </c>
      <c r="T243" s="59" t="str">
        <f t="shared" si="73"/>
        <v>NorthBound</v>
      </c>
      <c r="U243" s="84">
        <f>IF(AG243="EC",COUNTIFS(Variables!$M$2:$M$19,IF(T243="NorthBound","&gt;=","&lt;=")&amp;Y243,Variables!$M$2:$M$19,IF(T243="NorthBound","&lt;=","&gt;=")&amp;Z243),COUNTIFS(Variables!$P$2:$P$19,IF(T243="NorthBound","&gt;=","&lt;=")&amp;Y243,Variables!$P$2:$P$19,IF(T243="NorthBound","&lt;=","&gt;=")&amp;Z243))</f>
        <v>1</v>
      </c>
      <c r="V24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16:17:32-0600',mode:absolute,to:'2016-07-30 18:33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43" s="64" t="str">
        <f t="shared" si="88"/>
        <v>N</v>
      </c>
      <c r="X243" s="126">
        <f t="shared" si="89"/>
        <v>1</v>
      </c>
      <c r="Y243" s="79">
        <f t="shared" si="90"/>
        <v>9.6000000000000002E-2</v>
      </c>
      <c r="Z243" s="79">
        <f t="shared" si="91"/>
        <v>5.7603</v>
      </c>
      <c r="AA243" s="79">
        <f t="shared" si="83"/>
        <v>5.6642999999999999</v>
      </c>
      <c r="AB243" s="76" t="e">
        <f>VLOOKUP(A243,Enforcements!$C$7:$J$24,8,0)</f>
        <v>#N/A</v>
      </c>
      <c r="AC243" s="72" t="e">
        <f>VLOOKUP(A243,Enforcements!$C$7:$E$24,3,0)</f>
        <v>#N/A</v>
      </c>
      <c r="AD243" s="73" t="str">
        <f t="shared" si="84"/>
        <v>1871-30</v>
      </c>
      <c r="AE243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43" s="65" t="str">
        <f t="shared" si="86"/>
        <v>"C:\Program Files (x86)\AstroGrep\AstroGrep.exe" /spath="C:\Users\stu\Documents\Analysis\2016-02-23 RTDC Observations" /stypes="*4020*20160730*" /stext=" 23:.+((SYSTEM_STATE.+slice.+state.+changed )|(ment ac)|(system.+state.+changed )|(\|lc)|(penalty)|(\[timeout)|(PRM\|1\|D))" /e /r /s</v>
      </c>
      <c r="AG243" s="1" t="str">
        <f t="shared" si="87"/>
        <v>NW</v>
      </c>
    </row>
    <row r="244" spans="1:33" hidden="1" x14ac:dyDescent="0.25">
      <c r="A244" s="45" t="s">
        <v>532</v>
      </c>
      <c r="B244" s="7">
        <v>4037</v>
      </c>
      <c r="C244" s="25" t="s">
        <v>170</v>
      </c>
      <c r="D244" s="25" t="s">
        <v>533</v>
      </c>
      <c r="E244" s="16">
        <v>42581.717557870368</v>
      </c>
      <c r="F244" s="16">
        <v>42581.720289351855</v>
      </c>
      <c r="G244" s="7">
        <v>3</v>
      </c>
      <c r="H244" s="16" t="s">
        <v>364</v>
      </c>
      <c r="I244" s="16">
        <v>42581.731435185182</v>
      </c>
      <c r="J244" s="7">
        <v>0</v>
      </c>
      <c r="K244" s="123" t="str">
        <f t="shared" si="74"/>
        <v>4037/4038</v>
      </c>
      <c r="L244" s="25" t="str">
        <f>VLOOKUP(A244,'Trips&amp;Operators'!$C$1:$E$10000,3,FALSE)</f>
        <v>DE LA ROSA</v>
      </c>
      <c r="M244" s="6">
        <f t="shared" si="75"/>
        <v>1.1145833326736465E-2</v>
      </c>
      <c r="N244" s="7">
        <f t="shared" si="76"/>
        <v>16.04999999050051</v>
      </c>
      <c r="O244" s="7"/>
      <c r="P244" s="7"/>
      <c r="Q244" s="26"/>
      <c r="R244" s="26"/>
      <c r="S244" s="41">
        <f t="shared" si="77"/>
        <v>1</v>
      </c>
      <c r="T244" s="59" t="str">
        <f t="shared" si="73"/>
        <v>Southbound</v>
      </c>
      <c r="U244" s="84">
        <f>IF(AG244="EC",COUNTIFS(Variables!$M$2:$M$19,IF(T244="NorthBound","&gt;=","&lt;=")&amp;Y244,Variables!$M$2:$M$19,IF(T244="NorthBound","&lt;=","&gt;=")&amp;Z244),COUNTIFS(Variables!$P$2:$P$19,IF(T244="NorthBound","&gt;=","&lt;=")&amp;Y244,Variables!$P$2:$P$19,IF(T244="NorthBound","&lt;=","&gt;=")&amp;Z244))</f>
        <v>1</v>
      </c>
      <c r="V24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16:13:17-0600',mode:absolute,to:'2016-07-30 18:33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44" s="64" t="str">
        <f t="shared" si="88"/>
        <v>N</v>
      </c>
      <c r="X244" s="126">
        <f t="shared" si="89"/>
        <v>1</v>
      </c>
      <c r="Y244" s="79">
        <f t="shared" si="90"/>
        <v>5.8661000000000003</v>
      </c>
      <c r="Z244" s="79">
        <f t="shared" si="91"/>
        <v>7.6200000000000004E-2</v>
      </c>
      <c r="AA244" s="79">
        <f t="shared" si="83"/>
        <v>5.7899000000000003</v>
      </c>
      <c r="AB244" s="76" t="e">
        <f>VLOOKUP(A244,Enforcements!$C$7:$J$24,8,0)</f>
        <v>#N/A</v>
      </c>
      <c r="AC244" s="72" t="e">
        <f>VLOOKUP(A244,Enforcements!$C$7:$E$24,3,0)</f>
        <v>#N/A</v>
      </c>
      <c r="AD244" s="73" t="str">
        <f t="shared" si="84"/>
        <v>1872-30</v>
      </c>
      <c r="AE244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44" s="65" t="str">
        <f t="shared" si="86"/>
        <v>"C:\Program Files (x86)\AstroGrep\AstroGrep.exe" /spath="C:\Users\stu\Documents\Analysis\2016-02-23 RTDC Observations" /stypes="*4037*20160730*" /stext=" 23:.+((SYSTEM_STATE.+slice.+state.+changed )|(ment ac)|(system.+state.+changed )|(\|lc)|(penalty)|(\[timeout)|(PRM\|1\|D))" /e /r /s</v>
      </c>
      <c r="AG244" s="1" t="str">
        <f t="shared" si="87"/>
        <v>NW</v>
      </c>
    </row>
    <row r="245" spans="1:33" hidden="1" x14ac:dyDescent="0.25">
      <c r="A245" s="45" t="s">
        <v>534</v>
      </c>
      <c r="B245" s="7">
        <v>4038</v>
      </c>
      <c r="C245" s="25" t="s">
        <v>170</v>
      </c>
      <c r="D245" s="25" t="s">
        <v>535</v>
      </c>
      <c r="E245" s="16">
        <v>42581.734039351853</v>
      </c>
      <c r="F245" s="16">
        <v>42581.734942129631</v>
      </c>
      <c r="G245" s="7">
        <v>1</v>
      </c>
      <c r="H245" s="16" t="s">
        <v>411</v>
      </c>
      <c r="I245" s="16">
        <v>42581.747777777775</v>
      </c>
      <c r="J245" s="7">
        <v>2</v>
      </c>
      <c r="K245" s="123" t="str">
        <f t="shared" si="74"/>
        <v>4037/4038</v>
      </c>
      <c r="L245" s="25" t="str">
        <f>VLOOKUP(A245,'Trips&amp;Operators'!$C$1:$E$10000,3,FALSE)</f>
        <v>DE LA ROSA</v>
      </c>
      <c r="M245" s="6">
        <f t="shared" si="75"/>
        <v>1.2835648143664002E-2</v>
      </c>
      <c r="N245" s="7">
        <f t="shared" si="76"/>
        <v>18.483333326876163</v>
      </c>
      <c r="O245" s="7"/>
      <c r="P245" s="7"/>
      <c r="Q245" s="26"/>
      <c r="R245" s="26"/>
      <c r="S245" s="41">
        <f t="shared" si="77"/>
        <v>1</v>
      </c>
      <c r="T245" s="59" t="str">
        <f t="shared" si="73"/>
        <v>NorthBound</v>
      </c>
      <c r="U245" s="84">
        <f>IF(AG245="EC",COUNTIFS(Variables!$M$2:$M$19,IF(T245="NorthBound","&gt;=","&lt;=")&amp;Y245,Variables!$M$2:$M$19,IF(T245="NorthBound","&lt;=","&gt;=")&amp;Z245),COUNTIFS(Variables!$P$2:$P$19,IF(T245="NorthBound","&gt;=","&lt;=")&amp;Y245,Variables!$P$2:$P$19,IF(T245="NorthBound","&lt;=","&gt;=")&amp;Z245))</f>
        <v>1</v>
      </c>
      <c r="V24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16:37:01-0600',mode:absolute,to:'2016-07-30 18:56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45" s="64" t="str">
        <f t="shared" si="88"/>
        <v>N</v>
      </c>
      <c r="X245" s="126">
        <f t="shared" si="89"/>
        <v>1</v>
      </c>
      <c r="Y245" s="79">
        <f t="shared" si="90"/>
        <v>0.1053</v>
      </c>
      <c r="Z245" s="79">
        <f t="shared" si="91"/>
        <v>5.8992000000000004</v>
      </c>
      <c r="AA245" s="79">
        <f t="shared" si="83"/>
        <v>5.7939000000000007</v>
      </c>
      <c r="AB245" s="76" t="e">
        <f>VLOOKUP(A245,Enforcements!$C$7:$J$24,8,0)</f>
        <v>#N/A</v>
      </c>
      <c r="AC245" s="72" t="e">
        <f>VLOOKUP(A245,Enforcements!$C$7:$E$24,3,0)</f>
        <v>#N/A</v>
      </c>
      <c r="AD245" s="73" t="str">
        <f t="shared" si="84"/>
        <v>1873-30</v>
      </c>
      <c r="AE245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45" s="65" t="str">
        <f t="shared" si="86"/>
        <v>"C:\Program Files (x86)\AstroGrep\AstroGrep.exe" /spath="C:\Users\stu\Documents\Analysis\2016-02-23 RTDC Observations" /stypes="*4038*20160730*" /stext=" 23:.+((SYSTEM_STATE.+slice.+state.+changed )|(ment ac)|(system.+state.+changed )|(\|lc)|(penalty)|(\[timeout)|(PRM\|1\|D))" /e /r /s</v>
      </c>
      <c r="AG245" s="1" t="str">
        <f t="shared" si="87"/>
        <v>NW</v>
      </c>
    </row>
    <row r="246" spans="1:33" hidden="1" x14ac:dyDescent="0.25">
      <c r="A246" s="45" t="s">
        <v>536</v>
      </c>
      <c r="B246" s="7">
        <v>4026</v>
      </c>
      <c r="C246" s="25" t="s">
        <v>170</v>
      </c>
      <c r="D246" s="25" t="s">
        <v>537</v>
      </c>
      <c r="E246" s="16">
        <v>42581.725694444445</v>
      </c>
      <c r="F246" s="16">
        <v>42581.727210648147</v>
      </c>
      <c r="G246" s="7">
        <v>2</v>
      </c>
      <c r="H246" s="16" t="s">
        <v>348</v>
      </c>
      <c r="I246" s="16">
        <v>42581.745625000003</v>
      </c>
      <c r="J246" s="7">
        <v>0</v>
      </c>
      <c r="K246" s="123" t="str">
        <f t="shared" si="74"/>
        <v>4025/4026</v>
      </c>
      <c r="L246" s="25" t="str">
        <f>VLOOKUP(A246,'Trips&amp;Operators'!$C$1:$E$10000,3,FALSE)</f>
        <v>STAMBAUGH</v>
      </c>
      <c r="M246" s="6">
        <f t="shared" si="75"/>
        <v>1.8414351856335998E-2</v>
      </c>
      <c r="N246" s="7">
        <f t="shared" si="76"/>
        <v>26.516666673123837</v>
      </c>
      <c r="O246" s="7"/>
      <c r="P246" s="7"/>
      <c r="Q246" s="26"/>
      <c r="R246" s="26"/>
      <c r="S246" s="41">
        <f t="shared" si="77"/>
        <v>1</v>
      </c>
      <c r="T246" s="59" t="str">
        <f t="shared" si="73"/>
        <v>Southbound</v>
      </c>
      <c r="U246" s="84">
        <f>IF(AG246="EC",COUNTIFS(Variables!$M$2:$M$19,IF(T246="NorthBound","&gt;=","&lt;=")&amp;Y246,Variables!$M$2:$M$19,IF(T246="NorthBound","&lt;=","&gt;=")&amp;Z246),COUNTIFS(Variables!$P$2:$P$19,IF(T246="NorthBound","&gt;=","&lt;=")&amp;Y246,Variables!$P$2:$P$19,IF(T246="NorthBound","&lt;=","&gt;=")&amp;Z246))</f>
        <v>1</v>
      </c>
      <c r="V24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16:25:00-0600',mode:absolute,to:'2016-07-30 18:53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46" s="64" t="str">
        <f t="shared" si="88"/>
        <v>N</v>
      </c>
      <c r="X246" s="126">
        <f t="shared" si="89"/>
        <v>1</v>
      </c>
      <c r="Y246" s="79">
        <f t="shared" si="90"/>
        <v>5.8638000000000003</v>
      </c>
      <c r="Z246" s="79">
        <f t="shared" si="91"/>
        <v>7.0300000000000001E-2</v>
      </c>
      <c r="AA246" s="79">
        <f t="shared" si="83"/>
        <v>5.7935000000000008</v>
      </c>
      <c r="AB246" s="76" t="e">
        <f>VLOOKUP(A246,Enforcements!$C$7:$J$24,8,0)</f>
        <v>#N/A</v>
      </c>
      <c r="AC246" s="72" t="e">
        <f>VLOOKUP(A246,Enforcements!$C$7:$E$24,3,0)</f>
        <v>#N/A</v>
      </c>
      <c r="AD246" s="73" t="str">
        <f t="shared" si="84"/>
        <v>1874-30</v>
      </c>
      <c r="AE246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46" s="65" t="str">
        <f t="shared" si="86"/>
        <v>"C:\Program Files (x86)\AstroGrep\AstroGrep.exe" /spath="C:\Users\stu\Documents\Analysis\2016-02-23 RTDC Observations" /stypes="*4026*20160730*" /stext=" 23:.+((SYSTEM_STATE.+slice.+state.+changed )|(ment ac)|(system.+state.+changed )|(\|lc)|(penalty)|(\[timeout)|(PRM\|1\|D))" /e /r /s</v>
      </c>
      <c r="AG246" s="1" t="str">
        <f t="shared" si="87"/>
        <v>NW</v>
      </c>
    </row>
    <row r="247" spans="1:33" hidden="1" x14ac:dyDescent="0.25">
      <c r="A247" s="45" t="s">
        <v>538</v>
      </c>
      <c r="B247" s="7">
        <v>4025</v>
      </c>
      <c r="C247" s="25" t="s">
        <v>170</v>
      </c>
      <c r="D247" s="25" t="s">
        <v>539</v>
      </c>
      <c r="E247" s="16">
        <v>42581.748726851853</v>
      </c>
      <c r="F247" s="16">
        <v>42581.749432870369</v>
      </c>
      <c r="G247" s="7">
        <v>1</v>
      </c>
      <c r="H247" s="16" t="s">
        <v>403</v>
      </c>
      <c r="I247" s="16">
        <v>42581.762395833335</v>
      </c>
      <c r="J247" s="7">
        <v>0</v>
      </c>
      <c r="K247" s="123" t="str">
        <f t="shared" si="74"/>
        <v>4025/4026</v>
      </c>
      <c r="L247" s="25" t="str">
        <f>VLOOKUP(A247,'Trips&amp;Operators'!$C$1:$E$10000,3,FALSE)</f>
        <v>STAMBAUGH</v>
      </c>
      <c r="M247" s="6">
        <f t="shared" si="75"/>
        <v>1.2962962966412306E-2</v>
      </c>
      <c r="N247" s="7">
        <f t="shared" si="76"/>
        <v>18.66666667163372</v>
      </c>
      <c r="O247" s="7"/>
      <c r="P247" s="7"/>
      <c r="Q247" s="26"/>
      <c r="R247" s="26"/>
      <c r="S247" s="41">
        <f t="shared" si="77"/>
        <v>1</v>
      </c>
      <c r="T247" s="59" t="str">
        <f t="shared" si="73"/>
        <v>NorthBound</v>
      </c>
      <c r="U247" s="84">
        <f>IF(AG247="EC",COUNTIFS(Variables!$M$2:$M$19,IF(T247="NorthBound","&gt;=","&lt;=")&amp;Y247,Variables!$M$2:$M$19,IF(T247="NorthBound","&lt;=","&gt;=")&amp;Z247),COUNTIFS(Variables!$P$2:$P$19,IF(T247="NorthBound","&gt;=","&lt;=")&amp;Y247,Variables!$P$2:$P$19,IF(T247="NorthBound","&lt;=","&gt;=")&amp;Z247))</f>
        <v>1</v>
      </c>
      <c r="V24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16:58:10-0600',mode:absolute,to:'2016-07-30 19:17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47" s="64" t="str">
        <f t="shared" si="88"/>
        <v>N</v>
      </c>
      <c r="X247" s="126">
        <f t="shared" si="89"/>
        <v>1</v>
      </c>
      <c r="Y247" s="79">
        <f t="shared" si="90"/>
        <v>0.1002</v>
      </c>
      <c r="Z247" s="79">
        <f t="shared" si="91"/>
        <v>5.8917999999999999</v>
      </c>
      <c r="AA247" s="79">
        <f t="shared" si="83"/>
        <v>5.7915999999999999</v>
      </c>
      <c r="AB247" s="76" t="e">
        <f>VLOOKUP(A247,Enforcements!$C$7:$J$24,8,0)</f>
        <v>#N/A</v>
      </c>
      <c r="AC247" s="72" t="e">
        <f>VLOOKUP(A247,Enforcements!$C$7:$E$24,3,0)</f>
        <v>#N/A</v>
      </c>
      <c r="AD247" s="73" t="str">
        <f t="shared" si="84"/>
        <v>1875-30</v>
      </c>
      <c r="AE247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47" s="65" t="str">
        <f t="shared" si="86"/>
        <v>"C:\Program Files (x86)\AstroGrep\AstroGrep.exe" /spath="C:\Users\stu\Documents\Analysis\2016-02-23 RTDC Observations" /stypes="*4025*20160731*" /stext=" 00:.+((SYSTEM_STATE.+slice.+state.+changed )|(ment ac)|(system.+state.+changed )|(\|lc)|(penalty)|(\[timeout)|(PRM\|1\|D))" /e /r /s</v>
      </c>
      <c r="AG247" s="1" t="str">
        <f t="shared" si="87"/>
        <v>NW</v>
      </c>
    </row>
    <row r="248" spans="1:33" hidden="1" x14ac:dyDescent="0.25">
      <c r="A248" s="45" t="s">
        <v>540</v>
      </c>
      <c r="B248" s="7">
        <v>4019</v>
      </c>
      <c r="C248" s="25" t="s">
        <v>170</v>
      </c>
      <c r="D248" s="25" t="s">
        <v>541</v>
      </c>
      <c r="E248" s="16">
        <v>42581.744270833333</v>
      </c>
      <c r="F248" s="16">
        <v>42581.745023148149</v>
      </c>
      <c r="G248" s="7">
        <v>1</v>
      </c>
      <c r="H248" s="16" t="s">
        <v>542</v>
      </c>
      <c r="I248" s="16">
        <v>42581.758761574078</v>
      </c>
      <c r="J248" s="7">
        <v>0</v>
      </c>
      <c r="K248" s="123" t="str">
        <f t="shared" si="74"/>
        <v>4019/4020</v>
      </c>
      <c r="L248" s="25" t="str">
        <f>VLOOKUP(A248,'Trips&amp;Operators'!$C$1:$E$10000,3,FALSE)</f>
        <v>ADANE</v>
      </c>
      <c r="M248" s="6">
        <f t="shared" si="75"/>
        <v>1.3738425928750075E-2</v>
      </c>
      <c r="N248" s="7">
        <f t="shared" si="76"/>
        <v>19.783333337400109</v>
      </c>
      <c r="O248" s="7"/>
      <c r="P248" s="7"/>
      <c r="Q248" s="26"/>
      <c r="R248" s="26"/>
      <c r="S248" s="41">
        <f t="shared" si="77"/>
        <v>1</v>
      </c>
      <c r="T248" s="59" t="str">
        <f t="shared" si="73"/>
        <v>Southbound</v>
      </c>
      <c r="U248" s="84">
        <f>IF(AG248="EC",COUNTIFS(Variables!$M$2:$M$19,IF(T248="NorthBound","&gt;=","&lt;=")&amp;Y248,Variables!$M$2:$M$19,IF(T248="NorthBound","&lt;=","&gt;=")&amp;Z248),COUNTIFS(Variables!$P$2:$P$19,IF(T248="NorthBound","&gt;=","&lt;=")&amp;Y248,Variables!$P$2:$P$19,IF(T248="NorthBound","&lt;=","&gt;=")&amp;Z248))</f>
        <v>1</v>
      </c>
      <c r="V24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16:51:45-0600',mode:absolute,to:'2016-07-30 19:12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48" s="64" t="str">
        <f t="shared" si="88"/>
        <v>N</v>
      </c>
      <c r="X248" s="126">
        <f t="shared" si="89"/>
        <v>1</v>
      </c>
      <c r="Y248" s="79">
        <f t="shared" si="90"/>
        <v>5.8691000000000004</v>
      </c>
      <c r="Z248" s="79">
        <f t="shared" si="91"/>
        <v>9.3700000000000006E-2</v>
      </c>
      <c r="AA248" s="79">
        <f t="shared" si="83"/>
        <v>5.7754000000000003</v>
      </c>
      <c r="AB248" s="76" t="e">
        <f>VLOOKUP(A248,Enforcements!$C$7:$J$24,8,0)</f>
        <v>#N/A</v>
      </c>
      <c r="AC248" s="72" t="e">
        <f>VLOOKUP(A248,Enforcements!$C$7:$E$24,3,0)</f>
        <v>#N/A</v>
      </c>
      <c r="AD248" s="73" t="str">
        <f t="shared" si="84"/>
        <v>1876-30</v>
      </c>
      <c r="AE248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48" s="65" t="str">
        <f t="shared" si="86"/>
        <v>"C:\Program Files (x86)\AstroGrep\AstroGrep.exe" /spath="C:\Users\stu\Documents\Analysis\2016-02-23 RTDC Observations" /stypes="*4019*20160731*" /stext=" 00:.+((SYSTEM_STATE.+slice.+state.+changed )|(ment ac)|(system.+state.+changed )|(\|lc)|(penalty)|(\[timeout)|(PRM\|1\|D))" /e /r /s</v>
      </c>
      <c r="AG248" s="1" t="str">
        <f t="shared" si="87"/>
        <v>NW</v>
      </c>
    </row>
    <row r="249" spans="1:33" hidden="1" x14ac:dyDescent="0.25">
      <c r="A249" s="45" t="s">
        <v>543</v>
      </c>
      <c r="B249" s="7">
        <v>4020</v>
      </c>
      <c r="C249" s="25" t="s">
        <v>170</v>
      </c>
      <c r="D249" s="25" t="s">
        <v>410</v>
      </c>
      <c r="E249" s="16">
        <v>42581.762060185189</v>
      </c>
      <c r="F249" s="16">
        <v>42581.76295138889</v>
      </c>
      <c r="G249" s="7">
        <v>1</v>
      </c>
      <c r="H249" s="16" t="s">
        <v>544</v>
      </c>
      <c r="I249" s="16">
        <v>42581.7731712963</v>
      </c>
      <c r="J249" s="7">
        <v>1</v>
      </c>
      <c r="K249" s="123" t="str">
        <f t="shared" si="74"/>
        <v>4019/4020</v>
      </c>
      <c r="L249" s="25" t="str">
        <f>VLOOKUP(A249,'Trips&amp;Operators'!$C$1:$E$10000,3,FALSE)</f>
        <v>ADANE</v>
      </c>
      <c r="M249" s="6">
        <f t="shared" si="75"/>
        <v>1.021990740991896E-2</v>
      </c>
      <c r="N249" s="7">
        <f t="shared" si="76"/>
        <v>14.716666670283303</v>
      </c>
      <c r="O249" s="7"/>
      <c r="P249" s="7"/>
      <c r="Q249" s="26"/>
      <c r="R249" s="26"/>
      <c r="S249" s="41">
        <f t="shared" si="77"/>
        <v>1</v>
      </c>
      <c r="T249" s="59" t="str">
        <f t="shared" si="73"/>
        <v>NorthBound</v>
      </c>
      <c r="U249" s="84">
        <f>IF(AG249="EC",COUNTIFS(Variables!$M$2:$M$19,IF(T249="NorthBound","&gt;=","&lt;=")&amp;Y249,Variables!$M$2:$M$19,IF(T249="NorthBound","&lt;=","&gt;=")&amp;Z249),COUNTIFS(Variables!$P$2:$P$19,IF(T249="NorthBound","&gt;=","&lt;=")&amp;Y249,Variables!$P$2:$P$19,IF(T249="NorthBound","&lt;=","&gt;=")&amp;Z249))</f>
        <v>1</v>
      </c>
      <c r="V24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17:17:22-0600',mode:absolute,to:'2016-07-30 19:33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49" s="64" t="str">
        <f t="shared" si="88"/>
        <v>N</v>
      </c>
      <c r="X249" s="126">
        <f t="shared" si="89"/>
        <v>1</v>
      </c>
      <c r="Y249" s="79">
        <f t="shared" si="90"/>
        <v>9.74E-2</v>
      </c>
      <c r="Z249" s="79">
        <f t="shared" si="91"/>
        <v>5.7599</v>
      </c>
      <c r="AA249" s="79">
        <f t="shared" si="83"/>
        <v>5.6624999999999996</v>
      </c>
      <c r="AB249" s="76" t="e">
        <f>VLOOKUP(A249,Enforcements!$C$7:$J$24,8,0)</f>
        <v>#N/A</v>
      </c>
      <c r="AC249" s="72" t="e">
        <f>VLOOKUP(A249,Enforcements!$C$7:$E$24,3,0)</f>
        <v>#N/A</v>
      </c>
      <c r="AD249" s="73" t="str">
        <f t="shared" si="84"/>
        <v>1877-30</v>
      </c>
      <c r="AE249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49" s="65" t="str">
        <f t="shared" si="86"/>
        <v>"C:\Program Files (x86)\AstroGrep\AstroGrep.exe" /spath="C:\Users\stu\Documents\Analysis\2016-02-23 RTDC Observations" /stypes="*4020*20160731*" /stext=" 00:.+((SYSTEM_STATE.+slice.+state.+changed )|(ment ac)|(system.+state.+changed )|(\|lc)|(penalty)|(\[timeout)|(PRM\|1\|D))" /e /r /s</v>
      </c>
      <c r="AG249" s="1" t="str">
        <f t="shared" si="87"/>
        <v>NW</v>
      </c>
    </row>
    <row r="250" spans="1:33" hidden="1" x14ac:dyDescent="0.25">
      <c r="A250" s="45" t="s">
        <v>545</v>
      </c>
      <c r="B250" s="7">
        <v>4037</v>
      </c>
      <c r="C250" s="25" t="s">
        <v>170</v>
      </c>
      <c r="D250" s="25" t="s">
        <v>546</v>
      </c>
      <c r="E250" s="16">
        <v>42581.757430555554</v>
      </c>
      <c r="F250" s="16">
        <v>42581.758379629631</v>
      </c>
      <c r="G250" s="7">
        <v>1</v>
      </c>
      <c r="H250" s="16" t="s">
        <v>547</v>
      </c>
      <c r="I250" s="16">
        <v>42581.772615740738</v>
      </c>
      <c r="J250" s="7">
        <v>0</v>
      </c>
      <c r="K250" s="123" t="str">
        <f t="shared" si="74"/>
        <v>4037/4038</v>
      </c>
      <c r="L250" s="25" t="str">
        <f>VLOOKUP(A250,'Trips&amp;Operators'!$C$1:$E$10000,3,FALSE)</f>
        <v>DE LA ROSA</v>
      </c>
      <c r="M250" s="6">
        <f t="shared" si="75"/>
        <v>1.4236111106583849E-2</v>
      </c>
      <c r="N250" s="7">
        <f t="shared" si="76"/>
        <v>20.499999993480742</v>
      </c>
      <c r="O250" s="7"/>
      <c r="P250" s="7"/>
      <c r="Q250" s="26"/>
      <c r="R250" s="26"/>
      <c r="S250" s="41">
        <f t="shared" si="77"/>
        <v>1</v>
      </c>
      <c r="T250" s="59" t="str">
        <f t="shared" si="73"/>
        <v>Southbound</v>
      </c>
      <c r="U250" s="84">
        <f>IF(AG250="EC",COUNTIFS(Variables!$M$2:$M$19,IF(T250="NorthBound","&gt;=","&lt;=")&amp;Y250,Variables!$M$2:$M$19,IF(T250="NorthBound","&lt;=","&gt;=")&amp;Z250),COUNTIFS(Variables!$P$2:$P$19,IF(T250="NorthBound","&gt;=","&lt;=")&amp;Y250,Variables!$P$2:$P$19,IF(T250="NorthBound","&lt;=","&gt;=")&amp;Z250))</f>
        <v>1</v>
      </c>
      <c r="V25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17:10:42-0600',mode:absolute,to:'2016-07-30 19:32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50" s="64" t="str">
        <f t="shared" si="88"/>
        <v>N</v>
      </c>
      <c r="X250" s="126">
        <f t="shared" si="89"/>
        <v>1</v>
      </c>
      <c r="Y250" s="79">
        <f t="shared" si="90"/>
        <v>5.867</v>
      </c>
      <c r="Z250" s="79">
        <f t="shared" si="91"/>
        <v>7.2599999999999998E-2</v>
      </c>
      <c r="AA250" s="79">
        <f t="shared" si="83"/>
        <v>5.7943999999999996</v>
      </c>
      <c r="AB250" s="76" t="e">
        <f>VLOOKUP(A250,Enforcements!$C$7:$J$24,8,0)</f>
        <v>#N/A</v>
      </c>
      <c r="AC250" s="72" t="e">
        <f>VLOOKUP(A250,Enforcements!$C$7:$E$24,3,0)</f>
        <v>#N/A</v>
      </c>
      <c r="AD250" s="73" t="str">
        <f t="shared" si="84"/>
        <v>1878-30</v>
      </c>
      <c r="AE250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50" s="65" t="str">
        <f t="shared" si="86"/>
        <v>"C:\Program Files (x86)\AstroGrep\AstroGrep.exe" /spath="C:\Users\stu\Documents\Analysis\2016-02-23 RTDC Observations" /stypes="*4037*20160731*" /stext=" 00:.+((SYSTEM_STATE.+slice.+state.+changed )|(ment ac)|(system.+state.+changed )|(\|lc)|(penalty)|(\[timeout)|(PRM\|1\|D))" /e /r /s</v>
      </c>
      <c r="AG250" s="1" t="str">
        <f t="shared" si="87"/>
        <v>NW</v>
      </c>
    </row>
    <row r="251" spans="1:33" hidden="1" x14ac:dyDescent="0.25">
      <c r="A251" s="45" t="s">
        <v>548</v>
      </c>
      <c r="B251" s="7">
        <v>4038</v>
      </c>
      <c r="C251" s="25" t="s">
        <v>170</v>
      </c>
      <c r="D251" s="25" t="s">
        <v>549</v>
      </c>
      <c r="E251" s="16">
        <v>42581.774895833332</v>
      </c>
      <c r="F251" s="16">
        <v>42581.775868055556</v>
      </c>
      <c r="G251" s="7">
        <v>1</v>
      </c>
      <c r="H251" s="16" t="s">
        <v>550</v>
      </c>
      <c r="I251" s="16">
        <v>42581.788391203707</v>
      </c>
      <c r="J251" s="7">
        <v>0</v>
      </c>
      <c r="K251" s="123" t="str">
        <f t="shared" si="74"/>
        <v>4037/4038</v>
      </c>
      <c r="L251" s="25" t="str">
        <f>VLOOKUP(A251,'Trips&amp;Operators'!$C$1:$E$10000,3,FALSE)</f>
        <v>STORY</v>
      </c>
      <c r="M251" s="6">
        <f t="shared" si="75"/>
        <v>1.2523148150648922E-2</v>
      </c>
      <c r="N251" s="7">
        <f t="shared" si="76"/>
        <v>18.033333336934447</v>
      </c>
      <c r="O251" s="7"/>
      <c r="P251" s="7"/>
      <c r="Q251" s="26"/>
      <c r="R251" s="26"/>
      <c r="S251" s="41">
        <f t="shared" si="77"/>
        <v>1</v>
      </c>
      <c r="T251" s="59" t="str">
        <f t="shared" si="73"/>
        <v>NorthBound</v>
      </c>
      <c r="U251" s="84">
        <f>IF(AG251="EC",COUNTIFS(Variables!$M$2:$M$19,IF(T251="NorthBound","&gt;=","&lt;=")&amp;Y251,Variables!$M$2:$M$19,IF(T251="NorthBound","&lt;=","&gt;=")&amp;Z251),COUNTIFS(Variables!$P$2:$P$19,IF(T251="NorthBound","&gt;=","&lt;=")&amp;Y251,Variables!$P$2:$P$19,IF(T251="NorthBound","&lt;=","&gt;=")&amp;Z251))</f>
        <v>1</v>
      </c>
      <c r="V25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17:35:51-0600',mode:absolute,to:'2016-07-30 19:55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51" s="64" t="str">
        <f t="shared" si="88"/>
        <v>N</v>
      </c>
      <c r="X251" s="126">
        <f t="shared" si="89"/>
        <v>1</v>
      </c>
      <c r="Y251" s="79">
        <f t="shared" si="90"/>
        <v>0.1014</v>
      </c>
      <c r="Z251" s="79">
        <f t="shared" si="91"/>
        <v>5.8956</v>
      </c>
      <c r="AA251" s="79">
        <f t="shared" si="83"/>
        <v>5.7942</v>
      </c>
      <c r="AB251" s="76" t="e">
        <f>VLOOKUP(A251,Enforcements!$C$7:$J$24,8,0)</f>
        <v>#N/A</v>
      </c>
      <c r="AC251" s="72" t="e">
        <f>VLOOKUP(A251,Enforcements!$C$7:$E$24,3,0)</f>
        <v>#N/A</v>
      </c>
      <c r="AD251" s="73" t="str">
        <f t="shared" si="84"/>
        <v>1879-30</v>
      </c>
      <c r="AE251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51" s="65" t="str">
        <f t="shared" si="86"/>
        <v>"C:\Program Files (x86)\AstroGrep\AstroGrep.exe" /spath="C:\Users\stu\Documents\Analysis\2016-02-23 RTDC Observations" /stypes="*4038*20160731*" /stext=" 00:.+((SYSTEM_STATE.+slice.+state.+changed )|(ment ac)|(system.+state.+changed )|(\|lc)|(penalty)|(\[timeout)|(PRM\|1\|D))" /e /r /s</v>
      </c>
      <c r="AG251" s="1" t="str">
        <f t="shared" si="87"/>
        <v>NW</v>
      </c>
    </row>
    <row r="252" spans="1:33" hidden="1" x14ac:dyDescent="0.25">
      <c r="A252" s="45" t="s">
        <v>551</v>
      </c>
      <c r="B252" s="7">
        <v>4026</v>
      </c>
      <c r="C252" s="25" t="s">
        <v>170</v>
      </c>
      <c r="D252" s="25" t="s">
        <v>375</v>
      </c>
      <c r="E252" s="16">
        <v>42581.764201388891</v>
      </c>
      <c r="F252" s="16">
        <v>42581.765104166669</v>
      </c>
      <c r="G252" s="7">
        <v>1</v>
      </c>
      <c r="H252" s="16" t="s">
        <v>332</v>
      </c>
      <c r="I252" s="16">
        <v>42581.787499999999</v>
      </c>
      <c r="J252" s="7">
        <v>0</v>
      </c>
      <c r="K252" s="123" t="str">
        <f t="shared" si="74"/>
        <v>4025/4026</v>
      </c>
      <c r="L252" s="25" t="str">
        <f>VLOOKUP(A252,'Trips&amp;Operators'!$C$1:$E$10000,3,FALSE)</f>
        <v>STAMBAUGH</v>
      </c>
      <c r="M252" s="6">
        <f t="shared" si="75"/>
        <v>2.2395833329937886E-2</v>
      </c>
      <c r="N252" s="7">
        <f t="shared" si="76"/>
        <v>32.249999995110556</v>
      </c>
      <c r="O252" s="7"/>
      <c r="P252" s="7"/>
      <c r="Q252" s="26"/>
      <c r="R252" s="26"/>
      <c r="S252" s="41">
        <f t="shared" si="77"/>
        <v>1</v>
      </c>
      <c r="T252" s="59" t="str">
        <f t="shared" si="73"/>
        <v>Southbound</v>
      </c>
      <c r="U252" s="84">
        <f>IF(AG252="EC",COUNTIFS(Variables!$M$2:$M$19,IF(T252="NorthBound","&gt;=","&lt;=")&amp;Y252,Variables!$M$2:$M$19,IF(T252="NorthBound","&lt;=","&gt;=")&amp;Z252),COUNTIFS(Variables!$P$2:$P$19,IF(T252="NorthBound","&gt;=","&lt;=")&amp;Y252,Variables!$P$2:$P$19,IF(T252="NorthBound","&lt;=","&gt;=")&amp;Z252))</f>
        <v>1</v>
      </c>
      <c r="V25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17:20:27-0600',mode:absolute,to:'2016-07-30 19:54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52" s="64" t="str">
        <f t="shared" si="88"/>
        <v>N</v>
      </c>
      <c r="X252" s="126">
        <f t="shared" si="89"/>
        <v>1</v>
      </c>
      <c r="Y252" s="79">
        <f t="shared" si="90"/>
        <v>5.8604000000000003</v>
      </c>
      <c r="Z252" s="79">
        <f t="shared" si="91"/>
        <v>6.9800000000000001E-2</v>
      </c>
      <c r="AA252" s="79">
        <f t="shared" si="83"/>
        <v>5.7906000000000004</v>
      </c>
      <c r="AB252" s="76" t="e">
        <f>VLOOKUP(A252,Enforcements!$C$7:$J$24,8,0)</f>
        <v>#N/A</v>
      </c>
      <c r="AC252" s="72" t="e">
        <f>VLOOKUP(A252,Enforcements!$C$7:$E$24,3,0)</f>
        <v>#N/A</v>
      </c>
      <c r="AD252" s="73" t="str">
        <f t="shared" si="84"/>
        <v>1880-30</v>
      </c>
      <c r="AE252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52" s="65" t="str">
        <f t="shared" si="86"/>
        <v>"C:\Program Files (x86)\AstroGrep\AstroGrep.exe" /spath="C:\Users\stu\Documents\Analysis\2016-02-23 RTDC Observations" /stypes="*4026*20160731*" /stext=" 00:.+((SYSTEM_STATE.+slice.+state.+changed )|(ment ac)|(system.+state.+changed )|(\|lc)|(penalty)|(\[timeout)|(PRM\|1\|D))" /e /r /s</v>
      </c>
      <c r="AG252" s="1" t="str">
        <f t="shared" si="87"/>
        <v>NW</v>
      </c>
    </row>
    <row r="253" spans="1:33" hidden="1" x14ac:dyDescent="0.25">
      <c r="A253" s="45" t="s">
        <v>552</v>
      </c>
      <c r="B253" s="7">
        <v>4025</v>
      </c>
      <c r="C253" s="25" t="s">
        <v>170</v>
      </c>
      <c r="D253" s="25" t="s">
        <v>553</v>
      </c>
      <c r="E253" s="16">
        <v>42581.790011574078</v>
      </c>
      <c r="F253" s="16">
        <v>42581.792569444442</v>
      </c>
      <c r="G253" s="7">
        <v>3</v>
      </c>
      <c r="H253" s="16" t="s">
        <v>554</v>
      </c>
      <c r="I253" s="16">
        <v>42581.804305555554</v>
      </c>
      <c r="J253" s="7">
        <v>0</v>
      </c>
      <c r="K253" s="123" t="str">
        <f t="shared" si="74"/>
        <v>4025/4026</v>
      </c>
      <c r="L253" s="25" t="str">
        <f>VLOOKUP(A253,'Trips&amp;Operators'!$C$1:$E$10000,3,FALSE)</f>
        <v>STAMBAUGH</v>
      </c>
      <c r="M253" s="6">
        <f t="shared" si="75"/>
        <v>1.17361111115315E-2</v>
      </c>
      <c r="N253" s="7">
        <f t="shared" si="76"/>
        <v>16.90000000060536</v>
      </c>
      <c r="O253" s="7"/>
      <c r="P253" s="7"/>
      <c r="Q253" s="26"/>
      <c r="R253" s="26"/>
      <c r="S253" s="41">
        <f t="shared" si="77"/>
        <v>1</v>
      </c>
      <c r="T253" s="59" t="str">
        <f t="shared" si="73"/>
        <v>NorthBound</v>
      </c>
      <c r="U253" s="84">
        <f>IF(AG253="EC",COUNTIFS(Variables!$M$2:$M$19,IF(T253="NorthBound","&gt;=","&lt;=")&amp;Y253,Variables!$M$2:$M$19,IF(T253="NorthBound","&lt;=","&gt;=")&amp;Z253),COUNTIFS(Variables!$P$2:$P$19,IF(T253="NorthBound","&gt;=","&lt;=")&amp;Y253,Variables!$P$2:$P$19,IF(T253="NorthBound","&lt;=","&gt;=")&amp;Z253))</f>
        <v>1</v>
      </c>
      <c r="V25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17:57:37-0600',mode:absolute,to:'2016-07-30 20:18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53" s="64" t="str">
        <f t="shared" si="88"/>
        <v>N</v>
      </c>
      <c r="X253" s="126">
        <f t="shared" si="89"/>
        <v>1</v>
      </c>
      <c r="Y253" s="79">
        <f t="shared" si="90"/>
        <v>9.9299999999999999E-2</v>
      </c>
      <c r="Z253" s="79">
        <f t="shared" si="91"/>
        <v>5.8945999999999996</v>
      </c>
      <c r="AA253" s="79">
        <f t="shared" si="83"/>
        <v>5.7952999999999992</v>
      </c>
      <c r="AB253" s="76" t="e">
        <f>VLOOKUP(A253,Enforcements!$C$7:$J$24,8,0)</f>
        <v>#N/A</v>
      </c>
      <c r="AC253" s="72" t="e">
        <f>VLOOKUP(A253,Enforcements!$C$7:$E$24,3,0)</f>
        <v>#N/A</v>
      </c>
      <c r="AD253" s="73" t="str">
        <f t="shared" si="84"/>
        <v>1881-30</v>
      </c>
      <c r="AE253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53" s="65" t="str">
        <f t="shared" si="86"/>
        <v>"C:\Program Files (x86)\AstroGrep\AstroGrep.exe" /spath="C:\Users\stu\Documents\Analysis\2016-02-23 RTDC Observations" /stypes="*4025*20160731*" /stext=" 01:.+((SYSTEM_STATE.+slice.+state.+changed )|(ment ac)|(system.+state.+changed )|(\|lc)|(penalty)|(\[timeout)|(PRM\|1\|D))" /e /r /s</v>
      </c>
      <c r="AG253" s="1" t="str">
        <f t="shared" si="87"/>
        <v>NW</v>
      </c>
    </row>
    <row r="254" spans="1:33" hidden="1" x14ac:dyDescent="0.25">
      <c r="A254" s="45" t="s">
        <v>555</v>
      </c>
      <c r="B254" s="7">
        <v>4019</v>
      </c>
      <c r="C254" s="25" t="s">
        <v>170</v>
      </c>
      <c r="D254" s="25" t="s">
        <v>375</v>
      </c>
      <c r="E254" s="16">
        <v>42581.786168981482</v>
      </c>
      <c r="F254" s="16">
        <v>42581.78733796296</v>
      </c>
      <c r="G254" s="7">
        <v>1</v>
      </c>
      <c r="H254" s="16" t="s">
        <v>556</v>
      </c>
      <c r="I254" s="16">
        <v>42581.801365740743</v>
      </c>
      <c r="J254" s="7">
        <v>0</v>
      </c>
      <c r="K254" s="123" t="str">
        <f t="shared" si="74"/>
        <v>4019/4020</v>
      </c>
      <c r="L254" s="25" t="str">
        <f>VLOOKUP(A254,'Trips&amp;Operators'!$C$1:$E$10000,3,FALSE)</f>
        <v>ADANE</v>
      </c>
      <c r="M254" s="6">
        <f t="shared" si="75"/>
        <v>1.4027777782757767E-2</v>
      </c>
      <c r="N254" s="7">
        <f t="shared" si="76"/>
        <v>20.200000007171184</v>
      </c>
      <c r="O254" s="7"/>
      <c r="P254" s="7"/>
      <c r="Q254" s="26"/>
      <c r="R254" s="26"/>
      <c r="S254" s="41">
        <f t="shared" si="77"/>
        <v>1</v>
      </c>
      <c r="T254" s="59" t="str">
        <f t="shared" si="73"/>
        <v>Southbound</v>
      </c>
      <c r="U254" s="84">
        <f>IF(AG254="EC",COUNTIFS(Variables!$M$2:$M$19,IF(T254="NorthBound","&gt;=","&lt;=")&amp;Y254,Variables!$M$2:$M$19,IF(T254="NorthBound","&lt;=","&gt;=")&amp;Z254),COUNTIFS(Variables!$P$2:$P$19,IF(T254="NorthBound","&gt;=","&lt;=")&amp;Y254,Variables!$P$2:$P$19,IF(T254="NorthBound","&lt;=","&gt;=")&amp;Z254))</f>
        <v>1</v>
      </c>
      <c r="V25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17:52:05-0600',mode:absolute,to:'2016-07-30 20:13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54" s="64" t="str">
        <f t="shared" si="88"/>
        <v>N</v>
      </c>
      <c r="X254" s="126">
        <f t="shared" si="89"/>
        <v>1</v>
      </c>
      <c r="Y254" s="79">
        <f t="shared" si="90"/>
        <v>5.8604000000000003</v>
      </c>
      <c r="Z254" s="79">
        <f t="shared" si="91"/>
        <v>6.4500000000000002E-2</v>
      </c>
      <c r="AA254" s="79">
        <f t="shared" si="83"/>
        <v>5.7959000000000005</v>
      </c>
      <c r="AB254" s="76" t="e">
        <f>VLOOKUP(A254,Enforcements!$C$7:$J$24,8,0)</f>
        <v>#N/A</v>
      </c>
      <c r="AC254" s="72" t="e">
        <f>VLOOKUP(A254,Enforcements!$C$7:$E$24,3,0)</f>
        <v>#N/A</v>
      </c>
      <c r="AD254" s="73" t="str">
        <f t="shared" si="84"/>
        <v>1882-30</v>
      </c>
      <c r="AE254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54" s="65" t="str">
        <f t="shared" si="86"/>
        <v>"C:\Program Files (x86)\AstroGrep\AstroGrep.exe" /spath="C:\Users\stu\Documents\Analysis\2016-02-23 RTDC Observations" /stypes="*4019*20160731*" /stext=" 01:.+((SYSTEM_STATE.+slice.+state.+changed )|(ment ac)|(system.+state.+changed )|(\|lc)|(penalty)|(\[timeout)|(PRM\|1\|D))" /e /r /s</v>
      </c>
      <c r="AG254" s="1" t="str">
        <f t="shared" si="87"/>
        <v>NW</v>
      </c>
    </row>
    <row r="255" spans="1:33" hidden="1" x14ac:dyDescent="0.25">
      <c r="A255" s="45" t="s">
        <v>557</v>
      </c>
      <c r="B255" s="7">
        <v>4020</v>
      </c>
      <c r="C255" s="25" t="s">
        <v>170</v>
      </c>
      <c r="D255" s="25" t="s">
        <v>558</v>
      </c>
      <c r="E255" s="16">
        <v>42581.803854166668</v>
      </c>
      <c r="F255" s="16">
        <v>42581.804664351854</v>
      </c>
      <c r="G255" s="7">
        <v>1</v>
      </c>
      <c r="H255" s="16" t="s">
        <v>559</v>
      </c>
      <c r="I255" s="16">
        <v>42581.814745370371</v>
      </c>
      <c r="J255" s="7">
        <v>0</v>
      </c>
      <c r="K255" s="123" t="str">
        <f t="shared" si="74"/>
        <v>4019/4020</v>
      </c>
      <c r="L255" s="25" t="str">
        <f>VLOOKUP(A255,'Trips&amp;Operators'!$C$1:$E$10000,3,FALSE)</f>
        <v>ADANE</v>
      </c>
      <c r="M255" s="6">
        <f t="shared" si="75"/>
        <v>1.0081018517666962E-2</v>
      </c>
      <c r="N255" s="7">
        <f t="shared" si="76"/>
        <v>14.516666665440425</v>
      </c>
      <c r="O255" s="7"/>
      <c r="P255" s="7"/>
      <c r="Q255" s="26"/>
      <c r="R255" s="26"/>
      <c r="S255" s="41">
        <f t="shared" si="77"/>
        <v>1</v>
      </c>
      <c r="T255" s="59" t="str">
        <f t="shared" si="73"/>
        <v>NorthBound</v>
      </c>
      <c r="U255" s="84">
        <f>IF(AG255="EC",COUNTIFS(Variables!$M$2:$M$19,IF(T255="NorthBound","&gt;=","&lt;=")&amp;Y255,Variables!$M$2:$M$19,IF(T255="NorthBound","&lt;=","&gt;=")&amp;Z255),COUNTIFS(Variables!$P$2:$P$19,IF(T255="NorthBound","&gt;=","&lt;=")&amp;Y255,Variables!$P$2:$P$19,IF(T255="NorthBound","&lt;=","&gt;=")&amp;Z255))</f>
        <v>1</v>
      </c>
      <c r="V25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18:17:33-0600',mode:absolute,to:'2016-07-30 20:33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55" s="64" t="str">
        <f t="shared" si="88"/>
        <v>N</v>
      </c>
      <c r="X255" s="126">
        <f t="shared" si="89"/>
        <v>1</v>
      </c>
      <c r="Y255" s="79">
        <f t="shared" si="90"/>
        <v>9.5299999999999996E-2</v>
      </c>
      <c r="Z255" s="79">
        <f t="shared" si="91"/>
        <v>5.7630999999999997</v>
      </c>
      <c r="AA255" s="79">
        <f t="shared" si="83"/>
        <v>5.6677999999999997</v>
      </c>
      <c r="AB255" s="76" t="e">
        <f>VLOOKUP(A255,Enforcements!$C$7:$J$24,8,0)</f>
        <v>#N/A</v>
      </c>
      <c r="AC255" s="72" t="e">
        <f>VLOOKUP(A255,Enforcements!$C$7:$E$24,3,0)</f>
        <v>#N/A</v>
      </c>
      <c r="AD255" s="73" t="str">
        <f t="shared" si="84"/>
        <v>1883-30</v>
      </c>
      <c r="AE255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55" s="65" t="str">
        <f t="shared" si="86"/>
        <v>"C:\Program Files (x86)\AstroGrep\AstroGrep.exe" /spath="C:\Users\stu\Documents\Analysis\2016-02-23 RTDC Observations" /stypes="*4020*20160731*" /stext=" 01:.+((SYSTEM_STATE.+slice.+state.+changed )|(ment ac)|(system.+state.+changed )|(\|lc)|(penalty)|(\[timeout)|(PRM\|1\|D))" /e /r /s</v>
      </c>
      <c r="AG255" s="1" t="str">
        <f t="shared" si="87"/>
        <v>NW</v>
      </c>
    </row>
    <row r="256" spans="1:33" hidden="1" x14ac:dyDescent="0.25">
      <c r="A256" s="45" t="s">
        <v>560</v>
      </c>
      <c r="B256" s="7">
        <v>4037</v>
      </c>
      <c r="C256" s="25" t="s">
        <v>170</v>
      </c>
      <c r="D256" s="25" t="s">
        <v>561</v>
      </c>
      <c r="E256" s="16">
        <v>42581.789872685185</v>
      </c>
      <c r="F256" s="16">
        <v>42581.800752314812</v>
      </c>
      <c r="G256" s="7">
        <v>15</v>
      </c>
      <c r="H256" s="16" t="s">
        <v>378</v>
      </c>
      <c r="I256" s="16">
        <v>42581.815208333333</v>
      </c>
      <c r="J256" s="7">
        <v>0</v>
      </c>
      <c r="K256" s="123" t="str">
        <f t="shared" si="74"/>
        <v>4037/4038</v>
      </c>
      <c r="L256" s="25" t="str">
        <f>VLOOKUP(A256,'Trips&amp;Operators'!$C$1:$E$10000,3,FALSE)</f>
        <v>STORY</v>
      </c>
      <c r="M256" s="6">
        <f t="shared" si="75"/>
        <v>1.4456018521741498E-2</v>
      </c>
      <c r="N256" s="7">
        <f t="shared" si="76"/>
        <v>20.816666671307757</v>
      </c>
      <c r="O256" s="7"/>
      <c r="P256" s="7"/>
      <c r="Q256" s="26"/>
      <c r="R256" s="26"/>
      <c r="S256" s="41">
        <f t="shared" si="77"/>
        <v>1</v>
      </c>
      <c r="T256" s="59" t="str">
        <f t="shared" si="73"/>
        <v>Southbound</v>
      </c>
      <c r="U256" s="84">
        <f>IF(AG256="EC",COUNTIFS(Variables!$M$2:$M$19,IF(T256="NorthBound","&gt;=","&lt;=")&amp;Y256,Variables!$M$2:$M$19,IF(T256="NorthBound","&lt;=","&gt;=")&amp;Z256),COUNTIFS(Variables!$P$2:$P$19,IF(T256="NorthBound","&gt;=","&lt;=")&amp;Y256,Variables!$P$2:$P$19,IF(T256="NorthBound","&lt;=","&gt;=")&amp;Z256))</f>
        <v>1</v>
      </c>
      <c r="V25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17:57:25-0600',mode:absolute,to:'2016-07-30 20:33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56" s="64" t="str">
        <f t="shared" si="88"/>
        <v>N</v>
      </c>
      <c r="X256" s="126">
        <f t="shared" si="89"/>
        <v>1</v>
      </c>
      <c r="Y256" s="79">
        <f t="shared" si="90"/>
        <v>5.8628</v>
      </c>
      <c r="Z256" s="79">
        <f t="shared" si="91"/>
        <v>7.1199999999999999E-2</v>
      </c>
      <c r="AA256" s="79">
        <f t="shared" si="83"/>
        <v>5.7915999999999999</v>
      </c>
      <c r="AB256" s="76" t="e">
        <f>VLOOKUP(A256,Enforcements!$C$7:$J$24,8,0)</f>
        <v>#N/A</v>
      </c>
      <c r="AC256" s="72" t="e">
        <f>VLOOKUP(A256,Enforcements!$C$7:$E$24,3,0)</f>
        <v>#N/A</v>
      </c>
      <c r="AD256" s="73" t="str">
        <f t="shared" si="84"/>
        <v>1884-30</v>
      </c>
      <c r="AE256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56" s="65" t="str">
        <f t="shared" si="86"/>
        <v>"C:\Program Files (x86)\AstroGrep\AstroGrep.exe" /spath="C:\Users\stu\Documents\Analysis\2016-02-23 RTDC Observations" /stypes="*4037*20160731*" /stext=" 01:.+((SYSTEM_STATE.+slice.+state.+changed )|(ment ac)|(system.+state.+changed )|(\|lc)|(penalty)|(\[timeout)|(PRM\|1\|D))" /e /r /s</v>
      </c>
      <c r="AG256" s="1" t="str">
        <f t="shared" si="87"/>
        <v>NW</v>
      </c>
    </row>
    <row r="257" spans="1:33" hidden="1" x14ac:dyDescent="0.25">
      <c r="A257" s="45" t="s">
        <v>562</v>
      </c>
      <c r="B257" s="7">
        <v>4038</v>
      </c>
      <c r="C257" s="25" t="s">
        <v>170</v>
      </c>
      <c r="D257" s="25" t="s">
        <v>563</v>
      </c>
      <c r="E257" s="16">
        <v>42581.817164351851</v>
      </c>
      <c r="F257" s="16">
        <v>42581.818344907406</v>
      </c>
      <c r="G257" s="7">
        <v>1</v>
      </c>
      <c r="H257" s="16" t="s">
        <v>564</v>
      </c>
      <c r="I257" s="16">
        <v>42581.830138888887</v>
      </c>
      <c r="J257" s="7">
        <v>0</v>
      </c>
      <c r="K257" s="123" t="str">
        <f t="shared" si="74"/>
        <v>4037/4038</v>
      </c>
      <c r="L257" s="25" t="str">
        <f>VLOOKUP(A257,'Trips&amp;Operators'!$C$1:$E$10000,3,FALSE)</f>
        <v>DE LA ROSA</v>
      </c>
      <c r="M257" s="6">
        <f t="shared" si="75"/>
        <v>1.1793981480877846E-2</v>
      </c>
      <c r="N257" s="7">
        <f t="shared" si="76"/>
        <v>16.983333332464099</v>
      </c>
      <c r="O257" s="7"/>
      <c r="P257" s="7"/>
      <c r="Q257" s="26"/>
      <c r="R257" s="26"/>
      <c r="S257" s="41">
        <f t="shared" si="77"/>
        <v>1</v>
      </c>
      <c r="T257" s="59" t="str">
        <f t="shared" si="73"/>
        <v>NorthBound</v>
      </c>
      <c r="U257" s="84">
        <f>IF(AG257="EC",COUNTIFS(Variables!$M$2:$M$19,IF(T257="NorthBound","&gt;=","&lt;=")&amp;Y257,Variables!$M$2:$M$19,IF(T257="NorthBound","&lt;=","&gt;=")&amp;Z257),COUNTIFS(Variables!$P$2:$P$19,IF(T257="NorthBound","&gt;=","&lt;=")&amp;Y257,Variables!$P$2:$P$19,IF(T257="NorthBound","&lt;=","&gt;=")&amp;Z257))</f>
        <v>1</v>
      </c>
      <c r="V25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18:36:43-0600',mode:absolute,to:'2016-07-30 20:55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57" s="64" t="str">
        <f t="shared" si="88"/>
        <v>N</v>
      </c>
      <c r="X257" s="126">
        <f t="shared" si="89"/>
        <v>1</v>
      </c>
      <c r="Y257" s="79">
        <f t="shared" si="90"/>
        <v>0.1007</v>
      </c>
      <c r="Z257" s="79">
        <f t="shared" si="91"/>
        <v>5.8978000000000002</v>
      </c>
      <c r="AA257" s="79">
        <f t="shared" si="83"/>
        <v>5.7971000000000004</v>
      </c>
      <c r="AB257" s="76" t="e">
        <f>VLOOKUP(A257,Enforcements!$C$7:$J$24,8,0)</f>
        <v>#N/A</v>
      </c>
      <c r="AC257" s="72" t="e">
        <f>VLOOKUP(A257,Enforcements!$C$7:$E$24,3,0)</f>
        <v>#N/A</v>
      </c>
      <c r="AD257" s="73" t="str">
        <f t="shared" si="84"/>
        <v>1885-30</v>
      </c>
      <c r="AE257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57" s="65" t="str">
        <f t="shared" si="86"/>
        <v>"C:\Program Files (x86)\AstroGrep\AstroGrep.exe" /spath="C:\Users\stu\Documents\Analysis\2016-02-23 RTDC Observations" /stypes="*4038*20160731*" /stext=" 01:.+((SYSTEM_STATE.+slice.+state.+changed )|(ment ac)|(system.+state.+changed )|(\|lc)|(penalty)|(\[timeout)|(PRM\|1\|D))" /e /r /s</v>
      </c>
      <c r="AG257" s="1" t="str">
        <f t="shared" si="87"/>
        <v>NW</v>
      </c>
    </row>
    <row r="258" spans="1:33" hidden="1" x14ac:dyDescent="0.25">
      <c r="A258" s="45" t="s">
        <v>565</v>
      </c>
      <c r="B258" s="7">
        <v>4026</v>
      </c>
      <c r="C258" s="25" t="s">
        <v>170</v>
      </c>
      <c r="D258" s="25" t="s">
        <v>566</v>
      </c>
      <c r="E258" s="16">
        <v>42581.813206018516</v>
      </c>
      <c r="F258" s="16">
        <v>42581.814270833333</v>
      </c>
      <c r="G258" s="7">
        <v>1</v>
      </c>
      <c r="H258" s="16" t="s">
        <v>409</v>
      </c>
      <c r="I258" s="16">
        <v>42581.828252314815</v>
      </c>
      <c r="J258" s="7">
        <v>0</v>
      </c>
      <c r="K258" s="123" t="str">
        <f t="shared" si="74"/>
        <v>4025/4026</v>
      </c>
      <c r="L258" s="25" t="str">
        <f>VLOOKUP(A258,'Trips&amp;Operators'!$C$1:$E$10000,3,FALSE)</f>
        <v>STAMBAUGH</v>
      </c>
      <c r="M258" s="6">
        <f t="shared" si="75"/>
        <v>1.3981481482915115E-2</v>
      </c>
      <c r="N258" s="7">
        <f t="shared" si="76"/>
        <v>20.133333335397765</v>
      </c>
      <c r="O258" s="7"/>
      <c r="P258" s="7"/>
      <c r="Q258" s="26"/>
      <c r="R258" s="26"/>
      <c r="S258" s="41">
        <f t="shared" si="77"/>
        <v>1</v>
      </c>
      <c r="T258" s="59" t="str">
        <f t="shared" si="73"/>
        <v>Southbound</v>
      </c>
      <c r="U258" s="84">
        <f>IF(AG258="EC",COUNTIFS(Variables!$M$2:$M$19,IF(T258="NorthBound","&gt;=","&lt;=")&amp;Y258,Variables!$M$2:$M$19,IF(T258="NorthBound","&lt;=","&gt;=")&amp;Z258),COUNTIFS(Variables!$P$2:$P$19,IF(T258="NorthBound","&gt;=","&lt;=")&amp;Y258,Variables!$P$2:$P$19,IF(T258="NorthBound","&lt;=","&gt;=")&amp;Z258))</f>
        <v>1</v>
      </c>
      <c r="V25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18:31:01-0600',mode:absolute,to:'2016-07-30 20:52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58" s="64" t="str">
        <f t="shared" si="88"/>
        <v>N</v>
      </c>
      <c r="X258" s="126">
        <f t="shared" si="89"/>
        <v>1</v>
      </c>
      <c r="Y258" s="79">
        <f t="shared" si="90"/>
        <v>5.8630000000000004</v>
      </c>
      <c r="Z258" s="79">
        <f t="shared" si="91"/>
        <v>7.17E-2</v>
      </c>
      <c r="AA258" s="79">
        <f t="shared" si="83"/>
        <v>5.7913000000000006</v>
      </c>
      <c r="AB258" s="76" t="e">
        <f>VLOOKUP(A258,Enforcements!$C$7:$J$24,8,0)</f>
        <v>#N/A</v>
      </c>
      <c r="AC258" s="72" t="e">
        <f>VLOOKUP(A258,Enforcements!$C$7:$E$24,3,0)</f>
        <v>#N/A</v>
      </c>
      <c r="AD258" s="73" t="str">
        <f t="shared" si="84"/>
        <v>1886-30</v>
      </c>
      <c r="AE258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58" s="65" t="str">
        <f t="shared" si="86"/>
        <v>"C:\Program Files (x86)\AstroGrep\AstroGrep.exe" /spath="C:\Users\stu\Documents\Analysis\2016-02-23 RTDC Observations" /stypes="*4026*20160731*" /stext=" 01:.+((SYSTEM_STATE.+slice.+state.+changed )|(ment ac)|(system.+state.+changed )|(\|lc)|(penalty)|(\[timeout)|(PRM\|1\|D))" /e /r /s</v>
      </c>
      <c r="AG258" s="1" t="str">
        <f t="shared" si="87"/>
        <v>NW</v>
      </c>
    </row>
    <row r="259" spans="1:33" hidden="1" x14ac:dyDescent="0.25">
      <c r="A259" s="45" t="s">
        <v>567</v>
      </c>
      <c r="B259" s="7">
        <v>4025</v>
      </c>
      <c r="C259" s="25" t="s">
        <v>170</v>
      </c>
      <c r="D259" s="25" t="s">
        <v>373</v>
      </c>
      <c r="E259" s="16">
        <v>42581.831759259258</v>
      </c>
      <c r="F259" s="16">
        <v>42581.832476851851</v>
      </c>
      <c r="G259" s="7">
        <v>1</v>
      </c>
      <c r="H259" s="16" t="s">
        <v>568</v>
      </c>
      <c r="I259" s="16">
        <v>42581.84480324074</v>
      </c>
      <c r="J259" s="7">
        <v>0</v>
      </c>
      <c r="K259" s="123" t="str">
        <f t="shared" si="74"/>
        <v>4025/4026</v>
      </c>
      <c r="L259" s="25" t="str">
        <f>VLOOKUP(A259,'Trips&amp;Operators'!$C$1:$E$10000,3,FALSE)</f>
        <v>STAMBAUGH</v>
      </c>
      <c r="M259" s="6">
        <f t="shared" si="75"/>
        <v>1.2326388889050577E-2</v>
      </c>
      <c r="N259" s="7">
        <f t="shared" si="76"/>
        <v>17.750000000232831</v>
      </c>
      <c r="O259" s="7"/>
      <c r="P259" s="7"/>
      <c r="Q259" s="26"/>
      <c r="R259" s="26"/>
      <c r="S259" s="41">
        <f t="shared" si="77"/>
        <v>1</v>
      </c>
      <c r="T259" s="59" t="str">
        <f t="shared" si="73"/>
        <v>NorthBound</v>
      </c>
      <c r="U259" s="84">
        <f>IF(AG259="EC",COUNTIFS(Variables!$M$2:$M$19,IF(T259="NorthBound","&gt;=","&lt;=")&amp;Y259,Variables!$M$2:$M$19,IF(T259="NorthBound","&lt;=","&gt;=")&amp;Z259),COUNTIFS(Variables!$P$2:$P$19,IF(T259="NorthBound","&gt;=","&lt;=")&amp;Y259,Variables!$P$2:$P$19,IF(T259="NorthBound","&lt;=","&gt;=")&amp;Z259))</f>
        <v>1</v>
      </c>
      <c r="V25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18:57:44-0600',mode:absolute,to:'2016-07-30 21:16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59" s="64" t="str">
        <f t="shared" si="88"/>
        <v>N</v>
      </c>
      <c r="X259" s="126">
        <f t="shared" si="89"/>
        <v>1</v>
      </c>
      <c r="Y259" s="79">
        <f t="shared" si="90"/>
        <v>0.1004</v>
      </c>
      <c r="Z259" s="79">
        <f t="shared" si="91"/>
        <v>5.8964999999999996</v>
      </c>
      <c r="AA259" s="79">
        <f t="shared" si="83"/>
        <v>5.7961</v>
      </c>
      <c r="AB259" s="76" t="e">
        <f>VLOOKUP(A259,Enforcements!$C$7:$J$24,8,0)</f>
        <v>#N/A</v>
      </c>
      <c r="AC259" s="72" t="e">
        <f>VLOOKUP(A259,Enforcements!$C$7:$E$24,3,0)</f>
        <v>#N/A</v>
      </c>
      <c r="AD259" s="73" t="str">
        <f t="shared" si="84"/>
        <v>1887-30</v>
      </c>
      <c r="AE259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59" s="65" t="str">
        <f t="shared" si="86"/>
        <v>"C:\Program Files (x86)\AstroGrep\AstroGrep.exe" /spath="C:\Users\stu\Documents\Analysis\2016-02-23 RTDC Observations" /stypes="*4025*20160731*" /stext=" 02:.+((SYSTEM_STATE.+slice.+state.+changed )|(ment ac)|(system.+state.+changed )|(\|lc)|(penalty)|(\[timeout)|(PRM\|1\|D))" /e /r /s</v>
      </c>
      <c r="AG259" s="1" t="str">
        <f t="shared" si="87"/>
        <v>NW</v>
      </c>
    </row>
    <row r="260" spans="1:33" hidden="1" x14ac:dyDescent="0.25">
      <c r="A260" s="45" t="s">
        <v>569</v>
      </c>
      <c r="B260" s="7">
        <v>4019</v>
      </c>
      <c r="C260" s="25" t="s">
        <v>170</v>
      </c>
      <c r="D260" s="25" t="s">
        <v>570</v>
      </c>
      <c r="E260" s="16">
        <v>42581.827002314814</v>
      </c>
      <c r="F260" s="16">
        <v>42581.827881944446</v>
      </c>
      <c r="G260" s="7">
        <v>1</v>
      </c>
      <c r="H260" s="16" t="s">
        <v>571</v>
      </c>
      <c r="I260" s="16">
        <v>42581.841967592591</v>
      </c>
      <c r="J260" s="7">
        <v>1</v>
      </c>
      <c r="K260" s="123" t="str">
        <f t="shared" si="74"/>
        <v>4019/4020</v>
      </c>
      <c r="L260" s="25" t="str">
        <f>VLOOKUP(A260,'Trips&amp;Operators'!$C$1:$E$10000,3,FALSE)</f>
        <v>ADANE</v>
      </c>
      <c r="M260" s="6">
        <f t="shared" si="75"/>
        <v>1.4085648144828156E-2</v>
      </c>
      <c r="N260" s="7">
        <f t="shared" si="76"/>
        <v>20.283333328552544</v>
      </c>
      <c r="O260" s="7"/>
      <c r="P260" s="7"/>
      <c r="Q260" s="26"/>
      <c r="R260" s="26"/>
      <c r="S260" s="41">
        <f t="shared" si="77"/>
        <v>1</v>
      </c>
      <c r="T260" s="59" t="str">
        <f t="shared" si="73"/>
        <v>Southbound</v>
      </c>
      <c r="U260" s="84">
        <f>IF(AG260="EC",COUNTIFS(Variables!$M$2:$M$19,IF(T260="NorthBound","&gt;=","&lt;=")&amp;Y260,Variables!$M$2:$M$19,IF(T260="NorthBound","&lt;=","&gt;=")&amp;Z260),COUNTIFS(Variables!$P$2:$P$19,IF(T260="NorthBound","&gt;=","&lt;=")&amp;Y260,Variables!$P$2:$P$19,IF(T260="NorthBound","&lt;=","&gt;=")&amp;Z260))</f>
        <v>1</v>
      </c>
      <c r="V260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18:50:53-0600',mode:absolute,to:'2016-07-30 21:12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60" s="64" t="str">
        <f t="shared" si="88"/>
        <v>N</v>
      </c>
      <c r="X260" s="126">
        <f t="shared" si="89"/>
        <v>1</v>
      </c>
      <c r="Y260" s="79">
        <f t="shared" si="90"/>
        <v>5.8685</v>
      </c>
      <c r="Z260" s="79">
        <f t="shared" si="91"/>
        <v>6.7299999999999999E-2</v>
      </c>
      <c r="AA260" s="79">
        <f t="shared" si="83"/>
        <v>5.8011999999999997</v>
      </c>
      <c r="AB260" s="76" t="e">
        <f>VLOOKUP(A260,Enforcements!$C$7:$J$24,8,0)</f>
        <v>#N/A</v>
      </c>
      <c r="AC260" s="72" t="e">
        <f>VLOOKUP(A260,Enforcements!$C$7:$E$24,3,0)</f>
        <v>#N/A</v>
      </c>
      <c r="AD260" s="73" t="str">
        <f t="shared" si="84"/>
        <v>1888-30</v>
      </c>
      <c r="AE260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60" s="65" t="str">
        <f t="shared" si="86"/>
        <v>"C:\Program Files (x86)\AstroGrep\AstroGrep.exe" /spath="C:\Users\stu\Documents\Analysis\2016-02-23 RTDC Observations" /stypes="*4019*20160731*" /stext=" 02:.+((SYSTEM_STATE.+slice.+state.+changed )|(ment ac)|(system.+state.+changed )|(\|lc)|(penalty)|(\[timeout)|(PRM\|1\|D))" /e /r /s</v>
      </c>
      <c r="AG260" s="1" t="str">
        <f t="shared" si="87"/>
        <v>NW</v>
      </c>
    </row>
    <row r="261" spans="1:33" hidden="1" x14ac:dyDescent="0.25">
      <c r="A261" s="45" t="s">
        <v>572</v>
      </c>
      <c r="B261" s="7">
        <v>4020</v>
      </c>
      <c r="C261" s="25" t="s">
        <v>170</v>
      </c>
      <c r="D261" s="25" t="s">
        <v>367</v>
      </c>
      <c r="E261" s="16">
        <v>42581.845775462964</v>
      </c>
      <c r="F261" s="16">
        <v>42581.846562500003</v>
      </c>
      <c r="G261" s="7">
        <v>1</v>
      </c>
      <c r="H261" s="16" t="s">
        <v>573</v>
      </c>
      <c r="I261" s="16">
        <v>42581.855578703704</v>
      </c>
      <c r="J261" s="7">
        <v>0</v>
      </c>
      <c r="K261" s="123" t="str">
        <f t="shared" si="74"/>
        <v>4019/4020</v>
      </c>
      <c r="L261" s="25" t="str">
        <f>VLOOKUP(A261,'Trips&amp;Operators'!$C$1:$E$10000,3,FALSE)</f>
        <v>ADANE</v>
      </c>
      <c r="M261" s="6">
        <f t="shared" si="75"/>
        <v>9.0162037013215013E-3</v>
      </c>
      <c r="N261" s="7">
        <f t="shared" si="76"/>
        <v>12.983333329902962</v>
      </c>
      <c r="O261" s="7"/>
      <c r="P261" s="7"/>
      <c r="Q261" s="26"/>
      <c r="R261" s="26"/>
      <c r="S261" s="41">
        <f t="shared" si="77"/>
        <v>1</v>
      </c>
      <c r="T261" s="59" t="str">
        <f t="shared" si="73"/>
        <v>NorthBound</v>
      </c>
      <c r="U261" s="84">
        <f>IF(AG261="EC",COUNTIFS(Variables!$M$2:$M$19,IF(T261="NorthBound","&gt;=","&lt;=")&amp;Y261,Variables!$M$2:$M$19,IF(T261="NorthBound","&lt;=","&gt;=")&amp;Z261),COUNTIFS(Variables!$P$2:$P$19,IF(T261="NorthBound","&gt;=","&lt;=")&amp;Y261,Variables!$P$2:$P$19,IF(T261="NorthBound","&lt;=","&gt;=")&amp;Z261))</f>
        <v>1</v>
      </c>
      <c r="V26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19:17:55-0600',mode:absolute,to:'2016-07-30 21:32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61" s="64" t="str">
        <f t="shared" si="88"/>
        <v>N</v>
      </c>
      <c r="X261" s="126">
        <f t="shared" si="89"/>
        <v>1</v>
      </c>
      <c r="Y261" s="79">
        <f t="shared" si="90"/>
        <v>9.6199999999999994E-2</v>
      </c>
      <c r="Z261" s="79">
        <f t="shared" si="91"/>
        <v>5.7606000000000002</v>
      </c>
      <c r="AA261" s="79">
        <f t="shared" si="83"/>
        <v>5.6644000000000005</v>
      </c>
      <c r="AB261" s="76" t="e">
        <f>VLOOKUP(A261,Enforcements!$C$7:$J$24,8,0)</f>
        <v>#N/A</v>
      </c>
      <c r="AC261" s="72" t="e">
        <f>VLOOKUP(A261,Enforcements!$C$7:$E$24,3,0)</f>
        <v>#N/A</v>
      </c>
      <c r="AD261" s="73" t="str">
        <f t="shared" si="84"/>
        <v>1889-30</v>
      </c>
      <c r="AE261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61" s="65" t="str">
        <f t="shared" si="86"/>
        <v>"C:\Program Files (x86)\AstroGrep\AstroGrep.exe" /spath="C:\Users\stu\Documents\Analysis\2016-02-23 RTDC Observations" /stypes="*4020*20160731*" /stext=" 02:.+((SYSTEM_STATE.+slice.+state.+changed )|(ment ac)|(system.+state.+changed )|(\|lc)|(penalty)|(\[timeout)|(PRM\|1\|D))" /e /r /s</v>
      </c>
      <c r="AG261" s="1" t="str">
        <f t="shared" si="87"/>
        <v>NW</v>
      </c>
    </row>
    <row r="262" spans="1:33" hidden="1" x14ac:dyDescent="0.25">
      <c r="A262" s="45" t="s">
        <v>574</v>
      </c>
      <c r="B262" s="7">
        <v>4037</v>
      </c>
      <c r="C262" s="25" t="s">
        <v>170</v>
      </c>
      <c r="D262" s="25" t="s">
        <v>575</v>
      </c>
      <c r="E262" s="16">
        <v>42581.84233796296</v>
      </c>
      <c r="F262" s="16">
        <v>42581.843634259261</v>
      </c>
      <c r="G262" s="7">
        <v>1</v>
      </c>
      <c r="H262" s="16" t="s">
        <v>402</v>
      </c>
      <c r="I262" s="16">
        <v>42581.855393518519</v>
      </c>
      <c r="J262" s="7">
        <v>0</v>
      </c>
      <c r="K262" s="123" t="str">
        <f t="shared" si="74"/>
        <v>4037/4038</v>
      </c>
      <c r="L262" s="25" t="str">
        <f>VLOOKUP(A262,'Trips&amp;Operators'!$C$1:$E$10000,3,FALSE)</f>
        <v>DE LA ROSA</v>
      </c>
      <c r="M262" s="6">
        <f t="shared" si="75"/>
        <v>1.1759259257814847E-2</v>
      </c>
      <c r="N262" s="7">
        <f t="shared" si="76"/>
        <v>16.93333333125338</v>
      </c>
      <c r="O262" s="7"/>
      <c r="P262" s="7"/>
      <c r="Q262" s="26"/>
      <c r="R262" s="26"/>
      <c r="S262" s="41">
        <f t="shared" si="77"/>
        <v>1</v>
      </c>
      <c r="T262" s="59" t="str">
        <f t="shared" si="73"/>
        <v>Southbound</v>
      </c>
      <c r="U262" s="84">
        <f>IF(AG262="EC",COUNTIFS(Variables!$M$2:$M$19,IF(T262="NorthBound","&gt;=","&lt;=")&amp;Y262,Variables!$M$2:$M$19,IF(T262="NorthBound","&lt;=","&gt;=")&amp;Z262),COUNTIFS(Variables!$P$2:$P$19,IF(T262="NorthBound","&gt;=","&lt;=")&amp;Y262,Variables!$P$2:$P$19,IF(T262="NorthBound","&lt;=","&gt;=")&amp;Z262))</f>
        <v>1</v>
      </c>
      <c r="V26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19:12:58-0600',mode:absolute,to:'2016-07-30 21:31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62" s="64" t="str">
        <f t="shared" si="88"/>
        <v>N</v>
      </c>
      <c r="X262" s="126">
        <f t="shared" si="89"/>
        <v>1</v>
      </c>
      <c r="Y262" s="79">
        <f t="shared" si="90"/>
        <v>5.8654999999999999</v>
      </c>
      <c r="Z262" s="79">
        <f t="shared" si="91"/>
        <v>7.7299999999999994E-2</v>
      </c>
      <c r="AA262" s="79">
        <f t="shared" si="83"/>
        <v>5.7881999999999998</v>
      </c>
      <c r="AB262" s="76" t="e">
        <f>VLOOKUP(A262,Enforcements!$C$7:$J$24,8,0)</f>
        <v>#N/A</v>
      </c>
      <c r="AC262" s="72" t="e">
        <f>VLOOKUP(A262,Enforcements!$C$7:$E$24,3,0)</f>
        <v>#N/A</v>
      </c>
      <c r="AD262" s="73" t="str">
        <f t="shared" si="84"/>
        <v>1890-30</v>
      </c>
      <c r="AE262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62" s="65" t="str">
        <f t="shared" si="86"/>
        <v>"C:\Program Files (x86)\AstroGrep\AstroGrep.exe" /spath="C:\Users\stu\Documents\Analysis\2016-02-23 RTDC Observations" /stypes="*4037*20160731*" /stext=" 02:.+((SYSTEM_STATE.+slice.+state.+changed )|(ment ac)|(system.+state.+changed )|(\|lc)|(penalty)|(\[timeout)|(PRM\|1\|D))" /e /r /s</v>
      </c>
      <c r="AG262" s="1" t="str">
        <f t="shared" si="87"/>
        <v>NW</v>
      </c>
    </row>
    <row r="263" spans="1:33" hidden="1" x14ac:dyDescent="0.25">
      <c r="A263" s="45" t="s">
        <v>576</v>
      </c>
      <c r="B263" s="7">
        <v>4038</v>
      </c>
      <c r="C263" s="25" t="s">
        <v>170</v>
      </c>
      <c r="D263" s="25" t="s">
        <v>399</v>
      </c>
      <c r="E263" s="16">
        <v>42581.857708333337</v>
      </c>
      <c r="F263" s="16">
        <v>42581.859247685185</v>
      </c>
      <c r="G263" s="7">
        <v>2</v>
      </c>
      <c r="H263" s="16" t="s">
        <v>577</v>
      </c>
      <c r="I263" s="16">
        <v>42581.87232638889</v>
      </c>
      <c r="J263" s="7">
        <v>0</v>
      </c>
      <c r="K263" s="123" t="str">
        <f t="shared" si="74"/>
        <v>4037/4038</v>
      </c>
      <c r="L263" s="25" t="str">
        <f>VLOOKUP(A263,'Trips&amp;Operators'!$C$1:$E$10000,3,FALSE)</f>
        <v>DE LA ROSA</v>
      </c>
      <c r="M263" s="6">
        <f t="shared" si="75"/>
        <v>1.3078703705104999E-2</v>
      </c>
      <c r="N263" s="7">
        <f t="shared" si="76"/>
        <v>18.833333335351199</v>
      </c>
      <c r="O263" s="7"/>
      <c r="P263" s="7"/>
      <c r="Q263" s="26"/>
      <c r="R263" s="26"/>
      <c r="S263" s="41">
        <f t="shared" si="77"/>
        <v>1</v>
      </c>
      <c r="T263" s="59" t="str">
        <f t="shared" si="73"/>
        <v>NorthBound</v>
      </c>
      <c r="U263" s="84">
        <f>IF(AG263="EC",COUNTIFS(Variables!$M$2:$M$19,IF(T263="NorthBound","&gt;=","&lt;=")&amp;Y263,Variables!$M$2:$M$19,IF(T263="NorthBound","&lt;=","&gt;=")&amp;Z263),COUNTIFS(Variables!$P$2:$P$19,IF(T263="NorthBound","&gt;=","&lt;=")&amp;Y263,Variables!$P$2:$P$19,IF(T263="NorthBound","&lt;=","&gt;=")&amp;Z263))</f>
        <v>1</v>
      </c>
      <c r="V26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19:35:06-0600',mode:absolute,to:'2016-07-30 21:56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63" s="64" t="str">
        <f t="shared" si="88"/>
        <v>N</v>
      </c>
      <c r="X263" s="126">
        <f t="shared" si="89"/>
        <v>1</v>
      </c>
      <c r="Y263" s="79">
        <f t="shared" si="90"/>
        <v>0.1051</v>
      </c>
      <c r="Z263" s="79">
        <f t="shared" si="91"/>
        <v>5.8968999999999996</v>
      </c>
      <c r="AA263" s="79">
        <f t="shared" si="83"/>
        <v>5.7917999999999994</v>
      </c>
      <c r="AB263" s="76" t="e">
        <f>VLOOKUP(A263,Enforcements!$C$7:$J$24,8,0)</f>
        <v>#N/A</v>
      </c>
      <c r="AC263" s="72" t="e">
        <f>VLOOKUP(A263,Enforcements!$C$7:$E$24,3,0)</f>
        <v>#N/A</v>
      </c>
      <c r="AD263" s="73" t="str">
        <f t="shared" si="84"/>
        <v>1891-30</v>
      </c>
      <c r="AE263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63" s="65" t="str">
        <f t="shared" si="86"/>
        <v>"C:\Program Files (x86)\AstroGrep\AstroGrep.exe" /spath="C:\Users\stu\Documents\Analysis\2016-02-23 RTDC Observations" /stypes="*4038*20160731*" /stext=" 02:.+((SYSTEM_STATE.+slice.+state.+changed )|(ment ac)|(system.+state.+changed )|(\|lc)|(penalty)|(\[timeout)|(PRM\|1\|D))" /e /r /s</v>
      </c>
      <c r="AG263" s="1" t="str">
        <f t="shared" si="87"/>
        <v>NW</v>
      </c>
    </row>
    <row r="264" spans="1:33" hidden="1" x14ac:dyDescent="0.25">
      <c r="A264" s="45" t="s">
        <v>578</v>
      </c>
      <c r="B264" s="7">
        <v>4026</v>
      </c>
      <c r="C264" s="25" t="s">
        <v>170</v>
      </c>
      <c r="D264" s="25" t="s">
        <v>406</v>
      </c>
      <c r="E264" s="16">
        <v>42581.855300925927</v>
      </c>
      <c r="F264" s="16">
        <v>42581.856365740743</v>
      </c>
      <c r="G264" s="7">
        <v>1</v>
      </c>
      <c r="H264" s="16" t="s">
        <v>579</v>
      </c>
      <c r="I264" s="16">
        <v>42581.870034722226</v>
      </c>
      <c r="J264" s="7">
        <v>0</v>
      </c>
      <c r="K264" s="123" t="str">
        <f t="shared" si="74"/>
        <v>4025/4026</v>
      </c>
      <c r="L264" s="25" t="str">
        <f>VLOOKUP(A264,'Trips&amp;Operators'!$C$1:$E$10000,3,FALSE)</f>
        <v>STAMBAUGH</v>
      </c>
      <c r="M264" s="6">
        <f t="shared" si="75"/>
        <v>1.3668981482624076E-2</v>
      </c>
      <c r="N264" s="7">
        <f t="shared" si="76"/>
        <v>19.68333333497867</v>
      </c>
      <c r="O264" s="7"/>
      <c r="P264" s="7"/>
      <c r="Q264" s="26"/>
      <c r="R264" s="26"/>
      <c r="S264" s="41">
        <f t="shared" si="77"/>
        <v>1</v>
      </c>
      <c r="T264" s="59" t="str">
        <f t="shared" si="73"/>
        <v>Southbound</v>
      </c>
      <c r="U264" s="84">
        <f>IF(AG264="EC",COUNTIFS(Variables!$M$2:$M$19,IF(T264="NorthBound","&gt;=","&lt;=")&amp;Y264,Variables!$M$2:$M$19,IF(T264="NorthBound","&lt;=","&gt;=")&amp;Z264),COUNTIFS(Variables!$P$2:$P$19,IF(T264="NorthBound","&gt;=","&lt;=")&amp;Y264,Variables!$P$2:$P$19,IF(T264="NorthBound","&lt;=","&gt;=")&amp;Z264))</f>
        <v>1</v>
      </c>
      <c r="V264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19:31:38-0600',mode:absolute,to:'2016-07-30 21:52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64" s="64" t="str">
        <f t="shared" si="88"/>
        <v>N</v>
      </c>
      <c r="X264" s="126">
        <f t="shared" si="89"/>
        <v>1</v>
      </c>
      <c r="Y264" s="79">
        <f t="shared" si="90"/>
        <v>5.8647</v>
      </c>
      <c r="Z264" s="79">
        <f t="shared" si="91"/>
        <v>6.9400000000000003E-2</v>
      </c>
      <c r="AA264" s="79">
        <f t="shared" si="83"/>
        <v>5.7953000000000001</v>
      </c>
      <c r="AB264" s="76" t="e">
        <f>VLOOKUP(A264,Enforcements!$C$7:$J$24,8,0)</f>
        <v>#N/A</v>
      </c>
      <c r="AC264" s="72" t="e">
        <f>VLOOKUP(A264,Enforcements!$C$7:$E$24,3,0)</f>
        <v>#N/A</v>
      </c>
      <c r="AD264" s="73" t="str">
        <f t="shared" si="84"/>
        <v>1892-30</v>
      </c>
      <c r="AE264" s="65" t="str">
        <f t="shared" si="85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64" s="65" t="str">
        <f t="shared" si="86"/>
        <v>"C:\Program Files (x86)\AstroGrep\AstroGrep.exe" /spath="C:\Users\stu\Documents\Analysis\2016-02-23 RTDC Observations" /stypes="*4026*20160731*" /stext=" 02:.+((SYSTEM_STATE.+slice.+state.+changed )|(ment ac)|(system.+state.+changed )|(\|lc)|(penalty)|(\[timeout)|(PRM\|1\|D))" /e /r /s</v>
      </c>
      <c r="AG264" s="1" t="str">
        <f t="shared" si="87"/>
        <v>NW</v>
      </c>
    </row>
    <row r="265" spans="1:33" hidden="1" x14ac:dyDescent="0.25">
      <c r="A265" s="45" t="s">
        <v>580</v>
      </c>
      <c r="B265" s="7">
        <v>4025</v>
      </c>
      <c r="C265" s="25" t="s">
        <v>170</v>
      </c>
      <c r="D265" s="25" t="s">
        <v>581</v>
      </c>
      <c r="E265" s="16">
        <v>42581.873865740738</v>
      </c>
      <c r="F265" s="16">
        <v>42581.874513888892</v>
      </c>
      <c r="G265" s="7">
        <v>0</v>
      </c>
      <c r="H265" s="16" t="s">
        <v>411</v>
      </c>
      <c r="I265" s="16">
        <v>42581.886817129627</v>
      </c>
      <c r="J265" s="7">
        <v>1</v>
      </c>
      <c r="K265" s="123" t="str">
        <f t="shared" si="74"/>
        <v>4025/4026</v>
      </c>
      <c r="L265" s="25" t="str">
        <f>VLOOKUP(A265,'Trips&amp;Operators'!$C$1:$E$10000,3,FALSE)</f>
        <v>STAMBAUGH</v>
      </c>
      <c r="M265" s="6">
        <f t="shared" si="75"/>
        <v>1.2303240735491272E-2</v>
      </c>
      <c r="N265" s="7">
        <f t="shared" si="76"/>
        <v>17.716666659107432</v>
      </c>
      <c r="O265" s="7"/>
      <c r="P265" s="7"/>
      <c r="Q265" s="26"/>
      <c r="R265" s="26"/>
      <c r="S265" s="41">
        <f t="shared" si="77"/>
        <v>1</v>
      </c>
      <c r="T265" s="59" t="str">
        <f t="shared" si="73"/>
        <v>NorthBound</v>
      </c>
      <c r="U265" s="84">
        <f>IF(AG265="EC",COUNTIFS(Variables!$M$2:$M$19,IF(T265="NorthBound","&gt;=","&lt;=")&amp;Y265,Variables!$M$2:$M$19,IF(T265="NorthBound","&lt;=","&gt;=")&amp;Z265),COUNTIFS(Variables!$P$2:$P$19,IF(T265="NorthBound","&gt;=","&lt;=")&amp;Y265,Variables!$P$2:$P$19,IF(T265="NorthBound","&lt;=","&gt;=")&amp;Z265))</f>
        <v>1</v>
      </c>
      <c r="V265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19:58:22-0600',mode:absolute,to:'2016-07-30 22:17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65" s="64" t="str">
        <f t="shared" si="88"/>
        <v>N</v>
      </c>
      <c r="X265" s="126">
        <f t="shared" si="89"/>
        <v>1</v>
      </c>
      <c r="Y265" s="79">
        <f t="shared" si="90"/>
        <v>9.6500000000000002E-2</v>
      </c>
      <c r="Z265" s="79">
        <f t="shared" si="91"/>
        <v>5.8992000000000004</v>
      </c>
      <c r="AA265" s="79">
        <f t="shared" si="83"/>
        <v>5.8027000000000006</v>
      </c>
      <c r="AB265" s="76" t="e">
        <f>VLOOKUP(A265,Enforcements!$C$7:$J$24,8,0)</f>
        <v>#N/A</v>
      </c>
      <c r="AC265" s="72" t="e">
        <f>VLOOKUP(A265,Enforcements!$C$7:$E$24,3,0)</f>
        <v>#N/A</v>
      </c>
      <c r="AD265" s="73" t="str">
        <f t="shared" si="84"/>
        <v>1893-30</v>
      </c>
      <c r="AE265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65" s="65" t="str">
        <f t="shared" si="86"/>
        <v>"C:\Program Files (x86)\AstroGrep\AstroGrep.exe" /spath="C:\Users\stu\Documents\Analysis\2016-02-23 RTDC Observations" /stypes="*4025*20160731*" /stext=" 03:.+((SYSTEM_STATE.+slice.+state.+changed )|(ment ac)|(system.+state.+changed )|(\|lc)|(penalty)|(\[timeout)|(PRM\|1\|D))" /e /r /s</v>
      </c>
      <c r="AG265" s="1" t="str">
        <f t="shared" si="87"/>
        <v>NW</v>
      </c>
    </row>
    <row r="266" spans="1:33" hidden="1" x14ac:dyDescent="0.25">
      <c r="A266" s="45" t="s">
        <v>582</v>
      </c>
      <c r="B266" s="7">
        <v>4019</v>
      </c>
      <c r="C266" s="25" t="s">
        <v>170</v>
      </c>
      <c r="D266" s="25" t="s">
        <v>583</v>
      </c>
      <c r="E266" s="16">
        <v>42581.869201388887</v>
      </c>
      <c r="F266" s="16">
        <v>42581.869976851849</v>
      </c>
      <c r="G266" s="7">
        <v>1</v>
      </c>
      <c r="H266" s="16" t="s">
        <v>412</v>
      </c>
      <c r="I266" s="16">
        <v>42581.883750000001</v>
      </c>
      <c r="J266" s="7">
        <v>0</v>
      </c>
      <c r="K266" s="123" t="str">
        <f t="shared" si="74"/>
        <v>4019/4020</v>
      </c>
      <c r="L266" s="25" t="str">
        <f>VLOOKUP(A266,'Trips&amp;Operators'!$C$1:$E$10000,3,FALSE)</f>
        <v>ADANE</v>
      </c>
      <c r="M266" s="6">
        <f t="shared" si="75"/>
        <v>1.3773148151813075E-2</v>
      </c>
      <c r="N266" s="7">
        <f t="shared" si="76"/>
        <v>19.833333338610828</v>
      </c>
      <c r="O266" s="7"/>
      <c r="P266" s="7"/>
      <c r="Q266" s="26"/>
      <c r="R266" s="26"/>
      <c r="S266" s="41">
        <f t="shared" si="77"/>
        <v>1</v>
      </c>
      <c r="T266" s="59" t="str">
        <f t="shared" si="73"/>
        <v>Southbound</v>
      </c>
      <c r="U266" s="84">
        <f>IF(AG266="EC",COUNTIFS(Variables!$M$2:$M$19,IF(T266="NorthBound","&gt;=","&lt;=")&amp;Y266,Variables!$M$2:$M$19,IF(T266="NorthBound","&lt;=","&gt;=")&amp;Z266),COUNTIFS(Variables!$P$2:$P$19,IF(T266="NorthBound","&gt;=","&lt;=")&amp;Y266,Variables!$P$2:$P$19,IF(T266="NorthBound","&lt;=","&gt;=")&amp;Z266))</f>
        <v>1</v>
      </c>
      <c r="V266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19:51:39-0600',mode:absolute,to:'2016-07-30 22:12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66" s="64" t="str">
        <f t="shared" si="88"/>
        <v>N</v>
      </c>
      <c r="X266" s="126">
        <f t="shared" si="89"/>
        <v>1</v>
      </c>
      <c r="Y266" s="79">
        <f t="shared" si="90"/>
        <v>5.8653000000000004</v>
      </c>
      <c r="Z266" s="79">
        <f t="shared" si="91"/>
        <v>6.8900000000000003E-2</v>
      </c>
      <c r="AA266" s="79">
        <f t="shared" si="83"/>
        <v>5.7964000000000002</v>
      </c>
      <c r="AB266" s="76" t="e">
        <f>VLOOKUP(A266,Enforcements!$C$7:$J$24,8,0)</f>
        <v>#N/A</v>
      </c>
      <c r="AC266" s="72" t="e">
        <f>VLOOKUP(A266,Enforcements!$C$7:$E$24,3,0)</f>
        <v>#N/A</v>
      </c>
      <c r="AD266" s="73" t="str">
        <f t="shared" si="84"/>
        <v>1894-30</v>
      </c>
      <c r="AE266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66" s="65" t="str">
        <f t="shared" si="86"/>
        <v>"C:\Program Files (x86)\AstroGrep\AstroGrep.exe" /spath="C:\Users\stu\Documents\Analysis\2016-02-23 RTDC Observations" /stypes="*4019*20160731*" /stext=" 03:.+((SYSTEM_STATE.+slice.+state.+changed )|(ment ac)|(system.+state.+changed )|(\|lc)|(penalty)|(\[timeout)|(PRM\|1\|D))" /e /r /s</v>
      </c>
      <c r="AG266" s="1" t="str">
        <f t="shared" si="87"/>
        <v>NW</v>
      </c>
    </row>
    <row r="267" spans="1:33" hidden="1" x14ac:dyDescent="0.25">
      <c r="A267" s="45" t="s">
        <v>584</v>
      </c>
      <c r="B267" s="7">
        <v>4020</v>
      </c>
      <c r="C267" s="25" t="s">
        <v>170</v>
      </c>
      <c r="D267" s="25" t="s">
        <v>581</v>
      </c>
      <c r="E267" s="16">
        <v>42581.888067129628</v>
      </c>
      <c r="F267" s="16">
        <v>42581.888865740744</v>
      </c>
      <c r="G267" s="7">
        <v>1</v>
      </c>
      <c r="H267" s="16" t="s">
        <v>585</v>
      </c>
      <c r="I267" s="16">
        <v>42581.895370370374</v>
      </c>
      <c r="J267" s="7">
        <v>0</v>
      </c>
      <c r="K267" s="123" t="str">
        <f t="shared" si="74"/>
        <v>4019/4020</v>
      </c>
      <c r="L267" s="25" t="str">
        <f>VLOOKUP(A267,'Trips&amp;Operators'!$C$1:$E$10000,3,FALSE)</f>
        <v>ADANE</v>
      </c>
      <c r="M267" s="6">
        <f t="shared" si="75"/>
        <v>6.5046296294895001E-3</v>
      </c>
      <c r="N267" s="7">
        <v>17</v>
      </c>
      <c r="O267" s="7"/>
      <c r="P267" s="7"/>
      <c r="Q267" s="26"/>
      <c r="R267" s="26"/>
      <c r="S267" s="41">
        <f t="shared" si="77"/>
        <v>1</v>
      </c>
      <c r="T267" s="59" t="str">
        <f t="shared" si="73"/>
        <v>NorthBound</v>
      </c>
      <c r="U267" s="84">
        <f>IF(AG267="EC",COUNTIFS(Variables!$M$2:$M$19,IF(T267="NorthBound","&gt;=","&lt;=")&amp;Y267,Variables!$M$2:$M$19,IF(T267="NorthBound","&lt;=","&gt;=")&amp;Z267),COUNTIFS(Variables!$P$2:$P$19,IF(T267="NorthBound","&gt;=","&lt;=")&amp;Y267,Variables!$P$2:$P$19,IF(T267="NorthBound","&lt;=","&gt;=")&amp;Z267))</f>
        <v>1</v>
      </c>
      <c r="V267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20:18:49-0600',mode:absolute,to:'2016-07-30 22:29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67" s="64" t="str">
        <f t="shared" si="88"/>
        <v>N</v>
      </c>
      <c r="X267" s="126">
        <f t="shared" si="89"/>
        <v>1</v>
      </c>
      <c r="Y267" s="79">
        <f t="shared" si="90"/>
        <v>9.6500000000000002E-2</v>
      </c>
      <c r="Z267" s="79">
        <v>5.8</v>
      </c>
      <c r="AA267" s="79">
        <f t="shared" si="83"/>
        <v>5.7035</v>
      </c>
      <c r="AB267" s="76" t="e">
        <f>VLOOKUP(A267,Enforcements!$C$7:$J$24,8,0)</f>
        <v>#N/A</v>
      </c>
      <c r="AC267" s="72" t="e">
        <f>VLOOKUP(A267,Enforcements!$C$7:$E$24,3,0)</f>
        <v>#N/A</v>
      </c>
      <c r="AD267" s="73" t="str">
        <f t="shared" si="84"/>
        <v>1895-30</v>
      </c>
      <c r="AE267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67" s="65" t="str">
        <f t="shared" si="86"/>
        <v>"C:\Program Files (x86)\AstroGrep\AstroGrep.exe" /spath="C:\Users\stu\Documents\Analysis\2016-02-23 RTDC Observations" /stypes="*4020*20160731*" /stext=" 03:.+((SYSTEM_STATE.+slice.+state.+changed )|(ment ac)|(system.+state.+changed )|(\|lc)|(penalty)|(\[timeout)|(PRM\|1\|D))" /e /r /s</v>
      </c>
      <c r="AG267" s="1" t="str">
        <f t="shared" si="87"/>
        <v>NW</v>
      </c>
    </row>
    <row r="268" spans="1:33" hidden="1" x14ac:dyDescent="0.25">
      <c r="A268" s="45" t="s">
        <v>586</v>
      </c>
      <c r="B268" s="7">
        <v>4037</v>
      </c>
      <c r="C268" s="25" t="s">
        <v>170</v>
      </c>
      <c r="D268" s="25" t="s">
        <v>587</v>
      </c>
      <c r="E268" s="16">
        <v>42581.873668981483</v>
      </c>
      <c r="F268" s="16">
        <v>42581.874791666669</v>
      </c>
      <c r="G268" s="7">
        <v>1</v>
      </c>
      <c r="H268" s="16" t="s">
        <v>588</v>
      </c>
      <c r="I268" s="16">
        <v>42581.897129629629</v>
      </c>
      <c r="J268" s="7">
        <v>0</v>
      </c>
      <c r="K268" s="123" t="str">
        <f t="shared" si="74"/>
        <v>4037/4038</v>
      </c>
      <c r="L268" s="25" t="str">
        <f>VLOOKUP(A268,'Trips&amp;Operators'!$C$1:$E$10000,3,FALSE)</f>
        <v>DE LA ROSA</v>
      </c>
      <c r="M268" s="6">
        <f t="shared" si="75"/>
        <v>2.233796296059154E-2</v>
      </c>
      <c r="N268" s="7">
        <f t="shared" si="76"/>
        <v>32.166666663251817</v>
      </c>
      <c r="O268" s="7"/>
      <c r="P268" s="7"/>
      <c r="Q268" s="26"/>
      <c r="R268" s="26"/>
      <c r="S268" s="41">
        <f t="shared" si="77"/>
        <v>1</v>
      </c>
      <c r="T268" s="59" t="str">
        <f t="shared" ref="T268:T282" si="92">IF(ISEVEN(LEFT(AD268,4)),"Southbound","NorthBound")</f>
        <v>Southbound</v>
      </c>
      <c r="U268" s="84">
        <f>IF(AG268="EC",COUNTIFS(Variables!$M$2:$M$19,IF(T268="NorthBound","&gt;=","&lt;=")&amp;Y268,Variables!$M$2:$M$19,IF(T268="NorthBound","&lt;=","&gt;=")&amp;Z268),COUNTIFS(Variables!$P$2:$P$19,IF(T268="NorthBound","&gt;=","&lt;=")&amp;Y268,Variables!$P$2:$P$19,IF(T268="NorthBound","&lt;=","&gt;=")&amp;Z268))</f>
        <v>1</v>
      </c>
      <c r="V268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19:58:05-0600',mode:absolute,to:'2016-07-30 22:31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68" s="64" t="str">
        <f t="shared" si="88"/>
        <v>N</v>
      </c>
      <c r="X268" s="126">
        <f t="shared" si="89"/>
        <v>1</v>
      </c>
      <c r="Y268" s="79">
        <f t="shared" si="90"/>
        <v>5.8651</v>
      </c>
      <c r="Z268" s="79">
        <f t="shared" si="91"/>
        <v>7.0800000000000002E-2</v>
      </c>
      <c r="AA268" s="79">
        <f t="shared" si="83"/>
        <v>5.7942999999999998</v>
      </c>
      <c r="AB268" s="76" t="e">
        <f>VLOOKUP(A268,Enforcements!$C$7:$J$24,8,0)</f>
        <v>#N/A</v>
      </c>
      <c r="AC268" s="72" t="e">
        <f>VLOOKUP(A268,Enforcements!$C$7:$E$24,3,0)</f>
        <v>#N/A</v>
      </c>
      <c r="AD268" s="73" t="str">
        <f t="shared" si="84"/>
        <v>1896-30</v>
      </c>
      <c r="AE268" s="65" t="str">
        <f t="shared" si="85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68" s="65" t="str">
        <f t="shared" si="86"/>
        <v>"C:\Program Files (x86)\AstroGrep\AstroGrep.exe" /spath="C:\Users\stu\Documents\Analysis\2016-02-23 RTDC Observations" /stypes="*4037*20160731*" /stext=" 03:.+((SYSTEM_STATE.+slice.+state.+changed )|(ment ac)|(system.+state.+changed )|(\|lc)|(penalty)|(\[timeout)|(PRM\|1\|D))" /e /r /s</v>
      </c>
      <c r="AG268" s="1" t="str">
        <f t="shared" si="87"/>
        <v>NW</v>
      </c>
    </row>
    <row r="269" spans="1:33" hidden="1" x14ac:dyDescent="0.25">
      <c r="A269" s="45" t="s">
        <v>589</v>
      </c>
      <c r="B269" s="7">
        <v>4038</v>
      </c>
      <c r="C269" s="25" t="s">
        <v>170</v>
      </c>
      <c r="D269" s="25" t="s">
        <v>590</v>
      </c>
      <c r="E269" s="16">
        <v>42581.900752314818</v>
      </c>
      <c r="F269" s="16">
        <v>42581.902361111112</v>
      </c>
      <c r="G269" s="7">
        <v>2</v>
      </c>
      <c r="H269" s="16" t="s">
        <v>591</v>
      </c>
      <c r="I269" s="16">
        <v>42581.916828703703</v>
      </c>
      <c r="J269" s="7">
        <v>0</v>
      </c>
      <c r="K269" s="123" t="str">
        <f t="shared" si="74"/>
        <v>4037/4038</v>
      </c>
      <c r="L269" s="25" t="str">
        <f>VLOOKUP(A269,'Trips&amp;Operators'!$C$1:$E$10000,3,FALSE)</f>
        <v>DE LA ROSA</v>
      </c>
      <c r="M269" s="6">
        <f t="shared" si="75"/>
        <v>1.4467592591245193E-2</v>
      </c>
      <c r="N269" s="7">
        <f t="shared" si="76"/>
        <v>20.833333331393078</v>
      </c>
      <c r="O269" s="7"/>
      <c r="P269" s="7"/>
      <c r="Q269" s="26"/>
      <c r="R269" s="26"/>
      <c r="S269" s="41">
        <f t="shared" si="77"/>
        <v>1</v>
      </c>
      <c r="T269" s="59" t="str">
        <f t="shared" si="92"/>
        <v>NorthBound</v>
      </c>
      <c r="U269" s="84">
        <f>IF(AG269="EC",COUNTIFS(Variables!$M$2:$M$19,IF(T269="NorthBound","&gt;=","&lt;=")&amp;Y269,Variables!$M$2:$M$19,IF(T269="NorthBound","&lt;=","&gt;=")&amp;Z269),COUNTIFS(Variables!$P$2:$P$19,IF(T269="NorthBound","&gt;=","&lt;=")&amp;Y269,Variables!$P$2:$P$19,IF(T269="NorthBound","&lt;=","&gt;=")&amp;Z269))</f>
        <v>1</v>
      </c>
      <c r="V269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20:37:05-0600',mode:absolute,to:'2016-07-30 23:00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69" s="64" t="str">
        <f t="shared" si="88"/>
        <v>N</v>
      </c>
      <c r="X269" s="126">
        <f t="shared" si="89"/>
        <v>1</v>
      </c>
      <c r="Y269" s="79">
        <f t="shared" si="90"/>
        <v>9.8799999999999999E-2</v>
      </c>
      <c r="Z269" s="79">
        <f t="shared" si="91"/>
        <v>5.8933</v>
      </c>
      <c r="AA269" s="79">
        <f t="shared" si="83"/>
        <v>5.7945000000000002</v>
      </c>
      <c r="AB269" s="76" t="e">
        <f>VLOOKUP(A269,Enforcements!$C$7:$J$24,8,0)</f>
        <v>#N/A</v>
      </c>
      <c r="AC269" s="72" t="e">
        <f>VLOOKUP(A269,Enforcements!$C$7:$E$24,3,0)</f>
        <v>#N/A</v>
      </c>
      <c r="AD269" s="73" t="str">
        <f t="shared" si="84"/>
        <v>1897-30</v>
      </c>
      <c r="AE269" s="65" t="str">
        <f t="shared" si="85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69" s="65" t="str">
        <f t="shared" si="86"/>
        <v>"C:\Program Files (x86)\AstroGrep\AstroGrep.exe" /spath="C:\Users\stu\Documents\Analysis\2016-02-23 RTDC Observations" /stypes="*4038*20160731*" /stext=" 04:.+((SYSTEM_STATE.+slice.+state.+changed )|(ment ac)|(system.+state.+changed )|(\|lc)|(penalty)|(\[timeout)|(PRM\|1\|D))" /e /r /s</v>
      </c>
      <c r="AG269" s="1" t="str">
        <f t="shared" si="87"/>
        <v>NW</v>
      </c>
    </row>
    <row r="270" spans="1:33" s="24" customFormat="1" hidden="1" x14ac:dyDescent="0.25">
      <c r="A270" s="45" t="s">
        <v>829</v>
      </c>
      <c r="B270" s="7">
        <v>4026</v>
      </c>
      <c r="C270" s="25" t="s">
        <v>170</v>
      </c>
      <c r="D270" s="25" t="s">
        <v>590</v>
      </c>
      <c r="E270" s="16">
        <v>42581.900752314818</v>
      </c>
      <c r="F270" s="16">
        <v>42581.900393518517</v>
      </c>
      <c r="G270" s="7">
        <v>2</v>
      </c>
      <c r="H270" s="16" t="s">
        <v>591</v>
      </c>
      <c r="I270" s="16">
        <v>42581.911412037036</v>
      </c>
      <c r="J270" s="7">
        <v>0</v>
      </c>
      <c r="K270" s="123" t="str">
        <f t="shared" ref="K270" si="93">IF(ISEVEN(B270),(B270-1)&amp;"/"&amp;B270,B270&amp;"/"&amp;(B270+1))</f>
        <v>4025/4026</v>
      </c>
      <c r="L270" s="25" t="str">
        <f>VLOOKUP(A270,'Trips&amp;Operators'!$C$1:$E$10000,3,FALSE)</f>
        <v>STAMBAUGH</v>
      </c>
      <c r="M270" s="6">
        <f t="shared" ref="M270" si="94">I270-F270</f>
        <v>1.1018518518540077E-2</v>
      </c>
      <c r="N270" s="7">
        <f t="shared" si="76"/>
        <v>15.866666666697711</v>
      </c>
      <c r="O270" s="7"/>
      <c r="P270" s="7"/>
      <c r="Q270" s="26"/>
      <c r="R270" s="26"/>
      <c r="S270" s="41">
        <f t="shared" ref="S270" si="95">SUM(U270:U270)/IF(AG270="EC",12,1)</f>
        <v>1</v>
      </c>
      <c r="T270" s="59" t="str">
        <f t="shared" ref="T270" si="96">IF(ISEVEN(LEFT(AD270,4)),"Southbound","NorthBound")</f>
        <v>Southbound</v>
      </c>
      <c r="U270" s="84">
        <f>IF(AG270="EC",COUNTIFS(Variables!$M$2:$M$19,IF(T270="NorthBound","&gt;=","&lt;=")&amp;Y270,Variables!$M$2:$M$19,IF(T270="NorthBound","&lt;=","&gt;=")&amp;Z270),COUNTIFS(Variables!$P$2:$P$19,IF(T270="NorthBound","&gt;=","&lt;=")&amp;Y270,Variables!$P$2:$P$19,IF(T270="NorthBound","&lt;=","&gt;=")&amp;Z270))</f>
        <v>1</v>
      </c>
      <c r="V270" s="64" t="str">
        <f t="shared" ref="V270" si="97">"https://search-rtdc-monitor-bjffxe2xuh6vdkpspy63sjmuny.us-east-1.es.amazonaws.com/_plugin/kibana/#/discover/Steve-Slow-Train-Analysis-(2080s-and-2083s)?_g=(refreshInterval:(display:Off,section:0,value:0),time:(from:'"&amp;TEXT(E270-1/24,"yyyy-MM-DD hh:mm:ss")&amp;"-0600',mode:absolute,to:'"&amp;TEXT(I270+1/24,"yyyy-MM-DD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270&amp;"%22')),sort:!(Time,asc))"</f>
        <v>https://search-rtdc-monitor-bjffxe2xuh6vdkpspy63sjmuny.us-east-1.es.amazonaws.com/_plugin/kibana/#/discover/Steve-Slow-Train-Analysis-(2080s-and-2083s)?_g=(refreshInterval:(display:Off,section:0,value:0),time:(from:'2016-07-30 20:37:05-0600',mode:absolute,to:'2016-07-30 22:52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70" s="64" t="str">
        <f t="shared" ref="W270" si="98">IF(AA270&lt;IF(AG270="EC",23,5.65),"Y","N")</f>
        <v>N</v>
      </c>
      <c r="X270" s="126">
        <f t="shared" si="89"/>
        <v>1</v>
      </c>
      <c r="Y270" s="79">
        <v>5.9</v>
      </c>
      <c r="Z270" s="79">
        <v>0.08</v>
      </c>
      <c r="AA270" s="79">
        <f t="shared" ref="AA270" si="99">ABS(Z270-Y270)</f>
        <v>5.82</v>
      </c>
      <c r="AB270" s="76" t="e">
        <f>VLOOKUP(A270,Enforcements!$C$7:$J$24,8,0)</f>
        <v>#N/A</v>
      </c>
      <c r="AC270" s="72" t="e">
        <f>VLOOKUP(A270,Enforcements!$C$7:$E$24,3,0)</f>
        <v>#N/A</v>
      </c>
      <c r="AD270" s="73" t="str">
        <f t="shared" ref="AD270" si="100">IF(LEN(A270)=6,"0"&amp;A270,A270)</f>
        <v>1898-30</v>
      </c>
      <c r="AE270" s="65" t="str">
        <f t="shared" ref="AE270" si="101">"aws s3 cp "&amp;s3_bucket&amp;"/RTDC"&amp;B270&amp;"/"&amp;TEXT(F270,"YYYY-MM-DD")&amp;"/ "&amp;search_path&amp;"\RTDC"&amp;B270&amp;"\"&amp;TEXT(F270,"YYYY-MM-DD")&amp;" --recursive &amp; """&amp;walkandungz&amp;""" "&amp;search_path&amp;"\RTDC"&amp;B270&amp;"\"&amp;TEXT(F270,"YYYY-MM-DD")
&amp;" &amp; "&amp;"aws s3 cp "&amp;s3_bucket&amp;"/RTDC"&amp;B270&amp;"/"&amp;TEXT(F270+1,"YYYY-MM-DD")&amp;"/ "&amp;search_path&amp;"\RTDC"&amp;B270&amp;"\"&amp;TEXT(F270+1,"YYYY-MM-DD")&amp;" --recursive &amp; """&amp;walkandungz&amp;""" "&amp;search_path&amp;"\RTDC"&amp;B270&amp;"\"&amp;TEXT(F270+1,"YYYY-MM-DD")</f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70" s="65" t="str">
        <f t="shared" ref="AF270" si="102">astrogrep_path&amp;" /spath="&amp;search_path&amp;" /stypes=""*"&amp;B270&amp;"*"&amp;TEXT(I270-utc_offset/24,"YYYYMMDD")&amp;"*"" /stext="" "&amp;TEXT(I270-utc_offset/24,"HH")&amp;search_regexp&amp;""" /e /r /s"</f>
        <v>"C:\Program Files (x86)\AstroGrep\AstroGrep.exe" /spath="C:\Users\stu\Documents\Analysis\2016-02-23 RTDC Observations" /stypes="*4026*20160731*" /stext=" 03:.+((SYSTEM_STATE.+slice.+state.+changed )|(ment ac)|(system.+state.+changed )|(\|lc)|(penalty)|(\[timeout)|(PRM\|1\|D))" /e /r /s</v>
      </c>
      <c r="AG270" s="1" t="str">
        <f t="shared" ref="AG270" si="103">IF(VALUE(LEFT(AD270,2))&lt;=2,"EC",IF(OR(VALUE(LEFT(AD270,2))=8,VALUE(LEFT(AD270,2))=18),"NW","GL"))</f>
        <v>NW</v>
      </c>
    </row>
    <row r="271" spans="1:33" hidden="1" x14ac:dyDescent="0.25">
      <c r="A271" s="45" t="s">
        <v>592</v>
      </c>
      <c r="B271" s="7">
        <v>4025</v>
      </c>
      <c r="C271" s="25" t="s">
        <v>170</v>
      </c>
      <c r="D271" s="25" t="s">
        <v>593</v>
      </c>
      <c r="E271" s="16">
        <v>42581.916064814817</v>
      </c>
      <c r="F271" s="16">
        <v>42581.917002314818</v>
      </c>
      <c r="G271" s="7">
        <v>1</v>
      </c>
      <c r="H271" s="16" t="s">
        <v>330</v>
      </c>
      <c r="I271" s="16">
        <v>42581.928391203706</v>
      </c>
      <c r="J271" s="7">
        <v>0</v>
      </c>
      <c r="K271" s="123" t="str">
        <f t="shared" si="74"/>
        <v>4025/4026</v>
      </c>
      <c r="L271" s="25" t="str">
        <f>VLOOKUP(A271,'Trips&amp;Operators'!$C$1:$E$10000,3,FALSE)</f>
        <v>STAMBAUGH</v>
      </c>
      <c r="M271" s="6">
        <f t="shared" si="75"/>
        <v>1.1388888888177462E-2</v>
      </c>
      <c r="N271" s="7">
        <f t="shared" si="76"/>
        <v>16.399999998975545</v>
      </c>
      <c r="O271" s="7"/>
      <c r="P271" s="7"/>
      <c r="Q271" s="26"/>
      <c r="R271" s="26"/>
      <c r="S271" s="41">
        <f t="shared" si="77"/>
        <v>1</v>
      </c>
      <c r="T271" s="59" t="str">
        <f t="shared" si="92"/>
        <v>NorthBound</v>
      </c>
      <c r="U271" s="84">
        <f>IF(AG271="EC",COUNTIFS(Variables!$M$2:$M$19,IF(T271="NorthBound","&gt;=","&lt;=")&amp;Y271,Variables!$M$2:$M$19,IF(T271="NorthBound","&lt;=","&gt;=")&amp;Z271),COUNTIFS(Variables!$P$2:$P$19,IF(T271="NorthBound","&gt;=","&lt;=")&amp;Y271,Variables!$P$2:$P$19,IF(T271="NorthBound","&lt;=","&gt;=")&amp;Z271))</f>
        <v>1</v>
      </c>
      <c r="V271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20:59:08-0600',mode:absolute,to:'2016-07-30 23:16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71" s="64" t="str">
        <f t="shared" si="88"/>
        <v>N</v>
      </c>
      <c r="X271" s="126">
        <f t="shared" si="89"/>
        <v>1</v>
      </c>
      <c r="Y271" s="79">
        <f t="shared" si="90"/>
        <v>0.1105</v>
      </c>
      <c r="Z271" s="79">
        <f t="shared" si="91"/>
        <v>5.8929</v>
      </c>
      <c r="AA271" s="79">
        <f t="shared" si="83"/>
        <v>5.7824</v>
      </c>
      <c r="AB271" s="76" t="e">
        <f>VLOOKUP(A271,Enforcements!$C$7:$J$24,8,0)</f>
        <v>#N/A</v>
      </c>
      <c r="AC271" s="72" t="e">
        <f>VLOOKUP(A271,Enforcements!$C$7:$E$24,3,0)</f>
        <v>#N/A</v>
      </c>
      <c r="AD271" s="73" t="str">
        <f t="shared" si="84"/>
        <v>1899-30</v>
      </c>
      <c r="AE271" s="65" t="str">
        <f t="shared" si="85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71" s="65" t="str">
        <f t="shared" si="86"/>
        <v>"C:\Program Files (x86)\AstroGrep\AstroGrep.exe" /spath="C:\Users\stu\Documents\Analysis\2016-02-23 RTDC Observations" /stypes="*4025*20160731*" /stext=" 04:.+((SYSTEM_STATE.+slice.+state.+changed )|(ment ac)|(system.+state.+changed )|(\|lc)|(penalty)|(\[timeout)|(PRM\|1\|D))" /e /r /s</v>
      </c>
      <c r="AG271" s="1" t="str">
        <f t="shared" si="87"/>
        <v>NW</v>
      </c>
    </row>
    <row r="272" spans="1:33" hidden="1" x14ac:dyDescent="0.25">
      <c r="A272" s="45" t="s">
        <v>594</v>
      </c>
      <c r="B272" s="7">
        <v>4019</v>
      </c>
      <c r="C272" s="25" t="s">
        <v>170</v>
      </c>
      <c r="D272" s="25" t="s">
        <v>374</v>
      </c>
      <c r="E272" s="16">
        <v>42581.913726851853</v>
      </c>
      <c r="F272" s="16">
        <v>42581.914976851855</v>
      </c>
      <c r="G272" s="7">
        <v>1</v>
      </c>
      <c r="H272" s="16" t="s">
        <v>547</v>
      </c>
      <c r="I272" s="16">
        <v>42581.92690972222</v>
      </c>
      <c r="J272" s="7">
        <v>1</v>
      </c>
      <c r="K272" s="123" t="str">
        <f t="shared" si="74"/>
        <v>4019/4020</v>
      </c>
      <c r="L272" s="25" t="str">
        <f>VLOOKUP(A272,'Trips&amp;Operators'!$C$1:$E$10000,3,FALSE)</f>
        <v>ADANE</v>
      </c>
      <c r="M272" s="6">
        <f t="shared" si="75"/>
        <v>1.1932870365853887E-2</v>
      </c>
      <c r="N272" s="7">
        <f t="shared" si="76"/>
        <v>17.183333326829597</v>
      </c>
      <c r="O272" s="7"/>
      <c r="P272" s="7"/>
      <c r="Q272" s="26"/>
      <c r="R272" s="26"/>
      <c r="S272" s="41">
        <f t="shared" si="77"/>
        <v>1</v>
      </c>
      <c r="T272" s="59" t="str">
        <f t="shared" si="92"/>
        <v>Southbound</v>
      </c>
      <c r="U272" s="84">
        <f>IF(AG272="EC",COUNTIFS(Variables!$M$2:$M$19,IF(T272="NorthBound","&gt;=","&lt;=")&amp;Y272,Variables!$M$2:$M$19,IF(T272="NorthBound","&lt;=","&gt;=")&amp;Z272),COUNTIFS(Variables!$P$2:$P$19,IF(T272="NorthBound","&gt;=","&lt;=")&amp;Y272,Variables!$P$2:$P$19,IF(T272="NorthBound","&lt;=","&gt;=")&amp;Z272))</f>
        <v>1</v>
      </c>
      <c r="V272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20:55:46-0600',mode:absolute,to:'2016-07-30 23:14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72" s="64" t="str">
        <f t="shared" si="88"/>
        <v>N</v>
      </c>
      <c r="X272" s="126">
        <f t="shared" si="89"/>
        <v>1</v>
      </c>
      <c r="Y272" s="79">
        <f t="shared" si="90"/>
        <v>5.8608000000000002</v>
      </c>
      <c r="Z272" s="79">
        <f t="shared" si="91"/>
        <v>7.2599999999999998E-2</v>
      </c>
      <c r="AA272" s="79">
        <f t="shared" si="83"/>
        <v>5.7881999999999998</v>
      </c>
      <c r="AB272" s="76" t="e">
        <f>VLOOKUP(A272,Enforcements!$C$7:$J$24,8,0)</f>
        <v>#N/A</v>
      </c>
      <c r="AC272" s="72" t="e">
        <f>VLOOKUP(A272,Enforcements!$C$7:$E$24,3,0)</f>
        <v>#N/A</v>
      </c>
      <c r="AD272" s="73" t="str">
        <f t="shared" si="84"/>
        <v>1900-30</v>
      </c>
      <c r="AE272" s="65" t="str">
        <f t="shared" si="85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72" s="65" t="str">
        <f t="shared" si="86"/>
        <v>"C:\Program Files (x86)\AstroGrep\AstroGrep.exe" /spath="C:\Users\stu\Documents\Analysis\2016-02-23 RTDC Observations" /stypes="*4019*20160731*" /stext=" 04:.+((SYSTEM_STATE.+slice.+state.+changed )|(ment ac)|(system.+state.+changed )|(\|lc)|(penalty)|(\[timeout)|(PRM\|1\|D))" /e /r /s</v>
      </c>
      <c r="AG272" s="1" t="s">
        <v>317</v>
      </c>
    </row>
    <row r="273" spans="1:33" hidden="1" x14ac:dyDescent="0.25">
      <c r="A273" s="45" t="s">
        <v>595</v>
      </c>
      <c r="B273" s="7">
        <v>4020</v>
      </c>
      <c r="C273" s="25" t="s">
        <v>170</v>
      </c>
      <c r="D273" s="25" t="s">
        <v>596</v>
      </c>
      <c r="E273" s="16">
        <v>42581.932546296295</v>
      </c>
      <c r="F273" s="16">
        <v>42581.933761574073</v>
      </c>
      <c r="G273" s="7">
        <v>1</v>
      </c>
      <c r="H273" s="16" t="s">
        <v>398</v>
      </c>
      <c r="I273" s="16">
        <v>42581.944861111115</v>
      </c>
      <c r="J273" s="7">
        <v>0</v>
      </c>
      <c r="K273" s="123" t="str">
        <f t="shared" si="74"/>
        <v>4019/4020</v>
      </c>
      <c r="L273" s="25" t="str">
        <f>VLOOKUP(A273,'Trips&amp;Operators'!$C$1:$E$10000,3,FALSE)</f>
        <v>STORY</v>
      </c>
      <c r="M273" s="6">
        <f t="shared" si="75"/>
        <v>1.1099537041445728E-2</v>
      </c>
      <c r="N273" s="7">
        <f t="shared" si="76"/>
        <v>15.983333339681849</v>
      </c>
      <c r="O273" s="7"/>
      <c r="P273" s="7"/>
      <c r="Q273" s="26"/>
      <c r="R273" s="26"/>
      <c r="S273" s="41">
        <f t="shared" si="77"/>
        <v>1</v>
      </c>
      <c r="T273" s="59" t="str">
        <f t="shared" si="92"/>
        <v>NorthBound</v>
      </c>
      <c r="U273" s="84">
        <f>IF(AG273="EC",COUNTIFS(Variables!$M$2:$M$19,IF(T273="NorthBound","&gt;=","&lt;=")&amp;Y273,Variables!$M$2:$M$19,IF(T273="NorthBound","&lt;=","&gt;=")&amp;Z273),COUNTIFS(Variables!$P$2:$P$19,IF(T273="NorthBound","&gt;=","&lt;=")&amp;Y273,Variables!$P$2:$P$19,IF(T273="NorthBound","&lt;=","&gt;=")&amp;Z273))</f>
        <v>1</v>
      </c>
      <c r="V273" s="64" t="str">
        <f t="shared" si="78"/>
        <v>https://search-rtdc-monitor-bjffxe2xuh6vdkpspy63sjmuny.us-east-1.es.amazonaws.com/_plugin/kibana/#/discover/Steve-Slow-Train-Analysis-(2080s-and-2083s)?_g=(refreshInterval:(display:Off,section:0,value:0),time:(from:'2016-07-30 21:22:52-0600',mode:absolute,to:'2016-07-30 23:40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73" s="64" t="str">
        <f t="shared" si="88"/>
        <v>N</v>
      </c>
      <c r="X273" s="126">
        <f t="shared" si="89"/>
        <v>1</v>
      </c>
      <c r="Y273" s="79">
        <f t="shared" si="90"/>
        <v>0.1013</v>
      </c>
      <c r="Z273" s="79">
        <f t="shared" si="91"/>
        <v>5.8924000000000003</v>
      </c>
      <c r="AA273" s="79">
        <f t="shared" si="83"/>
        <v>5.7911000000000001</v>
      </c>
      <c r="AB273" s="76" t="e">
        <f>VLOOKUP(A273,Enforcements!$C$7:$J$24,8,0)</f>
        <v>#N/A</v>
      </c>
      <c r="AC273" s="72" t="e">
        <f>VLOOKUP(A273,Enforcements!$C$7:$E$24,3,0)</f>
        <v>#N/A</v>
      </c>
      <c r="AD273" s="73" t="str">
        <f t="shared" si="84"/>
        <v>1901-30</v>
      </c>
      <c r="AE273" s="65" t="str">
        <f t="shared" si="85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73" s="65" t="str">
        <f t="shared" si="86"/>
        <v>"C:\Program Files (x86)\AstroGrep\AstroGrep.exe" /spath="C:\Users\stu\Documents\Analysis\2016-02-23 RTDC Observations" /stypes="*4020*20160731*" /stext=" 04:.+((SYSTEM_STATE.+slice.+state.+changed )|(ment ac)|(system.+state.+changed )|(\|lc)|(penalty)|(\[timeout)|(PRM\|1\|D))" /e /r /s</v>
      </c>
      <c r="AG273" s="1" t="s">
        <v>317</v>
      </c>
    </row>
    <row r="274" spans="1:33" hidden="1" x14ac:dyDescent="0.25">
      <c r="A274" s="45" t="s">
        <v>597</v>
      </c>
      <c r="B274" s="7">
        <v>4037</v>
      </c>
      <c r="C274" s="25" t="s">
        <v>170</v>
      </c>
      <c r="D274" s="25" t="s">
        <v>598</v>
      </c>
      <c r="E274" s="16">
        <v>42581.924675925926</v>
      </c>
      <c r="F274" s="16">
        <v>42581.92627314815</v>
      </c>
      <c r="G274" s="7">
        <v>2</v>
      </c>
      <c r="H274" s="16" t="s">
        <v>588</v>
      </c>
      <c r="I274" s="16">
        <v>42581.939479166664</v>
      </c>
      <c r="J274" s="7">
        <v>0</v>
      </c>
      <c r="K274" s="123" t="str">
        <f t="shared" ref="K274:K282" si="104">IF(ISEVEN(B274),(B274-1)&amp;"/"&amp;B274,B274&amp;"/"&amp;(B274+1))</f>
        <v>4037/4038</v>
      </c>
      <c r="L274" s="25" t="str">
        <f>VLOOKUP(A274,'Trips&amp;Operators'!$C$1:$E$10000,3,FALSE)</f>
        <v>DE LA ROSA</v>
      </c>
      <c r="M274" s="6">
        <f t="shared" ref="M274:M282" si="105">I274-F274</f>
        <v>1.3206018513301387E-2</v>
      </c>
      <c r="N274" s="7">
        <f t="shared" ref="N274:N282" si="106">24*60*SUM($M274:$M274)</f>
        <v>19.016666659153998</v>
      </c>
      <c r="O274" s="7"/>
      <c r="P274" s="7"/>
      <c r="Q274" s="26"/>
      <c r="R274" s="26"/>
      <c r="S274" s="41">
        <f t="shared" ref="S274:S282" si="107">SUM(U274:U274)/IF(AG274="EC",12,1)</f>
        <v>1</v>
      </c>
      <c r="T274" s="59" t="str">
        <f t="shared" si="92"/>
        <v>Southbound</v>
      </c>
      <c r="U274" s="84">
        <f>IF(AG274="EC",COUNTIFS(Variables!$M$2:$M$19,IF(T274="NorthBound","&gt;=","&lt;=")&amp;Y274,Variables!$M$2:$M$19,IF(T274="NorthBound","&lt;=","&gt;=")&amp;Z274),COUNTIFS(Variables!$P$2:$P$19,IF(T274="NorthBound","&gt;=","&lt;=")&amp;Y274,Variables!$P$2:$P$19,IF(T274="NorthBound","&lt;=","&gt;=")&amp;Z274))</f>
        <v>1</v>
      </c>
      <c r="V274" s="64" t="str">
        <f t="shared" ref="V274:V282" si="108">"https://search-rtdc-monitor-bjffxe2xuh6vdkpspy63sjmuny.us-east-1.es.amazonaws.com/_plugin/kibana/#/discover/Steve-Slow-Train-Analysis-(2080s-and-2083s)?_g=(refreshInterval:(display:Off,section:0,value:0),time:(from:'"&amp;TEXT(E274-1/24,"yyyy-MM-DD hh:mm:ss")&amp;"-0600',mode:absolute,to:'"&amp;TEXT(I274+1/24,"yyyy-MM-DD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274&amp;"%22')),sort:!(Time,asc))"</f>
        <v>https://search-rtdc-monitor-bjffxe2xuh6vdkpspy63sjmuny.us-east-1.es.amazonaws.com/_plugin/kibana/#/discover/Steve-Slow-Train-Analysis-(2080s-and-2083s)?_g=(refreshInterval:(display:Off,section:0,value:0),time:(from:'2016-07-30 21:11:32-0600',mode:absolute,to:'2016-07-30 23:32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74" s="64" t="str">
        <f t="shared" ref="W274:W282" si="109">IF(AA274&lt;IF(AG274="EC",23,5.65),"Y","N")</f>
        <v>N</v>
      </c>
      <c r="X274" s="126">
        <f t="shared" si="89"/>
        <v>1</v>
      </c>
      <c r="Y274" s="79">
        <f t="shared" ref="Y274:Y282" si="110">RIGHT(D274,LEN(D274)-4)/10000</f>
        <v>5.8615000000000004</v>
      </c>
      <c r="Z274" s="79">
        <f t="shared" ref="Z274:Z282" si="111">RIGHT(H274,LEN(H274)-4)/10000</f>
        <v>7.0800000000000002E-2</v>
      </c>
      <c r="AA274" s="79">
        <f t="shared" ref="AA274:AA282" si="112">ABS(Z274-Y274)</f>
        <v>5.7907000000000002</v>
      </c>
      <c r="AB274" s="76" t="e">
        <f>VLOOKUP(A274,Enforcements!$C$7:$J$24,8,0)</f>
        <v>#N/A</v>
      </c>
      <c r="AC274" s="72" t="e">
        <f>VLOOKUP(A274,Enforcements!$C$7:$E$24,3,0)</f>
        <v>#N/A</v>
      </c>
      <c r="AD274" s="73" t="str">
        <f t="shared" ref="AD274:AD282" si="113">IF(LEN(A274)=6,"0"&amp;A274,A274)</f>
        <v>1902-30</v>
      </c>
      <c r="AE274" s="65" t="str">
        <f t="shared" ref="AE274:AE282" si="114">"aws s3 cp "&amp;s3_bucket&amp;"/RTDC"&amp;B274&amp;"/"&amp;TEXT(F274,"YYYY-MM-DD")&amp;"/ "&amp;search_path&amp;"\RTDC"&amp;B274&amp;"\"&amp;TEXT(F274,"YYYY-MM-DD")&amp;" --recursive &amp; """&amp;walkandungz&amp;""" "&amp;search_path&amp;"\RTDC"&amp;B274&amp;"\"&amp;TEXT(F274,"YYYY-MM-DD")
&amp;" &amp; "&amp;"aws s3 cp "&amp;s3_bucket&amp;"/RTDC"&amp;B274&amp;"/"&amp;TEXT(F274+1,"YYYY-MM-DD")&amp;"/ "&amp;search_path&amp;"\RTDC"&amp;B274&amp;"\"&amp;TEXT(F274+1,"YYYY-MM-DD")&amp;" --recursive &amp; """&amp;walkandungz&amp;""" "&amp;search_path&amp;"\RTDC"&amp;B274&amp;"\"&amp;TEXT(F274+1,"YYYY-MM-DD")</f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74" s="65" t="str">
        <f t="shared" ref="AF274:AF282" si="115">astrogrep_path&amp;" /spath="&amp;search_path&amp;" /stypes=""*"&amp;B274&amp;"*"&amp;TEXT(I274-utc_offset/24,"YYYYMMDD")&amp;"*"" /stext="" "&amp;TEXT(I274-utc_offset/24,"HH")&amp;search_regexp&amp;""" /e /r /s"</f>
        <v>"C:\Program Files (x86)\AstroGrep\AstroGrep.exe" /spath="C:\Users\stu\Documents\Analysis\2016-02-23 RTDC Observations" /stypes="*4037*20160731*" /stext=" 04:.+((SYSTEM_STATE.+slice.+state.+changed )|(ment ac)|(system.+state.+changed )|(\|lc)|(penalty)|(\[timeout)|(PRM\|1\|D))" /e /r /s</v>
      </c>
      <c r="AG274" s="1" t="s">
        <v>317</v>
      </c>
    </row>
    <row r="275" spans="1:33" hidden="1" x14ac:dyDescent="0.25">
      <c r="A275" s="45" t="s">
        <v>599</v>
      </c>
      <c r="B275" s="7">
        <v>4038</v>
      </c>
      <c r="C275" s="25" t="s">
        <v>170</v>
      </c>
      <c r="D275" s="25" t="s">
        <v>472</v>
      </c>
      <c r="E275" s="16">
        <v>42581.943414351852</v>
      </c>
      <c r="F275" s="16">
        <v>42581.944502314815</v>
      </c>
      <c r="G275" s="7">
        <v>1</v>
      </c>
      <c r="H275" s="16" t="s">
        <v>600</v>
      </c>
      <c r="I275" s="16">
        <v>42581.954965277779</v>
      </c>
      <c r="J275" s="7">
        <v>1</v>
      </c>
      <c r="K275" s="123" t="str">
        <f t="shared" si="104"/>
        <v>4037/4038</v>
      </c>
      <c r="L275" s="25" t="str">
        <f>VLOOKUP(A275,'Trips&amp;Operators'!$C$1:$E$10000,3,FALSE)</f>
        <v>DE LA ROSA</v>
      </c>
      <c r="M275" s="6">
        <f t="shared" si="105"/>
        <v>1.0462962964083999E-2</v>
      </c>
      <c r="N275" s="7">
        <f t="shared" si="106"/>
        <v>15.066666668280959</v>
      </c>
      <c r="O275" s="7"/>
      <c r="P275" s="7"/>
      <c r="Q275" s="26"/>
      <c r="R275" s="26"/>
      <c r="S275" s="41">
        <f t="shared" si="107"/>
        <v>1</v>
      </c>
      <c r="T275" s="59" t="str">
        <f t="shared" si="92"/>
        <v>NorthBound</v>
      </c>
      <c r="U275" s="84">
        <f>IF(AG275="EC",COUNTIFS(Variables!$M$2:$M$19,IF(T275="NorthBound","&gt;=","&lt;=")&amp;Y275,Variables!$M$2:$M$19,IF(T275="NorthBound","&lt;=","&gt;=")&amp;Z275),COUNTIFS(Variables!$P$2:$P$19,IF(T275="NorthBound","&gt;=","&lt;=")&amp;Y275,Variables!$P$2:$P$19,IF(T275="NorthBound","&lt;=","&gt;=")&amp;Z275))</f>
        <v>1</v>
      </c>
      <c r="V275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21:38:31-0600',mode:absolute,to:'2016-07-30 23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75" s="64" t="str">
        <f t="shared" si="109"/>
        <v>N</v>
      </c>
      <c r="X275" s="126">
        <f t="shared" ref="X275:X282" si="116">VALUE(LEFT(AD275,4))-VALUE(LEFT(AD274,4))</f>
        <v>1</v>
      </c>
      <c r="Y275" s="79">
        <f t="shared" si="110"/>
        <v>0.10059999999999999</v>
      </c>
      <c r="Z275" s="79">
        <f t="shared" si="111"/>
        <v>5.8948</v>
      </c>
      <c r="AA275" s="79">
        <f t="shared" si="112"/>
        <v>5.7942</v>
      </c>
      <c r="AB275" s="76" t="e">
        <f>VLOOKUP(A275,Enforcements!$C$7:$J$24,8,0)</f>
        <v>#N/A</v>
      </c>
      <c r="AC275" s="72" t="e">
        <f>VLOOKUP(A275,Enforcements!$C$7:$E$24,3,0)</f>
        <v>#N/A</v>
      </c>
      <c r="AD275" s="73" t="str">
        <f t="shared" si="113"/>
        <v>1903-30</v>
      </c>
      <c r="AE275" s="65" t="str">
        <f t="shared" si="114"/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AF275" s="65" t="str">
        <f t="shared" si="115"/>
        <v>"C:\Program Files (x86)\AstroGrep\AstroGrep.exe" /spath="C:\Users\stu\Documents\Analysis\2016-02-23 RTDC Observations" /stypes="*4038*20160731*" /stext=" 04:.+((SYSTEM_STATE.+slice.+state.+changed )|(ment ac)|(system.+state.+changed )|(\|lc)|(penalty)|(\[timeout)|(PRM\|1\|D))" /e /r /s</v>
      </c>
      <c r="AG275" s="1" t="s">
        <v>317</v>
      </c>
    </row>
    <row r="276" spans="1:33" hidden="1" x14ac:dyDescent="0.25">
      <c r="A276" s="45" t="s">
        <v>601</v>
      </c>
      <c r="B276" s="7">
        <v>4026</v>
      </c>
      <c r="C276" s="25" t="s">
        <v>170</v>
      </c>
      <c r="D276" s="25" t="s">
        <v>328</v>
      </c>
      <c r="E276" s="16">
        <v>42581.94121527778</v>
      </c>
      <c r="F276" s="16">
        <v>42581.941967592589</v>
      </c>
      <c r="G276" s="7">
        <v>1</v>
      </c>
      <c r="H276" s="16" t="s">
        <v>372</v>
      </c>
      <c r="I276" s="16">
        <v>42581.954236111109</v>
      </c>
      <c r="J276" s="7">
        <v>0</v>
      </c>
      <c r="K276" s="123" t="str">
        <f t="shared" si="104"/>
        <v>4025/4026</v>
      </c>
      <c r="L276" s="25" t="str">
        <f>VLOOKUP(A276,'Trips&amp;Operators'!$C$1:$E$10000,3,FALSE)</f>
        <v>STAMBAUGH</v>
      </c>
      <c r="M276" s="6">
        <f t="shared" si="105"/>
        <v>1.226851851970423E-2</v>
      </c>
      <c r="N276" s="7">
        <f t="shared" si="106"/>
        <v>17.666666668374091</v>
      </c>
      <c r="O276" s="7"/>
      <c r="P276" s="7"/>
      <c r="Q276" s="26"/>
      <c r="R276" s="26"/>
      <c r="S276" s="41">
        <f t="shared" si="107"/>
        <v>1</v>
      </c>
      <c r="T276" s="59" t="str">
        <f t="shared" si="92"/>
        <v>Southbound</v>
      </c>
      <c r="U276" s="84">
        <f>IF(AG276="EC",COUNTIFS(Variables!$M$2:$M$19,IF(T276="NorthBound","&gt;=","&lt;=")&amp;Y276,Variables!$M$2:$M$19,IF(T276="NorthBound","&lt;=","&gt;=")&amp;Z276),COUNTIFS(Variables!$P$2:$P$19,IF(T276="NorthBound","&gt;=","&lt;=")&amp;Y276,Variables!$P$2:$P$19,IF(T276="NorthBound","&lt;=","&gt;=")&amp;Z276))</f>
        <v>1</v>
      </c>
      <c r="V276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21:35:21-0600',mode:absolute,to:'2016-07-30 23:54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76" s="64" t="str">
        <f t="shared" si="109"/>
        <v>N</v>
      </c>
      <c r="X276" s="126">
        <f t="shared" si="116"/>
        <v>1</v>
      </c>
      <c r="Y276" s="79">
        <f t="shared" si="110"/>
        <v>5.8609</v>
      </c>
      <c r="Z276" s="79">
        <f t="shared" si="111"/>
        <v>6.7500000000000004E-2</v>
      </c>
      <c r="AA276" s="79">
        <f t="shared" si="112"/>
        <v>5.7934000000000001</v>
      </c>
      <c r="AB276" s="76" t="e">
        <f>VLOOKUP(A276,Enforcements!$C$7:$J$24,8,0)</f>
        <v>#N/A</v>
      </c>
      <c r="AC276" s="72" t="e">
        <f>VLOOKUP(A276,Enforcements!$C$7:$E$24,3,0)</f>
        <v>#N/A</v>
      </c>
      <c r="AD276" s="73" t="str">
        <f t="shared" si="113"/>
        <v>1904-30</v>
      </c>
      <c r="AE276" s="65" t="str">
        <f t="shared" si="11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76" s="65" t="str">
        <f t="shared" si="115"/>
        <v>"C:\Program Files (x86)\AstroGrep\AstroGrep.exe" /spath="C:\Users\stu\Documents\Analysis\2016-02-23 RTDC Observations" /stypes="*4026*20160731*" /stext=" 04:.+((SYSTEM_STATE.+slice.+state.+changed )|(ment ac)|(system.+state.+changed )|(\|lc)|(penalty)|(\[timeout)|(PRM\|1\|D))" /e /r /s</v>
      </c>
      <c r="AG276" s="1" t="s">
        <v>317</v>
      </c>
    </row>
    <row r="277" spans="1:33" hidden="1" x14ac:dyDescent="0.25">
      <c r="A277" s="45" t="s">
        <v>602</v>
      </c>
      <c r="B277" s="7">
        <v>4025</v>
      </c>
      <c r="C277" s="25" t="s">
        <v>170</v>
      </c>
      <c r="D277" s="25" t="s">
        <v>525</v>
      </c>
      <c r="E277" s="16">
        <v>42581.957256944443</v>
      </c>
      <c r="F277" s="16">
        <v>42581.95821759259</v>
      </c>
      <c r="G277" s="7">
        <v>1</v>
      </c>
      <c r="H277" s="16" t="s">
        <v>473</v>
      </c>
      <c r="I277" s="16">
        <v>42581.970069444447</v>
      </c>
      <c r="J277" s="7">
        <v>1</v>
      </c>
      <c r="K277" s="123" t="str">
        <f t="shared" si="104"/>
        <v>4025/4026</v>
      </c>
      <c r="L277" s="25" t="str">
        <f>VLOOKUP(A277,'Trips&amp;Operators'!$C$1:$E$10000,3,FALSE)</f>
        <v>STAMBAUGH</v>
      </c>
      <c r="M277" s="6">
        <f t="shared" si="105"/>
        <v>1.1851851857500151E-2</v>
      </c>
      <c r="N277" s="7">
        <f t="shared" si="106"/>
        <v>17.066666674800217</v>
      </c>
      <c r="O277" s="7"/>
      <c r="P277" s="7"/>
      <c r="Q277" s="26"/>
      <c r="R277" s="26"/>
      <c r="S277" s="41">
        <f t="shared" si="107"/>
        <v>1</v>
      </c>
      <c r="T277" s="59" t="str">
        <f t="shared" si="92"/>
        <v>NorthBound</v>
      </c>
      <c r="U277" s="84">
        <f>IF(AG277="EC",COUNTIFS(Variables!$M$2:$M$19,IF(T277="NorthBound","&gt;=","&lt;=")&amp;Y277,Variables!$M$2:$M$19,IF(T277="NorthBound","&lt;=","&gt;=")&amp;Z277),COUNTIFS(Variables!$P$2:$P$19,IF(T277="NorthBound","&gt;=","&lt;=")&amp;Y277,Variables!$P$2:$P$19,IF(T277="NorthBound","&lt;=","&gt;=")&amp;Z277))</f>
        <v>1</v>
      </c>
      <c r="V277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21:58:27-0600',mode:absolute,to:'2016-07-31 00:16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77" s="64" t="str">
        <f t="shared" si="109"/>
        <v>N</v>
      </c>
      <c r="X277" s="126">
        <f t="shared" si="116"/>
        <v>1</v>
      </c>
      <c r="Y277" s="79">
        <f t="shared" si="110"/>
        <v>9.69E-2</v>
      </c>
      <c r="Z277" s="79">
        <f t="shared" si="111"/>
        <v>5.8890000000000002</v>
      </c>
      <c r="AA277" s="79">
        <f t="shared" si="112"/>
        <v>5.7921000000000005</v>
      </c>
      <c r="AB277" s="76" t="e">
        <f>VLOOKUP(A277,Enforcements!$C$7:$J$24,8,0)</f>
        <v>#N/A</v>
      </c>
      <c r="AC277" s="72" t="e">
        <f>VLOOKUP(A277,Enforcements!$C$7:$E$24,3,0)</f>
        <v>#N/A</v>
      </c>
      <c r="AD277" s="73" t="str">
        <f t="shared" si="113"/>
        <v>1905-30</v>
      </c>
      <c r="AE277" s="65" t="str">
        <f t="shared" si="114"/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AF277" s="65" t="str">
        <f t="shared" si="115"/>
        <v>"C:\Program Files (x86)\AstroGrep\AstroGrep.exe" /spath="C:\Users\stu\Documents\Analysis\2016-02-23 RTDC Observations" /stypes="*4025*20160731*" /stext=" 05:.+((SYSTEM_STATE.+slice.+state.+changed )|(ment ac)|(system.+state.+changed )|(\|lc)|(penalty)|(\[timeout)|(PRM\|1\|D))" /e /r /s</v>
      </c>
      <c r="AG277" s="1" t="s">
        <v>317</v>
      </c>
    </row>
    <row r="278" spans="1:33" hidden="1" x14ac:dyDescent="0.25">
      <c r="A278" s="45" t="s">
        <v>603</v>
      </c>
      <c r="B278" s="7">
        <v>4019</v>
      </c>
      <c r="C278" s="25" t="s">
        <v>170</v>
      </c>
      <c r="D278" s="25" t="s">
        <v>374</v>
      </c>
      <c r="E278" s="16">
        <v>42581.947268518517</v>
      </c>
      <c r="F278" s="16">
        <v>42581.948888888888</v>
      </c>
      <c r="G278" s="7">
        <v>2</v>
      </c>
      <c r="H278" s="16" t="s">
        <v>396</v>
      </c>
      <c r="I278" s="16">
        <v>42581.96802083333</v>
      </c>
      <c r="J278" s="7">
        <v>1</v>
      </c>
      <c r="K278" s="123" t="str">
        <f t="shared" si="104"/>
        <v>4019/4020</v>
      </c>
      <c r="L278" s="25" t="str">
        <f>VLOOKUP(A278,'Trips&amp;Operators'!$C$1:$E$10000,3,FALSE)</f>
        <v>STORY</v>
      </c>
      <c r="M278" s="6">
        <f t="shared" si="105"/>
        <v>1.9131944442051463E-2</v>
      </c>
      <c r="N278" s="7">
        <f t="shared" si="106"/>
        <v>27.549999996554106</v>
      </c>
      <c r="O278" s="7"/>
      <c r="P278" s="7"/>
      <c r="Q278" s="26"/>
      <c r="R278" s="26"/>
      <c r="S278" s="41">
        <f t="shared" si="107"/>
        <v>1</v>
      </c>
      <c r="T278" s="59" t="str">
        <f t="shared" si="92"/>
        <v>Southbound</v>
      </c>
      <c r="U278" s="84">
        <f>IF(AG278="EC",COUNTIFS(Variables!$M$2:$M$19,IF(T278="NorthBound","&gt;=","&lt;=")&amp;Y278,Variables!$M$2:$M$19,IF(T278="NorthBound","&lt;=","&gt;=")&amp;Z278),COUNTIFS(Variables!$P$2:$P$19,IF(T278="NorthBound","&gt;=","&lt;=")&amp;Y278,Variables!$P$2:$P$19,IF(T278="NorthBound","&lt;=","&gt;=")&amp;Z278))</f>
        <v>1</v>
      </c>
      <c r="V278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21:44:04-0600',mode:absolute,to:'2016-07-31 00:13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78" s="64" t="str">
        <f t="shared" si="109"/>
        <v>N</v>
      </c>
      <c r="X278" s="126">
        <f t="shared" si="116"/>
        <v>1</v>
      </c>
      <c r="Y278" s="79">
        <f t="shared" si="110"/>
        <v>5.8608000000000002</v>
      </c>
      <c r="Z278" s="79">
        <f t="shared" si="111"/>
        <v>7.7600000000000002E-2</v>
      </c>
      <c r="AA278" s="79">
        <f t="shared" si="112"/>
        <v>5.7831999999999999</v>
      </c>
      <c r="AB278" s="76" t="e">
        <f>VLOOKUP(A278,Enforcements!$C$7:$J$24,8,0)</f>
        <v>#N/A</v>
      </c>
      <c r="AC278" s="72" t="e">
        <f>VLOOKUP(A278,Enforcements!$C$7:$E$24,3,0)</f>
        <v>#N/A</v>
      </c>
      <c r="AD278" s="73" t="str">
        <f t="shared" si="113"/>
        <v>1906-30</v>
      </c>
      <c r="AE278" s="65" t="str">
        <f t="shared" si="114"/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AF278" s="65" t="str">
        <f t="shared" si="115"/>
        <v>"C:\Program Files (x86)\AstroGrep\AstroGrep.exe" /spath="C:\Users\stu\Documents\Analysis\2016-02-23 RTDC Observations" /stypes="*4019*20160731*" /stext=" 05:.+((SYSTEM_STATE.+slice.+state.+changed )|(ment ac)|(system.+state.+changed )|(\|lc)|(penalty)|(\[timeout)|(PRM\|1\|D))" /e /r /s</v>
      </c>
      <c r="AG278" s="1" t="s">
        <v>317</v>
      </c>
    </row>
    <row r="279" spans="1:33" hidden="1" x14ac:dyDescent="0.25">
      <c r="A279" s="45" t="s">
        <v>604</v>
      </c>
      <c r="B279" s="7">
        <v>4020</v>
      </c>
      <c r="C279" s="25" t="s">
        <v>170</v>
      </c>
      <c r="D279" s="25" t="s">
        <v>397</v>
      </c>
      <c r="E279" s="16">
        <v>42581.969467592593</v>
      </c>
      <c r="F279" s="16">
        <v>42581.971226851849</v>
      </c>
      <c r="G279" s="7">
        <v>2</v>
      </c>
      <c r="H279" s="16" t="s">
        <v>368</v>
      </c>
      <c r="I279" s="16">
        <v>42581.982916666668</v>
      </c>
      <c r="J279" s="7">
        <v>0</v>
      </c>
      <c r="K279" s="123" t="str">
        <f t="shared" si="104"/>
        <v>4019/4020</v>
      </c>
      <c r="L279" s="25" t="str">
        <f>VLOOKUP(A279,'Trips&amp;Operators'!$C$1:$E$10000,3,FALSE)</f>
        <v>STORY</v>
      </c>
      <c r="M279" s="6">
        <f t="shared" si="105"/>
        <v>1.1689814818964805E-2</v>
      </c>
      <c r="N279" s="7">
        <f t="shared" si="106"/>
        <v>16.83333333930932</v>
      </c>
      <c r="O279" s="7"/>
      <c r="P279" s="7"/>
      <c r="Q279" s="26"/>
      <c r="R279" s="26"/>
      <c r="S279" s="41">
        <f t="shared" si="107"/>
        <v>1</v>
      </c>
      <c r="T279" s="59" t="str">
        <f t="shared" si="92"/>
        <v>NorthBound</v>
      </c>
      <c r="U279" s="84">
        <f>IF(AG279="EC",COUNTIFS(Variables!$M$2:$M$19,IF(T279="NorthBound","&gt;=","&lt;=")&amp;Y279,Variables!$M$2:$M$19,IF(T279="NorthBound","&lt;=","&gt;=")&amp;Z279),COUNTIFS(Variables!$P$2:$P$19,IF(T279="NorthBound","&gt;=","&lt;=")&amp;Y279,Variables!$P$2:$P$19,IF(T279="NorthBound","&lt;=","&gt;=")&amp;Z279))</f>
        <v>1</v>
      </c>
      <c r="V279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22:16:02-0600',mode:absolute,to:'2016-07-31 00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79" s="64" t="str">
        <f t="shared" si="109"/>
        <v>N</v>
      </c>
      <c r="X279" s="126">
        <f t="shared" si="116"/>
        <v>1</v>
      </c>
      <c r="Y279" s="79">
        <f t="shared" si="110"/>
        <v>0.10580000000000001</v>
      </c>
      <c r="Z279" s="79">
        <f t="shared" si="111"/>
        <v>5.8912000000000004</v>
      </c>
      <c r="AA279" s="79">
        <f t="shared" si="112"/>
        <v>5.7854000000000001</v>
      </c>
      <c r="AB279" s="76" t="e">
        <f>VLOOKUP(A279,Enforcements!$C$7:$J$24,8,0)</f>
        <v>#N/A</v>
      </c>
      <c r="AC279" s="72" t="e">
        <f>VLOOKUP(A279,Enforcements!$C$7:$E$24,3,0)</f>
        <v>#N/A</v>
      </c>
      <c r="AD279" s="73" t="str">
        <f t="shared" si="113"/>
        <v>1907-30</v>
      </c>
      <c r="AE279" s="65" t="str">
        <f t="shared" si="114"/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AF279" s="65" t="str">
        <f t="shared" si="115"/>
        <v>"C:\Program Files (x86)\AstroGrep\AstroGrep.exe" /spath="C:\Users\stu\Documents\Analysis\2016-02-23 RTDC Observations" /stypes="*4020*20160731*" /stext=" 05:.+((SYSTEM_STATE.+slice.+state.+changed )|(ment ac)|(system.+state.+changed )|(\|lc)|(penalty)|(\[timeout)|(PRM\|1\|D))" /e /r /s</v>
      </c>
      <c r="AG279" s="1" t="s">
        <v>317</v>
      </c>
    </row>
    <row r="280" spans="1:33" hidden="1" x14ac:dyDescent="0.25">
      <c r="A280" s="45" t="s">
        <v>605</v>
      </c>
      <c r="B280" s="7">
        <v>4037</v>
      </c>
      <c r="C280" s="25" t="s">
        <v>170</v>
      </c>
      <c r="D280" s="25" t="s">
        <v>371</v>
      </c>
      <c r="E280" s="16">
        <v>42581.966932870368</v>
      </c>
      <c r="F280" s="16">
        <v>42581.968078703707</v>
      </c>
      <c r="G280" s="7">
        <v>1</v>
      </c>
      <c r="H280" s="16" t="s">
        <v>606</v>
      </c>
      <c r="I280" s="16">
        <v>42581.980787037035</v>
      </c>
      <c r="J280" s="7">
        <v>0</v>
      </c>
      <c r="K280" s="123" t="str">
        <f t="shared" si="104"/>
        <v>4037/4038</v>
      </c>
      <c r="L280" s="25" t="str">
        <f>VLOOKUP(A280,'Trips&amp;Operators'!$C$1:$E$10000,3,FALSE)</f>
        <v>DE LA ROSA</v>
      </c>
      <c r="M280" s="6">
        <f t="shared" si="105"/>
        <v>1.2708333328191657E-2</v>
      </c>
      <c r="N280" s="7">
        <f t="shared" si="106"/>
        <v>18.299999992595986</v>
      </c>
      <c r="O280" s="7"/>
      <c r="P280" s="7"/>
      <c r="Q280" s="26"/>
      <c r="R280" s="26"/>
      <c r="S280" s="41">
        <f t="shared" si="107"/>
        <v>1</v>
      </c>
      <c r="T280" s="59" t="str">
        <f t="shared" si="92"/>
        <v>Southbound</v>
      </c>
      <c r="U280" s="84">
        <f>IF(AG280="EC",COUNTIFS(Variables!$M$2:$M$19,IF(T280="NorthBound","&gt;=","&lt;=")&amp;Y280,Variables!$M$2:$M$19,IF(T280="NorthBound","&lt;=","&gt;=")&amp;Z280),COUNTIFS(Variables!$P$2:$P$19,IF(T280="NorthBound","&gt;=","&lt;=")&amp;Y280,Variables!$P$2:$P$19,IF(T280="NorthBound","&lt;=","&gt;=")&amp;Z280))</f>
        <v>1</v>
      </c>
      <c r="V280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22:12:23-0600',mode:absolute,to:'2016-07-31 00:32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280" s="64" t="str">
        <f t="shared" si="109"/>
        <v>N</v>
      </c>
      <c r="X280" s="126">
        <f t="shared" si="116"/>
        <v>1</v>
      </c>
      <c r="Y280" s="79">
        <f t="shared" si="110"/>
        <v>5.8624000000000001</v>
      </c>
      <c r="Z280" s="79">
        <f t="shared" si="111"/>
        <v>8.0100000000000005E-2</v>
      </c>
      <c r="AA280" s="79">
        <f t="shared" si="112"/>
        <v>5.7823000000000002</v>
      </c>
      <c r="AB280" s="76" t="e">
        <f>VLOOKUP(A280,Enforcements!$C$7:$J$24,8,0)</f>
        <v>#N/A</v>
      </c>
      <c r="AC280" s="72" t="e">
        <f>VLOOKUP(A280,Enforcements!$C$7:$E$24,3,0)</f>
        <v>#N/A</v>
      </c>
      <c r="AD280" s="73" t="str">
        <f t="shared" si="113"/>
        <v>1908-30</v>
      </c>
      <c r="AE280" s="65" t="str">
        <f t="shared" si="114"/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AF280" s="65" t="str">
        <f t="shared" si="115"/>
        <v>"C:\Program Files (x86)\AstroGrep\AstroGrep.exe" /spath="C:\Users\stu\Documents\Analysis\2016-02-23 RTDC Observations" /stypes="*4037*20160731*" /stext=" 05:.+((SYSTEM_STATE.+slice.+state.+changed )|(ment ac)|(system.+state.+changed )|(\|lc)|(penalty)|(\[timeout)|(PRM\|1\|D))" /e /r /s</v>
      </c>
      <c r="AG280" s="1" t="s">
        <v>317</v>
      </c>
    </row>
    <row r="281" spans="1:33" hidden="1" x14ac:dyDescent="0.25">
      <c r="A281" s="45" t="s">
        <v>607</v>
      </c>
      <c r="B281" s="7">
        <v>4026</v>
      </c>
      <c r="C281" s="25" t="s">
        <v>170</v>
      </c>
      <c r="D281" s="25" t="s">
        <v>366</v>
      </c>
      <c r="E281" s="16">
        <v>42581.973587962966</v>
      </c>
      <c r="F281" s="16">
        <v>42581.97452546296</v>
      </c>
      <c r="G281" s="7">
        <v>1</v>
      </c>
      <c r="H281" s="16" t="s">
        <v>409</v>
      </c>
      <c r="I281" s="16">
        <v>42581.998576388891</v>
      </c>
      <c r="J281" s="7">
        <v>0</v>
      </c>
      <c r="K281" s="123" t="str">
        <f t="shared" si="104"/>
        <v>4025/4026</v>
      </c>
      <c r="L281" s="25" t="str">
        <f>VLOOKUP(A281,'Trips&amp;Operators'!$C$1:$E$10000,3,FALSE)</f>
        <v>STAMBAUGH</v>
      </c>
      <c r="M281" s="6">
        <f t="shared" si="105"/>
        <v>2.4050925931078382E-2</v>
      </c>
      <c r="N281" s="7">
        <f t="shared" si="106"/>
        <v>34.63333334075287</v>
      </c>
      <c r="O281" s="7"/>
      <c r="P281" s="7"/>
      <c r="Q281" s="26"/>
      <c r="R281" s="26"/>
      <c r="S281" s="41">
        <f t="shared" si="107"/>
        <v>1</v>
      </c>
      <c r="T281" s="59" t="str">
        <f t="shared" si="92"/>
        <v>Southbound</v>
      </c>
      <c r="U281" s="84">
        <f>IF(AG281="EC",COUNTIFS(Variables!$M$2:$M$19,IF(T281="NorthBound","&gt;=","&lt;=")&amp;Y281,Variables!$M$2:$M$19,IF(T281="NorthBound","&lt;=","&gt;=")&amp;Z281),COUNTIFS(Variables!$P$2:$P$19,IF(T281="NorthBound","&gt;=","&lt;=")&amp;Y281,Variables!$P$2:$P$19,IF(T281="NorthBound","&lt;=","&gt;=")&amp;Z281))</f>
        <v>1</v>
      </c>
      <c r="V281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22:21:58-0600',mode:absolute,to:'2016-07-31 00:57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W281" s="64" t="str">
        <f t="shared" si="109"/>
        <v>N</v>
      </c>
      <c r="X281" s="126">
        <f>VALUE(LEFT(AD281,4))-VALUE(LEFT(AD280,4))</f>
        <v>2</v>
      </c>
      <c r="Y281" s="79">
        <f t="shared" si="110"/>
        <v>5.8577000000000004</v>
      </c>
      <c r="Z281" s="79">
        <f t="shared" si="111"/>
        <v>7.17E-2</v>
      </c>
      <c r="AA281" s="79">
        <f t="shared" si="112"/>
        <v>5.7860000000000005</v>
      </c>
      <c r="AB281" s="76" t="e">
        <f>VLOOKUP(A281,Enforcements!$C$7:$J$24,8,0)</f>
        <v>#N/A</v>
      </c>
      <c r="AC281" s="72" t="e">
        <f>VLOOKUP(A281,Enforcements!$C$7:$E$24,3,0)</f>
        <v>#N/A</v>
      </c>
      <c r="AD281" s="73" t="str">
        <f t="shared" si="113"/>
        <v>1910-30</v>
      </c>
      <c r="AE281" s="65" t="str">
        <f t="shared" si="114"/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AF281" s="65" t="str">
        <f t="shared" si="115"/>
        <v>"C:\Program Files (x86)\AstroGrep\AstroGrep.exe" /spath="C:\Users\stu\Documents\Analysis\2016-02-23 RTDC Observations" /stypes="*4026*20160731*" /stext=" 05:.+((SYSTEM_STATE.+slice.+state.+changed )|(ment ac)|(system.+state.+changed )|(\|lc)|(penalty)|(\[timeout)|(PRM\|1\|D))" /e /r /s</v>
      </c>
      <c r="AG281" s="1" t="s">
        <v>317</v>
      </c>
    </row>
    <row r="282" spans="1:33" hidden="1" x14ac:dyDescent="0.25">
      <c r="A282" s="45" t="s">
        <v>608</v>
      </c>
      <c r="B282" s="7">
        <v>4025</v>
      </c>
      <c r="C282" s="25" t="s">
        <v>170</v>
      </c>
      <c r="D282" s="25" t="s">
        <v>539</v>
      </c>
      <c r="E282" s="16">
        <v>42582.000393518516</v>
      </c>
      <c r="F282" s="16">
        <v>42582.001192129632</v>
      </c>
      <c r="G282" s="7">
        <v>1</v>
      </c>
      <c r="H282" s="16" t="s">
        <v>331</v>
      </c>
      <c r="I282" s="16">
        <v>42582.012118055558</v>
      </c>
      <c r="J282" s="7">
        <v>1</v>
      </c>
      <c r="K282" s="123" t="str">
        <f t="shared" si="104"/>
        <v>4025/4026</v>
      </c>
      <c r="L282" s="25" t="str">
        <f>VLOOKUP(A282,'Trips&amp;Operators'!$C$1:$E$10000,3,FALSE)</f>
        <v>STAMBAUGH</v>
      </c>
      <c r="M282" s="6">
        <f t="shared" si="105"/>
        <v>1.0925925926130731E-2</v>
      </c>
      <c r="N282" s="7">
        <f t="shared" si="106"/>
        <v>15.733333333628252</v>
      </c>
      <c r="O282" s="7"/>
      <c r="P282" s="7"/>
      <c r="Q282" s="26"/>
      <c r="R282" s="26"/>
      <c r="S282" s="41">
        <f t="shared" si="107"/>
        <v>1</v>
      </c>
      <c r="T282" s="59" t="str">
        <f t="shared" si="92"/>
        <v>NorthBound</v>
      </c>
      <c r="U282" s="84">
        <f>IF(AG282="EC",COUNTIFS(Variables!$M$2:$M$19,IF(T282="NorthBound","&gt;=","&lt;=")&amp;Y282,Variables!$M$2:$M$19,IF(T282="NorthBound","&lt;=","&gt;=")&amp;Z282),COUNTIFS(Variables!$P$2:$P$19,IF(T282="NorthBound","&gt;=","&lt;=")&amp;Y282,Variables!$P$2:$P$19,IF(T282="NorthBound","&lt;=","&gt;=")&amp;Z282))</f>
        <v>1</v>
      </c>
      <c r="V282" s="64" t="str">
        <f t="shared" si="108"/>
        <v>https://search-rtdc-monitor-bjffxe2xuh6vdkpspy63sjmuny.us-east-1.es.amazonaws.com/_plugin/kibana/#/discover/Steve-Slow-Train-Analysis-(2080s-and-2083s)?_g=(refreshInterval:(display:Off,section:0,value:0),time:(from:'2016-07-30 23:00:34-0600',mode:absolute,to:'2016-07-31 01:17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W282" s="64" t="str">
        <f t="shared" si="109"/>
        <v>N</v>
      </c>
      <c r="X282" s="126">
        <f t="shared" si="116"/>
        <v>1</v>
      </c>
      <c r="Y282" s="79">
        <f t="shared" si="110"/>
        <v>0.1002</v>
      </c>
      <c r="Z282" s="79">
        <f t="shared" si="111"/>
        <v>5.8901000000000003</v>
      </c>
      <c r="AA282" s="79">
        <f t="shared" si="112"/>
        <v>5.7899000000000003</v>
      </c>
      <c r="AB282" s="76" t="e">
        <f>VLOOKUP(A282,Enforcements!$C$7:$J$24,8,0)</f>
        <v>#N/A</v>
      </c>
      <c r="AC282" s="72" t="e">
        <f>VLOOKUP(A282,Enforcements!$C$7:$E$24,3,0)</f>
        <v>#N/A</v>
      </c>
      <c r="AD282" s="73" t="str">
        <f t="shared" si="113"/>
        <v>1911-30</v>
      </c>
      <c r="AE282" s="65" t="str">
        <f t="shared" si="114"/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AF282" s="65" t="str">
        <f t="shared" si="115"/>
        <v>"C:\Program Files (x86)\AstroGrep\AstroGrep.exe" /spath="C:\Users\stu\Documents\Analysis\2016-02-23 RTDC Observations" /stypes="*4025*20160731*" /stext=" 06:.+((SYSTEM_STATE.+slice.+state.+changed )|(ment ac)|(system.+state.+changed )|(\|lc)|(penalty)|(\[timeout)|(PRM\|1\|D))" /e /r /s</v>
      </c>
      <c r="AG282" s="1" t="s">
        <v>317</v>
      </c>
    </row>
  </sheetData>
  <autoFilter ref="A12:AG282">
    <filterColumn colId="17">
      <customFilters>
        <customFilter operator="notEqual" val=" "/>
      </customFilters>
    </filterColumn>
  </autoFilter>
  <sortState ref="A13:AC160">
    <sortCondition ref="A13:A160"/>
    <sortCondition ref="F13:F160"/>
  </sortState>
  <mergeCells count="1">
    <mergeCell ref="A11:P11"/>
  </mergeCells>
  <conditionalFormatting sqref="W11:W12 W13:X1048576">
    <cfRule type="cellIs" dxfId="14" priority="76" operator="equal">
      <formula>"Y"</formula>
    </cfRule>
  </conditionalFormatting>
  <conditionalFormatting sqref="X13:X1048576">
    <cfRule type="cellIs" dxfId="13" priority="59" operator="greaterThan">
      <formula>1</formula>
    </cfRule>
  </conditionalFormatting>
  <conditionalFormatting sqref="X12:X1048576">
    <cfRule type="cellIs" dxfId="12" priority="56" operator="equal">
      <formula>0</formula>
    </cfRule>
  </conditionalFormatting>
  <conditionalFormatting sqref="K164:S171 A172:S282 A13:S163">
    <cfRule type="expression" dxfId="11" priority="52">
      <formula>$O13&gt;0</formula>
    </cfRule>
  </conditionalFormatting>
  <conditionalFormatting sqref="K164:S171 A172:S282 A13:S163">
    <cfRule type="expression" dxfId="10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K164:S171 A172:S282 A13:S163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A34" workbookViewId="0">
      <selection activeCell="M59" sqref="M59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53.14062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7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7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6"/>
      <c r="M2" s="88">
        <f>COUNTIF($M$7:$M$531,"=Y")</f>
        <v>4</v>
      </c>
      <c r="Q2" s="30"/>
      <c r="T2" s="57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87"/>
      <c r="M3" s="89">
        <f>COUNTA($M$7:$M$531)-M2</f>
        <v>57</v>
      </c>
      <c r="Q3" s="30"/>
      <c r="T3" s="57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7"/>
    </row>
    <row r="5" spans="1:22" s="12" customFormat="1" ht="15" customHeight="1" x14ac:dyDescent="0.25">
      <c r="A5" s="128" t="str">
        <f>"Eagle P3 Braking Events - "&amp;TEXT(Variables!$A$2,"YYYY-mm-dd")</f>
        <v>Eagle P3 Braking Events - 2016-07-30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3"/>
      <c r="Q5" s="29"/>
      <c r="T5" s="58"/>
    </row>
    <row r="6" spans="1:22" s="1" customFormat="1" ht="105" x14ac:dyDescent="0.25">
      <c r="A6" s="11" t="s">
        <v>38</v>
      </c>
      <c r="B6" s="90" t="s">
        <v>37</v>
      </c>
      <c r="C6" s="90" t="s">
        <v>36</v>
      </c>
      <c r="D6" s="90" t="s">
        <v>35</v>
      </c>
      <c r="E6" s="90" t="s">
        <v>34</v>
      </c>
      <c r="F6" s="91" t="s">
        <v>33</v>
      </c>
      <c r="G6" s="91" t="s">
        <v>32</v>
      </c>
      <c r="H6" s="91" t="s">
        <v>31</v>
      </c>
      <c r="I6" s="90" t="s">
        <v>30</v>
      </c>
      <c r="J6" s="91" t="s">
        <v>29</v>
      </c>
      <c r="K6" s="90" t="s">
        <v>28</v>
      </c>
      <c r="L6" s="17" t="s">
        <v>47</v>
      </c>
      <c r="M6" s="90" t="s">
        <v>27</v>
      </c>
      <c r="N6" s="90" t="s">
        <v>24</v>
      </c>
      <c r="O6" s="59"/>
      <c r="P6" s="92" t="s">
        <v>124</v>
      </c>
      <c r="Q6" s="92" t="s">
        <v>66</v>
      </c>
      <c r="R6" s="93" t="s">
        <v>123</v>
      </c>
      <c r="S6" s="90" t="s">
        <v>118</v>
      </c>
      <c r="T6" s="94" t="s">
        <v>119</v>
      </c>
      <c r="U6" s="59" t="s">
        <v>135</v>
      </c>
      <c r="V6" s="59" t="s">
        <v>143</v>
      </c>
    </row>
    <row r="7" spans="1:22" s="1" customFormat="1" x14ac:dyDescent="0.25">
      <c r="A7" s="44">
        <v>42581.715162037035</v>
      </c>
      <c r="B7" s="55" t="s">
        <v>158</v>
      </c>
      <c r="C7" s="37" t="s">
        <v>614</v>
      </c>
      <c r="D7" s="37" t="s">
        <v>49</v>
      </c>
      <c r="E7" s="55" t="s">
        <v>131</v>
      </c>
      <c r="F7" s="56">
        <v>0</v>
      </c>
      <c r="G7" s="56">
        <v>489</v>
      </c>
      <c r="H7" s="56">
        <v>38639</v>
      </c>
      <c r="I7" s="55" t="s">
        <v>132</v>
      </c>
      <c r="J7" s="56">
        <v>37462</v>
      </c>
      <c r="K7" s="37" t="s">
        <v>53</v>
      </c>
      <c r="L7" s="124" t="str">
        <f>VLOOKUP(C7,'Trips&amp;Operators'!$C$1:$E$9999,3,0)</f>
        <v>MAYBERRY</v>
      </c>
      <c r="M7" s="9" t="s">
        <v>97</v>
      </c>
      <c r="N7" s="10" t="s">
        <v>930</v>
      </c>
      <c r="O7" s="37"/>
      <c r="P7" s="62" t="str">
        <f>VLOOKUP(C7,'Train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7" s="60" t="str">
        <f>VLOOKUP(C7,'Train Runs'!$A$13:$AE$755,22,0)</f>
        <v>https://search-rtdc-monitor-bjffxe2xuh6vdkpspy63sjmuny.us-east-1.es.amazonaws.com/_plugin/kibana/#/discover/Steve-Slow-Train-Analysis-(2080s-and-2083s)?_g=(refreshInterval:(display:Off,section:0,value:0),time:(from:'2016-07-30 15:30:48-0600',mode:absolute,to:'2016-07-30 18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7" s="61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/stypes="*4012*201607302*" /stext=" 23:.+((SYSTEM_STATE.+slice.+state.+changed )|(ment ac)|(system.+state.+changed )|(\|lc)|(penalty)|(\[timeout)|(PRM\|1\|D))" /e /r /s</v>
      </c>
      <c r="S7" s="9" t="str">
        <f t="shared" ref="S7:S38" si="1">MID(B7,13,4)</f>
        <v>4012</v>
      </c>
      <c r="T7" s="44">
        <f t="shared" ref="T7:T38" si="2">A7+6/24</f>
        <v>42581.965162037035</v>
      </c>
      <c r="U7" s="59" t="str">
        <f t="shared" ref="U7:U38" si="3">IF(VALUE(LEFT(IF(LEN(C7)=6,"0"&amp;C7,C7),2))&lt;=2,"EC",IF(OR(VALUE(LEFT(IF(LEN(C7)=6,"0"&amp;C7,C7),2))=8,VALUE(LEFT(IF(LEN(C7)=6,"0"&amp;C7,C7),2))=18),"NW","GL"))</f>
        <v>EC</v>
      </c>
      <c r="V7" s="59" t="str">
        <f t="shared" ref="V7:V38" si="4">IF(AND(E7="TRACK WARRANT AUTHORITY",G7&lt;10),"OMIT","KEEP")</f>
        <v>KEEP</v>
      </c>
    </row>
    <row r="8" spans="1:22" s="1" customFormat="1" x14ac:dyDescent="0.25">
      <c r="A8" s="44">
        <v>42581.370358796295</v>
      </c>
      <c r="B8" s="55" t="s">
        <v>106</v>
      </c>
      <c r="C8" s="37" t="s">
        <v>738</v>
      </c>
      <c r="D8" s="37" t="s">
        <v>49</v>
      </c>
      <c r="E8" s="55" t="s">
        <v>131</v>
      </c>
      <c r="F8" s="56">
        <v>0</v>
      </c>
      <c r="G8" s="56">
        <v>531</v>
      </c>
      <c r="H8" s="56">
        <v>43267</v>
      </c>
      <c r="I8" s="55" t="s">
        <v>132</v>
      </c>
      <c r="J8" s="56">
        <v>42961</v>
      </c>
      <c r="K8" s="37" t="s">
        <v>53</v>
      </c>
      <c r="L8" s="124" t="str">
        <f>VLOOKUP(C8,'Trips&amp;Operators'!$C$1:$E$9999,3,0)</f>
        <v>MALAVE</v>
      </c>
      <c r="M8" s="9" t="s">
        <v>97</v>
      </c>
      <c r="N8" s="10" t="s">
        <v>930</v>
      </c>
      <c r="O8" s="37"/>
      <c r="P8" s="62" t="str">
        <f>VLOOKUP(C8,'Train Runs'!$A$13:$AE$755,31,0)</f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Q8" s="60" t="str">
        <f>VLOOKUP(C8,'Train Runs'!$A$13:$AE$755,22,0)</f>
        <v>https://search-rtdc-monitor-bjffxe2xuh6vdkpspy63sjmuny.us-east-1.es.amazonaws.com/_plugin/kibana/#/discover/Steve-Slow-Train-Analysis-(2080s-and-2083s)?_g=(refreshInterval:(display:Off,section:0,value:0),time:(from:'2016-07-30 07:23:38-0600',mode:absolute,to:'2016-07-30 10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8" s="61" t="str">
        <f t="shared" si="0"/>
        <v>"C:\Program Files (x86)\AstroGrep\AstroGrep.exe" /spath="C:\Users\stu\Documents\Analysis\2016-02-23 RTDC Observations" /stypes="*4028*201607301*" /stext=" 14:.+((SYSTEM_STATE.+slice.+state.+changed )|(ment ac)|(system.+state.+changed )|(\|lc)|(penalty)|(\[timeout)|(PRM\|1\|D))" /e /r /s</v>
      </c>
      <c r="S8" s="9" t="str">
        <f t="shared" si="1"/>
        <v>4028</v>
      </c>
      <c r="T8" s="44">
        <f t="shared" si="2"/>
        <v>42581.620358796295</v>
      </c>
      <c r="U8" s="59" t="str">
        <f t="shared" si="3"/>
        <v>EC</v>
      </c>
      <c r="V8" s="59" t="str">
        <f t="shared" si="4"/>
        <v>KEEP</v>
      </c>
    </row>
    <row r="9" spans="1:22" s="1" customFormat="1" x14ac:dyDescent="0.25">
      <c r="A9" s="44">
        <v>42581.571608796294</v>
      </c>
      <c r="B9" s="37" t="s">
        <v>134</v>
      </c>
      <c r="C9" s="37" t="s">
        <v>748</v>
      </c>
      <c r="D9" s="37" t="s">
        <v>49</v>
      </c>
      <c r="E9" s="37" t="s">
        <v>131</v>
      </c>
      <c r="F9" s="56">
        <v>110</v>
      </c>
      <c r="G9" s="56">
        <v>436</v>
      </c>
      <c r="H9" s="56">
        <v>60766</v>
      </c>
      <c r="I9" s="37" t="s">
        <v>132</v>
      </c>
      <c r="J9" s="56">
        <v>63069</v>
      </c>
      <c r="K9" s="37" t="s">
        <v>52</v>
      </c>
      <c r="L9" s="124" t="str">
        <f>VLOOKUP(C9,'Trips&amp;Operators'!$C$1:$E$9999,3,0)</f>
        <v>REBOLETTI</v>
      </c>
      <c r="M9" s="9" t="s">
        <v>97</v>
      </c>
      <c r="N9" s="10" t="s">
        <v>930</v>
      </c>
      <c r="O9" s="37"/>
      <c r="P9" s="62" t="str">
        <f>VLOOKUP(C9,'Train Runs'!$A$13:$AE$755,31,0)</f>
        <v>aws s3 cp s3://rtdc.mdm.uploadarchive/RTDC4016/2016-07-30/ "C:\Users\stu\Documents\Analysis\2016-02-23 RTDC Observations"\RTDC4016\2016-07-30 --recursive &amp; "C:\Users\stu\Documents\GitHub\mrs-test-scripts\Headless Mode &amp; Sideloading\WalkAndUnGZ.bat" "C:\Users\stu\Documents\Analysis\2016-02-23 RTDC Observations"\RTDC4016\2016-07-30 &amp; aws s3 cp s3://rtdc.mdm.uploadarchive/RTDC4016/2016-07-31/ "C:\Users\stu\Documents\Analysis\2016-02-23 RTDC Observations"\RTDC4016\2016-07-31 --recursive &amp; "C:\Users\stu\Documents\GitHub\mrs-test-scripts\Headless Mode &amp; Sideloading\WalkAndUnGZ.bat" "C:\Users\stu\Documents\Analysis\2016-02-23 RTDC Observations"\RTDC4016\2016-07-31</v>
      </c>
      <c r="Q9" s="60" t="str">
        <f>VLOOKUP(C9,'Train Runs'!$A$13:$AE$755,22,0)</f>
        <v>https://search-rtdc-monitor-bjffxe2xuh6vdkpspy63sjmuny.us-east-1.es.amazonaws.com/_plugin/kibana/#/discover/Steve-Slow-Train-Analysis-(2080s-and-2083s)?_g=(refreshInterval:(display:Off,section:0,value:0),time:(from:'2016-07-30 12:24:55-0600',mode:absolute,to:'2016-07-30 15:06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9" s="61" t="str">
        <f t="shared" si="0"/>
        <v>"C:\Program Files (x86)\AstroGrep\AstroGrep.exe" /spath="C:\Users\stu\Documents\Analysis\2016-02-23 RTDC Observations" /stypes="*4016*201607301*" /stext=" 19:.+((SYSTEM_STATE.+slice.+state.+changed )|(ment ac)|(system.+state.+changed )|(\|lc)|(penalty)|(\[timeout)|(PRM\|1\|D))" /e /r /s</v>
      </c>
      <c r="S9" s="9" t="str">
        <f t="shared" si="1"/>
        <v>4016</v>
      </c>
      <c r="T9" s="44">
        <f t="shared" si="2"/>
        <v>42581.821608796294</v>
      </c>
      <c r="U9" s="59" t="str">
        <f t="shared" si="3"/>
        <v>EC</v>
      </c>
      <c r="V9" s="59" t="str">
        <f t="shared" si="4"/>
        <v>KEEP</v>
      </c>
    </row>
    <row r="10" spans="1:22" s="1" customFormat="1" x14ac:dyDescent="0.25">
      <c r="A10" s="44">
        <v>42581.619791666664</v>
      </c>
      <c r="B10" s="37" t="s">
        <v>109</v>
      </c>
      <c r="C10" s="37" t="s">
        <v>728</v>
      </c>
      <c r="D10" s="37" t="s">
        <v>49</v>
      </c>
      <c r="E10" s="37" t="s">
        <v>131</v>
      </c>
      <c r="F10" s="56">
        <v>0</v>
      </c>
      <c r="G10" s="56">
        <v>379</v>
      </c>
      <c r="H10" s="56">
        <v>127063</v>
      </c>
      <c r="I10" s="37" t="s">
        <v>132</v>
      </c>
      <c r="J10" s="56">
        <v>127562</v>
      </c>
      <c r="K10" s="37" t="s">
        <v>52</v>
      </c>
      <c r="L10" s="124" t="str">
        <f>VLOOKUP(C10,'Trips&amp;Operators'!$C$1:$E$9999,3,0)</f>
        <v>STEWART</v>
      </c>
      <c r="M10" s="9" t="s">
        <v>97</v>
      </c>
      <c r="N10" s="10" t="s">
        <v>930</v>
      </c>
      <c r="O10" s="37"/>
      <c r="P10" s="62" t="str">
        <f>VLOOKUP(C10,'Train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10" s="60" t="str">
        <f>VLOOKUP(C10,'Train Runs'!$A$13:$AE$755,22,0)</f>
        <v>https://search-rtdc-monitor-bjffxe2xuh6vdkpspy63sjmuny.us-east-1.es.amazonaws.com/_plugin/kibana/#/discover/Steve-Slow-Train-Analysis-(2080s-and-2083s)?_g=(refreshInterval:(display:Off,section:0,value:0),time:(from:'2016-07-30 13:27:04-0600',mode:absolute,to:'2016-07-30 16:08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10" s="61" t="str">
        <f t="shared" si="0"/>
        <v>"C:\Program Files (x86)\AstroGrep\AstroGrep.exe" /spath="C:\Users\stu\Documents\Analysis\2016-02-23 RTDC Observations" /stypes="*4027*201607302*" /stext=" 20:.+((SYSTEM_STATE.+slice.+state.+changed )|(ment ac)|(system.+state.+changed )|(\|lc)|(penalty)|(\[timeout)|(PRM\|1\|D))" /e /r /s</v>
      </c>
      <c r="S10" s="9" t="str">
        <f t="shared" si="1"/>
        <v>4027</v>
      </c>
      <c r="T10" s="44">
        <f t="shared" si="2"/>
        <v>42581.869791666664</v>
      </c>
      <c r="U10" s="59" t="str">
        <f t="shared" si="3"/>
        <v>EC</v>
      </c>
      <c r="V10" s="59" t="str">
        <f t="shared" si="4"/>
        <v>KEEP</v>
      </c>
    </row>
    <row r="11" spans="1:22" s="1" customFormat="1" x14ac:dyDescent="0.25">
      <c r="A11" s="44">
        <v>42581.687916666669</v>
      </c>
      <c r="B11" s="37" t="s">
        <v>338</v>
      </c>
      <c r="C11" s="37" t="s">
        <v>609</v>
      </c>
      <c r="D11" s="37" t="s">
        <v>49</v>
      </c>
      <c r="E11" s="37" t="s">
        <v>56</v>
      </c>
      <c r="F11" s="56">
        <v>300</v>
      </c>
      <c r="G11" s="56">
        <v>479</v>
      </c>
      <c r="H11" s="56">
        <v>24658</v>
      </c>
      <c r="I11" s="37" t="s">
        <v>57</v>
      </c>
      <c r="J11" s="56">
        <v>21848</v>
      </c>
      <c r="K11" s="37" t="s">
        <v>53</v>
      </c>
      <c r="L11" s="124" t="str">
        <f>VLOOKUP(C11,'Trips&amp;Operators'!$C$1:$E$9999,3,0)</f>
        <v>MOSES</v>
      </c>
      <c r="M11" s="9" t="s">
        <v>97</v>
      </c>
      <c r="N11" s="10"/>
      <c r="O11" s="37"/>
      <c r="P11" s="62" t="str">
        <f>VLOOKUP(C11,'Train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11" s="60" t="str">
        <f>VLOOKUP(C11,'Train Runs'!$A$13:$AE$755,22,0)</f>
        <v>https://search-rtdc-monitor-bjffxe2xuh6vdkpspy63sjmuny.us-east-1.es.amazonaws.com/_plugin/kibana/#/discover/Steve-Slow-Train-Analysis-(2080s-and-2083s)?_g=(refreshInterval:(display:Off,section:0,value:0),time:(from:'2016-07-30 14:51:24-0600',mode:absolute,to:'2016-07-30 17:38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11" s="61" t="str">
        <f t="shared" si="0"/>
        <v>"C:\Program Files (x86)\AstroGrep\AstroGrep.exe" /spath="C:\Users\stu\Documents\Analysis\2016-02-23 RTDC Observations" /stypes="*4043*201607302*" /stext=" 22:.+((SYSTEM_STATE.+slice.+state.+changed )|(ment ac)|(system.+state.+changed )|(\|lc)|(penalty)|(\[timeout)|(PRM\|1\|D))" /e /r /s</v>
      </c>
      <c r="S11" s="9" t="str">
        <f t="shared" si="1"/>
        <v>4043</v>
      </c>
      <c r="T11" s="44">
        <f t="shared" si="2"/>
        <v>42581.937916666669</v>
      </c>
      <c r="U11" s="59" t="str">
        <f t="shared" si="3"/>
        <v>EC</v>
      </c>
      <c r="V11" s="59" t="str">
        <f t="shared" si="4"/>
        <v>KEEP</v>
      </c>
    </row>
    <row r="12" spans="1:22" s="1" customFormat="1" x14ac:dyDescent="0.25">
      <c r="A12" s="44">
        <v>42581.791238425925</v>
      </c>
      <c r="B12" s="37" t="s">
        <v>158</v>
      </c>
      <c r="C12" s="37" t="s">
        <v>653</v>
      </c>
      <c r="D12" s="37" t="s">
        <v>49</v>
      </c>
      <c r="E12" s="37" t="s">
        <v>56</v>
      </c>
      <c r="F12" s="56">
        <v>300</v>
      </c>
      <c r="G12" s="56">
        <v>464</v>
      </c>
      <c r="H12" s="56">
        <v>23974</v>
      </c>
      <c r="I12" s="37" t="s">
        <v>57</v>
      </c>
      <c r="J12" s="56">
        <v>21848</v>
      </c>
      <c r="K12" s="37" t="s">
        <v>53</v>
      </c>
      <c r="L12" s="124" t="str">
        <f>VLOOKUP(C12,'Trips&amp;Operators'!$C$1:$E$9999,3,0)</f>
        <v>MAYBERRY</v>
      </c>
      <c r="M12" s="9" t="s">
        <v>97</v>
      </c>
      <c r="N12" s="10"/>
      <c r="O12" s="37"/>
      <c r="P12" s="62" t="str">
        <f>VLOOKUP(C12,'Train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12" s="60" t="str">
        <f>VLOOKUP(C12,'Train Runs'!$A$13:$AE$755,22,0)</f>
        <v>https://search-rtdc-monitor-bjffxe2xuh6vdkpspy63sjmuny.us-east-1.es.amazonaws.com/_plugin/kibana/#/discover/Steve-Slow-Train-Analysis-(2080s-and-2083s)?_g=(refreshInterval:(display:Off,section:0,value:0),time:(from:'2016-07-30 17:20:29-0600',mode:absolute,to:'2016-07-30 20:06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2" s="61" t="str">
        <f t="shared" si="0"/>
        <v>"C:\Program Files (x86)\AstroGrep\AstroGrep.exe" /spath="C:\Users\stu\Documents\Analysis\2016-02-23 RTDC Observations" /stypes="*4012*201607310*" /stext=" 00:.+((SYSTEM_STATE.+slice.+state.+changed )|(ment ac)|(system.+state.+changed )|(\|lc)|(penalty)|(\[timeout)|(PRM\|1\|D))" /e /r /s</v>
      </c>
      <c r="S12" s="9" t="str">
        <f t="shared" si="1"/>
        <v>4012</v>
      </c>
      <c r="T12" s="44">
        <f t="shared" si="2"/>
        <v>42582.041238425925</v>
      </c>
      <c r="U12" s="59" t="str">
        <f t="shared" si="3"/>
        <v>EC</v>
      </c>
      <c r="V12" s="59" t="str">
        <f t="shared" si="4"/>
        <v>KEEP</v>
      </c>
    </row>
    <row r="13" spans="1:22" s="1" customFormat="1" x14ac:dyDescent="0.25">
      <c r="A13" s="44">
        <v>42581.644953703704</v>
      </c>
      <c r="B13" s="37" t="s">
        <v>158</v>
      </c>
      <c r="C13" s="37" t="s">
        <v>717</v>
      </c>
      <c r="D13" s="37" t="s">
        <v>49</v>
      </c>
      <c r="E13" s="37" t="s">
        <v>56</v>
      </c>
      <c r="F13" s="56">
        <v>200</v>
      </c>
      <c r="G13" s="56">
        <v>254</v>
      </c>
      <c r="H13" s="56">
        <v>30580</v>
      </c>
      <c r="I13" s="37" t="s">
        <v>57</v>
      </c>
      <c r="J13" s="56">
        <v>30562</v>
      </c>
      <c r="K13" s="37" t="s">
        <v>53</v>
      </c>
      <c r="L13" s="124" t="str">
        <f>VLOOKUP(C13,'Trips&amp;Operators'!$C$1:$E$9999,3,0)</f>
        <v>MAYBERRY</v>
      </c>
      <c r="M13" s="9" t="s">
        <v>97</v>
      </c>
      <c r="N13" s="10"/>
      <c r="O13" s="37"/>
      <c r="P13" s="62" t="str">
        <f>VLOOKUP(C13,'Train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13" s="60" t="str">
        <f>VLOOKUP(C13,'Train Runs'!$A$13:$AE$755,22,0)</f>
        <v>https://search-rtdc-monitor-bjffxe2xuh6vdkpspy63sjmuny.us-east-1.es.amazonaws.com/_plugin/kibana/#/discover/Steve-Slow-Train-Analysis-(2080s-and-2083s)?_g=(refreshInterval:(display:Off,section:0,value:0),time:(from:'2016-07-30 13:51:33-0600',mode:absolute,to:'2016-07-30 16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3" s="61" t="str">
        <f t="shared" si="0"/>
        <v>"C:\Program Files (x86)\AstroGrep\AstroGrep.exe" /spath="C:\Users\stu\Documents\Analysis\2016-02-23 RTDC Observations" /stypes="*4012*201607302*" /stext=" 21:.+((SYSTEM_STATE.+slice.+state.+changed )|(ment ac)|(system.+state.+changed )|(\|lc)|(penalty)|(\[timeout)|(PRM\|1\|D))" /e /r /s</v>
      </c>
      <c r="S13" s="9" t="str">
        <f t="shared" si="1"/>
        <v>4012</v>
      </c>
      <c r="T13" s="44">
        <f t="shared" si="2"/>
        <v>42581.894953703704</v>
      </c>
      <c r="U13" s="59" t="str">
        <f t="shared" si="3"/>
        <v>EC</v>
      </c>
      <c r="V13" s="59" t="str">
        <f t="shared" si="4"/>
        <v>KEEP</v>
      </c>
    </row>
    <row r="14" spans="1:22" s="1" customFormat="1" x14ac:dyDescent="0.25">
      <c r="A14" s="44">
        <v>42581.650335648148</v>
      </c>
      <c r="B14" s="37" t="s">
        <v>114</v>
      </c>
      <c r="C14" s="37" t="s">
        <v>797</v>
      </c>
      <c r="D14" s="37" t="s">
        <v>49</v>
      </c>
      <c r="E14" s="37" t="s">
        <v>56</v>
      </c>
      <c r="F14" s="56">
        <v>150</v>
      </c>
      <c r="G14" s="56">
        <v>298</v>
      </c>
      <c r="H14" s="56">
        <v>229321</v>
      </c>
      <c r="I14" s="37" t="s">
        <v>57</v>
      </c>
      <c r="J14" s="56">
        <v>230436</v>
      </c>
      <c r="K14" s="37" t="s">
        <v>52</v>
      </c>
      <c r="L14" s="124" t="str">
        <f>VLOOKUP(C14,'Trips&amp;Operators'!$C$1:$E$9999,3,0)</f>
        <v>MOSES</v>
      </c>
      <c r="M14" s="9" t="s">
        <v>97</v>
      </c>
      <c r="N14" s="10"/>
      <c r="O14" s="37"/>
      <c r="P14" s="62" t="str">
        <f>VLOOKUP(C14,'Train Runs'!$A$13:$AE$755,31,0)</f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Q14" s="60" t="str">
        <f>VLOOKUP(C14,'Train Runs'!$A$13:$AE$755,22,0)</f>
        <v>https://search-rtdc-monitor-bjffxe2xuh6vdkpspy63sjmuny.us-east-1.es.amazonaws.com/_plugin/kibana/#/discover/Steve-Slow-Train-Analysis-(2080s-and-2083s)?_g=(refreshInterval:(display:Off,section:0,value:0),time:(from:'2016-07-30 13:55:43-0600',mode:absolute,to:'2016-07-30 16:39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14" s="61" t="str">
        <f t="shared" si="0"/>
        <v>"C:\Program Files (x86)\AstroGrep\AstroGrep.exe" /spath="C:\Users\stu\Documents\Analysis\2016-02-23 RTDC Observations" /stypes="*4007*201607302*" /stext=" 21:.+((SYSTEM_STATE.+slice.+state.+changed )|(ment ac)|(system.+state.+changed )|(\|lc)|(penalty)|(\[timeout)|(PRM\|1\|D))" /e /r /s</v>
      </c>
      <c r="S14" s="9" t="str">
        <f t="shared" si="1"/>
        <v>4007</v>
      </c>
      <c r="T14" s="44">
        <f t="shared" si="2"/>
        <v>42581.900335648148</v>
      </c>
      <c r="U14" s="59" t="str">
        <f t="shared" si="3"/>
        <v>EC</v>
      </c>
      <c r="V14" s="59" t="str">
        <f t="shared" si="4"/>
        <v>KEEP</v>
      </c>
    </row>
    <row r="15" spans="1:22" s="1" customFormat="1" x14ac:dyDescent="0.25">
      <c r="A15" s="44">
        <v>42581.328414351854</v>
      </c>
      <c r="B15" s="37" t="s">
        <v>69</v>
      </c>
      <c r="C15" s="37" t="s">
        <v>458</v>
      </c>
      <c r="D15" s="37" t="s">
        <v>49</v>
      </c>
      <c r="E15" s="37" t="s">
        <v>56</v>
      </c>
      <c r="F15" s="56">
        <v>150</v>
      </c>
      <c r="G15" s="56">
        <v>201</v>
      </c>
      <c r="H15" s="56">
        <v>231518</v>
      </c>
      <c r="I15" s="37" t="s">
        <v>57</v>
      </c>
      <c r="J15" s="56">
        <v>232080</v>
      </c>
      <c r="K15" s="37" t="s">
        <v>52</v>
      </c>
      <c r="L15" s="124" t="str">
        <f>VLOOKUP(C15,'Trips&amp;Operators'!$C$1:$E$9999,3,0)</f>
        <v>STRICKLAND</v>
      </c>
      <c r="M15" s="9" t="s">
        <v>97</v>
      </c>
      <c r="N15" s="10"/>
      <c r="O15" s="37"/>
      <c r="P15" s="62" t="str">
        <f>VLOOKUP(C15,'Train Runs'!$A$13:$AE$755,31,0)</f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Q15" s="60" t="str">
        <f>VLOOKUP(C15,'Train Runs'!$A$13:$AE$755,22,0)</f>
        <v>https://search-rtdc-monitor-bjffxe2xuh6vdkpspy63sjmuny.us-east-1.es.amazonaws.com/_plugin/kibana/#/discover/Steve-Slow-Train-Analysis-(2080s-and-2083s)?_g=(refreshInterval:(display:Off,section:0,value:0),time:(from:'2016-07-30 06:09:29-0600',mode:absolute,to:'2016-07-30 08:54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15" s="61" t="str">
        <f t="shared" si="0"/>
        <v>"C:\Program Files (x86)\AstroGrep\AstroGrep.exe" /spath="C:\Users\stu\Documents\Analysis\2016-02-23 RTDC Observations" /stypes="*4018*201607301*" /stext=" 13:.+((SYSTEM_STATE.+slice.+state.+changed )|(ment ac)|(system.+state.+changed )|(\|lc)|(penalty)|(\[timeout)|(PRM\|1\|D))" /e /r /s</v>
      </c>
      <c r="S15" s="9" t="str">
        <f t="shared" si="1"/>
        <v>4018</v>
      </c>
      <c r="T15" s="44">
        <f t="shared" si="2"/>
        <v>42581.578414351854</v>
      </c>
      <c r="U15" s="59" t="str">
        <f t="shared" si="3"/>
        <v>EC</v>
      </c>
      <c r="V15" s="59" t="str">
        <f t="shared" si="4"/>
        <v>KEEP</v>
      </c>
    </row>
    <row r="16" spans="1:22" s="1" customFormat="1" x14ac:dyDescent="0.25">
      <c r="A16" s="44">
        <v>42581.590011574073</v>
      </c>
      <c r="B16" s="37" t="s">
        <v>179</v>
      </c>
      <c r="C16" s="37" t="s">
        <v>814</v>
      </c>
      <c r="D16" s="37" t="s">
        <v>49</v>
      </c>
      <c r="E16" s="37" t="s">
        <v>54</v>
      </c>
      <c r="F16" s="56">
        <v>0</v>
      </c>
      <c r="G16" s="56">
        <v>502</v>
      </c>
      <c r="H16" s="56">
        <v>135412</v>
      </c>
      <c r="I16" s="37" t="s">
        <v>55</v>
      </c>
      <c r="J16" s="56">
        <v>133166</v>
      </c>
      <c r="K16" s="37" t="s">
        <v>53</v>
      </c>
      <c r="L16" s="124" t="str">
        <f>VLOOKUP(C16,'Trips&amp;Operators'!$C$1:$E$9999,3,0)</f>
        <v>BARTLETT</v>
      </c>
      <c r="M16" s="9" t="s">
        <v>96</v>
      </c>
      <c r="N16" s="10" t="s">
        <v>931</v>
      </c>
      <c r="O16" s="37"/>
      <c r="P16" s="62" t="str">
        <f>VLOOKUP(C16,'Train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16" s="60" t="str">
        <f>VLOOKUP(C16,'Train Runs'!$A$13:$AE$755,22,0)</f>
        <v>https://search-rtdc-monitor-bjffxe2xuh6vdkpspy63sjmuny.us-east-1.es.amazonaws.com/_plugin/kibana/#/discover/Steve-Slow-Train-Analysis-(2080s-and-2083s)?_g=(refreshInterval:(display:Off,section:0,value:0),time:(from:'2016-07-30 12:49:13-0600',mode:absolute,to:'2016-07-30 15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16" s="61" t="str">
        <f t="shared" si="0"/>
        <v>"C:\Program Files (x86)\AstroGrep\AstroGrep.exe" /spath="C:\Users\stu\Documents\Analysis\2016-02-23 RTDC Observations" /stypes="*4032*201607302*" /stext=" 20:.+((SYSTEM_STATE.+slice.+state.+changed )|(ment ac)|(system.+state.+changed )|(\|lc)|(penalty)|(\[timeout)|(PRM\|1\|D))" /e /r /s</v>
      </c>
      <c r="S16" s="9" t="str">
        <f t="shared" si="1"/>
        <v>4032</v>
      </c>
      <c r="T16" s="44">
        <f t="shared" si="2"/>
        <v>42581.840011574073</v>
      </c>
      <c r="U16" s="59" t="str">
        <f t="shared" si="3"/>
        <v>EC</v>
      </c>
      <c r="V16" s="59" t="str">
        <f t="shared" si="4"/>
        <v>KEEP</v>
      </c>
    </row>
    <row r="17" spans="1:22" s="1" customFormat="1" x14ac:dyDescent="0.25">
      <c r="A17" s="44">
        <v>42581.480196759258</v>
      </c>
      <c r="B17" s="37" t="s">
        <v>158</v>
      </c>
      <c r="C17" s="37" t="s">
        <v>786</v>
      </c>
      <c r="D17" s="37" t="s">
        <v>49</v>
      </c>
      <c r="E17" s="37" t="s">
        <v>54</v>
      </c>
      <c r="F17" s="56">
        <v>0</v>
      </c>
      <c r="G17" s="56">
        <v>543</v>
      </c>
      <c r="H17" s="56">
        <v>194704</v>
      </c>
      <c r="I17" s="37" t="s">
        <v>55</v>
      </c>
      <c r="J17" s="56">
        <v>191723</v>
      </c>
      <c r="K17" s="37" t="s">
        <v>53</v>
      </c>
      <c r="L17" s="124" t="str">
        <f>VLOOKUP(C17,'Trips&amp;Operators'!$C$1:$E$9999,3,0)</f>
        <v>MAYBERRY</v>
      </c>
      <c r="M17" s="9" t="s">
        <v>97</v>
      </c>
      <c r="N17" s="10" t="s">
        <v>933</v>
      </c>
      <c r="O17" s="37"/>
      <c r="P17" s="62" t="str">
        <f>VLOOKUP(C17,'Train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17" s="60" t="str">
        <f>VLOOKUP(C17,'Train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10:12:29-0600',mode:absolute,to:'2016-07-30 13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17" s="61" t="str">
        <f t="shared" si="0"/>
        <v>"C:\Program Files (x86)\AstroGrep\AstroGrep.exe" /spath="C:\Users\stu\Documents\Analysis\2016-02-23 RTDC Observations" /stypes="*4012*201607301*" /stext=" 17:.+((SYSTEM_STATE.+slice.+state.+changed )|(ment ac)|(system.+state.+changed )|(\|lc)|(penalty)|(\[timeout)|(PRM\|1\|D))" /e /r /s</v>
      </c>
      <c r="S17" s="9" t="str">
        <f t="shared" si="1"/>
        <v>4012</v>
      </c>
      <c r="T17" s="44">
        <f t="shared" si="2"/>
        <v>42581.730196759258</v>
      </c>
      <c r="U17" s="59" t="str">
        <f t="shared" si="3"/>
        <v>EC</v>
      </c>
      <c r="V17" s="59" t="str">
        <f t="shared" si="4"/>
        <v>KEEP</v>
      </c>
    </row>
    <row r="18" spans="1:22" s="1" customFormat="1" x14ac:dyDescent="0.25">
      <c r="A18" s="44">
        <v>42581.636828703704</v>
      </c>
      <c r="B18" s="37" t="s">
        <v>70</v>
      </c>
      <c r="C18" s="37" t="s">
        <v>806</v>
      </c>
      <c r="D18" s="37" t="s">
        <v>49</v>
      </c>
      <c r="E18" s="37" t="s">
        <v>54</v>
      </c>
      <c r="F18" s="56">
        <v>0</v>
      </c>
      <c r="G18" s="56">
        <v>465</v>
      </c>
      <c r="H18" s="56">
        <v>194185</v>
      </c>
      <c r="I18" s="37" t="s">
        <v>55</v>
      </c>
      <c r="J18" s="56">
        <v>191723</v>
      </c>
      <c r="K18" s="37" t="s">
        <v>53</v>
      </c>
      <c r="L18" s="124" t="str">
        <f>VLOOKUP(C18,'Trips&amp;Operators'!$C$1:$E$9999,3,0)</f>
        <v>WEBSTER</v>
      </c>
      <c r="M18" s="9" t="s">
        <v>97</v>
      </c>
      <c r="N18" s="10" t="s">
        <v>932</v>
      </c>
      <c r="O18" s="37"/>
      <c r="P18" s="62" t="str">
        <f>VLOOKUP(C18,'Train Runs'!$A$13:$AE$755,31,0)</f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Q18" s="60" t="str">
        <f>VLOOKUP(C18,'Train Runs'!$A$13:$AE$755,22,0)</f>
        <v>https://search-rtdc-monitor-bjffxe2xuh6vdkpspy63sjmuny.us-east-1.es.amazonaws.com/_plugin/kibana/#/discover/Steve-Slow-Train-Analysis-(2080s-and-2083s)?_g=(refreshInterval:(display:Off,section:0,value:0),time:(from:'2016-07-30 14:00:21-0600',mode:absolute,to:'2016-07-30 16:52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8" s="61" t="str">
        <f t="shared" si="0"/>
        <v>"C:\Program Files (x86)\AstroGrep\AstroGrep.exe" /spath="C:\Users\stu\Documents\Analysis\2016-02-23 RTDC Observations" /stypes="*4017*201607302*" /stext=" 21:.+((SYSTEM_STATE.+slice.+state.+changed )|(ment ac)|(system.+state.+changed )|(\|lc)|(penalty)|(\[timeout)|(PRM\|1\|D))" /e /r /s</v>
      </c>
      <c r="S18" s="9" t="str">
        <f t="shared" si="1"/>
        <v>4017</v>
      </c>
      <c r="T18" s="44">
        <f t="shared" si="2"/>
        <v>42581.886828703704</v>
      </c>
      <c r="U18" s="59" t="str">
        <f t="shared" si="3"/>
        <v>EC</v>
      </c>
      <c r="V18" s="59" t="str">
        <f t="shared" si="4"/>
        <v>KEEP</v>
      </c>
    </row>
    <row r="19" spans="1:22" s="1" customFormat="1" x14ac:dyDescent="0.25">
      <c r="A19" s="44">
        <v>42581.296273148146</v>
      </c>
      <c r="B19" s="37" t="s">
        <v>70</v>
      </c>
      <c r="C19" s="37" t="s">
        <v>440</v>
      </c>
      <c r="D19" s="37" t="s">
        <v>49</v>
      </c>
      <c r="E19" s="37" t="s">
        <v>50</v>
      </c>
      <c r="F19" s="56">
        <v>0</v>
      </c>
      <c r="G19" s="56">
        <v>59</v>
      </c>
      <c r="H19" s="56">
        <v>200</v>
      </c>
      <c r="I19" s="37" t="s">
        <v>51</v>
      </c>
      <c r="J19" s="56">
        <v>1</v>
      </c>
      <c r="K19" s="37" t="s">
        <v>53</v>
      </c>
      <c r="L19" s="124" t="str">
        <f>VLOOKUP(C19,'Trips&amp;Operators'!$C$1:$E$9999,3,0)</f>
        <v>STRICKLAND</v>
      </c>
      <c r="M19" s="9" t="s">
        <v>97</v>
      </c>
      <c r="N19" s="10"/>
      <c r="O19" s="37"/>
      <c r="P19" s="62" t="str">
        <f>VLOOKUP(C19,'Train Runs'!$A$13:$AE$755,31,0)</f>
        <v>aws s3 cp s3://rtdc.mdm.uploadarchive/RTDC4017/2016-07-30/ "C:\Users\stu\Documents\Analysis\2016-02-23 RTDC Observations"\RTDC4017\2016-07-30 --recursive &amp; "C:\Users\stu\Documents\GitHub\mrs-test-scripts\Headless Mode &amp; Sideloading\WalkAndUnGZ.bat" "C:\Users\stu\Documents\Analysis\2016-02-23 RTDC Observations"\RTDC4017\2016-07-30 &amp; aws s3 cp s3://rtdc.mdm.uploadarchive/RTDC4017/2016-07-31/ "C:\Users\stu\Documents\Analysis\2016-02-23 RTDC Observations"\RTDC4017\2016-07-31 --recursive &amp; "C:\Users\stu\Documents\GitHub\mrs-test-scripts\Headless Mode &amp; Sideloading\WalkAndUnGZ.bat" "C:\Users\stu\Documents\Analysis\2016-02-23 RTDC Observations"\RTDC4017\2016-07-31</v>
      </c>
      <c r="Q19" s="60" t="str">
        <f>VLOOKUP(C19,'Train Runs'!$A$13:$AE$755,22,0)</f>
        <v>https://search-rtdc-monitor-bjffxe2xuh6vdkpspy63sjmuny.us-east-1.es.amazonaws.com/_plugin/kibana/#/discover/Steve-Slow-Train-Analysis-(2080s-and-2083s)?_g=(refreshInterval:(display:Off,section:0,value:0),time:(from:'2016-07-30 05:21:46-0600',mode:absolute,to:'2016-07-30 08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19" s="61" t="str">
        <f t="shared" si="0"/>
        <v>"C:\Program Files (x86)\AstroGrep\AstroGrep.exe" /spath="C:\Users\stu\Documents\Analysis\2016-02-23 RTDC Observations" /stypes="*4017*201607301*" /stext=" 13:.+((SYSTEM_STATE.+slice.+state.+changed )|(ment ac)|(system.+state.+changed )|(\|lc)|(penalty)|(\[timeout)|(PRM\|1\|D))" /e /r /s</v>
      </c>
      <c r="S19" s="9" t="str">
        <f t="shared" si="1"/>
        <v>4017</v>
      </c>
      <c r="T19" s="44">
        <f t="shared" si="2"/>
        <v>42581.546273148146</v>
      </c>
      <c r="U19" s="59" t="str">
        <f t="shared" si="3"/>
        <v>EC</v>
      </c>
      <c r="V19" s="59" t="str">
        <f t="shared" si="4"/>
        <v>KEEP</v>
      </c>
    </row>
    <row r="20" spans="1:22" s="1" customFormat="1" x14ac:dyDescent="0.25">
      <c r="A20" s="44">
        <v>42581.38857638889</v>
      </c>
      <c r="B20" s="37" t="s">
        <v>179</v>
      </c>
      <c r="C20" s="37" t="s">
        <v>817</v>
      </c>
      <c r="D20" s="37" t="s">
        <v>49</v>
      </c>
      <c r="E20" s="37" t="s">
        <v>50</v>
      </c>
      <c r="F20" s="56">
        <v>0</v>
      </c>
      <c r="G20" s="56">
        <v>68</v>
      </c>
      <c r="H20" s="56">
        <v>216</v>
      </c>
      <c r="I20" s="37" t="s">
        <v>51</v>
      </c>
      <c r="J20" s="56">
        <v>1</v>
      </c>
      <c r="K20" s="37" t="s">
        <v>53</v>
      </c>
      <c r="L20" s="124" t="str">
        <f>VLOOKUP(C20,'Trips&amp;Operators'!$C$1:$E$9999,3,0)</f>
        <v>ACKERMAN</v>
      </c>
      <c r="M20" s="9" t="s">
        <v>97</v>
      </c>
      <c r="N20" s="10"/>
      <c r="O20" s="37"/>
      <c r="P20" s="62" t="str">
        <f>VLOOKUP(C20,'Train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20" s="60" t="str">
        <f>VLOOKUP(C20,'Train Runs'!$A$13:$AE$755,22,0)</f>
        <v>https://search-rtdc-monitor-bjffxe2xuh6vdkpspy63sjmuny.us-east-1.es.amazonaws.com/_plugin/kibana/#/discover/Steve-Slow-Train-Analysis-(2080s-and-2083s)?_g=(refreshInterval:(display:Off,section:0,value:0),time:(from:'2016-07-30 07:30:29-0600',mode:absolute,to:'2016-07-30 10:19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0" s="61" t="str">
        <f t="shared" si="0"/>
        <v>"C:\Program Files (x86)\AstroGrep\AstroGrep.exe" /spath="C:\Users\stu\Documents\Analysis\2016-02-23 RTDC Observations" /stypes="*4032*201607301*" /stext=" 15:.+((SYSTEM_STATE.+slice.+state.+changed )|(ment ac)|(system.+state.+changed )|(\|lc)|(penalty)|(\[timeout)|(PRM\|1\|D))" /e /r /s</v>
      </c>
      <c r="S20" s="9" t="str">
        <f t="shared" si="1"/>
        <v>4032</v>
      </c>
      <c r="T20" s="44">
        <f t="shared" si="2"/>
        <v>42581.63857638889</v>
      </c>
      <c r="U20" s="59" t="str">
        <f t="shared" si="3"/>
        <v>EC</v>
      </c>
      <c r="V20" s="59" t="str">
        <f t="shared" si="4"/>
        <v>KEEP</v>
      </c>
    </row>
    <row r="21" spans="1:22" s="1" customFormat="1" x14ac:dyDescent="0.25">
      <c r="A21" s="44">
        <v>42581.461631944447</v>
      </c>
      <c r="B21" s="37" t="s">
        <v>179</v>
      </c>
      <c r="C21" s="37" t="s">
        <v>791</v>
      </c>
      <c r="D21" s="37" t="s">
        <v>49</v>
      </c>
      <c r="E21" s="37" t="s">
        <v>50</v>
      </c>
      <c r="F21" s="56">
        <v>0</v>
      </c>
      <c r="G21" s="56">
        <v>56</v>
      </c>
      <c r="H21" s="56">
        <v>165</v>
      </c>
      <c r="I21" s="37" t="s">
        <v>51</v>
      </c>
      <c r="J21" s="56">
        <v>1</v>
      </c>
      <c r="K21" s="37" t="s">
        <v>53</v>
      </c>
      <c r="L21" s="124" t="str">
        <f>VLOOKUP(C21,'Trips&amp;Operators'!$C$1:$E$9999,3,0)</f>
        <v>ACKERMAN</v>
      </c>
      <c r="M21" s="9" t="s">
        <v>97</v>
      </c>
      <c r="N21" s="10"/>
      <c r="O21" s="37"/>
      <c r="P21" s="62" t="str">
        <f>VLOOKUP(C21,'Train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21" s="60" t="str">
        <f>VLOOKUP(C21,'Train Runs'!$A$13:$AE$755,22,0)</f>
        <v>https://search-rtdc-monitor-bjffxe2xuh6vdkpspy63sjmuny.us-east-1.es.amazonaws.com/_plugin/kibana/#/discover/Steve-Slow-Train-Analysis-(2080s-and-2083s)?_g=(refreshInterval:(display:Off,section:0,value:0),time:(from:'2016-07-30 09:17:54-0600',mode:absolute,to:'2016-07-30 12:04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21" s="61" t="str">
        <f t="shared" si="0"/>
        <v>"C:\Program Files (x86)\AstroGrep\AstroGrep.exe" /spath="C:\Users\stu\Documents\Analysis\2016-02-23 RTDC Observations" /stypes="*4032*201607301*" /stext=" 17:.+((SYSTEM_STATE.+slice.+state.+changed )|(ment ac)|(system.+state.+changed )|(\|lc)|(penalty)|(\[timeout)|(PRM\|1\|D))" /e /r /s</v>
      </c>
      <c r="S21" s="9" t="str">
        <f t="shared" si="1"/>
        <v>4032</v>
      </c>
      <c r="T21" s="44">
        <f t="shared" si="2"/>
        <v>42581.711631944447</v>
      </c>
      <c r="U21" s="59" t="str">
        <f t="shared" si="3"/>
        <v>EC</v>
      </c>
      <c r="V21" s="59" t="str">
        <f t="shared" si="4"/>
        <v>KEEP</v>
      </c>
    </row>
    <row r="22" spans="1:22" s="1" customFormat="1" x14ac:dyDescent="0.25">
      <c r="A22" s="44">
        <v>42581.504004629627</v>
      </c>
      <c r="B22" s="37" t="s">
        <v>158</v>
      </c>
      <c r="C22" s="37" t="s">
        <v>786</v>
      </c>
      <c r="D22" s="37" t="s">
        <v>49</v>
      </c>
      <c r="E22" s="37" t="s">
        <v>50</v>
      </c>
      <c r="F22" s="56">
        <v>0</v>
      </c>
      <c r="G22" s="56">
        <v>64</v>
      </c>
      <c r="H22" s="56">
        <v>271</v>
      </c>
      <c r="I22" s="37" t="s">
        <v>51</v>
      </c>
      <c r="J22" s="56">
        <v>1</v>
      </c>
      <c r="K22" s="37" t="s">
        <v>53</v>
      </c>
      <c r="L22" s="124" t="str">
        <f>VLOOKUP(C22,'Trips&amp;Operators'!$C$1:$E$9999,3,0)</f>
        <v>MAYBERRY</v>
      </c>
      <c r="M22" s="9" t="s">
        <v>97</v>
      </c>
      <c r="N22" s="10"/>
      <c r="O22" s="37"/>
      <c r="P22" s="62" t="str">
        <f>VLOOKUP(C22,'Train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2" s="60" t="str">
        <f>VLOOKUP(C22,'Train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10:12:29-0600',mode:absolute,to:'2016-07-30 13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2" s="61" t="str">
        <f t="shared" si="0"/>
        <v>"C:\Program Files (x86)\AstroGrep\AstroGrep.exe" /spath="C:\Users\stu\Documents\Analysis\2016-02-23 RTDC Observations" /stypes="*4012*201607301*" /stext=" 18:.+((SYSTEM_STATE.+slice.+state.+changed )|(ment ac)|(system.+state.+changed )|(\|lc)|(penalty)|(\[timeout)|(PRM\|1\|D))" /e /r /s</v>
      </c>
      <c r="S22" s="9" t="str">
        <f t="shared" si="1"/>
        <v>4012</v>
      </c>
      <c r="T22" s="44">
        <f t="shared" si="2"/>
        <v>42581.754004629627</v>
      </c>
      <c r="U22" s="59" t="str">
        <f t="shared" si="3"/>
        <v>EC</v>
      </c>
      <c r="V22" s="59" t="str">
        <f t="shared" si="4"/>
        <v>KEEP</v>
      </c>
    </row>
    <row r="23" spans="1:22" x14ac:dyDescent="0.25">
      <c r="A23" s="44">
        <v>42581.578368055554</v>
      </c>
      <c r="B23" s="37" t="s">
        <v>158</v>
      </c>
      <c r="C23" s="37" t="s">
        <v>804</v>
      </c>
      <c r="D23" s="37" t="s">
        <v>49</v>
      </c>
      <c r="E23" s="37" t="s">
        <v>50</v>
      </c>
      <c r="F23" s="56">
        <v>0</v>
      </c>
      <c r="G23" s="56">
        <v>60</v>
      </c>
      <c r="H23" s="56">
        <v>216</v>
      </c>
      <c r="I23" s="37" t="s">
        <v>51</v>
      </c>
      <c r="J23" s="56">
        <v>1</v>
      </c>
      <c r="K23" s="37" t="s">
        <v>53</v>
      </c>
      <c r="L23" s="124" t="str">
        <f>VLOOKUP(C23,'Trips&amp;Operators'!$C$1:$E$9999,3,0)</f>
        <v>MAYBERRY</v>
      </c>
      <c r="M23" s="9" t="s">
        <v>97</v>
      </c>
      <c r="N23" s="10"/>
      <c r="O23" s="37"/>
      <c r="P23" s="62" t="str">
        <f>VLOOKUP(C23,'Train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3" s="60" t="str">
        <f>VLOOKUP(C23,'Train Runs'!$A$13:$AE$755,22,0)</f>
        <v>https://search-rtdc-monitor-bjffxe2xuh6vdkpspy63sjmuny.us-east-1.es.amazonaws.com/_plugin/kibana/#/discover/Steve-Slow-Train-Analysis-(2080s-and-2083s)?_g=(refreshInterval:(display:Off,section:0,value:0),time:(from:'2016-07-30 12:04:04-0600',mode:absolute,to:'2016-07-30 14:53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3" s="61" t="str">
        <f t="shared" si="0"/>
        <v>"C:\Program Files (x86)\AstroGrep\AstroGrep.exe" /spath="C:\Users\stu\Documents\Analysis\2016-02-23 RTDC Observations" /stypes="*4012*201607301*" /stext=" 19:.+((SYSTEM_STATE.+slice.+state.+changed )|(ment ac)|(system.+state.+changed )|(\|lc)|(penalty)|(\[timeout)|(PRM\|1\|D))" /e /r /s</v>
      </c>
      <c r="S23" s="9" t="str">
        <f t="shared" si="1"/>
        <v>4012</v>
      </c>
      <c r="T23" s="44">
        <f t="shared" si="2"/>
        <v>42581.828368055554</v>
      </c>
      <c r="U23" s="59" t="str">
        <f t="shared" si="3"/>
        <v>EC</v>
      </c>
      <c r="V23" s="59" t="str">
        <f t="shared" si="4"/>
        <v>KEEP</v>
      </c>
    </row>
    <row r="24" spans="1:22" s="1" customFormat="1" x14ac:dyDescent="0.25">
      <c r="A24" s="44">
        <v>42581.651319444441</v>
      </c>
      <c r="B24" s="37" t="s">
        <v>158</v>
      </c>
      <c r="C24" s="37" t="s">
        <v>717</v>
      </c>
      <c r="D24" s="37" t="s">
        <v>49</v>
      </c>
      <c r="E24" s="37" t="s">
        <v>50</v>
      </c>
      <c r="F24" s="56">
        <v>0</v>
      </c>
      <c r="G24" s="56">
        <v>56</v>
      </c>
      <c r="H24" s="56">
        <v>201</v>
      </c>
      <c r="I24" s="37" t="s">
        <v>51</v>
      </c>
      <c r="J24" s="56">
        <v>1</v>
      </c>
      <c r="K24" s="37" t="s">
        <v>53</v>
      </c>
      <c r="L24" s="124" t="str">
        <f>VLOOKUP(C24,'Trips&amp;Operators'!$C$1:$E$9999,3,0)</f>
        <v>MAYBERRY</v>
      </c>
      <c r="M24" s="9" t="s">
        <v>97</v>
      </c>
      <c r="N24" s="10"/>
      <c r="O24" s="37"/>
      <c r="P24" s="62" t="str">
        <f>VLOOKUP(C24,'Train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4" s="60" t="str">
        <f>VLOOKUP(C24,'Train Runs'!$A$13:$AE$755,22,0)</f>
        <v>https://search-rtdc-monitor-bjffxe2xuh6vdkpspy63sjmuny.us-east-1.es.amazonaws.com/_plugin/kibana/#/discover/Steve-Slow-Train-Analysis-(2080s-and-2083s)?_g=(refreshInterval:(display:Off,section:0,value:0),time:(from:'2016-07-30 13:51:33-0600',mode:absolute,to:'2016-07-30 16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4" s="61" t="str">
        <f t="shared" si="0"/>
        <v>"C:\Program Files (x86)\AstroGrep\AstroGrep.exe" /spath="C:\Users\stu\Documents\Analysis\2016-02-23 RTDC Observations" /stypes="*4012*201607302*" /stext=" 21:.+((SYSTEM_STATE.+slice.+state.+changed )|(ment ac)|(system.+state.+changed )|(\|lc)|(penalty)|(\[timeout)|(PRM\|1\|D))" /e /r /s</v>
      </c>
      <c r="S24" s="9" t="str">
        <f t="shared" si="1"/>
        <v>4012</v>
      </c>
      <c r="T24" s="44">
        <f t="shared" si="2"/>
        <v>42581.901319444441</v>
      </c>
      <c r="U24" s="59" t="str">
        <f t="shared" si="3"/>
        <v>EC</v>
      </c>
      <c r="V24" s="59" t="str">
        <f t="shared" si="4"/>
        <v>KEEP</v>
      </c>
    </row>
    <row r="25" spans="1:22" x14ac:dyDescent="0.25">
      <c r="A25" s="44">
        <v>42581.670428240737</v>
      </c>
      <c r="B25" s="37" t="s">
        <v>106</v>
      </c>
      <c r="C25" s="37" t="s">
        <v>730</v>
      </c>
      <c r="D25" s="37" t="s">
        <v>49</v>
      </c>
      <c r="E25" s="37" t="s">
        <v>50</v>
      </c>
      <c r="F25" s="56">
        <v>0</v>
      </c>
      <c r="G25" s="56">
        <v>66</v>
      </c>
      <c r="H25" s="56">
        <v>218</v>
      </c>
      <c r="I25" s="37" t="s">
        <v>51</v>
      </c>
      <c r="J25" s="56">
        <v>1</v>
      </c>
      <c r="K25" s="37" t="s">
        <v>53</v>
      </c>
      <c r="L25" s="124" t="str">
        <f>VLOOKUP(C25,'Trips&amp;Operators'!$C$1:$E$9999,3,0)</f>
        <v>STEWART</v>
      </c>
      <c r="M25" s="9" t="s">
        <v>97</v>
      </c>
      <c r="N25" s="10"/>
      <c r="O25" s="37"/>
      <c r="P25" s="62" t="str">
        <f>VLOOKUP(C25,'Train Runs'!$A$13:$AE$755,31,0)</f>
        <v>aws s3 cp s3://rtdc.mdm.uploadarchive/RTDC4028/2016-07-30/ "C:\Users\stu\Documents\Analysis\2016-02-23 RTDC Observations"\RTDC4028\2016-07-30 --recursive &amp; "C:\Users\stu\Documents\GitHub\mrs-test-scripts\Headless Mode &amp; Sideloading\WalkAndUnGZ.bat" "C:\Users\stu\Documents\Analysis\2016-02-23 RTDC Observations"\RTDC4028\2016-07-30 &amp; aws s3 cp s3://rtdc.mdm.uploadarchive/RTDC4028/2016-07-31/ "C:\Users\stu\Documents\Analysis\2016-02-23 RTDC Observations"\RTDC4028\2016-07-31 --recursive &amp; "C:\Users\stu\Documents\GitHub\mrs-test-scripts\Headless Mode &amp; Sideloading\WalkAndUnGZ.bat" "C:\Users\stu\Documents\Analysis\2016-02-23 RTDC Observations"\RTDC4028\2016-07-31</v>
      </c>
      <c r="Q25" s="60" t="str">
        <f>VLOOKUP(C25,'Train Runs'!$A$13:$AE$755,22,0)</f>
        <v>https://search-rtdc-monitor-bjffxe2xuh6vdkpspy63sjmuny.us-east-1.es.amazonaws.com/_plugin/kibana/#/discover/Steve-Slow-Train-Analysis-(2080s-and-2083s)?_g=(refreshInterval:(display:Off,section:0,value:0),time:(from:'2016-07-30 14:22:48-0600',mode:absolute,to:'2016-07-30 17:06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5" s="61" t="str">
        <f t="shared" si="0"/>
        <v>"C:\Program Files (x86)\AstroGrep\AstroGrep.exe" /spath="C:\Users\stu\Documents\Analysis\2016-02-23 RTDC Observations" /stypes="*4028*201607302*" /stext=" 22:.+((SYSTEM_STATE.+slice.+state.+changed )|(ment ac)|(system.+state.+changed )|(\|lc)|(penalty)|(\[timeout)|(PRM\|1\|D))" /e /r /s</v>
      </c>
      <c r="S25" s="9" t="str">
        <f t="shared" si="1"/>
        <v>4028</v>
      </c>
      <c r="T25" s="44">
        <f t="shared" si="2"/>
        <v>42581.920428240737</v>
      </c>
      <c r="U25" s="59" t="str">
        <f t="shared" si="3"/>
        <v>EC</v>
      </c>
      <c r="V25" s="59" t="str">
        <f t="shared" si="4"/>
        <v>KEEP</v>
      </c>
    </row>
    <row r="26" spans="1:22" x14ac:dyDescent="0.25">
      <c r="A26" s="44">
        <v>42581.723495370374</v>
      </c>
      <c r="B26" s="37" t="s">
        <v>158</v>
      </c>
      <c r="C26" s="37" t="s">
        <v>614</v>
      </c>
      <c r="D26" s="37" t="s">
        <v>49</v>
      </c>
      <c r="E26" s="37" t="s">
        <v>50</v>
      </c>
      <c r="F26" s="56">
        <v>0</v>
      </c>
      <c r="G26" s="56">
        <v>49</v>
      </c>
      <c r="H26" s="56">
        <v>150</v>
      </c>
      <c r="I26" s="37" t="s">
        <v>51</v>
      </c>
      <c r="J26" s="56">
        <v>1</v>
      </c>
      <c r="K26" s="37" t="s">
        <v>53</v>
      </c>
      <c r="L26" s="124" t="str">
        <f>VLOOKUP(C26,'Trips&amp;Operators'!$C$1:$E$9999,3,0)</f>
        <v>MAYBERRY</v>
      </c>
      <c r="M26" s="9" t="s">
        <v>97</v>
      </c>
      <c r="N26" s="10"/>
      <c r="O26" s="37"/>
      <c r="P26" s="62" t="str">
        <f>VLOOKUP(C26,'Train Runs'!$A$13:$AE$755,31,0)</f>
        <v>aws s3 cp s3://rtdc.mdm.uploadarchive/RTDC4012/2016-07-30/ "C:\Users\stu\Documents\Analysis\2016-02-23 RTDC Observations"\RTDC4012\2016-07-30 --recursive &amp; "C:\Users\stu\Documents\GitHub\mrs-test-scripts\Headless Mode &amp; Sideloading\WalkAndUnGZ.bat" "C:\Users\stu\Documents\Analysis\2016-02-23 RTDC Observations"\RTDC4012\2016-07-30 &amp; aws s3 cp s3://rtdc.mdm.uploadarchive/RTDC4012/2016-07-31/ "C:\Users\stu\Documents\Analysis\2016-02-23 RTDC Observations"\RTDC4012\2016-07-31 --recursive &amp; "C:\Users\stu\Documents\GitHub\mrs-test-scripts\Headless Mode &amp; Sideloading\WalkAndUnGZ.bat" "C:\Users\stu\Documents\Analysis\2016-02-23 RTDC Observations"\RTDC4012\2016-07-31</v>
      </c>
      <c r="Q26" s="60" t="str">
        <f>VLOOKUP(C26,'Train Runs'!$A$13:$AE$755,22,0)</f>
        <v>https://search-rtdc-monitor-bjffxe2xuh6vdkpspy63sjmuny.us-east-1.es.amazonaws.com/_plugin/kibana/#/discover/Steve-Slow-Train-Analysis-(2080s-and-2083s)?_g=(refreshInterval:(display:Off,section:0,value:0),time:(from:'2016-07-30 15:30:48-0600',mode:absolute,to:'2016-07-30 18:22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4012%22')),sort:!(Time,asc))</v>
      </c>
      <c r="R26" s="61" t="str">
        <f t="shared" si="0"/>
        <v>"C:\Program Files (x86)\AstroGrep\AstroGrep.exe" /spath="C:\Users\stu\Documents\Analysis\2016-02-23 RTDC Observations" /stypes="*4012*201607302*" /stext=" 23:.+((SYSTEM_STATE.+slice.+state.+changed )|(ment ac)|(system.+state.+changed )|(\|lc)|(penalty)|(\[timeout)|(PRM\|1\|D))" /e /r /s</v>
      </c>
      <c r="S26" s="9" t="str">
        <f t="shared" si="1"/>
        <v>4012</v>
      </c>
      <c r="T26" s="44">
        <f t="shared" si="2"/>
        <v>42581.973495370374</v>
      </c>
      <c r="U26" s="59" t="str">
        <f t="shared" si="3"/>
        <v>EC</v>
      </c>
      <c r="V26" s="59" t="str">
        <f t="shared" si="4"/>
        <v>KEEP</v>
      </c>
    </row>
    <row r="27" spans="1:22" x14ac:dyDescent="0.25">
      <c r="A27" s="44">
        <v>42581.765150462961</v>
      </c>
      <c r="B27" s="37" t="s">
        <v>338</v>
      </c>
      <c r="C27" s="37" t="s">
        <v>645</v>
      </c>
      <c r="D27" s="37" t="s">
        <v>49</v>
      </c>
      <c r="E27" s="37" t="s">
        <v>50</v>
      </c>
      <c r="F27" s="56">
        <v>0</v>
      </c>
      <c r="G27" s="56">
        <v>82</v>
      </c>
      <c r="H27" s="56">
        <v>314</v>
      </c>
      <c r="I27" s="37" t="s">
        <v>51</v>
      </c>
      <c r="J27" s="56">
        <v>1</v>
      </c>
      <c r="K27" s="37" t="s">
        <v>53</v>
      </c>
      <c r="L27" s="124" t="str">
        <f>VLOOKUP(C27,'Trips&amp;Operators'!$C$1:$E$9999,3,0)</f>
        <v>MOSES</v>
      </c>
      <c r="M27" s="9" t="s">
        <v>97</v>
      </c>
      <c r="N27" s="10"/>
      <c r="O27" s="37"/>
      <c r="P27" s="62" t="str">
        <f>VLOOKUP(C27,'Train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27" s="60" t="str">
        <f>VLOOKUP(C27,'Train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7" s="61" t="str">
        <f t="shared" si="0"/>
        <v>"C:\Program Files (x86)\AstroGrep\AstroGrep.exe" /spath="C:\Users\stu\Documents\Analysis\2016-02-23 RTDC Observations" /stypes="*4043*201607310*" /stext=" 00:.+((SYSTEM_STATE.+slice.+state.+changed )|(ment ac)|(system.+state.+changed )|(\|lc)|(penalty)|(\[timeout)|(PRM\|1\|D))" /e /r /s</v>
      </c>
      <c r="S27" s="9" t="str">
        <f t="shared" si="1"/>
        <v>4043</v>
      </c>
      <c r="T27" s="44">
        <f t="shared" si="2"/>
        <v>42582.015150462961</v>
      </c>
      <c r="U27" s="59" t="str">
        <f t="shared" si="3"/>
        <v>EC</v>
      </c>
      <c r="V27" s="59" t="str">
        <f t="shared" si="4"/>
        <v>KEEP</v>
      </c>
    </row>
    <row r="28" spans="1:22" x14ac:dyDescent="0.25">
      <c r="A28" s="44">
        <v>42581.765532407408</v>
      </c>
      <c r="B28" s="37" t="s">
        <v>338</v>
      </c>
      <c r="C28" s="37" t="s">
        <v>645</v>
      </c>
      <c r="D28" s="37" t="s">
        <v>49</v>
      </c>
      <c r="E28" s="37" t="s">
        <v>50</v>
      </c>
      <c r="F28" s="56">
        <v>0</v>
      </c>
      <c r="G28" s="56">
        <v>41</v>
      </c>
      <c r="H28" s="56">
        <v>201</v>
      </c>
      <c r="I28" s="37" t="s">
        <v>51</v>
      </c>
      <c r="J28" s="56">
        <v>1</v>
      </c>
      <c r="K28" s="37" t="s">
        <v>53</v>
      </c>
      <c r="L28" s="124" t="str">
        <f>VLOOKUP(C28,'Trips&amp;Operators'!$C$1:$E$9999,3,0)</f>
        <v>MOSES</v>
      </c>
      <c r="M28" s="9" t="s">
        <v>97</v>
      </c>
      <c r="N28" s="10"/>
      <c r="O28" s="37"/>
      <c r="P28" s="62" t="str">
        <f>VLOOKUP(C28,'Train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28" s="60" t="str">
        <f>VLOOKUP(C28,'Train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8" s="61" t="str">
        <f t="shared" si="0"/>
        <v>"C:\Program Files (x86)\AstroGrep\AstroGrep.exe" /spath="C:\Users\stu\Documents\Analysis\2016-02-23 RTDC Observations" /stypes="*4043*201607310*" /stext=" 00:.+((SYSTEM_STATE.+slice.+state.+changed )|(ment ac)|(system.+state.+changed )|(\|lc)|(penalty)|(\[timeout)|(PRM\|1\|D))" /e /r /s</v>
      </c>
      <c r="S28" s="9" t="str">
        <f t="shared" si="1"/>
        <v>4043</v>
      </c>
      <c r="T28" s="44">
        <f t="shared" si="2"/>
        <v>42582.015532407408</v>
      </c>
      <c r="U28" s="59" t="str">
        <f t="shared" si="3"/>
        <v>EC</v>
      </c>
      <c r="V28" s="59" t="str">
        <f t="shared" si="4"/>
        <v>KEEP</v>
      </c>
    </row>
    <row r="29" spans="1:22" x14ac:dyDescent="0.25">
      <c r="A29" s="44">
        <v>42581.765925925924</v>
      </c>
      <c r="B29" s="37" t="s">
        <v>338</v>
      </c>
      <c r="C29" s="37" t="s">
        <v>645</v>
      </c>
      <c r="D29" s="37" t="s">
        <v>49</v>
      </c>
      <c r="E29" s="37" t="s">
        <v>50</v>
      </c>
      <c r="F29" s="56">
        <v>0</v>
      </c>
      <c r="G29" s="56">
        <v>14</v>
      </c>
      <c r="H29" s="56">
        <v>123</v>
      </c>
      <c r="I29" s="37" t="s">
        <v>51</v>
      </c>
      <c r="J29" s="56">
        <v>1</v>
      </c>
      <c r="K29" s="37" t="s">
        <v>53</v>
      </c>
      <c r="L29" s="124" t="str">
        <f>VLOOKUP(C29,'Trips&amp;Operators'!$C$1:$E$9999,3,0)</f>
        <v>MOSES</v>
      </c>
      <c r="M29" s="9" t="s">
        <v>97</v>
      </c>
      <c r="N29" s="10"/>
      <c r="O29" s="37"/>
      <c r="P29" s="62" t="str">
        <f>VLOOKUP(C29,'Train Runs'!$A$13:$AE$755,31,0)</f>
        <v>aws s3 cp s3://rtdc.mdm.uploadarchive/RTDC4043/2016-07-30/ "C:\Users\stu\Documents\Analysis\2016-02-23 RTDC Observations"\RTDC4043\2016-07-30 --recursive &amp; "C:\Users\stu\Documents\GitHub\mrs-test-scripts\Headless Mode &amp; Sideloading\WalkAndUnGZ.bat" "C:\Users\stu\Documents\Analysis\2016-02-23 RTDC Observations"\RTDC4043\2016-07-30 &amp; aws s3 cp s3://rtdc.mdm.uploadarchive/RTDC4043/2016-07-31/ "C:\Users\stu\Documents\Analysis\2016-02-23 RTDC Observations"\RTDC4043\2016-07-31 --recursive &amp; "C:\Users\stu\Documents\GitHub\mrs-test-scripts\Headless Mode &amp; Sideloading\WalkAndUnGZ.bat" "C:\Users\stu\Documents\Analysis\2016-02-23 RTDC Observations"\RTDC4043\2016-07-31</v>
      </c>
      <c r="Q29" s="60" t="str">
        <f>VLOOKUP(C29,'Train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16:32:24-0600',mode:absolute,to:'2016-07-30 19:23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4043%22')),sort:!(Time,asc))</v>
      </c>
      <c r="R29" s="61" t="str">
        <f t="shared" si="0"/>
        <v>"C:\Program Files (x86)\AstroGrep\AstroGrep.exe" /spath="C:\Users\stu\Documents\Analysis\2016-02-23 RTDC Observations" /stypes="*4043*201607310*" /stext=" 00:.+((SYSTEM_STATE.+slice.+state.+changed )|(ment ac)|(system.+state.+changed )|(\|lc)|(penalty)|(\[timeout)|(PRM\|1\|D))" /e /r /s</v>
      </c>
      <c r="S29" s="9" t="str">
        <f t="shared" si="1"/>
        <v>4043</v>
      </c>
      <c r="T29" s="44">
        <f t="shared" si="2"/>
        <v>42582.015925925924</v>
      </c>
      <c r="U29" s="59" t="str">
        <f t="shared" si="3"/>
        <v>EC</v>
      </c>
      <c r="V29" s="59" t="str">
        <f t="shared" si="4"/>
        <v>KEEP</v>
      </c>
    </row>
    <row r="30" spans="1:22" x14ac:dyDescent="0.25">
      <c r="A30" s="44">
        <v>42581.776377314818</v>
      </c>
      <c r="B30" s="37" t="s">
        <v>133</v>
      </c>
      <c r="C30" s="37" t="s">
        <v>648</v>
      </c>
      <c r="D30" s="37" t="s">
        <v>49</v>
      </c>
      <c r="E30" s="37" t="s">
        <v>50</v>
      </c>
      <c r="F30" s="56">
        <v>0</v>
      </c>
      <c r="G30" s="56">
        <v>50</v>
      </c>
      <c r="H30" s="56">
        <v>163</v>
      </c>
      <c r="I30" s="37" t="s">
        <v>51</v>
      </c>
      <c r="J30" s="56">
        <v>1</v>
      </c>
      <c r="K30" s="37" t="s">
        <v>53</v>
      </c>
      <c r="L30" s="124" t="str">
        <f>VLOOKUP(C30,'Trips&amp;Operators'!$C$1:$E$9999,3,0)</f>
        <v>REBOLETTI</v>
      </c>
      <c r="M30" s="9" t="s">
        <v>97</v>
      </c>
      <c r="N30" s="10"/>
      <c r="O30" s="37"/>
      <c r="P30" s="62" t="str">
        <f>VLOOKUP(C30,'Train Runs'!$A$13:$AE$755,31,0)</f>
        <v>aws s3 cp s3://rtdc.mdm.uploadarchive/RTDC4015/2016-07-30/ "C:\Users\stu\Documents\Analysis\2016-02-23 RTDC Observations"\RTDC4015\2016-07-30 --recursive &amp; "C:\Users\stu\Documents\GitHub\mrs-test-scripts\Headless Mode &amp; Sideloading\WalkAndUnGZ.bat" "C:\Users\stu\Documents\Analysis\2016-02-23 RTDC Observations"\RTDC4015\2016-07-30 &amp; aws s3 cp s3://rtdc.mdm.uploadarchive/RTDC4015/2016-07-31/ "C:\Users\stu\Documents\Analysis\2016-02-23 RTDC Observations"\RTDC4015\2016-07-31 --recursive &amp; "C:\Users\stu\Documents\GitHub\mrs-test-scripts\Headless Mode &amp; Sideloading\WalkAndUnGZ.bat" "C:\Users\stu\Documents\Analysis\2016-02-23 RTDC Observations"\RTDC4015\2016-07-31</v>
      </c>
      <c r="Q30" s="60" t="str">
        <f>VLOOKUP(C30,'Train Runs'!$A$13:$AE$755,22,0)</f>
        <v>https://search-rtdc-monitor-bjffxe2xuh6vdkpspy63sjmuny.us-east-1.es.amazonaws.com/_plugin/kibana/#/discover/Steve-Slow-Train-Analysis-(2080s-and-2083s)?_g=(refreshInterval:(display:Off,section:0,value:0),time:(from:'2016-07-30 16:47:35-0600',mode:absolute,to:'2016-07-30 19:38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30" s="61" t="str">
        <f t="shared" si="0"/>
        <v>"C:\Program Files (x86)\AstroGrep\AstroGrep.exe" /spath="C:\Users\stu\Documents\Analysis\2016-02-23 RTDC Observations" /stypes="*4015*201607310*" /stext=" 00:.+((SYSTEM_STATE.+slice.+state.+changed )|(ment ac)|(system.+state.+changed )|(\|lc)|(penalty)|(\[timeout)|(PRM\|1\|D))" /e /r /s</v>
      </c>
      <c r="S30" s="9" t="str">
        <f t="shared" si="1"/>
        <v>4015</v>
      </c>
      <c r="T30" s="44">
        <f t="shared" si="2"/>
        <v>42582.026377314818</v>
      </c>
      <c r="U30" s="59" t="str">
        <f t="shared" si="3"/>
        <v>EC</v>
      </c>
      <c r="V30" s="59" t="str">
        <f t="shared" si="4"/>
        <v>KEEP</v>
      </c>
    </row>
    <row r="31" spans="1:22" x14ac:dyDescent="0.25">
      <c r="A31" s="44">
        <v>42581.827372685184</v>
      </c>
      <c r="B31" s="37" t="s">
        <v>179</v>
      </c>
      <c r="C31" s="37" t="s">
        <v>660</v>
      </c>
      <c r="D31" s="37" t="s">
        <v>49</v>
      </c>
      <c r="E31" s="37" t="s">
        <v>50</v>
      </c>
      <c r="F31" s="56">
        <v>0</v>
      </c>
      <c r="G31" s="56">
        <v>31</v>
      </c>
      <c r="H31" s="56">
        <v>147</v>
      </c>
      <c r="I31" s="37" t="s">
        <v>51</v>
      </c>
      <c r="J31" s="56">
        <v>1</v>
      </c>
      <c r="K31" s="37" t="s">
        <v>53</v>
      </c>
      <c r="L31" s="124" t="str">
        <f>VLOOKUP(C31,'Trips&amp;Operators'!$C$1:$E$9999,3,0)</f>
        <v>CHANDLER</v>
      </c>
      <c r="M31" s="9" t="s">
        <v>97</v>
      </c>
      <c r="N31" s="10"/>
      <c r="O31" s="37"/>
      <c r="P31" s="62" t="str">
        <f>VLOOKUP(C31,'Train Runs'!$A$13:$AE$755,31,0)</f>
        <v>aws s3 cp s3://rtdc.mdm.uploadarchive/RTDC4032/2016-07-30/ "C:\Users\stu\Documents\Analysis\2016-02-23 RTDC Observations"\RTDC4032\2016-07-30 --recursive &amp; "C:\Users\stu\Documents\GitHub\mrs-test-scripts\Headless Mode &amp; Sideloading\WalkAndUnGZ.bat" "C:\Users\stu\Documents\Analysis\2016-02-23 RTDC Observations"\RTDC4032\2016-07-30 &amp; aws s3 cp s3://rtdc.mdm.uploadarchive/RTDC4032/2016-07-31/ "C:\Users\stu\Documents\Analysis\2016-02-23 RTDC Observations"\RTDC4032\2016-07-31 --recursive &amp; "C:\Users\stu\Documents\GitHub\mrs-test-scripts\Headless Mode &amp; Sideloading\WalkAndUnGZ.bat" "C:\Users\stu\Documents\Analysis\2016-02-23 RTDC Observations"\RTDC4032\2016-07-31</v>
      </c>
      <c r="Q31" s="60" t="str">
        <f>VLOOKUP(C31,'Train Runs'!$A$13:$AE$755,22,0)</f>
        <v>https://search-rtdc-monitor-bjffxe2xuh6vdkpspy63sjmuny.us-east-1.es.amazonaws.com/_plugin/kibana/#/discover/Steve-Slow-Train-Analysis-(2080s-and-2083s)?_g=(refreshInterval:(display:Off,section:0,value:0),time:(from:'2016-07-30 18:11:21-0600',mode:absolute,to:'2016-07-30 20:51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31" s="61" t="str">
        <f t="shared" si="0"/>
        <v>"C:\Program Files (x86)\AstroGrep\AstroGrep.exe" /spath="C:\Users\stu\Documents\Analysis\2016-02-23 RTDC Observations" /stypes="*4032*201607310*" /stext=" 01:.+((SYSTEM_STATE.+slice.+state.+changed )|(ment ac)|(system.+state.+changed )|(\|lc)|(penalty)|(\[timeout)|(PRM\|1\|D))" /e /r /s</v>
      </c>
      <c r="S31" s="9" t="str">
        <f t="shared" si="1"/>
        <v>4032</v>
      </c>
      <c r="T31" s="44">
        <f t="shared" si="2"/>
        <v>42582.077372685184</v>
      </c>
      <c r="U31" s="59" t="str">
        <f t="shared" si="3"/>
        <v>EC</v>
      </c>
      <c r="V31" s="59" t="str">
        <f t="shared" si="4"/>
        <v>KEEP</v>
      </c>
    </row>
    <row r="32" spans="1:22" x14ac:dyDescent="0.25">
      <c r="A32" s="44">
        <v>42581.337430555555</v>
      </c>
      <c r="B32" s="37" t="s">
        <v>109</v>
      </c>
      <c r="C32" s="37" t="s">
        <v>461</v>
      </c>
      <c r="D32" s="37" t="s">
        <v>49</v>
      </c>
      <c r="E32" s="37" t="s">
        <v>50</v>
      </c>
      <c r="F32" s="56">
        <v>0</v>
      </c>
      <c r="G32" s="56">
        <v>151</v>
      </c>
      <c r="H32" s="56">
        <v>232843</v>
      </c>
      <c r="I32" s="37" t="s">
        <v>51</v>
      </c>
      <c r="J32" s="56">
        <v>233491</v>
      </c>
      <c r="K32" s="37" t="s">
        <v>52</v>
      </c>
      <c r="L32" s="124" t="str">
        <f>VLOOKUP(C32,'Trips&amp;Operators'!$C$1:$E$9999,3,0)</f>
        <v>MALAVE</v>
      </c>
      <c r="M32" s="9" t="s">
        <v>97</v>
      </c>
      <c r="N32" s="10"/>
      <c r="O32" s="37"/>
      <c r="P32" s="62" t="str">
        <f>VLOOKUP(C32,'Train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32" s="60" t="str">
        <f>VLOOKUP(C32,'Train Runs'!$A$13:$AE$755,22,0)</f>
        <v>https://search-rtdc-monitor-bjffxe2xuh6vdkpspy63sjmuny.us-east-1.es.amazonaws.com/_plugin/kibana/#/discover/Steve-Slow-Train-Analysis-(2080s-and-2083s)?_g=(refreshInterval:(display:Off,section:0,value:0),time:(from:'2016-07-30 06:27:48-0600',mode:absolute,to:'2016-07-30 09:07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2" s="61" t="str">
        <f t="shared" si="0"/>
        <v>"C:\Program Files (x86)\AstroGrep\AstroGrep.exe" /spath="C:\Users\stu\Documents\Analysis\2016-02-23 RTDC Observations" /stypes="*4027*201607301*" /stext=" 14:.+((SYSTEM_STATE.+slice.+state.+changed )|(ment ac)|(system.+state.+changed )|(\|lc)|(penalty)|(\[timeout)|(PRM\|1\|D))" /e /r /s</v>
      </c>
      <c r="S32" s="9" t="str">
        <f t="shared" si="1"/>
        <v>4027</v>
      </c>
      <c r="T32" s="44">
        <f t="shared" si="2"/>
        <v>42581.587430555555</v>
      </c>
      <c r="U32" s="59" t="str">
        <f t="shared" si="3"/>
        <v>EC</v>
      </c>
      <c r="V32" s="59" t="str">
        <f t="shared" si="4"/>
        <v>KEEP</v>
      </c>
    </row>
    <row r="33" spans="1:22" x14ac:dyDescent="0.25">
      <c r="A33" s="44">
        <v>42581.358402777776</v>
      </c>
      <c r="B33" s="37" t="s">
        <v>114</v>
      </c>
      <c r="C33" s="37" t="s">
        <v>463</v>
      </c>
      <c r="D33" s="37" t="s">
        <v>49</v>
      </c>
      <c r="E33" s="37" t="s">
        <v>50</v>
      </c>
      <c r="F33" s="56">
        <v>0</v>
      </c>
      <c r="G33" s="56">
        <v>39</v>
      </c>
      <c r="H33" s="56">
        <v>233347</v>
      </c>
      <c r="I33" s="37" t="s">
        <v>51</v>
      </c>
      <c r="J33" s="56">
        <v>233491</v>
      </c>
      <c r="K33" s="37" t="s">
        <v>52</v>
      </c>
      <c r="L33" s="124" t="str">
        <f>VLOOKUP(C33,'Trips&amp;Operators'!$C$1:$E$9999,3,0)</f>
        <v>SANTIZO</v>
      </c>
      <c r="M33" s="9" t="s">
        <v>97</v>
      </c>
      <c r="N33" s="10"/>
      <c r="O33" s="37"/>
      <c r="P33" s="62" t="str">
        <f>VLOOKUP(C33,'Train Runs'!$A$13:$AE$755,31,0)</f>
        <v>aws s3 cp s3://rtdc.mdm.uploadarchive/RTDC4007/2016-07-30/ "C:\Users\stu\Documents\Analysis\2016-02-23 RTDC Observations"\RTDC4007\2016-07-30 --recursive &amp; "C:\Users\stu\Documents\GitHub\mrs-test-scripts\Headless Mode &amp; Sideloading\WalkAndUnGZ.bat" "C:\Users\stu\Documents\Analysis\2016-02-23 RTDC Observations"\RTDC4007\2016-07-30 &amp; aws s3 cp s3://rtdc.mdm.uploadarchive/RTDC4007/2016-07-31/ "C:\Users\stu\Documents\Analysis\2016-02-23 RTDC Observations"\RTDC4007\2016-07-31 --recursive &amp; "C:\Users\stu\Documents\GitHub\mrs-test-scripts\Headless Mode &amp; Sideloading\WalkAndUnGZ.bat" "C:\Users\stu\Documents\Analysis\2016-02-23 RTDC Observations"\RTDC4007\2016-07-31</v>
      </c>
      <c r="Q33" s="60" t="str">
        <f>VLOOKUP(C33,'Train Runs'!$A$13:$AE$755,22,0)</f>
        <v>https://search-rtdc-monitor-bjffxe2xuh6vdkpspy63sjmuny.us-east-1.es.amazonaws.com/_plugin/kibana/#/discover/Steve-Slow-Train-Analysis-(2080s-and-2083s)?_g=(refreshInterval:(display:Off,section:0,value:0),time:(from:'2016-07-30 06:56:39-0600',mode:absolute,to:'2016-07-30 09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3" s="61" t="str">
        <f t="shared" si="0"/>
        <v>"C:\Program Files (x86)\AstroGrep\AstroGrep.exe" /spath="C:\Users\stu\Documents\Analysis\2016-02-23 RTDC Observations" /stypes="*4007*201607301*" /stext=" 14:.+((SYSTEM_STATE.+slice.+state.+changed )|(ment ac)|(system.+state.+changed )|(\|lc)|(penalty)|(\[timeout)|(PRM\|1\|D))" /e /r /s</v>
      </c>
      <c r="S33" s="9" t="str">
        <f t="shared" si="1"/>
        <v>4007</v>
      </c>
      <c r="T33" s="44">
        <f t="shared" si="2"/>
        <v>42581.608402777776</v>
      </c>
      <c r="U33" s="59" t="str">
        <f t="shared" si="3"/>
        <v>EC</v>
      </c>
      <c r="V33" s="59" t="str">
        <f t="shared" si="4"/>
        <v>KEEP</v>
      </c>
    </row>
    <row r="34" spans="1:22" x14ac:dyDescent="0.25">
      <c r="A34" s="44">
        <v>42581.558668981481</v>
      </c>
      <c r="B34" s="37" t="s">
        <v>109</v>
      </c>
      <c r="C34" s="37" t="s">
        <v>815</v>
      </c>
      <c r="D34" s="37" t="s">
        <v>49</v>
      </c>
      <c r="E34" s="37" t="s">
        <v>50</v>
      </c>
      <c r="F34" s="56">
        <v>0</v>
      </c>
      <c r="G34" s="56">
        <v>72</v>
      </c>
      <c r="H34" s="56">
        <v>233232</v>
      </c>
      <c r="I34" s="37" t="s">
        <v>51</v>
      </c>
      <c r="J34" s="56">
        <v>233491</v>
      </c>
      <c r="K34" s="37" t="s">
        <v>52</v>
      </c>
      <c r="L34" s="124" t="str">
        <f>VLOOKUP(C34,'Trips&amp;Operators'!$C$1:$E$9999,3,0)</f>
        <v>STEWART</v>
      </c>
      <c r="M34" s="9" t="s">
        <v>97</v>
      </c>
      <c r="N34" s="10"/>
      <c r="O34" s="37"/>
      <c r="P34" s="62" t="str">
        <f>VLOOKUP(C34,'Train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34" s="60" t="str">
        <f>VLOOKUP(C34,'Train Runs'!$A$13:$AE$755,22,0)</f>
        <v>https://search-rtdc-monitor-bjffxe2xuh6vdkpspy63sjmuny.us-east-1.es.amazonaws.com/_plugin/kibana/#/discover/Steve-Slow-Train-Analysis-(2080s-and-2083s)?_g=(refreshInterval:(display:Off,section:0,value:0),time:(from:'2016-07-30 11:41:48-0600',mode:absolute,to:'2016-07-30 14:24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4" s="61" t="str">
        <f t="shared" si="0"/>
        <v>"C:\Program Files (x86)\AstroGrep\AstroGrep.exe" /spath="C:\Users\stu\Documents\Analysis\2016-02-23 RTDC Observations" /stypes="*4027*201607301*" /stext=" 19:.+((SYSTEM_STATE.+slice.+state.+changed )|(ment ac)|(system.+state.+changed )|(\|lc)|(penalty)|(\[timeout)|(PRM\|1\|D))" /e /r /s</v>
      </c>
      <c r="S34" s="9" t="str">
        <f t="shared" si="1"/>
        <v>4027</v>
      </c>
      <c r="T34" s="44">
        <f t="shared" si="2"/>
        <v>42581.808668981481</v>
      </c>
      <c r="U34" s="59" t="str">
        <f t="shared" si="3"/>
        <v>EC</v>
      </c>
      <c r="V34" s="59" t="str">
        <f t="shared" si="4"/>
        <v>KEEP</v>
      </c>
    </row>
    <row r="35" spans="1:22" x14ac:dyDescent="0.25">
      <c r="A35" s="44">
        <v>42581.702141203707</v>
      </c>
      <c r="B35" s="37" t="s">
        <v>109</v>
      </c>
      <c r="C35" s="37" t="s">
        <v>637</v>
      </c>
      <c r="D35" s="37" t="s">
        <v>49</v>
      </c>
      <c r="E35" s="37" t="s">
        <v>50</v>
      </c>
      <c r="F35" s="56">
        <v>0</v>
      </c>
      <c r="G35" s="56">
        <v>77</v>
      </c>
      <c r="H35" s="56">
        <v>233195</v>
      </c>
      <c r="I35" s="37" t="s">
        <v>51</v>
      </c>
      <c r="J35" s="56">
        <v>233491</v>
      </c>
      <c r="K35" s="37" t="s">
        <v>52</v>
      </c>
      <c r="L35" s="124" t="str">
        <f>VLOOKUP(C35,'Trips&amp;Operators'!$C$1:$E$9999,3,0)</f>
        <v>STEWART</v>
      </c>
      <c r="M35" s="9" t="s">
        <v>97</v>
      </c>
      <c r="N35" s="10"/>
      <c r="O35" s="37"/>
      <c r="P35" s="62" t="str">
        <f>VLOOKUP(C35,'Train Runs'!$A$13:$AE$755,31,0)</f>
        <v>aws s3 cp s3://rtdc.mdm.uploadarchive/RTDC4027/2016-07-30/ "C:\Users\stu\Documents\Analysis\2016-02-23 RTDC Observations"\RTDC4027\2016-07-30 --recursive &amp; "C:\Users\stu\Documents\GitHub\mrs-test-scripts\Headless Mode &amp; Sideloading\WalkAndUnGZ.bat" "C:\Users\stu\Documents\Analysis\2016-02-23 RTDC Observations"\RTDC4027\2016-07-30 &amp; aws s3 cp s3://rtdc.mdm.uploadarchive/RTDC4027/2016-07-31/ "C:\Users\stu\Documents\Analysis\2016-02-23 RTDC Observations"\RTDC4027\2016-07-31 --recursive &amp; "C:\Users\stu\Documents\GitHub\mrs-test-scripts\Headless Mode &amp; Sideloading\WalkAndUnGZ.bat" "C:\Users\stu\Documents\Analysis\2016-02-23 RTDC Observations"\RTDC4027\2016-07-31</v>
      </c>
      <c r="Q35" s="60" t="str">
        <f>VLOOKUP(C35,'Train Runs'!$A$13:$AE$755,22,0)</f>
        <v>https://search-rtdc-monitor-bjffxe2xuh6vdkpspy63sjmuny.us-east-1.es.amazonaws.com/_plugin/kibana/#/discover/Steve-Slow-Train-Analysis-(2080s-and-2083s)?_g=(refreshInterval:(display:Off,section:0,value:0),time:(from:'2016-07-30 15:09:29-0600',mode:absolute,to:'2016-07-30 17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5" s="61" t="str">
        <f t="shared" si="0"/>
        <v>"C:\Program Files (x86)\AstroGrep\AstroGrep.exe" /spath="C:\Users\stu\Documents\Analysis\2016-02-23 RTDC Observations" /stypes="*4027*201607302*" /stext=" 22:.+((SYSTEM_STATE.+slice.+state.+changed )|(ment ac)|(system.+state.+changed )|(\|lc)|(penalty)|(\[timeout)|(PRM\|1\|D))" /e /r /s</v>
      </c>
      <c r="S35" s="9" t="str">
        <f t="shared" si="1"/>
        <v>4027</v>
      </c>
      <c r="T35" s="44">
        <f t="shared" si="2"/>
        <v>42581.952141203707</v>
      </c>
      <c r="U35" s="59" t="str">
        <f t="shared" si="3"/>
        <v>EC</v>
      </c>
      <c r="V35" s="59" t="str">
        <f t="shared" si="4"/>
        <v>KEEP</v>
      </c>
    </row>
    <row r="36" spans="1:22" x14ac:dyDescent="0.25">
      <c r="A36" s="44">
        <v>42581.921388888892</v>
      </c>
      <c r="B36" s="37" t="s">
        <v>69</v>
      </c>
      <c r="C36" s="37" t="s">
        <v>683</v>
      </c>
      <c r="D36" s="37" t="s">
        <v>49</v>
      </c>
      <c r="E36" s="37" t="s">
        <v>50</v>
      </c>
      <c r="F36" s="56">
        <v>0</v>
      </c>
      <c r="G36" s="56">
        <v>75</v>
      </c>
      <c r="H36" s="56">
        <v>233221</v>
      </c>
      <c r="I36" s="37" t="s">
        <v>51</v>
      </c>
      <c r="J36" s="56">
        <v>233491</v>
      </c>
      <c r="K36" s="37" t="s">
        <v>52</v>
      </c>
      <c r="L36" s="124" t="str">
        <f>VLOOKUP(C36,'Trips&amp;Operators'!$C$1:$E$9999,3,0)</f>
        <v>KILLION</v>
      </c>
      <c r="M36" s="9" t="s">
        <v>97</v>
      </c>
      <c r="N36" s="10"/>
      <c r="O36" s="37"/>
      <c r="P36" s="62" t="str">
        <f>VLOOKUP(C36,'Train Runs'!$A$13:$AE$755,31,0)</f>
        <v>aws s3 cp s3://rtdc.mdm.uploadarchive/RTDC4018/2016-07-30/ "C:\Users\stu\Documents\Analysis\2016-02-23 RTDC Observations"\RTDC4018\2016-07-30 --recursive &amp; "C:\Users\stu\Documents\GitHub\mrs-test-scripts\Headless Mode &amp; Sideloading\WalkAndUnGZ.bat" "C:\Users\stu\Documents\Analysis\2016-02-23 RTDC Observations"\RTDC4018\2016-07-30 &amp; aws s3 cp s3://rtdc.mdm.uploadarchive/RTDC4018/2016-07-31/ "C:\Users\stu\Documents\Analysis\2016-02-23 RTDC Observations"\RTDC4018\2016-07-31 --recursive &amp; "C:\Users\stu\Documents\GitHub\mrs-test-scripts\Headless Mode &amp; Sideloading\WalkAndUnGZ.bat" "C:\Users\stu\Documents\Analysis\2016-02-23 RTDC Observations"\RTDC4018\2016-07-31</v>
      </c>
      <c r="Q36" s="60" t="str">
        <f>VLOOKUP(C36,'Train Runs'!$A$13:$AE$755,22,0)</f>
        <v>https://search-rtdc-monitor-bjffxe2xuh6vdkpspy63sjmuny.us-east-1.es.amazonaws.com/_plugin/kibana/#/discover/Steve-Slow-Train-Analysis-(2080s-and-2083s)?_g=(refreshInterval:(display:Off,section:0,value:0),time:(from:'2016-07-30 20:09:58-0600',mode:absolute,to:'2016-07-30 23:06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36" s="61" t="str">
        <f t="shared" si="0"/>
        <v>"C:\Program Files (x86)\AstroGrep\AstroGrep.exe" /spath="C:\Users\stu\Documents\Analysis\2016-02-23 RTDC Observations" /stypes="*4018*201607310*" /stext=" 04:.+((SYSTEM_STATE.+slice.+state.+changed )|(ment ac)|(system.+state.+changed )|(\|lc)|(penalty)|(\[timeout)|(PRM\|1\|D))" /e /r /s</v>
      </c>
      <c r="S36" s="9" t="str">
        <f t="shared" si="1"/>
        <v>4018</v>
      </c>
      <c r="T36" s="44">
        <f t="shared" si="2"/>
        <v>42582.171388888892</v>
      </c>
      <c r="U36" s="59" t="str">
        <f t="shared" si="3"/>
        <v>EC</v>
      </c>
      <c r="V36" s="59" t="str">
        <f t="shared" si="4"/>
        <v>KEEP</v>
      </c>
    </row>
    <row r="37" spans="1:22" x14ac:dyDescent="0.25">
      <c r="A37" s="44">
        <v>42581.825844907406</v>
      </c>
      <c r="B37" s="37" t="s">
        <v>109</v>
      </c>
      <c r="C37" s="37" t="s">
        <v>796</v>
      </c>
      <c r="D37" s="37" t="s">
        <v>49</v>
      </c>
      <c r="E37" s="37" t="s">
        <v>54</v>
      </c>
      <c r="F37" s="56">
        <v>0</v>
      </c>
      <c r="G37" s="56">
        <v>282</v>
      </c>
      <c r="H37" s="56">
        <v>15233</v>
      </c>
      <c r="I37" s="37" t="s">
        <v>55</v>
      </c>
      <c r="J37" s="56">
        <v>16577</v>
      </c>
      <c r="K37" s="37" t="s">
        <v>52</v>
      </c>
      <c r="L37" s="124" t="str">
        <f>VLOOKUP(C37,'Trips&amp;Operators'!$C$1:$E$9999,3,0)</f>
        <v>WEBSTER</v>
      </c>
      <c r="M37" s="9" t="s">
        <v>97</v>
      </c>
      <c r="N37" s="10"/>
      <c r="O37" s="37"/>
      <c r="P37" s="62" t="e">
        <f>VLOOKUP(C37,'Train Runs'!$A$13:$AE$755,31,0)</f>
        <v>#N/A</v>
      </c>
      <c r="Q37" s="60" t="e">
        <f>VLOOKUP(C37,'Train Runs'!$A$13:$AE$755,22,0)</f>
        <v>#N/A</v>
      </c>
      <c r="R37" s="61" t="str">
        <f t="shared" si="0"/>
        <v>"C:\Program Files (x86)\AstroGrep\AstroGrep.exe" /spath="C:\Users\stu\Documents\Analysis\2016-02-23 RTDC Observations" /stypes="*4027*201607310*" /stext=" 01:.+((SYSTEM_STATE.+slice.+state.+changed )|(ment ac)|(system.+state.+changed )|(\|lc)|(penalty)|(\[timeout)|(PRM\|1\|D))" /e /r /s</v>
      </c>
      <c r="S37" s="9" t="str">
        <f t="shared" si="1"/>
        <v>4027</v>
      </c>
      <c r="T37" s="44">
        <f t="shared" si="2"/>
        <v>42582.075844907406</v>
      </c>
      <c r="U37" s="59" t="str">
        <f t="shared" si="3"/>
        <v>GL</v>
      </c>
      <c r="V37" s="59" t="str">
        <f t="shared" si="4"/>
        <v>KEEP</v>
      </c>
    </row>
    <row r="38" spans="1:22" ht="15" customHeight="1" x14ac:dyDescent="0.25">
      <c r="A38" s="44">
        <v>42581.207280092596</v>
      </c>
      <c r="B38" s="37" t="s">
        <v>101</v>
      </c>
      <c r="C38" s="37" t="s">
        <v>620</v>
      </c>
      <c r="D38" s="37" t="s">
        <v>49</v>
      </c>
      <c r="E38" s="37" t="s">
        <v>54</v>
      </c>
      <c r="F38" s="56">
        <v>0</v>
      </c>
      <c r="G38" s="56">
        <v>71</v>
      </c>
      <c r="H38" s="56">
        <v>28847</v>
      </c>
      <c r="I38" s="37" t="s">
        <v>55</v>
      </c>
      <c r="J38" s="56">
        <v>28990</v>
      </c>
      <c r="K38" s="37" t="s">
        <v>52</v>
      </c>
      <c r="L38" s="124" t="str">
        <f>VLOOKUP(C38,'Trips&amp;Operators'!$C$1:$E$9999,3,0)</f>
        <v>HELVIE</v>
      </c>
      <c r="M38" s="9" t="s">
        <v>97</v>
      </c>
      <c r="N38" s="10"/>
      <c r="O38" s="37"/>
      <c r="P38" s="62" t="str">
        <f>VLOOKUP(C38,'Train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38" s="60" t="str">
        <f>VLOOKUP(C38,'Train Runs'!$A$13:$AE$755,22,0)</f>
        <v>https://search-rtdc-monitor-bjffxe2xuh6vdkpspy63sjmuny.us-east-1.es.amazonaws.com/_plugin/kibana/#/discover/Steve-Slow-Train-Analysis-(2080s-and-2083s)?_g=(refreshInterval:(display:Off,section:0,value:0),time:(from:'2016-07-30 03:55:39-0600',mode:absolute,to:'2016-07-30 06:00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38" s="61" t="str">
        <f t="shared" si="0"/>
        <v>"C:\Program Files (x86)\AstroGrep\AstroGrep.exe" /spath="C:\Users\stu\Documents\Analysis\2016-02-23 RTDC Observations" /stypes="*4038*201607301*" /stext=" 10:.+((SYSTEM_STATE.+slice.+state.+changed )|(ment ac)|(system.+state.+changed )|(\|lc)|(penalty)|(\[timeout)|(PRM\|1\|D))" /e /r /s</v>
      </c>
      <c r="S38" s="9" t="str">
        <f t="shared" si="1"/>
        <v>4038</v>
      </c>
      <c r="T38" s="44">
        <f t="shared" si="2"/>
        <v>42581.457280092596</v>
      </c>
      <c r="U38" s="59" t="str">
        <f t="shared" si="3"/>
        <v>GL</v>
      </c>
      <c r="V38" s="59" t="str">
        <f t="shared" si="4"/>
        <v>KEEP</v>
      </c>
    </row>
    <row r="39" spans="1:22" ht="15" customHeight="1" x14ac:dyDescent="0.25">
      <c r="A39" s="44">
        <v>42581.229525462964</v>
      </c>
      <c r="B39" s="37" t="s">
        <v>68</v>
      </c>
      <c r="C39" s="37" t="s">
        <v>632</v>
      </c>
      <c r="D39" s="37" t="s">
        <v>49</v>
      </c>
      <c r="E39" s="37" t="s">
        <v>54</v>
      </c>
      <c r="F39" s="56">
        <v>0</v>
      </c>
      <c r="G39" s="56">
        <v>108</v>
      </c>
      <c r="H39" s="56">
        <v>28986</v>
      </c>
      <c r="I39" s="37" t="s">
        <v>55</v>
      </c>
      <c r="J39" s="56">
        <v>28990</v>
      </c>
      <c r="K39" s="37" t="s">
        <v>52</v>
      </c>
      <c r="L39" s="124" t="str">
        <f>VLOOKUP(C39,'Trips&amp;Operators'!$C$1:$E$9999,3,0)</f>
        <v>YORK</v>
      </c>
      <c r="M39" s="9" t="s">
        <v>97</v>
      </c>
      <c r="N39" s="10"/>
      <c r="O39" s="37"/>
      <c r="P39" s="62" t="str">
        <f>VLOOKUP(C39,'Train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39" s="60" t="str">
        <f>VLOOKUP(C39,'Train Runs'!$A$13:$AE$755,22,0)</f>
        <v>https://search-rtdc-monitor-bjffxe2xuh6vdkpspy63sjmuny.us-east-1.es.amazonaws.com/_plugin/kibana/#/discover/Steve-Slow-Train-Analysis-(2080s-and-2083s)?_g=(refreshInterval:(display:Off,section:0,value:0),time:(from:'2016-07-30 04:26:37-0600',mode:absolute,to:'2016-07-30 06:31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39" s="61" t="str">
        <f t="shared" ref="R39:R67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/stypes="*4020*201607301*" /stext=" 11:.+((SYSTEM_STATE.+slice.+state.+changed )|(ment ac)|(system.+state.+changed )|(\|lc)|(penalty)|(\[timeout)|(PRM\|1\|D))" /e /r /s</v>
      </c>
      <c r="S39" s="9" t="str">
        <f t="shared" ref="S39:S67" si="6">MID(B39,13,4)</f>
        <v>4020</v>
      </c>
      <c r="T39" s="44">
        <f t="shared" ref="T39:T67" si="7">A39+6/24</f>
        <v>42581.479525462964</v>
      </c>
      <c r="U39" s="59" t="str">
        <f t="shared" ref="U39:U67" si="8">IF(VALUE(LEFT(IF(LEN(C39)=6,"0"&amp;C39,C39),2))&lt;=2,"EC",IF(OR(VALUE(LEFT(IF(LEN(C39)=6,"0"&amp;C39,C39),2))=8,VALUE(LEFT(IF(LEN(C39)=6,"0"&amp;C39,C39),2))=18),"NW","GL"))</f>
        <v>GL</v>
      </c>
      <c r="V39" s="59" t="str">
        <f t="shared" ref="V39:V67" si="9">IF(AND(E39="TRACK WARRANT AUTHORITY",G39&lt;10),"OMIT","KEEP")</f>
        <v>KEEP</v>
      </c>
    </row>
    <row r="40" spans="1:22" x14ac:dyDescent="0.25">
      <c r="A40" s="44">
        <v>42581.804444444446</v>
      </c>
      <c r="B40" s="37" t="s">
        <v>169</v>
      </c>
      <c r="C40" s="37" t="s">
        <v>706</v>
      </c>
      <c r="D40" s="37" t="s">
        <v>144</v>
      </c>
      <c r="E40" s="37" t="s">
        <v>376</v>
      </c>
      <c r="F40" s="56">
        <v>100</v>
      </c>
      <c r="G40" s="56">
        <v>162</v>
      </c>
      <c r="H40" s="56">
        <v>11283</v>
      </c>
      <c r="I40" s="37" t="s">
        <v>132</v>
      </c>
      <c r="J40" s="56">
        <v>10701</v>
      </c>
      <c r="K40" s="37" t="s">
        <v>52</v>
      </c>
      <c r="L40" s="124" t="str">
        <f>VLOOKUP(C40,'Trips&amp;Operators'!$C$1:$E$9999,3,0)</f>
        <v>MAYBERRY</v>
      </c>
      <c r="M40" s="9" t="s">
        <v>97</v>
      </c>
      <c r="N40" s="10"/>
      <c r="O40" s="37"/>
      <c r="P40" s="62" t="str">
        <f>VLOOKUP(C40,'Train Runs'!$A$13:$AE$755,31,0)</f>
        <v>aws s3 cp s3://rtdc.mdm.uploadarchive/RTDC4014/2016-07-30/ "C:\Users\stu\Documents\Analysis\2016-02-23 RTDC Observations"\RTDC4014\2016-07-30 --recursive &amp; "C:\Users\stu\Documents\GitHub\mrs-test-scripts\Headless Mode &amp; Sideloading\WalkAndUnGZ.bat" "C:\Users\stu\Documents\Analysis\2016-02-23 RTDC Observations"\RTDC4014\2016-07-30 &amp; aws s3 cp s3://rtdc.mdm.uploadarchive/RTDC4014/2016-07-31/ "C:\Users\stu\Documents\Analysis\2016-02-23 RTDC Observations"\RTDC4014\2016-07-31 --recursive &amp; "C:\Users\stu\Documents\GitHub\mrs-test-scripts\Headless Mode &amp; Sideloading\WalkAndUnGZ.bat" "C:\Users\stu\Documents\Analysis\2016-02-23 RTDC Observations"\RTDC4014\2016-07-31</v>
      </c>
      <c r="Q40" s="60" t="str">
        <f>VLOOKUP(C40,'Train Runs'!$A$13:$AE$755,22,0)</f>
        <v>https://search-rtdc-monitor-bjffxe2xuh6vdkpspy63sjmuny.us-east-1.es.amazonaws.com/_plugin/kibana/#/discover/Steve-Slow-Train-Analysis-(2080s-and-2083s)?_g=(refreshInterval:(display:Off,section:0,value:0),time:(from:'2016-07-30 18:11:03-0600',mode:absolute,to:'2016-07-30 20:23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R40" s="61" t="str">
        <f t="shared" si="5"/>
        <v>"C:\Program Files (x86)\AstroGrep\AstroGrep.exe" /spath="C:\Users\stu\Documents\Analysis\2016-02-23 RTDC Observations" /stypes="*4014*201607310*" /stext=" 01:.+((SYSTEM_STATE.+slice.+state.+changed )|(ment ac)|(system.+state.+changed )|(\|lc)|(penalty)|(\[timeout)|(PRM\|1\|D))" /e /r /s</v>
      </c>
      <c r="S40" s="9" t="str">
        <f t="shared" si="6"/>
        <v>4014</v>
      </c>
      <c r="T40" s="44">
        <f t="shared" si="7"/>
        <v>42582.054444444446</v>
      </c>
      <c r="U40" s="59" t="str">
        <f t="shared" si="8"/>
        <v>GL</v>
      </c>
      <c r="V40" s="59" t="str">
        <f t="shared" si="9"/>
        <v>KEEP</v>
      </c>
    </row>
    <row r="41" spans="1:22" ht="15" customHeight="1" x14ac:dyDescent="0.25">
      <c r="A41" s="44">
        <v>42581.923541666663</v>
      </c>
      <c r="B41" s="37" t="s">
        <v>67</v>
      </c>
      <c r="C41" s="37" t="s">
        <v>594</v>
      </c>
      <c r="D41" s="37" t="s">
        <v>49</v>
      </c>
      <c r="E41" s="37" t="s">
        <v>376</v>
      </c>
      <c r="F41" s="56">
        <v>100</v>
      </c>
      <c r="G41" s="56">
        <v>221</v>
      </c>
      <c r="H41" s="56">
        <v>11595</v>
      </c>
      <c r="I41" s="37" t="s">
        <v>132</v>
      </c>
      <c r="J41" s="56">
        <v>11000</v>
      </c>
      <c r="K41" s="37" t="s">
        <v>53</v>
      </c>
      <c r="L41" s="124" t="str">
        <f>VLOOKUP(C41,'Trips&amp;Operators'!$C$1:$E$9999,3,0)</f>
        <v>ADANE</v>
      </c>
      <c r="M41" s="9" t="s">
        <v>97</v>
      </c>
      <c r="N41" s="10"/>
      <c r="O41" s="37"/>
      <c r="P41" s="62" t="str">
        <f>VLOOKUP(C41,'Train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41" s="60" t="str">
        <f>VLOOKUP(C41,'Train Runs'!$A$13:$AE$755,22,0)</f>
        <v>https://search-rtdc-monitor-bjffxe2xuh6vdkpspy63sjmuny.us-east-1.es.amazonaws.com/_plugin/kibana/#/discover/Steve-Slow-Train-Analysis-(2080s-and-2083s)?_g=(refreshInterval:(display:Off,section:0,value:0),time:(from:'2016-07-30 20:55:46-0600',mode:absolute,to:'2016-07-30 23:14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41" s="61" t="str">
        <f t="shared" si="5"/>
        <v>"C:\Program Files (x86)\AstroGrep\AstroGrep.exe" /spath="C:\Users\stu\Documents\Analysis\2016-02-23 RTDC Observations" /stypes="*4019*201607310*" /stext=" 04:.+((SYSTEM_STATE.+slice.+state.+changed )|(ment ac)|(system.+state.+changed )|(\|lc)|(penalty)|(\[timeout)|(PRM\|1\|D))" /e /r /s</v>
      </c>
      <c r="S41" s="9" t="str">
        <f t="shared" si="6"/>
        <v>4019</v>
      </c>
      <c r="T41" s="44">
        <f t="shared" si="7"/>
        <v>42582.173541666663</v>
      </c>
      <c r="U41" s="59" t="str">
        <f t="shared" si="8"/>
        <v>GL</v>
      </c>
      <c r="V41" s="59" t="str">
        <f t="shared" si="9"/>
        <v>KEEP</v>
      </c>
    </row>
    <row r="42" spans="1:22" x14ac:dyDescent="0.25">
      <c r="A42" s="44">
        <v>42581.967893518522</v>
      </c>
      <c r="B42" s="37" t="s">
        <v>67</v>
      </c>
      <c r="C42" s="37" t="s">
        <v>603</v>
      </c>
      <c r="D42" s="37" t="s">
        <v>49</v>
      </c>
      <c r="E42" s="37" t="s">
        <v>50</v>
      </c>
      <c r="F42" s="56">
        <v>0</v>
      </c>
      <c r="G42" s="56">
        <v>61</v>
      </c>
      <c r="H42" s="56">
        <v>790</v>
      </c>
      <c r="I42" s="37" t="s">
        <v>51</v>
      </c>
      <c r="J42" s="56">
        <v>575</v>
      </c>
      <c r="K42" s="37" t="s">
        <v>53</v>
      </c>
      <c r="L42" s="124" t="str">
        <f>VLOOKUP(C42,'Trips&amp;Operators'!$C$1:$E$9999,3,0)</f>
        <v>STORY</v>
      </c>
      <c r="M42" s="9" t="s">
        <v>97</v>
      </c>
      <c r="N42" s="10"/>
      <c r="O42" s="37"/>
      <c r="P42" s="62" t="str">
        <f>VLOOKUP(C42,'Train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42" s="60" t="str">
        <f>VLOOKUP(C42,'Train Runs'!$A$13:$AE$755,22,0)</f>
        <v>https://search-rtdc-monitor-bjffxe2xuh6vdkpspy63sjmuny.us-east-1.es.amazonaws.com/_plugin/kibana/#/discover/Steve-Slow-Train-Analysis-(2080s-and-2083s)?_g=(refreshInterval:(display:Off,section:0,value:0),time:(from:'2016-07-30 21:44:04-0600',mode:absolute,to:'2016-07-31 00:13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42" s="61" t="str">
        <f t="shared" si="5"/>
        <v>"C:\Program Files (x86)\AstroGrep\AstroGrep.exe" /spath="C:\Users\stu\Documents\Analysis\2016-02-23 RTDC Observations" /stypes="*4019*201607310*" /stext=" 05:.+((SYSTEM_STATE.+slice.+state.+changed )|(ment ac)|(system.+state.+changed )|(\|lc)|(penalty)|(\[timeout)|(PRM\|1\|D))" /e /r /s</v>
      </c>
      <c r="S42" s="9" t="str">
        <f t="shared" si="6"/>
        <v>4019</v>
      </c>
      <c r="T42" s="44">
        <f t="shared" si="7"/>
        <v>42582.217893518522</v>
      </c>
      <c r="U42" s="59" t="str">
        <f t="shared" si="8"/>
        <v>GL</v>
      </c>
      <c r="V42" s="59" t="str">
        <f t="shared" si="9"/>
        <v>KEEP</v>
      </c>
    </row>
    <row r="43" spans="1:22" ht="15" customHeight="1" x14ac:dyDescent="0.25">
      <c r="A43" s="44">
        <v>42581.954745370371</v>
      </c>
      <c r="B43" s="37" t="s">
        <v>101</v>
      </c>
      <c r="C43" s="37" t="s">
        <v>599</v>
      </c>
      <c r="D43" s="37" t="s">
        <v>49</v>
      </c>
      <c r="E43" s="37" t="s">
        <v>50</v>
      </c>
      <c r="F43" s="56">
        <v>0</v>
      </c>
      <c r="G43" s="56">
        <v>41</v>
      </c>
      <c r="H43" s="56">
        <v>58960</v>
      </c>
      <c r="I43" s="37" t="s">
        <v>51</v>
      </c>
      <c r="J43" s="56">
        <v>59048</v>
      </c>
      <c r="K43" s="37" t="s">
        <v>52</v>
      </c>
      <c r="L43" s="124" t="str">
        <f>VLOOKUP(C43,'Trips&amp;Operators'!$C$1:$E$9999,3,0)</f>
        <v>DE LA ROSA</v>
      </c>
      <c r="M43" s="9" t="s">
        <v>97</v>
      </c>
      <c r="N43" s="10"/>
      <c r="O43" s="37"/>
      <c r="P43" s="62" t="str">
        <f>VLOOKUP(C43,'Train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43" s="60" t="str">
        <f>VLOOKUP(C43,'Train Runs'!$A$13:$AE$755,22,0)</f>
        <v>https://search-rtdc-monitor-bjffxe2xuh6vdkpspy63sjmuny.us-east-1.es.amazonaws.com/_plugin/kibana/#/discover/Steve-Slow-Train-Analysis-(2080s-and-2083s)?_g=(refreshInterval:(display:Off,section:0,value:0),time:(from:'2016-07-30 21:38:31-0600',mode:absolute,to:'2016-07-30 23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43" s="61" t="str">
        <f t="shared" si="5"/>
        <v>"C:\Program Files (x86)\AstroGrep\AstroGrep.exe" /spath="C:\Users\stu\Documents\Analysis\2016-02-23 RTDC Observations" /stypes="*4038*201607310*" /stext=" 04:.+((SYSTEM_STATE.+slice.+state.+changed )|(ment ac)|(system.+state.+changed )|(\|lc)|(penalty)|(\[timeout)|(PRM\|1\|D))" /e /r /s</v>
      </c>
      <c r="S43" s="9" t="str">
        <f t="shared" si="6"/>
        <v>4038</v>
      </c>
      <c r="T43" s="44">
        <f t="shared" si="7"/>
        <v>42582.204745370371</v>
      </c>
      <c r="U43" s="59" t="str">
        <f t="shared" si="8"/>
        <v>GL</v>
      </c>
      <c r="V43" s="59" t="str">
        <f t="shared" si="9"/>
        <v>KEEP</v>
      </c>
    </row>
    <row r="44" spans="1:22" x14ac:dyDescent="0.25">
      <c r="A44" s="44">
        <v>42582.010752314818</v>
      </c>
      <c r="B44" s="37" t="s">
        <v>105</v>
      </c>
      <c r="C44" s="37" t="s">
        <v>608</v>
      </c>
      <c r="D44" s="37" t="s">
        <v>49</v>
      </c>
      <c r="E44" s="37" t="s">
        <v>50</v>
      </c>
      <c r="F44" s="56">
        <v>0</v>
      </c>
      <c r="G44" s="56">
        <v>161</v>
      </c>
      <c r="H44" s="56">
        <v>58125</v>
      </c>
      <c r="I44" s="37" t="s">
        <v>51</v>
      </c>
      <c r="J44" s="56">
        <v>59048</v>
      </c>
      <c r="K44" s="37" t="s">
        <v>52</v>
      </c>
      <c r="L44" s="124" t="str">
        <f>VLOOKUP(C44,'Trips&amp;Operators'!$C$1:$E$9999,3,0)</f>
        <v>STAMBAUGH</v>
      </c>
      <c r="M44" s="9" t="s">
        <v>97</v>
      </c>
      <c r="N44" s="10"/>
      <c r="O44" s="37"/>
      <c r="P44" s="62" t="str">
        <f>VLOOKUP(C44,'Train Runs'!$A$13:$AE$755,31,0)</f>
        <v>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 &amp; aws s3 cp s3://rtdc.mdm.uploadarchive/RTDC4025/2016-08-01/ "C:\Users\stu\Documents\Analysis\2016-02-23 RTDC Observations"\RTDC4025\2016-08-01 --recursive &amp; "C:\Users\stu\Documents\GitHub\mrs-test-scripts\Headless Mode &amp; Sideloading\WalkAndUnGZ.bat" "C:\Users\stu\Documents\Analysis\2016-02-23 RTDC Observations"\RTDC4025\2016-08-01</v>
      </c>
      <c r="Q44" s="60" t="str">
        <f>VLOOKUP(C44,'Train Runs'!$A$13:$AE$755,22,0)</f>
        <v>https://search-rtdc-monitor-bjffxe2xuh6vdkpspy63sjmuny.us-east-1.es.amazonaws.com/_plugin/kibana/#/discover/Steve-Slow-Train-Analysis-(2080s-and-2083s)?_g=(refreshInterval:(display:Off,section:0,value:0),time:(from:'2016-07-30 23:00:34-0600',mode:absolute,to:'2016-07-31 01:17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4" s="61" t="str">
        <f t="shared" si="5"/>
        <v>"C:\Program Files (x86)\AstroGrep\AstroGrep.exe" /spath="C:\Users\stu\Documents\Analysis\2016-02-23 RTDC Observations" /stypes="*4025*201607310*" /stext=" 06:.+((SYSTEM_STATE.+slice.+state.+changed )|(ment ac)|(system.+state.+changed )|(\|lc)|(penalty)|(\[timeout)|(PRM\|1\|D))" /e /r /s</v>
      </c>
      <c r="S44" s="9" t="str">
        <f t="shared" si="6"/>
        <v>4025</v>
      </c>
      <c r="T44" s="44">
        <f t="shared" si="7"/>
        <v>42582.260752314818</v>
      </c>
      <c r="U44" s="59" t="str">
        <f t="shared" si="8"/>
        <v>GL</v>
      </c>
      <c r="V44" s="59" t="str">
        <f t="shared" si="9"/>
        <v>KEEP</v>
      </c>
    </row>
    <row r="45" spans="1:22" ht="15" customHeight="1" x14ac:dyDescent="0.25">
      <c r="A45" s="44">
        <v>42581.969409722224</v>
      </c>
      <c r="B45" s="37" t="s">
        <v>105</v>
      </c>
      <c r="C45" s="37" t="s">
        <v>602</v>
      </c>
      <c r="D45" s="37" t="s">
        <v>49</v>
      </c>
      <c r="E45" s="37" t="s">
        <v>50</v>
      </c>
      <c r="F45" s="56">
        <v>0</v>
      </c>
      <c r="G45" s="56">
        <v>118</v>
      </c>
      <c r="H45" s="56">
        <v>58539</v>
      </c>
      <c r="I45" s="37" t="s">
        <v>51</v>
      </c>
      <c r="J45" s="56">
        <v>59058</v>
      </c>
      <c r="K45" s="37" t="s">
        <v>52</v>
      </c>
      <c r="L45" s="124" t="str">
        <f>VLOOKUP(C45,'Trips&amp;Operators'!$C$1:$E$9999,3,0)</f>
        <v>STAMBAUGH</v>
      </c>
      <c r="M45" s="9" t="s">
        <v>97</v>
      </c>
      <c r="N45" s="10"/>
      <c r="O45" s="37"/>
      <c r="P45" s="62" t="str">
        <f>VLOOKUP(C45,'Train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5" s="60" t="str">
        <f>VLOOKUP(C45,'Train Runs'!$A$13:$AE$755,22,0)</f>
        <v>https://search-rtdc-monitor-bjffxe2xuh6vdkpspy63sjmuny.us-east-1.es.amazonaws.com/_plugin/kibana/#/discover/Steve-Slow-Train-Analysis-(2080s-and-2083s)?_g=(refreshInterval:(display:Off,section:0,value:0),time:(from:'2016-07-30 21:58:27-0600',mode:absolute,to:'2016-07-31 00:16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5" s="61" t="str">
        <f t="shared" si="5"/>
        <v>"C:\Program Files (x86)\AstroGrep\AstroGrep.exe" /spath="C:\Users\stu\Documents\Analysis\2016-02-23 RTDC Observations" /stypes="*4025*201607310*" /stext=" 05:.+((SYSTEM_STATE.+slice.+state.+changed )|(ment ac)|(system.+state.+changed )|(\|lc)|(penalty)|(\[timeout)|(PRM\|1\|D))" /e /r /s</v>
      </c>
      <c r="S45" s="9" t="str">
        <f t="shared" si="6"/>
        <v>4025</v>
      </c>
      <c r="T45" s="44">
        <f t="shared" si="7"/>
        <v>42582.219409722224</v>
      </c>
      <c r="U45" s="59" t="str">
        <f t="shared" si="8"/>
        <v>GL</v>
      </c>
      <c r="V45" s="59" t="str">
        <f t="shared" si="9"/>
        <v>KEEP</v>
      </c>
    </row>
    <row r="46" spans="1:22" x14ac:dyDescent="0.25">
      <c r="A46" s="44">
        <v>42581.257488425923</v>
      </c>
      <c r="B46" s="37" t="s">
        <v>105</v>
      </c>
      <c r="C46" s="37" t="s">
        <v>471</v>
      </c>
      <c r="D46" s="37" t="s">
        <v>144</v>
      </c>
      <c r="E46" s="37" t="s">
        <v>56</v>
      </c>
      <c r="F46" s="56">
        <v>450</v>
      </c>
      <c r="G46" s="56">
        <v>500</v>
      </c>
      <c r="H46" s="56">
        <v>14640</v>
      </c>
      <c r="I46" s="37" t="s">
        <v>57</v>
      </c>
      <c r="J46" s="56">
        <v>13572</v>
      </c>
      <c r="K46" s="37" t="s">
        <v>52</v>
      </c>
      <c r="L46" s="124" t="str">
        <f>VLOOKUP(C46,'Trips&amp;Operators'!$C$1:$E$9999,3,0)</f>
        <v>MADLOM</v>
      </c>
      <c r="M46" s="9" t="s">
        <v>97</v>
      </c>
      <c r="N46" s="10"/>
      <c r="O46" s="37"/>
      <c r="P46" s="62" t="str">
        <f>VLOOKUP(C46,'Train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6" s="60" t="str">
        <f>VLOOKUP(C46,'Train Runs'!$A$13:$AE$755,22,0)</f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6" s="61" t="str">
        <f t="shared" si="5"/>
        <v>"C:\Program Files (x86)\AstroGrep\AstroGrep.exe" /spath="C:\Users\stu\Documents\Analysis\2016-02-23 RTDC Observations" /stypes="*4025*201607301*" /stext=" 12:.+((SYSTEM_STATE.+slice.+state.+changed )|(ment ac)|(system.+state.+changed )|(\|lc)|(penalty)|(\[timeout)|(PRM\|1\|D))" /e /r /s</v>
      </c>
      <c r="S46" s="9" t="str">
        <f t="shared" si="6"/>
        <v>4025</v>
      </c>
      <c r="T46" s="44">
        <f t="shared" si="7"/>
        <v>42581.507488425923</v>
      </c>
      <c r="U46" s="59" t="str">
        <f t="shared" si="8"/>
        <v>NW</v>
      </c>
      <c r="V46" s="59" t="str">
        <f t="shared" si="9"/>
        <v>KEEP</v>
      </c>
    </row>
    <row r="47" spans="1:22" x14ac:dyDescent="0.25">
      <c r="A47" s="44">
        <v>42581.767650462964</v>
      </c>
      <c r="B47" s="37" t="s">
        <v>68</v>
      </c>
      <c r="C47" s="37" t="s">
        <v>543</v>
      </c>
      <c r="D47" s="37" t="s">
        <v>144</v>
      </c>
      <c r="E47" s="37" t="s">
        <v>56</v>
      </c>
      <c r="F47" s="56">
        <v>500</v>
      </c>
      <c r="G47" s="56">
        <v>557</v>
      </c>
      <c r="H47" s="56">
        <v>16148</v>
      </c>
      <c r="I47" s="37" t="s">
        <v>57</v>
      </c>
      <c r="J47" s="56">
        <v>14402</v>
      </c>
      <c r="K47" s="37" t="s">
        <v>52</v>
      </c>
      <c r="L47" s="124" t="str">
        <f>VLOOKUP(C47,'Trips&amp;Operators'!$C$1:$E$9999,3,0)</f>
        <v>ADANE</v>
      </c>
      <c r="M47" s="9" t="s">
        <v>97</v>
      </c>
      <c r="N47" s="10"/>
      <c r="O47" s="37"/>
      <c r="P47" s="62" t="str">
        <f>VLOOKUP(C47,'Train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47" s="60" t="str">
        <f>VLOOKUP(C47,'Train Runs'!$A$13:$AE$755,22,0)</f>
        <v>https://search-rtdc-monitor-bjffxe2xuh6vdkpspy63sjmuny.us-east-1.es.amazonaws.com/_plugin/kibana/#/discover/Steve-Slow-Train-Analysis-(2080s-and-2083s)?_g=(refreshInterval:(display:Off,section:0,value:0),time:(from:'2016-07-30 17:17:22-0600',mode:absolute,to:'2016-07-30 19:33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7" s="61" t="str">
        <f t="shared" si="5"/>
        <v>"C:\Program Files (x86)\AstroGrep\AstroGrep.exe" /spath="C:\Users\stu\Documents\Analysis\2016-02-23 RTDC Observations" /stypes="*4020*201607310*" /stext=" 00:.+((SYSTEM_STATE.+slice.+state.+changed )|(ment ac)|(system.+state.+changed )|(\|lc)|(penalty)|(\[timeout)|(PRM\|1\|D))" /e /r /s</v>
      </c>
      <c r="S47" s="9" t="str">
        <f t="shared" si="6"/>
        <v>4020</v>
      </c>
      <c r="T47" s="44">
        <f t="shared" si="7"/>
        <v>42582.017650462964</v>
      </c>
      <c r="U47" s="59" t="str">
        <f t="shared" si="8"/>
        <v>NW</v>
      </c>
      <c r="V47" s="59" t="str">
        <f t="shared" si="9"/>
        <v>KEEP</v>
      </c>
    </row>
    <row r="48" spans="1:22" x14ac:dyDescent="0.25">
      <c r="A48" s="44">
        <v>42581.296759259261</v>
      </c>
      <c r="B48" s="37" t="s">
        <v>105</v>
      </c>
      <c r="C48" s="37" t="s">
        <v>487</v>
      </c>
      <c r="D48" s="37" t="s">
        <v>49</v>
      </c>
      <c r="E48" s="37" t="s">
        <v>56</v>
      </c>
      <c r="F48" s="56">
        <v>300</v>
      </c>
      <c r="G48" s="56">
        <v>418</v>
      </c>
      <c r="H48" s="56">
        <v>19297</v>
      </c>
      <c r="I48" s="37" t="s">
        <v>57</v>
      </c>
      <c r="J48" s="56">
        <v>21314</v>
      </c>
      <c r="K48" s="37" t="s">
        <v>52</v>
      </c>
      <c r="L48" s="124" t="str">
        <f>VLOOKUP(C48,'Trips&amp;Operators'!$C$1:$E$9999,3,0)</f>
        <v>MADLOM</v>
      </c>
      <c r="M48" s="9" t="s">
        <v>97</v>
      </c>
      <c r="N48" s="10"/>
      <c r="O48" s="37"/>
      <c r="P48" s="62" t="str">
        <f>VLOOKUP(C48,'Train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8" s="60" t="str">
        <f>VLOOKUP(C48,'Train Runs'!$A$13:$AE$755,22,0)</f>
        <v>https://search-rtdc-monitor-bjffxe2xuh6vdkpspy63sjmuny.us-east-1.es.amazonaws.com/_plugin/kibana/#/discover/Steve-Slow-Train-Analysis-(2080s-and-2083s)?_g=(refreshInterval:(display:Off,section:0,value:0),time:(from:'2016-07-30 05:58:55-0600',mode:absolute,to:'2016-07-30 08:17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8" s="61" t="str">
        <f t="shared" si="5"/>
        <v>"C:\Program Files (x86)\AstroGrep\AstroGrep.exe" /spath="C:\Users\stu\Documents\Analysis\2016-02-23 RTDC Observations" /stypes="*4025*201607301*" /stext=" 13:.+((SYSTEM_STATE.+slice.+state.+changed )|(ment ac)|(system.+state.+changed )|(\|lc)|(penalty)|(\[timeout)|(PRM\|1\|D))" /e /r /s</v>
      </c>
      <c r="S48" s="9" t="str">
        <f t="shared" si="6"/>
        <v>4025</v>
      </c>
      <c r="T48" s="44">
        <f t="shared" si="7"/>
        <v>42581.546759259261</v>
      </c>
      <c r="U48" s="59" t="str">
        <f t="shared" si="8"/>
        <v>NW</v>
      </c>
      <c r="V48" s="59" t="str">
        <f t="shared" si="9"/>
        <v>KEEP</v>
      </c>
    </row>
    <row r="49" spans="1:22" x14ac:dyDescent="0.25">
      <c r="A49" s="44">
        <v>42581.340266203704</v>
      </c>
      <c r="B49" s="37" t="s">
        <v>105</v>
      </c>
      <c r="C49" s="37" t="s">
        <v>498</v>
      </c>
      <c r="D49" s="37" t="s">
        <v>144</v>
      </c>
      <c r="E49" s="37" t="s">
        <v>56</v>
      </c>
      <c r="F49" s="56">
        <v>300</v>
      </c>
      <c r="G49" s="56">
        <v>360</v>
      </c>
      <c r="H49" s="56">
        <v>23042</v>
      </c>
      <c r="I49" s="37" t="s">
        <v>57</v>
      </c>
      <c r="J49" s="56">
        <v>21314</v>
      </c>
      <c r="K49" s="37" t="s">
        <v>52</v>
      </c>
      <c r="L49" s="124" t="str">
        <f>VLOOKUP(C49,'Trips&amp;Operators'!$C$1:$E$9999,3,0)</f>
        <v>MADLOM</v>
      </c>
      <c r="M49" s="9" t="s">
        <v>97</v>
      </c>
      <c r="N49" s="10"/>
      <c r="O49" s="37"/>
      <c r="P49" s="62" t="str">
        <f>VLOOKUP(C49,'Train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49" s="60" t="str">
        <f>VLOOKUP(C49,'Train Runs'!$A$13:$AE$755,22,0)</f>
        <v>https://search-rtdc-monitor-bjffxe2xuh6vdkpspy63sjmuny.us-east-1.es.amazonaws.com/_plugin/kibana/#/discover/Steve-Slow-Train-Analysis-(2080s-and-2083s)?_g=(refreshInterval:(display:Off,section:0,value:0),time:(from:'2016-07-30 06:57:33-0600',mode:absolute,to:'2016-07-30 09:19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49" s="61" t="str">
        <f t="shared" si="5"/>
        <v>"C:\Program Files (x86)\AstroGrep\AstroGrep.exe" /spath="C:\Users\stu\Documents\Analysis\2016-02-23 RTDC Observations" /stypes="*4025*201607301*" /stext=" 14:.+((SYSTEM_STATE.+slice.+state.+changed )|(ment ac)|(system.+state.+changed )|(\|lc)|(penalty)|(\[timeout)|(PRM\|1\|D))" /e /r /s</v>
      </c>
      <c r="S49" s="9" t="str">
        <f t="shared" si="6"/>
        <v>4025</v>
      </c>
      <c r="T49" s="44">
        <f t="shared" si="7"/>
        <v>42581.590266203704</v>
      </c>
      <c r="U49" s="59" t="str">
        <f t="shared" si="8"/>
        <v>NW</v>
      </c>
      <c r="V49" s="59" t="str">
        <f t="shared" si="9"/>
        <v>KEEP</v>
      </c>
    </row>
    <row r="50" spans="1:22" x14ac:dyDescent="0.25">
      <c r="A50" s="44">
        <v>42581.671493055554</v>
      </c>
      <c r="B50" s="37" t="s">
        <v>105</v>
      </c>
      <c r="C50" s="37" t="s">
        <v>509</v>
      </c>
      <c r="D50" s="37" t="s">
        <v>49</v>
      </c>
      <c r="E50" s="37" t="s">
        <v>56</v>
      </c>
      <c r="F50" s="56">
        <v>300</v>
      </c>
      <c r="G50" s="56">
        <v>382</v>
      </c>
      <c r="H50" s="56">
        <v>19445</v>
      </c>
      <c r="I50" s="37" t="s">
        <v>57</v>
      </c>
      <c r="J50" s="56">
        <v>21314</v>
      </c>
      <c r="K50" s="37" t="s">
        <v>52</v>
      </c>
      <c r="L50" s="124" t="str">
        <f>VLOOKUP(C50,'Trips&amp;Operators'!$C$1:$E$9999,3,0)</f>
        <v>STORY</v>
      </c>
      <c r="M50" s="9" t="s">
        <v>97</v>
      </c>
      <c r="N50" s="10"/>
      <c r="O50" s="37"/>
      <c r="P50" s="62" t="str">
        <f>VLOOKUP(C50,'Train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50" s="60" t="str">
        <f>VLOOKUP(C50,'Train Runs'!$A$13:$AE$755,22,0)</f>
        <v>https://search-rtdc-monitor-bjffxe2xuh6vdkpspy63sjmuny.us-east-1.es.amazonaws.com/_plugin/kibana/#/discover/Steve-Slow-Train-Analysis-(2080s-and-2083s)?_g=(refreshInterval:(display:Off,section:0,value:0),time:(from:'2016-07-30 14:55:36-0600',mode:absolute,to:'2016-07-30 17:16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50" s="61" t="str">
        <f t="shared" si="5"/>
        <v>"C:\Program Files (x86)\AstroGrep\AstroGrep.exe" /spath="C:\Users\stu\Documents\Analysis\2016-02-23 RTDC Observations" /stypes="*4025*201607302*" /stext=" 22:.+((SYSTEM_STATE.+slice.+state.+changed )|(ment ac)|(system.+state.+changed )|(\|lc)|(penalty)|(\[timeout)|(PRM\|1\|D))" /e /r /s</v>
      </c>
      <c r="S50" s="9" t="str">
        <f t="shared" si="6"/>
        <v>4025</v>
      </c>
      <c r="T50" s="44">
        <f t="shared" si="7"/>
        <v>42581.921493055554</v>
      </c>
      <c r="U50" s="59" t="str">
        <f t="shared" si="8"/>
        <v>NW</v>
      </c>
      <c r="V50" s="59" t="str">
        <f t="shared" si="9"/>
        <v>KEEP</v>
      </c>
    </row>
    <row r="51" spans="1:22" x14ac:dyDescent="0.25">
      <c r="A51" s="44">
        <v>42581.368692129632</v>
      </c>
      <c r="B51" s="37" t="s">
        <v>101</v>
      </c>
      <c r="C51" s="37" t="s">
        <v>787</v>
      </c>
      <c r="D51" s="37" t="s">
        <v>49</v>
      </c>
      <c r="E51" s="37" t="s">
        <v>56</v>
      </c>
      <c r="F51" s="56">
        <v>150</v>
      </c>
      <c r="G51" s="56">
        <v>286</v>
      </c>
      <c r="H51" s="56">
        <v>56393</v>
      </c>
      <c r="I51" s="37" t="s">
        <v>57</v>
      </c>
      <c r="J51" s="56">
        <v>57008</v>
      </c>
      <c r="K51" s="37" t="s">
        <v>52</v>
      </c>
      <c r="L51" s="124" t="str">
        <f>VLOOKUP(C51,'Trips&amp;Operators'!$C$1:$E$9999,3,0)</f>
        <v>HELVIE</v>
      </c>
      <c r="M51" s="9" t="s">
        <v>97</v>
      </c>
      <c r="N51" s="10"/>
      <c r="O51" s="37"/>
      <c r="P51" s="62" t="str">
        <f>VLOOKUP(C51,'Train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1" s="60" t="str">
        <f>VLOOKUP(C51,'Train Runs'!$A$13:$AE$755,22,0)</f>
        <v>https://search-rtdc-monitor-bjffxe2xuh6vdkpspy63sjmuny.us-east-1.es.amazonaws.com/_plugin/kibana/#/discover/Steve-Slow-Train-Analysis-(2080s-and-2083s)?_g=(refreshInterval:(display:Off,section:0,value:0),time:(from:'2016-07-30 07:35:24-0600',mode:absolute,to:'2016-07-30 09:53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1" s="61" t="str">
        <f t="shared" si="5"/>
        <v>"C:\Program Files (x86)\AstroGrep\AstroGrep.exe" /spath="C:\Users\stu\Documents\Analysis\2016-02-23 RTDC Observations" /stypes="*4038*201607301*" /stext=" 14:.+((SYSTEM_STATE.+slice.+state.+changed )|(ment ac)|(system.+state.+changed )|(\|lc)|(penalty)|(\[timeout)|(PRM\|1\|D))" /e /r /s</v>
      </c>
      <c r="S51" s="9" t="str">
        <f t="shared" si="6"/>
        <v>4038</v>
      </c>
      <c r="T51" s="44">
        <f t="shared" si="7"/>
        <v>42581.618692129632</v>
      </c>
      <c r="U51" s="59" t="str">
        <f t="shared" si="8"/>
        <v>NW</v>
      </c>
      <c r="V51" s="59" t="str">
        <f t="shared" si="9"/>
        <v>KEEP</v>
      </c>
    </row>
    <row r="52" spans="1:22" x14ac:dyDescent="0.25">
      <c r="A52" s="44">
        <v>42581.393773148149</v>
      </c>
      <c r="B52" s="37" t="s">
        <v>68</v>
      </c>
      <c r="C52" s="37" t="s">
        <v>801</v>
      </c>
      <c r="D52" s="37" t="s">
        <v>49</v>
      </c>
      <c r="E52" s="37" t="s">
        <v>54</v>
      </c>
      <c r="F52" s="56">
        <v>0</v>
      </c>
      <c r="G52" s="56">
        <v>609</v>
      </c>
      <c r="H52" s="56">
        <v>27976</v>
      </c>
      <c r="I52" s="37" t="s">
        <v>55</v>
      </c>
      <c r="J52" s="56">
        <v>28990</v>
      </c>
      <c r="K52" s="37" t="s">
        <v>52</v>
      </c>
      <c r="L52" s="124" t="str">
        <f>VLOOKUP(C52,'Trips&amp;Operators'!$C$1:$E$9999,3,0)</f>
        <v>YORK</v>
      </c>
      <c r="M52" s="9" t="s">
        <v>97</v>
      </c>
      <c r="N52" s="10" t="s">
        <v>928</v>
      </c>
      <c r="O52" s="37"/>
      <c r="P52" s="62" t="str">
        <f>VLOOKUP(C52,'Train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52" s="60" t="str">
        <f>VLOOKUP(C52,'Train Runs'!$A$13:$AE$755,22,0)</f>
        <v>https://search-rtdc-monitor-bjffxe2xuh6vdkpspy63sjmuny.us-east-1.es.amazonaws.com/_plugin/kibana/#/discover/Steve-Slow-Train-Analysis-(2080s-and-2083s)?_g=(refreshInterval:(display:Off,section:0,value:0),time:(from:'2016-07-30 08:12:46-0600',mode:absolute,to:'2016-07-30 10:27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52" s="61" t="str">
        <f t="shared" si="5"/>
        <v>"C:\Program Files (x86)\AstroGrep\AstroGrep.exe" /spath="C:\Users\stu\Documents\Analysis\2016-02-23 RTDC Observations" /stypes="*4020*201607301*" /stext=" 15:.+((SYSTEM_STATE.+slice.+state.+changed )|(ment ac)|(system.+state.+changed )|(\|lc)|(penalty)|(\[timeout)|(PRM\|1\|D))" /e /r /s</v>
      </c>
      <c r="S52" s="9" t="str">
        <f t="shared" si="6"/>
        <v>4020</v>
      </c>
      <c r="T52" s="44">
        <f t="shared" si="7"/>
        <v>42581.643773148149</v>
      </c>
      <c r="U52" s="59" t="str">
        <f t="shared" si="8"/>
        <v>NW</v>
      </c>
      <c r="V52" s="59" t="str">
        <f t="shared" si="9"/>
        <v>KEEP</v>
      </c>
    </row>
    <row r="53" spans="1:22" x14ac:dyDescent="0.25">
      <c r="A53" s="44">
        <v>42581.906666666669</v>
      </c>
      <c r="B53" s="37" t="s">
        <v>68</v>
      </c>
      <c r="C53" s="37" t="s">
        <v>584</v>
      </c>
      <c r="D53" s="37" t="s">
        <v>49</v>
      </c>
      <c r="E53" s="37" t="s">
        <v>54</v>
      </c>
      <c r="F53" s="56">
        <v>0</v>
      </c>
      <c r="G53" s="56">
        <v>588</v>
      </c>
      <c r="H53" s="56">
        <v>28249</v>
      </c>
      <c r="I53" s="37" t="s">
        <v>55</v>
      </c>
      <c r="J53" s="56">
        <v>28990</v>
      </c>
      <c r="K53" s="37" t="s">
        <v>52</v>
      </c>
      <c r="L53" s="124" t="str">
        <f>VLOOKUP(C53,'Trips&amp;Operators'!$C$1:$E$9999,3,0)</f>
        <v>ADANE</v>
      </c>
      <c r="M53" s="9" t="s">
        <v>97</v>
      </c>
      <c r="N53" s="10" t="s">
        <v>928</v>
      </c>
      <c r="O53" s="37"/>
      <c r="P53" s="62" t="str">
        <f>VLOOKUP(C53,'Train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53" s="60" t="str">
        <f>VLOOKUP(C53,'Train Runs'!$A$13:$AE$755,22,0)</f>
        <v>https://search-rtdc-monitor-bjffxe2xuh6vdkpspy63sjmuny.us-east-1.es.amazonaws.com/_plugin/kibana/#/discover/Steve-Slow-Train-Analysis-(2080s-and-2083s)?_g=(refreshInterval:(display:Off,section:0,value:0),time:(from:'2016-07-30 20:18:49-0600',mode:absolute,to:'2016-07-30 22:29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53" s="61" t="str">
        <f t="shared" si="5"/>
        <v>"C:\Program Files (x86)\AstroGrep\AstroGrep.exe" /spath="C:\Users\stu\Documents\Analysis\2016-02-23 RTDC Observations" /stypes="*4020*201607310*" /stext=" 03:.+((SYSTEM_STATE.+slice.+state.+changed )|(ment ac)|(system.+state.+changed )|(\|lc)|(penalty)|(\[timeout)|(PRM\|1\|D))" /e /r /s</v>
      </c>
      <c r="S53" s="9" t="str">
        <f t="shared" si="6"/>
        <v>4020</v>
      </c>
      <c r="T53" s="44">
        <f t="shared" si="7"/>
        <v>42582.156666666669</v>
      </c>
      <c r="U53" s="59" t="str">
        <f t="shared" si="8"/>
        <v>NW</v>
      </c>
      <c r="V53" s="59" t="str">
        <f t="shared" si="9"/>
        <v>KEEP</v>
      </c>
    </row>
    <row r="54" spans="1:22" x14ac:dyDescent="0.25">
      <c r="A54" s="44">
        <v>42581.450104166666</v>
      </c>
      <c r="B54" s="37" t="s">
        <v>101</v>
      </c>
      <c r="C54" s="37" t="s">
        <v>812</v>
      </c>
      <c r="D54" s="37" t="s">
        <v>49</v>
      </c>
      <c r="E54" s="37" t="s">
        <v>54</v>
      </c>
      <c r="F54" s="56">
        <v>0</v>
      </c>
      <c r="G54" s="56">
        <v>526</v>
      </c>
      <c r="H54" s="56">
        <v>34307</v>
      </c>
      <c r="I54" s="37" t="s">
        <v>55</v>
      </c>
      <c r="J54" s="56">
        <v>34671</v>
      </c>
      <c r="K54" s="37" t="s">
        <v>52</v>
      </c>
      <c r="L54" s="124" t="str">
        <f>VLOOKUP(C54,'Trips&amp;Operators'!$C$1:$E$9999,3,0)</f>
        <v>HELVIE</v>
      </c>
      <c r="M54" s="9" t="s">
        <v>96</v>
      </c>
      <c r="N54" s="10" t="s">
        <v>929</v>
      </c>
      <c r="O54" s="37"/>
      <c r="P54" s="62" t="str">
        <f>VLOOKUP(C54,'Train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4" s="60" t="str">
        <f>VLOOKUP(C54,'Train Runs'!$A$13:$AE$755,22,0)</f>
        <v>https://search-rtdc-monitor-bjffxe2xuh6vdkpspy63sjmuny.us-east-1.es.amazonaws.com/_plugin/kibana/#/discover/Steve-Slow-Train-Analysis-(2080s-and-2083s)?_g=(refreshInterval:(display:Off,section:0,value:0),time:(from:'2016-07-30 09:37:30-0600',mode:absolute,to:'2016-07-30 11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4" s="61" t="str">
        <f t="shared" si="5"/>
        <v>"C:\Program Files (x86)\AstroGrep\AstroGrep.exe" /spath="C:\Users\stu\Documents\Analysis\2016-02-23 RTDC Observations" /stypes="*4038*201607301*" /stext=" 16:.+((SYSTEM_STATE.+slice.+state.+changed )|(ment ac)|(system.+state.+changed )|(\|lc)|(penalty)|(\[timeout)|(PRM\|1\|D))" /e /r /s</v>
      </c>
      <c r="S54" s="9" t="str">
        <f t="shared" si="6"/>
        <v>4038</v>
      </c>
      <c r="T54" s="44">
        <f t="shared" si="7"/>
        <v>42581.700104166666</v>
      </c>
      <c r="U54" s="59" t="str">
        <f t="shared" si="8"/>
        <v>NW</v>
      </c>
      <c r="V54" s="59" t="str">
        <f t="shared" si="9"/>
        <v>KEEP</v>
      </c>
    </row>
    <row r="55" spans="1:22" x14ac:dyDescent="0.25">
      <c r="A55" s="44">
        <v>42581.742048611108</v>
      </c>
      <c r="B55" s="37" t="s">
        <v>101</v>
      </c>
      <c r="C55" s="37" t="s">
        <v>534</v>
      </c>
      <c r="D55" s="37" t="s">
        <v>49</v>
      </c>
      <c r="E55" s="37" t="s">
        <v>54</v>
      </c>
      <c r="F55" s="56">
        <v>0</v>
      </c>
      <c r="G55" s="56">
        <v>417</v>
      </c>
      <c r="H55" s="56">
        <v>36959</v>
      </c>
      <c r="I55" s="37" t="s">
        <v>55</v>
      </c>
      <c r="J55" s="56">
        <v>37602</v>
      </c>
      <c r="K55" s="37" t="s">
        <v>52</v>
      </c>
      <c r="L55" s="124" t="str">
        <f>VLOOKUP(C55,'Trips&amp;Operators'!$C$1:$E$9999,3,0)</f>
        <v>DE LA ROSA</v>
      </c>
      <c r="M55" s="9" t="s">
        <v>96</v>
      </c>
      <c r="N55" s="10" t="s">
        <v>929</v>
      </c>
      <c r="O55" s="37"/>
      <c r="P55" s="62" t="str">
        <f>VLOOKUP(C55,'Train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5" s="60" t="str">
        <f>VLOOKUP(C55,'Train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16:37:01-0600',mode:absolute,to:'2016-07-30 18:56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5" s="61" t="str">
        <f t="shared" si="5"/>
        <v>"C:\Program Files (x86)\AstroGrep\AstroGrep.exe" /spath="C:\Users\stu\Documents\Analysis\2016-02-23 RTDC Observations" /stypes="*4038*201607302*" /stext=" 23:.+((SYSTEM_STATE.+slice.+state.+changed )|(ment ac)|(system.+state.+changed )|(\|lc)|(penalty)|(\[timeout)|(PRM\|1\|D))" /e /r /s</v>
      </c>
      <c r="S55" s="9" t="str">
        <f t="shared" si="6"/>
        <v>4038</v>
      </c>
      <c r="T55" s="44">
        <f t="shared" si="7"/>
        <v>42581.992048611108</v>
      </c>
      <c r="U55" s="59" t="str">
        <f t="shared" si="8"/>
        <v>NW</v>
      </c>
      <c r="V55" s="59" t="str">
        <f t="shared" si="9"/>
        <v>KEEP</v>
      </c>
    </row>
    <row r="56" spans="1:22" x14ac:dyDescent="0.25">
      <c r="A56" s="44">
        <v>42581.574791666666</v>
      </c>
      <c r="B56" s="37" t="s">
        <v>101</v>
      </c>
      <c r="C56" s="37" t="s">
        <v>773</v>
      </c>
      <c r="D56" s="37" t="s">
        <v>49</v>
      </c>
      <c r="E56" s="37" t="s">
        <v>925</v>
      </c>
      <c r="F56" s="56">
        <v>0</v>
      </c>
      <c r="G56" s="56">
        <v>586</v>
      </c>
      <c r="H56" s="56">
        <v>27844</v>
      </c>
      <c r="I56" s="37" t="s">
        <v>926</v>
      </c>
      <c r="J56" s="56">
        <v>28990</v>
      </c>
      <c r="K56" s="37" t="s">
        <v>52</v>
      </c>
      <c r="L56" s="124" t="str">
        <f>VLOOKUP(C56,'Trips&amp;Operators'!$C$1:$E$9999,3,0)</f>
        <v>DE LA ROSA</v>
      </c>
      <c r="M56" s="9" t="s">
        <v>96</v>
      </c>
      <c r="N56" s="10" t="s">
        <v>929</v>
      </c>
      <c r="O56" s="37"/>
      <c r="P56" s="62" t="str">
        <f>VLOOKUP(C56,'Train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56" s="60" t="str">
        <f>VLOOKUP(C56,'Train Runs'!$A$13:$AE$755,22,0)</f>
        <v>https://search-rtdc-monitor-bjffxe2xuh6vdkpspy63sjmuny.us-east-1.es.amazonaws.com/_plugin/kibana/#/discover/Steve-Slow-Train-Analysis-(2080s-and-2083s)?_g=(refreshInterval:(display:Off,section:0,value:0),time:(from:'2016-07-30 12:36:01-0600',mode:absolute,to:'2016-07-30 14:47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56" s="61" t="str">
        <f t="shared" si="5"/>
        <v>"C:\Program Files (x86)\AstroGrep\AstroGrep.exe" /spath="C:\Users\stu\Documents\Analysis\2016-02-23 RTDC Observations" /stypes="*4038*201607301*" /stext=" 19:.+((SYSTEM_STATE.+slice.+state.+changed )|(ment ac)|(system.+state.+changed )|(\|lc)|(penalty)|(\[timeout)|(PRM\|1\|D))" /e /r /s</v>
      </c>
      <c r="S56" s="9" t="str">
        <f t="shared" si="6"/>
        <v>4038</v>
      </c>
      <c r="T56" s="44">
        <f t="shared" si="7"/>
        <v>42581.824791666666</v>
      </c>
      <c r="U56" s="59" t="str">
        <f t="shared" si="8"/>
        <v>NW</v>
      </c>
      <c r="V56" s="59" t="str">
        <f t="shared" si="9"/>
        <v>KEEP</v>
      </c>
    </row>
    <row r="57" spans="1:22" x14ac:dyDescent="0.25">
      <c r="A57" s="44">
        <v>42581.477465277778</v>
      </c>
      <c r="B57" s="37" t="s">
        <v>210</v>
      </c>
      <c r="C57" s="37" t="s">
        <v>816</v>
      </c>
      <c r="D57" s="37" t="s">
        <v>49</v>
      </c>
      <c r="E57" s="37" t="s">
        <v>376</v>
      </c>
      <c r="F57" s="56">
        <v>100</v>
      </c>
      <c r="G57" s="56">
        <v>210</v>
      </c>
      <c r="H57" s="56">
        <v>11466</v>
      </c>
      <c r="I57" s="37" t="s">
        <v>132</v>
      </c>
      <c r="J57" s="56">
        <v>11000</v>
      </c>
      <c r="K57" s="37" t="s">
        <v>53</v>
      </c>
      <c r="L57" s="124" t="str">
        <f>VLOOKUP(C57,'Trips&amp;Operators'!$C$1:$E$9999,3,0)</f>
        <v>HELVIE</v>
      </c>
      <c r="M57" s="9" t="s">
        <v>97</v>
      </c>
      <c r="N57" s="10"/>
      <c r="O57" s="37"/>
      <c r="P57" s="62" t="str">
        <f>VLOOKUP(C57,'Train Runs'!$A$13:$AE$755,31,0)</f>
        <v>aws s3 cp s3://rtdc.mdm.uploadarchive/RTDC4037/2016-07-30/ "C:\Users\stu\Documents\Analysis\2016-02-23 RTDC Observations"\RTDC4037\2016-07-30 --recursive &amp; "C:\Users\stu\Documents\GitHub\mrs-test-scripts\Headless Mode &amp; Sideloading\WalkAndUnGZ.bat" "C:\Users\stu\Documents\Analysis\2016-02-23 RTDC Observations"\RTDC4037\2016-07-30 &amp; aws s3 cp s3://rtdc.mdm.uploadarchive/RTDC4037/2016-07-31/ "C:\Users\stu\Documents\Analysis\2016-02-23 RTDC Observations"\RTDC4037\2016-07-31 --recursive &amp; "C:\Users\stu\Documents\GitHub\mrs-test-scripts\Headless Mode &amp; Sideloading\WalkAndUnGZ.bat" "C:\Users\stu\Documents\Analysis\2016-02-23 RTDC Observations"\RTDC4037\2016-07-31</v>
      </c>
      <c r="Q57" s="60" t="str">
        <f>VLOOKUP(C57,'Train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10:13:49-0600',mode:absolute,to:'2016-07-30 12:32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57" s="61" t="str">
        <f t="shared" si="5"/>
        <v>"C:\Program Files (x86)\AstroGrep\AstroGrep.exe" /spath="C:\Users\stu\Documents\Analysis\2016-02-23 RTDC Observations" /stypes="*4037*201607301*" /stext=" 17:.+((SYSTEM_STATE.+slice.+state.+changed )|(ment ac)|(system.+state.+changed )|(\|lc)|(penalty)|(\[timeout)|(PRM\|1\|D))" /e /r /s</v>
      </c>
      <c r="S57" s="9" t="str">
        <f t="shared" si="6"/>
        <v>4037</v>
      </c>
      <c r="T57" s="44">
        <f t="shared" si="7"/>
        <v>42581.727465277778</v>
      </c>
      <c r="U57" s="59" t="str">
        <f t="shared" si="8"/>
        <v>NW</v>
      </c>
      <c r="V57" s="59" t="str">
        <f t="shared" si="9"/>
        <v>KEEP</v>
      </c>
    </row>
    <row r="58" spans="1:22" x14ac:dyDescent="0.25">
      <c r="A58" s="44">
        <v>42581.671967592592</v>
      </c>
      <c r="B58" s="37" t="s">
        <v>67</v>
      </c>
      <c r="C58" s="37" t="s">
        <v>512</v>
      </c>
      <c r="D58" s="37" t="s">
        <v>49</v>
      </c>
      <c r="E58" s="37" t="s">
        <v>376</v>
      </c>
      <c r="F58" s="56">
        <v>100</v>
      </c>
      <c r="G58" s="56">
        <v>265</v>
      </c>
      <c r="H58" s="56">
        <v>11899</v>
      </c>
      <c r="I58" s="37" t="s">
        <v>132</v>
      </c>
      <c r="J58" s="56">
        <v>11000</v>
      </c>
      <c r="K58" s="37" t="s">
        <v>53</v>
      </c>
      <c r="L58" s="124" t="str">
        <f>VLOOKUP(C58,'Trips&amp;Operators'!$C$1:$E$9999,3,0)</f>
        <v>ADANE</v>
      </c>
      <c r="M58" s="9" t="s">
        <v>97</v>
      </c>
      <c r="N58" s="10"/>
      <c r="O58" s="37"/>
      <c r="P58" s="62" t="str">
        <f>VLOOKUP(C58,'Train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58" s="60" t="str">
        <f>VLOOKUP(C58,'Train Runs'!$A$13:$AE$755,22,0)</f>
        <v>https://search-rtdc-monitor-bjffxe2xuh6vdkpspy63sjmuny.us-east-1.es.amazonaws.com/_plugin/kibana/#/discover/Steve-Slow-Train-Analysis-(2080s-and-2083s)?_g=(refreshInterval:(display:Off,section:0,value:0),time:(from:'2016-07-30 14:54:04-0600',mode:absolute,to:'2016-07-30 17:12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8" s="61" t="str">
        <f t="shared" si="5"/>
        <v>"C:\Program Files (x86)\AstroGrep\AstroGrep.exe" /spath="C:\Users\stu\Documents\Analysis\2016-02-23 RTDC Observations" /stypes="*4019*201607302*" /stext=" 22:.+((SYSTEM_STATE.+slice.+state.+changed )|(ment ac)|(system.+state.+changed )|(\|lc)|(penalty)|(\[timeout)|(PRM\|1\|D))" /e /r /s</v>
      </c>
      <c r="S58" s="9" t="str">
        <f t="shared" si="6"/>
        <v>4019</v>
      </c>
      <c r="T58" s="44">
        <f t="shared" si="7"/>
        <v>42581.921967592592</v>
      </c>
      <c r="U58" s="59" t="str">
        <f t="shared" si="8"/>
        <v>NW</v>
      </c>
      <c r="V58" s="59" t="str">
        <f t="shared" si="9"/>
        <v>KEEP</v>
      </c>
    </row>
    <row r="59" spans="1:22" x14ac:dyDescent="0.25">
      <c r="A59" s="44">
        <v>42581.662118055552</v>
      </c>
      <c r="B59" s="37" t="s">
        <v>103</v>
      </c>
      <c r="C59" s="37" t="s">
        <v>823</v>
      </c>
      <c r="D59" s="37" t="s">
        <v>49</v>
      </c>
      <c r="E59" s="37" t="s">
        <v>50</v>
      </c>
      <c r="F59" s="56">
        <v>0</v>
      </c>
      <c r="G59" s="56">
        <v>26</v>
      </c>
      <c r="H59" s="56">
        <v>628</v>
      </c>
      <c r="I59" s="37" t="s">
        <v>51</v>
      </c>
      <c r="J59" s="56">
        <v>575</v>
      </c>
      <c r="K59" s="37" t="s">
        <v>53</v>
      </c>
      <c r="L59" s="124" t="str">
        <f>VLOOKUP(C59,'Trips&amp;Operators'!$C$1:$E$9999,3,0)</f>
        <v>STORY</v>
      </c>
      <c r="M59" s="9" t="s">
        <v>97</v>
      </c>
      <c r="N59" s="10"/>
      <c r="O59" s="37"/>
      <c r="P59" s="62" t="str">
        <f>VLOOKUP(C59,'Train Runs'!$A$13:$AE$755,31,0)</f>
        <v>aws s3 cp s3://rtdc.mdm.uploadarchive/RTDC4026/2016-07-30/ "C:\Users\stu\Documents\Analysis\2016-02-23 RTDC Observations"\RTDC4026\2016-07-30 --recursive &amp; "C:\Users\stu\Documents\GitHub\mrs-test-scripts\Headless Mode &amp; Sideloading\WalkAndUnGZ.bat" "C:\Users\stu\Documents\Analysis\2016-02-23 RTDC Observations"\RTDC4026\2016-07-30 &amp; aws s3 cp s3://rtdc.mdm.uploadarchive/RTDC4026/2016-07-31/ "C:\Users\stu\Documents\Analysis\2016-02-23 RTDC Observations"\RTDC4026\2016-07-31 --recursive &amp; "C:\Users\stu\Documents\GitHub\mrs-test-scripts\Headless Mode &amp; Sideloading\WalkAndUnGZ.bat" "C:\Users\stu\Documents\Analysis\2016-02-23 RTDC Observations"\RTDC4026\2016-07-31</v>
      </c>
      <c r="Q59" s="60" t="str">
        <f>VLOOKUP(C59,'Train Runs'!$A$13:$AE$755,22,0)</f>
        <v>https://search-rtdc-monitor-bjffxe2xuh6vdkpspy63sjmuny.us-east-1.es.amazonaws.com/_plugin/kibana/#/discover/Steve-Slow-Train-Analysis-(2080s-and-2083s)?_g=(refreshInterval:(display:Off,section:0,value:0),time:(from:'2016-07-30 14:21:25-0600',mode:absolute,to:'2016-07-30 16:53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4026%22')),sort:!(Time,asc))</v>
      </c>
      <c r="R59" s="61" t="str">
        <f t="shared" si="5"/>
        <v>"C:\Program Files (x86)\AstroGrep\AstroGrep.exe" /spath="C:\Users\stu\Documents\Analysis\2016-02-23 RTDC Observations" /stypes="*4026*201607302*" /stext=" 21:.+((SYSTEM_STATE.+slice.+state.+changed )|(ment ac)|(system.+state.+changed )|(\|lc)|(penalty)|(\[timeout)|(PRM\|1\|D))" /e /r /s</v>
      </c>
      <c r="S59" s="9" t="str">
        <f t="shared" si="6"/>
        <v>4026</v>
      </c>
      <c r="T59" s="44">
        <f t="shared" si="7"/>
        <v>42581.912118055552</v>
      </c>
      <c r="U59" s="59" t="str">
        <f t="shared" si="8"/>
        <v>NW</v>
      </c>
      <c r="V59" s="59" t="str">
        <f t="shared" si="9"/>
        <v>KEEP</v>
      </c>
    </row>
    <row r="60" spans="1:22" x14ac:dyDescent="0.25">
      <c r="A60" s="44">
        <v>42581.716724537036</v>
      </c>
      <c r="B60" s="37" t="s">
        <v>67</v>
      </c>
      <c r="C60" s="37" t="s">
        <v>527</v>
      </c>
      <c r="D60" s="37" t="s">
        <v>49</v>
      </c>
      <c r="E60" s="37" t="s">
        <v>50</v>
      </c>
      <c r="F60" s="56">
        <v>0</v>
      </c>
      <c r="G60" s="56">
        <v>37</v>
      </c>
      <c r="H60" s="56">
        <v>668</v>
      </c>
      <c r="I60" s="37" t="s">
        <v>51</v>
      </c>
      <c r="J60" s="56">
        <v>575</v>
      </c>
      <c r="K60" s="37" t="s">
        <v>53</v>
      </c>
      <c r="L60" s="124" t="str">
        <f>VLOOKUP(C60,'Trips&amp;Operators'!$C$1:$E$9999,3,0)</f>
        <v>ADANE</v>
      </c>
      <c r="M60" s="9" t="s">
        <v>97</v>
      </c>
      <c r="N60" s="10"/>
      <c r="O60" s="37"/>
      <c r="P60" s="62" t="str">
        <f>VLOOKUP(C60,'Train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60" s="60" t="str">
        <f>VLOOKUP(C60,'Train Runs'!$A$13:$AE$755,22,0)</f>
        <v>https://search-rtdc-monitor-bjffxe2xuh6vdkpspy63sjmuny.us-east-1.es.amazonaws.com/_plugin/kibana/#/discover/Steve-Slow-Train-Analysis-(2080s-and-2083s)?_g=(refreshInterval:(display:Off,section:0,value:0),time:(from:'2016-07-30 15:49:32-0600',mode:absolute,to:'2016-07-30 18:12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60" s="61" t="str">
        <f t="shared" si="5"/>
        <v>"C:\Program Files (x86)\AstroGrep\AstroGrep.exe" /spath="C:\Users\stu\Documents\Analysis\2016-02-23 RTDC Observations" /stypes="*4019*201607302*" /stext=" 23:.+((SYSTEM_STATE.+slice.+state.+changed )|(ment ac)|(system.+state.+changed )|(\|lc)|(penalty)|(\[timeout)|(PRM\|1\|D))" /e /r /s</v>
      </c>
      <c r="S60" s="9" t="str">
        <f t="shared" si="6"/>
        <v>4019</v>
      </c>
      <c r="T60" s="44">
        <f t="shared" si="7"/>
        <v>42581.966724537036</v>
      </c>
      <c r="U60" s="59" t="str">
        <f t="shared" si="8"/>
        <v>NW</v>
      </c>
      <c r="V60" s="59" t="str">
        <f t="shared" si="9"/>
        <v>KEEP</v>
      </c>
    </row>
    <row r="61" spans="1:22" x14ac:dyDescent="0.25">
      <c r="A61" s="44">
        <v>42581.841863425929</v>
      </c>
      <c r="B61" s="37" t="s">
        <v>67</v>
      </c>
      <c r="C61" s="37" t="s">
        <v>569</v>
      </c>
      <c r="D61" s="37" t="s">
        <v>49</v>
      </c>
      <c r="E61" s="37" t="s">
        <v>50</v>
      </c>
      <c r="F61" s="56">
        <v>0</v>
      </c>
      <c r="G61" s="56">
        <v>34</v>
      </c>
      <c r="H61" s="56">
        <v>673</v>
      </c>
      <c r="I61" s="37" t="s">
        <v>51</v>
      </c>
      <c r="J61" s="56">
        <v>575</v>
      </c>
      <c r="K61" s="37" t="s">
        <v>53</v>
      </c>
      <c r="L61" s="124" t="str">
        <f>VLOOKUP(C61,'Trips&amp;Operators'!$C$1:$E$9999,3,0)</f>
        <v>ADANE</v>
      </c>
      <c r="M61" s="9" t="s">
        <v>97</v>
      </c>
      <c r="N61" s="10"/>
      <c r="O61" s="37"/>
      <c r="P61" s="62" t="str">
        <f>VLOOKUP(C61,'Train Runs'!$A$13:$AE$755,31,0)</f>
        <v>aws s3 cp s3://rtdc.mdm.uploadarchive/RTDC4019/2016-07-30/ "C:\Users\stu\Documents\Analysis\2016-02-23 RTDC Observations"\RTDC4019\2016-07-30 --recursive &amp; "C:\Users\stu\Documents\GitHub\mrs-test-scripts\Headless Mode &amp; Sideloading\WalkAndUnGZ.bat" "C:\Users\stu\Documents\Analysis\2016-02-23 RTDC Observations"\RTDC4019\2016-07-30 &amp; aws s3 cp s3://rtdc.mdm.uploadarchive/RTDC4019/2016-07-31/ "C:\Users\stu\Documents\Analysis\2016-02-23 RTDC Observations"\RTDC4019\2016-07-31 --recursive &amp; "C:\Users\stu\Documents\GitHub\mrs-test-scripts\Headless Mode &amp; Sideloading\WalkAndUnGZ.bat" "C:\Users\stu\Documents\Analysis\2016-02-23 RTDC Observations"\RTDC4019\2016-07-31</v>
      </c>
      <c r="Q61" s="60" t="str">
        <f>VLOOKUP(C61,'Train Runs'!$A$13:$AE$755,22,0)</f>
        <v>https://search-rtdc-monitor-bjffxe2xuh6vdkpspy63sjmuny.us-east-1.es.amazonaws.com/_plugin/kibana/#/discover/Steve-Slow-Train-Analysis-(2080s-and-2083s)?_g=(refreshInterval:(display:Off,section:0,value:0),time:(from:'2016-07-30 18:50:53-0600',mode:absolute,to:'2016-07-30 21:12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61" s="61" t="str">
        <f t="shared" si="5"/>
        <v>"C:\Program Files (x86)\AstroGrep\AstroGrep.exe" /spath="C:\Users\stu\Documents\Analysis\2016-02-23 RTDC Observations" /stypes="*4019*201607310*" /stext=" 02:.+((SYSTEM_STATE.+slice.+state.+changed )|(ment ac)|(system.+state.+changed )|(\|lc)|(penalty)|(\[timeout)|(PRM\|1\|D))" /e /r /s</v>
      </c>
      <c r="S61" s="9" t="str">
        <f t="shared" si="6"/>
        <v>4019</v>
      </c>
      <c r="T61" s="44">
        <f t="shared" si="7"/>
        <v>42582.091863425929</v>
      </c>
      <c r="U61" s="59" t="str">
        <f t="shared" si="8"/>
        <v>NW</v>
      </c>
      <c r="V61" s="59" t="str">
        <f t="shared" si="9"/>
        <v>KEEP</v>
      </c>
    </row>
    <row r="62" spans="1:22" x14ac:dyDescent="0.25">
      <c r="A62" s="44">
        <v>42581.721990740742</v>
      </c>
      <c r="B62" s="37" t="s">
        <v>105</v>
      </c>
      <c r="C62" s="37" t="s">
        <v>524</v>
      </c>
      <c r="D62" s="37" t="s">
        <v>49</v>
      </c>
      <c r="E62" s="37" t="s">
        <v>50</v>
      </c>
      <c r="F62" s="56">
        <v>0</v>
      </c>
      <c r="G62" s="56">
        <v>25</v>
      </c>
      <c r="H62" s="56">
        <v>58969</v>
      </c>
      <c r="I62" s="37" t="s">
        <v>51</v>
      </c>
      <c r="J62" s="56">
        <v>59048</v>
      </c>
      <c r="K62" s="37" t="s">
        <v>52</v>
      </c>
      <c r="L62" s="124" t="str">
        <f>VLOOKUP(C62,'Trips&amp;Operators'!$C$1:$E$9999,3,0)</f>
        <v>STAMBAUGH</v>
      </c>
      <c r="M62" s="9" t="s">
        <v>97</v>
      </c>
      <c r="N62" s="10"/>
      <c r="O62" s="37"/>
      <c r="P62" s="62" t="str">
        <f>VLOOKUP(C62,'Train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2" s="60" t="str">
        <f>VLOOKUP(C62,'Train Runs'!$A$13:$AE$755,22,0)</f>
        <v>https://search-rtdc-monitor-bjffxe2xuh6vdkpspy63sjmuny.us-east-1.es.amazonaws.com/_plugin/kibana/#/discover/Steve-Slow-Train-Analysis-(2080s-and-2083s)?_g=(refreshInterval:(display:Off,section:0,value:0),time:(from:'2016-07-30 15:58:16-0600',mode:absolute,to:'2016-07-30 18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2" s="61" t="str">
        <f t="shared" si="5"/>
        <v>"C:\Program Files (x86)\AstroGrep\AstroGrep.exe" /spath="C:\Users\stu\Documents\Analysis\2016-02-23 RTDC Observations" /stypes="*4025*201607302*" /stext=" 23:.+((SYSTEM_STATE.+slice.+state.+changed )|(ment ac)|(system.+state.+changed )|(\|lc)|(penalty)|(\[timeout)|(PRM\|1\|D))" /e /r /s</v>
      </c>
      <c r="S62" s="9" t="str">
        <f t="shared" si="6"/>
        <v>4025</v>
      </c>
      <c r="T62" s="44">
        <f t="shared" si="7"/>
        <v>42581.971990740742</v>
      </c>
      <c r="U62" s="59" t="str">
        <f t="shared" si="8"/>
        <v>NW</v>
      </c>
      <c r="V62" s="59" t="str">
        <f t="shared" si="9"/>
        <v>KEEP</v>
      </c>
    </row>
    <row r="63" spans="1:22" x14ac:dyDescent="0.25">
      <c r="A63" s="44">
        <v>42581.747534722221</v>
      </c>
      <c r="B63" s="37" t="s">
        <v>101</v>
      </c>
      <c r="C63" s="37" t="s">
        <v>534</v>
      </c>
      <c r="D63" s="37" t="s">
        <v>49</v>
      </c>
      <c r="E63" s="37" t="s">
        <v>50</v>
      </c>
      <c r="F63" s="56">
        <v>0</v>
      </c>
      <c r="G63" s="56">
        <v>32</v>
      </c>
      <c r="H63" s="56">
        <v>59005</v>
      </c>
      <c r="I63" s="37" t="s">
        <v>51</v>
      </c>
      <c r="J63" s="56">
        <v>59048</v>
      </c>
      <c r="K63" s="37" t="s">
        <v>52</v>
      </c>
      <c r="L63" s="124" t="str">
        <f>VLOOKUP(C63,'Trips&amp;Operators'!$C$1:$E$9999,3,0)</f>
        <v>DE LA ROSA</v>
      </c>
      <c r="M63" s="9" t="s">
        <v>97</v>
      </c>
      <c r="N63" s="10"/>
      <c r="O63" s="37"/>
      <c r="P63" s="62" t="str">
        <f>VLOOKUP(C63,'Train Runs'!$A$13:$AE$755,31,0)</f>
        <v>aws s3 cp s3://rtdc.mdm.uploadarchive/RTDC4038/2016-07-30/ "C:\Users\stu\Documents\Analysis\2016-02-23 RTDC Observations"\RTDC4038\2016-07-30 --recursive &amp; "C:\Users\stu\Documents\GitHub\mrs-test-scripts\Headless Mode &amp; Sideloading\WalkAndUnGZ.bat" "C:\Users\stu\Documents\Analysis\2016-02-23 RTDC Observations"\RTDC4038\2016-07-30 &amp; aws s3 cp s3://rtdc.mdm.uploadarchive/RTDC4038/2016-07-31/ "C:\Users\stu\Documents\Analysis\2016-02-23 RTDC Observations"\RTDC4038\2016-07-31 --recursive &amp; "C:\Users\stu\Documents\GitHub\mrs-test-scripts\Headless Mode &amp; Sideloading\WalkAndUnGZ.bat" "C:\Users\stu\Documents\Analysis\2016-02-23 RTDC Observations"\RTDC4038\2016-07-31</v>
      </c>
      <c r="Q63" s="60" t="str">
        <f>VLOOKUP(C63,'Train Runs'!$A$13:$AE$755,22,0)</f>
        <v>https://search-rtdc-monitor-bjffxe2xuh6vdkpspy63sjmuny.us-east-1.es.amazonaws.com/_plugin/kibana/#/discover/Steve-Slow-Train-Analysis-(2080s-and-2083s)?_g=(refreshInterval:(display:Off,section:0,value:0),time:(from:'2016-07-30 16:37:01-0600',mode:absolute,to:'2016-07-30 18:56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R63" s="61" t="str">
        <f t="shared" si="5"/>
        <v>"C:\Program Files (x86)\AstroGrep\AstroGrep.exe" /spath="C:\Users\stu\Documents\Analysis\2016-02-23 RTDC Observations" /stypes="*4038*201607302*" /stext=" 23:.+((SYSTEM_STATE.+slice.+state.+changed )|(ment ac)|(system.+state.+changed )|(\|lc)|(penalty)|(\[timeout)|(PRM\|1\|D))" /e /r /s</v>
      </c>
      <c r="S63" s="9" t="str">
        <f t="shared" si="6"/>
        <v>4038</v>
      </c>
      <c r="T63" s="44">
        <f t="shared" si="7"/>
        <v>42581.997534722221</v>
      </c>
      <c r="U63" s="59" t="str">
        <f t="shared" si="8"/>
        <v>NW</v>
      </c>
      <c r="V63" s="59" t="str">
        <f t="shared" si="9"/>
        <v>KEEP</v>
      </c>
    </row>
    <row r="64" spans="1:22" x14ac:dyDescent="0.25">
      <c r="A64" s="44">
        <v>42581.886736111112</v>
      </c>
      <c r="B64" s="37" t="s">
        <v>105</v>
      </c>
      <c r="C64" s="37" t="s">
        <v>580</v>
      </c>
      <c r="D64" s="37" t="s">
        <v>49</v>
      </c>
      <c r="E64" s="37" t="s">
        <v>50</v>
      </c>
      <c r="F64" s="56">
        <v>0</v>
      </c>
      <c r="G64" s="56">
        <v>17</v>
      </c>
      <c r="H64" s="56">
        <v>59016</v>
      </c>
      <c r="I64" s="37" t="s">
        <v>51</v>
      </c>
      <c r="J64" s="56">
        <v>59048</v>
      </c>
      <c r="K64" s="37" t="s">
        <v>52</v>
      </c>
      <c r="L64" s="124" t="str">
        <f>VLOOKUP(C64,'Trips&amp;Operators'!$C$1:$E$9999,3,0)</f>
        <v>STAMBAUGH</v>
      </c>
      <c r="M64" s="9" t="s">
        <v>97</v>
      </c>
      <c r="N64" s="10"/>
      <c r="O64" s="37"/>
      <c r="P64" s="62" t="str">
        <f>VLOOKUP(C64,'Train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4" s="60" t="str">
        <f>VLOOKUP(C64,'Train Runs'!$A$13:$AE$755,22,0)</f>
        <v>https://search-rtdc-monitor-bjffxe2xuh6vdkpspy63sjmuny.us-east-1.es.amazonaws.com/_plugin/kibana/#/discover/Steve-Slow-Train-Analysis-(2080s-and-2083s)?_g=(refreshInterval:(display:Off,section:0,value:0),time:(from:'2016-07-30 19:58:22-0600',mode:absolute,to:'2016-07-30 22:17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4" s="61" t="str">
        <f t="shared" si="5"/>
        <v>"C:\Program Files (x86)\AstroGrep\AstroGrep.exe" /spath="C:\Users\stu\Documents\Analysis\2016-02-23 RTDC Observations" /stypes="*4025*201607310*" /stext=" 03:.+((SYSTEM_STATE.+slice.+state.+changed )|(ment ac)|(system.+state.+changed )|(\|lc)|(penalty)|(\[timeout)|(PRM\|1\|D))" /e /r /s</v>
      </c>
      <c r="S64" s="9" t="str">
        <f t="shared" si="6"/>
        <v>4025</v>
      </c>
      <c r="T64" s="44">
        <f t="shared" si="7"/>
        <v>42582.136736111112</v>
      </c>
      <c r="U64" s="59" t="str">
        <f t="shared" si="8"/>
        <v>NW</v>
      </c>
      <c r="V64" s="59" t="str">
        <f t="shared" si="9"/>
        <v>KEEP</v>
      </c>
    </row>
    <row r="65" spans="1:22" x14ac:dyDescent="0.25">
      <c r="A65" s="44">
        <v>42581.263784722221</v>
      </c>
      <c r="B65" s="37" t="s">
        <v>105</v>
      </c>
      <c r="C65" s="37" t="s">
        <v>471</v>
      </c>
      <c r="D65" s="37" t="s">
        <v>49</v>
      </c>
      <c r="E65" s="37" t="s">
        <v>50</v>
      </c>
      <c r="F65" s="56">
        <v>0</v>
      </c>
      <c r="G65" s="56">
        <v>111</v>
      </c>
      <c r="H65" s="56">
        <v>58664</v>
      </c>
      <c r="I65" s="37" t="s">
        <v>51</v>
      </c>
      <c r="J65" s="56">
        <v>59058</v>
      </c>
      <c r="K65" s="37" t="s">
        <v>52</v>
      </c>
      <c r="L65" s="124" t="str">
        <f>VLOOKUP(C65,'Trips&amp;Operators'!$C$1:$E$9999,3,0)</f>
        <v>MADLOM</v>
      </c>
      <c r="M65" s="9" t="s">
        <v>97</v>
      </c>
      <c r="N65" s="10"/>
      <c r="O65" s="37"/>
      <c r="P65" s="62" t="str">
        <f>VLOOKUP(C65,'Train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5" s="60" t="str">
        <f>VLOOKUP(C65,'Train Runs'!$A$13:$AE$755,22,0)</f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5" s="61" t="str">
        <f t="shared" si="5"/>
        <v>"C:\Program Files (x86)\AstroGrep\AstroGrep.exe" /spath="C:\Users\stu\Documents\Analysis\2016-02-23 RTDC Observations" /stypes="*4025*201607301*" /stext=" 12:.+((SYSTEM_STATE.+slice.+state.+changed )|(ment ac)|(system.+state.+changed )|(\|lc)|(penalty)|(\[timeout)|(PRM\|1\|D))" /e /r /s</v>
      </c>
      <c r="S65" s="9" t="str">
        <f t="shared" si="6"/>
        <v>4025</v>
      </c>
      <c r="T65" s="44">
        <f t="shared" si="7"/>
        <v>42581.513784722221</v>
      </c>
      <c r="U65" s="59" t="str">
        <f t="shared" si="8"/>
        <v>NW</v>
      </c>
      <c r="V65" s="59" t="str">
        <f t="shared" si="9"/>
        <v>KEEP</v>
      </c>
    </row>
    <row r="66" spans="1:22" x14ac:dyDescent="0.25">
      <c r="A66" s="44">
        <v>42581.264236111114</v>
      </c>
      <c r="B66" s="37" t="s">
        <v>105</v>
      </c>
      <c r="C66" s="37" t="s">
        <v>471</v>
      </c>
      <c r="D66" s="37" t="s">
        <v>49</v>
      </c>
      <c r="E66" s="37" t="s">
        <v>50</v>
      </c>
      <c r="F66" s="56">
        <v>0</v>
      </c>
      <c r="G66" s="56">
        <v>49</v>
      </c>
      <c r="H66" s="56">
        <v>58852</v>
      </c>
      <c r="I66" s="37" t="s">
        <v>51</v>
      </c>
      <c r="J66" s="56">
        <v>59058</v>
      </c>
      <c r="K66" s="37" t="s">
        <v>52</v>
      </c>
      <c r="L66" s="124" t="str">
        <f>VLOOKUP(C66,'Trips&amp;Operators'!$C$1:$E$9999,3,0)</f>
        <v>MADLOM</v>
      </c>
      <c r="M66" s="9" t="s">
        <v>97</v>
      </c>
      <c r="N66" s="10"/>
      <c r="O66" s="37"/>
      <c r="P66" s="62" t="str">
        <f>VLOOKUP(C66,'Train Runs'!$A$13:$AE$755,31,0)</f>
        <v>aws s3 cp s3://rtdc.mdm.uploadarchive/RTDC4025/2016-07-30/ "C:\Users\stu\Documents\Analysis\2016-02-23 RTDC Observations"\RTDC4025\2016-07-30 --recursive &amp; "C:\Users\stu\Documents\GitHub\mrs-test-scripts\Headless Mode &amp; Sideloading\WalkAndUnGZ.bat" "C:\Users\stu\Documents\Analysis\2016-02-23 RTDC Observations"\RTDC4025\2016-07-30 &amp; aws s3 cp s3://rtdc.mdm.uploadarchive/RTDC4025/2016-07-31/ "C:\Users\stu\Documents\Analysis\2016-02-23 RTDC Observations"\RTDC4025\2016-07-31 --recursive &amp; "C:\Users\stu\Documents\GitHub\mrs-test-scripts\Headless Mode &amp; Sideloading\WalkAndUnGZ.bat" "C:\Users\stu\Documents\Analysis\2016-02-23 RTDC Observations"\RTDC4025\2016-07-31</v>
      </c>
      <c r="Q66" s="60" t="str">
        <f>VLOOKUP(C66,'Train Runs'!$A$13:$AE$755,22,0)</f>
        <v>https://search-rtdc-monitor-bjffxe2xuh6vdkpspy63sjmuny.us-east-1.es.amazonaws.com/_plugin/kibana/#/discover/Steve-Slow-Train-Analysis-(2080s-and-2083s)?_g=(refreshInterval:(display:Off,section:0,value:0),time:(from:'2016-07-30 05:01:27-0600',mode:absolute,to:'2016-07-30 07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4025%22')),sort:!(Time,asc))</v>
      </c>
      <c r="R66" s="61" t="str">
        <f t="shared" si="5"/>
        <v>"C:\Program Files (x86)\AstroGrep\AstroGrep.exe" /spath="C:\Users\stu\Documents\Analysis\2016-02-23 RTDC Observations" /stypes="*4025*201607301*" /stext=" 12:.+((SYSTEM_STATE.+slice.+state.+changed )|(ment ac)|(system.+state.+changed )|(\|lc)|(penalty)|(\[timeout)|(PRM\|1\|D))" /e /r /s</v>
      </c>
      <c r="S66" s="9" t="str">
        <f t="shared" si="6"/>
        <v>4025</v>
      </c>
      <c r="T66" s="44">
        <f t="shared" si="7"/>
        <v>42581.514236111114</v>
      </c>
      <c r="U66" s="59" t="str">
        <f t="shared" si="8"/>
        <v>NW</v>
      </c>
      <c r="V66" s="59" t="str">
        <f t="shared" si="9"/>
        <v>KEEP</v>
      </c>
    </row>
    <row r="67" spans="1:22" x14ac:dyDescent="0.25">
      <c r="A67" s="44">
        <v>42581.482037037036</v>
      </c>
      <c r="B67" s="37" t="s">
        <v>68</v>
      </c>
      <c r="C67" s="37" t="s">
        <v>832</v>
      </c>
      <c r="D67" s="37" t="s">
        <v>49</v>
      </c>
      <c r="E67" s="37" t="s">
        <v>50</v>
      </c>
      <c r="F67" s="56">
        <v>0</v>
      </c>
      <c r="G67" s="56">
        <v>99</v>
      </c>
      <c r="H67" s="56">
        <v>58666</v>
      </c>
      <c r="I67" s="37" t="s">
        <v>51</v>
      </c>
      <c r="J67" s="56">
        <v>59058</v>
      </c>
      <c r="K67" s="37" t="s">
        <v>52</v>
      </c>
      <c r="L67" s="124" t="str">
        <f>VLOOKUP(C67,'Trips&amp;Operators'!$C$1:$E$9999,3,0)</f>
        <v>YORK</v>
      </c>
      <c r="M67" s="9" t="s">
        <v>97</v>
      </c>
      <c r="N67" s="10"/>
      <c r="O67" s="37"/>
      <c r="P67" s="62" t="str">
        <f>VLOOKUP(C67,'Train Runs'!$A$13:$AE$755,31,0)</f>
        <v>aws s3 cp s3://rtdc.mdm.uploadarchive/RTDC4020/2016-07-30/ "C:\Users\stu\Documents\Analysis\2016-02-23 RTDC Observations"\RTDC4020\2016-07-30 --recursive &amp; "C:\Users\stu\Documents\GitHub\mrs-test-scripts\Headless Mode &amp; Sideloading\WalkAndUnGZ.bat" "C:\Users\stu\Documents\Analysis\2016-02-23 RTDC Observations"\RTDC4020\2016-07-30 &amp; aws s3 cp s3://rtdc.mdm.uploadarchive/RTDC4020/2016-07-31/ "C:\Users\stu\Documents\Analysis\2016-02-23 RTDC Observations"\RTDC4020\2016-07-31 --recursive &amp; "C:\Users\stu\Documents\GitHub\mrs-test-scripts\Headless Mode &amp; Sideloading\WalkAndUnGZ.bat" "C:\Users\stu\Documents\Analysis\2016-02-23 RTDC Observations"\RTDC4020\2016-07-31</v>
      </c>
      <c r="Q67" s="60" t="str">
        <f>VLOOKUP(C67,'Train Runs'!$A$13:$AE$755,22,0)</f>
        <v>https://search-rtdc-monitor-bjffxe2xuh6vdkpspy63sjmuny.us-east-1.es.amazonaws.com/_plugin/kibana/#/discover/Steve-Slow-Train-Analysis-(2080s-and-2083s)?_g=(refreshInterval:(display:Off,section:0,value:0),time:(from:'2016-07-30 10:15:28-0600',mode:absolute,to:'2016-07-30 12:34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7" s="61" t="str">
        <f t="shared" si="5"/>
        <v>"C:\Program Files (x86)\AstroGrep\AstroGrep.exe" /spath="C:\Users\stu\Documents\Analysis\2016-02-23 RTDC Observations" /stypes="*4020*201607301*" /stext=" 17:.+((SYSTEM_STATE.+slice.+state.+changed )|(ment ac)|(system.+state.+changed )|(\|lc)|(penalty)|(\[timeout)|(PRM\|1\|D))" /e /r /s</v>
      </c>
      <c r="S67" s="9" t="str">
        <f t="shared" si="6"/>
        <v>4020</v>
      </c>
      <c r="T67" s="44">
        <f t="shared" si="7"/>
        <v>42581.732037037036</v>
      </c>
      <c r="U67" s="59" t="str">
        <f t="shared" si="8"/>
        <v>NW</v>
      </c>
      <c r="V67" s="59" t="str">
        <f t="shared" si="9"/>
        <v>KEEP</v>
      </c>
    </row>
  </sheetData>
  <autoFilter ref="A6:V67"/>
  <sortState ref="A7:V67">
    <sortCondition ref="U7:U67"/>
    <sortCondition ref="E7:E67"/>
    <sortCondition ref="J7:J67"/>
    <sortCondition ref="C7:C67"/>
    <sortCondition ref="F7:F67"/>
  </sortState>
  <mergeCells count="1">
    <mergeCell ref="A5:M5"/>
  </mergeCells>
  <conditionalFormatting sqref="M6:N6 P6 M7:M1048576">
    <cfRule type="cellIs" dxfId="8" priority="14" operator="equal">
      <formula>"Y"</formula>
    </cfRule>
  </conditionalFormatting>
  <conditionalFormatting sqref="A7:N67">
    <cfRule type="expression" dxfId="7" priority="7">
      <formula>$M7="Y"</formula>
    </cfRule>
  </conditionalFormatting>
  <conditionalFormatting sqref="M2:M3">
    <cfRule type="cellIs" dxfId="6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="D4" sqref="D4"/>
    </sheetView>
  </sheetViews>
  <sheetFormatPr defaultRowHeight="15" x14ac:dyDescent="0.25"/>
  <cols>
    <col min="1" max="1" width="9.140625" customWidth="1"/>
    <col min="2" max="2" width="8" style="101" bestFit="1" customWidth="1"/>
    <col min="3" max="3" width="9.85546875" style="103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9" t="str">
        <f>"Trips that did not appear in PTC Data "&amp;TEXT(Variables!$A$2,"YYYY-mm-dd")</f>
        <v>Trips that did not appear in PTC Data 2016-07-30</v>
      </c>
      <c r="B1" s="129"/>
      <c r="C1" s="129"/>
      <c r="D1" s="129"/>
      <c r="E1" s="129"/>
    </row>
    <row r="2" spans="1:10" s="28" customFormat="1" ht="45" x14ac:dyDescent="0.25">
      <c r="A2" s="27" t="s">
        <v>73</v>
      </c>
      <c r="B2" s="99" t="s">
        <v>74</v>
      </c>
      <c r="C2" s="102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315</v>
      </c>
    </row>
    <row r="3" spans="1:10" x14ac:dyDescent="0.25">
      <c r="A3" s="37" t="s">
        <v>810</v>
      </c>
      <c r="B3" s="100">
        <v>1</v>
      </c>
      <c r="C3" s="100">
        <v>4038</v>
      </c>
      <c r="D3" s="37" t="s">
        <v>936</v>
      </c>
      <c r="E3" s="25" t="str">
        <f>VLOOKUP(A3,'Trips&amp;Operators'!$C$2:$E$10000,3,FALSE)</f>
        <v>DE LA ROSA</v>
      </c>
      <c r="F3" s="25" t="str">
        <f>VLOOKUP(A3,'Trips&amp;Operators'!$C$1:$F$10000,4,FALSE)</f>
        <v>rtdc.l.rtdc.4038:itc</v>
      </c>
      <c r="G3" s="36">
        <f>VLOOKUP(A3,'Trips&amp;Operators'!$C$1:$H$10000,5,FALSE)</f>
        <v>42581.984398148146</v>
      </c>
      <c r="H3" s="24" t="str">
        <f t="shared" ref="H3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221909-30%22)),sort:!(Time,asc))</v>
      </c>
      <c r="I3" s="24"/>
      <c r="J3" s="24"/>
    </row>
    <row r="4" spans="1:10" x14ac:dyDescent="0.25">
      <c r="A4" s="37" t="s">
        <v>937</v>
      </c>
      <c r="B4" s="100"/>
      <c r="C4" s="100"/>
      <c r="D4" s="37" t="s">
        <v>938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22221-30%22)),sort:!(Time,asc))</v>
      </c>
      <c r="I4" s="24"/>
      <c r="J4" s="24"/>
    </row>
    <row r="5" spans="1:10" x14ac:dyDescent="0.25">
      <c r="A5" s="37"/>
      <c r="B5" s="100"/>
      <c r="C5" s="100"/>
      <c r="D5" s="37"/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35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22%22)),sort:!(Time,asc))</v>
      </c>
      <c r="I5" s="24"/>
      <c r="J5" s="24"/>
    </row>
    <row r="6" spans="1:10" x14ac:dyDescent="0.25">
      <c r="A6" s="37"/>
      <c r="B6" s="100"/>
      <c r="C6" s="100"/>
      <c r="D6" s="37"/>
      <c r="E6" s="25"/>
      <c r="F6" s="25"/>
      <c r="G6" s="36"/>
      <c r="H6" s="24"/>
      <c r="I6" s="24"/>
      <c r="J6" s="24"/>
    </row>
    <row r="7" spans="1:10" x14ac:dyDescent="0.25">
      <c r="A7" s="37"/>
      <c r="B7" s="100"/>
      <c r="C7" s="100"/>
      <c r="D7" s="37"/>
      <c r="E7" s="25"/>
      <c r="F7" s="25"/>
      <c r="G7" s="36"/>
      <c r="H7" s="24"/>
      <c r="I7" s="24"/>
      <c r="J7" s="24"/>
    </row>
    <row r="8" spans="1:10" x14ac:dyDescent="0.25">
      <c r="A8" s="37"/>
      <c r="B8" s="100"/>
      <c r="C8" s="100"/>
      <c r="D8" s="37"/>
      <c r="E8" s="25"/>
      <c r="F8" s="25"/>
      <c r="G8" s="36"/>
      <c r="H8" s="24"/>
      <c r="I8" s="24"/>
      <c r="J8" s="24"/>
    </row>
    <row r="9" spans="1:10" x14ac:dyDescent="0.25">
      <c r="A9" s="37"/>
      <c r="B9" s="100"/>
      <c r="C9" s="100"/>
      <c r="D9" s="37"/>
      <c r="E9" s="25"/>
      <c r="F9" s="25"/>
      <c r="G9" s="36"/>
      <c r="H9" s="24"/>
      <c r="I9" s="24"/>
      <c r="J9" s="24"/>
    </row>
    <row r="10" spans="1:10" x14ac:dyDescent="0.25">
      <c r="B10" s="82"/>
      <c r="C10" s="82"/>
      <c r="H10" s="24"/>
      <c r="I10" s="24"/>
      <c r="J10" s="24"/>
    </row>
    <row r="11" spans="1:10" x14ac:dyDescent="0.25">
      <c r="B11" s="82"/>
      <c r="C11" s="82"/>
      <c r="H11" s="24"/>
      <c r="I11" s="24"/>
      <c r="J11" s="24"/>
    </row>
    <row r="12" spans="1:10" x14ac:dyDescent="0.25">
      <c r="B12" s="82"/>
      <c r="C12" s="82"/>
      <c r="H12" s="24"/>
      <c r="I12" s="24"/>
      <c r="J12" s="24"/>
    </row>
    <row r="13" spans="1:10" x14ac:dyDescent="0.25">
      <c r="B13" s="82"/>
      <c r="C13" s="82"/>
      <c r="H13" s="24"/>
      <c r="I13" s="24"/>
      <c r="J13" s="24"/>
    </row>
    <row r="14" spans="1:10" x14ac:dyDescent="0.25">
      <c r="B14" s="82"/>
      <c r="C14" s="82"/>
      <c r="H14" s="24"/>
      <c r="I14" s="24"/>
      <c r="J14" s="24"/>
    </row>
    <row r="15" spans="1:10" x14ac:dyDescent="0.25">
      <c r="B15" s="82"/>
      <c r="C15" s="82"/>
      <c r="H15" s="24"/>
      <c r="I15" s="24"/>
      <c r="J15" s="24"/>
    </row>
    <row r="16" spans="1:10" x14ac:dyDescent="0.25">
      <c r="B16" s="82"/>
      <c r="C16" s="82"/>
      <c r="H16" s="24"/>
      <c r="I16" s="24"/>
      <c r="J16" s="24"/>
    </row>
    <row r="17" spans="2:10" x14ac:dyDescent="0.25">
      <c r="B17" s="82"/>
      <c r="C17" s="82"/>
      <c r="H17" s="24"/>
      <c r="I17" s="24"/>
      <c r="J17" s="24"/>
    </row>
    <row r="18" spans="2:10" x14ac:dyDescent="0.25">
      <c r="B18" s="82"/>
      <c r="C18" s="82"/>
      <c r="H18" s="24"/>
      <c r="I18" s="24"/>
      <c r="J18" s="24"/>
    </row>
    <row r="19" spans="2:10" x14ac:dyDescent="0.25">
      <c r="B19" s="82"/>
      <c r="C19" s="82"/>
      <c r="H19" s="24"/>
      <c r="I19" s="24"/>
      <c r="J19" s="24"/>
    </row>
    <row r="20" spans="2:10" x14ac:dyDescent="0.25">
      <c r="B20" s="82"/>
      <c r="C20" s="82"/>
      <c r="H20" s="24"/>
      <c r="I20" s="24"/>
      <c r="J20" s="24"/>
    </row>
    <row r="21" spans="2:10" x14ac:dyDescent="0.25">
      <c r="B21" s="82"/>
      <c r="C21" s="82"/>
      <c r="H21" s="24"/>
      <c r="I21" s="24"/>
      <c r="J21" s="24"/>
    </row>
    <row r="22" spans="2:10" x14ac:dyDescent="0.25">
      <c r="B22" s="82"/>
      <c r="C22" s="82"/>
      <c r="H22" s="24"/>
      <c r="I22" s="24"/>
      <c r="J22" s="24"/>
    </row>
    <row r="23" spans="2:10" x14ac:dyDescent="0.25">
      <c r="B23" s="82"/>
      <c r="C23" s="82"/>
      <c r="H23" s="24"/>
      <c r="I23" s="24"/>
      <c r="J23" s="24"/>
    </row>
    <row r="24" spans="2:10" x14ac:dyDescent="0.25">
      <c r="B24" s="82"/>
      <c r="C24" s="82"/>
      <c r="H24" s="24"/>
      <c r="I24" s="24"/>
      <c r="J24" s="24"/>
    </row>
    <row r="25" spans="2:10" x14ac:dyDescent="0.25">
      <c r="B25" s="82"/>
      <c r="C25" s="82"/>
      <c r="H25" s="24"/>
      <c r="I25" s="24"/>
      <c r="J25" s="24"/>
    </row>
    <row r="26" spans="2:10" x14ac:dyDescent="0.25">
      <c r="B26" s="82"/>
      <c r="C26" s="82"/>
      <c r="H26" s="24"/>
      <c r="I26" s="24"/>
      <c r="J26" s="24"/>
    </row>
    <row r="27" spans="2:10" x14ac:dyDescent="0.25">
      <c r="B27" s="82"/>
      <c r="C27" s="82"/>
      <c r="H27" s="24"/>
      <c r="I27" s="24"/>
      <c r="J27" s="24"/>
    </row>
    <row r="28" spans="2:10" x14ac:dyDescent="0.25">
      <c r="B28" s="82"/>
      <c r="C28" s="82"/>
      <c r="H28" s="24"/>
      <c r="I28" s="24"/>
      <c r="J28" s="24"/>
    </row>
    <row r="29" spans="2:10" x14ac:dyDescent="0.25">
      <c r="B29" s="82"/>
      <c r="C29" s="82"/>
      <c r="H29" s="24"/>
      <c r="I29" s="24"/>
      <c r="J29" s="24"/>
    </row>
    <row r="30" spans="2:10" x14ac:dyDescent="0.25">
      <c r="B30" s="82"/>
      <c r="C30" s="82"/>
      <c r="H30" s="24"/>
      <c r="I30" s="24"/>
      <c r="J30" s="24"/>
    </row>
    <row r="31" spans="2:10" x14ac:dyDescent="0.25">
      <c r="B31" s="82"/>
      <c r="C31" s="82"/>
      <c r="H31" s="24"/>
      <c r="I31" s="24"/>
      <c r="J31" s="24"/>
    </row>
    <row r="32" spans="2:10" x14ac:dyDescent="0.25">
      <c r="B32" s="82"/>
      <c r="C32" s="82"/>
      <c r="H32" s="24"/>
      <c r="I32" s="24"/>
      <c r="J32" s="24"/>
    </row>
    <row r="33" spans="2:10" x14ac:dyDescent="0.25">
      <c r="B33" s="82"/>
      <c r="C33" s="82"/>
      <c r="H33" s="24"/>
      <c r="I33" s="24"/>
      <c r="J33" s="24"/>
    </row>
    <row r="34" spans="2:10" x14ac:dyDescent="0.25">
      <c r="B34" s="82"/>
      <c r="C34" s="82"/>
      <c r="H34" s="24"/>
      <c r="I34" s="24"/>
      <c r="J34" s="24"/>
    </row>
    <row r="35" spans="2:10" x14ac:dyDescent="0.25">
      <c r="B35" s="82"/>
      <c r="C35" s="82"/>
      <c r="H35" s="24"/>
      <c r="I35" s="24"/>
      <c r="J35" s="24"/>
    </row>
    <row r="36" spans="2:10" x14ac:dyDescent="0.25">
      <c r="B36" s="82"/>
      <c r="C36" s="82"/>
      <c r="H36" s="24"/>
      <c r="I36" s="24"/>
      <c r="J36" s="24"/>
    </row>
    <row r="37" spans="2:10" x14ac:dyDescent="0.25">
      <c r="B37" s="82"/>
      <c r="C37" s="82"/>
      <c r="H37" s="24"/>
      <c r="I37" s="24"/>
      <c r="J37" s="24"/>
    </row>
    <row r="38" spans="2:10" x14ac:dyDescent="0.25">
      <c r="B38" s="82"/>
      <c r="C38" s="82"/>
      <c r="H38" s="24"/>
      <c r="I38" s="24"/>
      <c r="J38" s="24"/>
    </row>
    <row r="39" spans="2:10" x14ac:dyDescent="0.25">
      <c r="B39" s="82"/>
      <c r="C39" s="82"/>
      <c r="H39" s="24"/>
      <c r="I39" s="24"/>
      <c r="J39" s="24"/>
    </row>
    <row r="40" spans="2:10" x14ac:dyDescent="0.25">
      <c r="B40" s="82"/>
      <c r="C40" s="82"/>
      <c r="H40" s="24"/>
      <c r="I40" s="24"/>
      <c r="J40" s="24"/>
    </row>
    <row r="41" spans="2:10" x14ac:dyDescent="0.25">
      <c r="B41" s="82"/>
      <c r="C41" s="82"/>
      <c r="H41" s="24"/>
      <c r="I41" s="24"/>
      <c r="J41" s="24"/>
    </row>
    <row r="42" spans="2:10" x14ac:dyDescent="0.25">
      <c r="B42" s="82"/>
      <c r="C42" s="82"/>
      <c r="H42" s="24"/>
      <c r="I42" s="24"/>
      <c r="J42" s="24"/>
    </row>
    <row r="43" spans="2:10" x14ac:dyDescent="0.25">
      <c r="B43" s="82"/>
      <c r="C43" s="82"/>
      <c r="H43" s="24"/>
      <c r="I43" s="24"/>
      <c r="J43" s="24"/>
    </row>
    <row r="44" spans="2:10" x14ac:dyDescent="0.25">
      <c r="B44" s="82"/>
      <c r="C44" s="82"/>
      <c r="H44" s="24"/>
      <c r="I44" s="24"/>
      <c r="J44" s="24"/>
    </row>
    <row r="45" spans="2:10" x14ac:dyDescent="0.25">
      <c r="B45" s="82"/>
      <c r="C45" s="82"/>
      <c r="H45" s="24"/>
      <c r="I45" s="24"/>
      <c r="J45" s="24"/>
    </row>
    <row r="46" spans="2:10" x14ac:dyDescent="0.25">
      <c r="B46" s="82"/>
      <c r="C46" s="82"/>
      <c r="H46" s="24"/>
      <c r="I46" s="24"/>
      <c r="J46" s="24"/>
    </row>
    <row r="47" spans="2:10" x14ac:dyDescent="0.25">
      <c r="B47" s="82"/>
      <c r="C47" s="82"/>
      <c r="H47" s="24"/>
      <c r="I47" s="24"/>
      <c r="J47" s="24"/>
    </row>
    <row r="48" spans="2:10" x14ac:dyDescent="0.25">
      <c r="B48" s="82"/>
      <c r="C48" s="82"/>
      <c r="H48" s="24"/>
      <c r="I48" s="24"/>
      <c r="J48" s="24"/>
    </row>
    <row r="49" spans="2:10" x14ac:dyDescent="0.25">
      <c r="B49" s="82"/>
      <c r="C49" s="82"/>
      <c r="H49" s="24"/>
      <c r="I49" s="24"/>
      <c r="J49" s="24"/>
    </row>
    <row r="50" spans="2:10" x14ac:dyDescent="0.25">
      <c r="B50" s="82"/>
      <c r="C50" s="82"/>
      <c r="H50" s="24"/>
      <c r="I50" s="24"/>
      <c r="J50" s="24"/>
    </row>
    <row r="51" spans="2:10" x14ac:dyDescent="0.25">
      <c r="B51" s="82"/>
      <c r="C51" s="82"/>
      <c r="H51" s="24"/>
      <c r="I51" s="24"/>
      <c r="J51" s="24"/>
    </row>
    <row r="52" spans="2:10" x14ac:dyDescent="0.25">
      <c r="B52" s="82"/>
      <c r="C52" s="82"/>
      <c r="H52" s="24"/>
      <c r="I52" s="24"/>
      <c r="J52" s="24"/>
    </row>
    <row r="53" spans="2:10" x14ac:dyDescent="0.25">
      <c r="B53" s="82"/>
      <c r="C53" s="82"/>
      <c r="H53" s="24"/>
      <c r="I53" s="24"/>
      <c r="J53" s="24"/>
    </row>
    <row r="54" spans="2:10" x14ac:dyDescent="0.25">
      <c r="B54" s="82"/>
      <c r="C54" s="82"/>
      <c r="H54" s="24"/>
      <c r="I54" s="24"/>
      <c r="J54" s="24"/>
    </row>
    <row r="55" spans="2:10" x14ac:dyDescent="0.25">
      <c r="B55" s="82"/>
      <c r="C55" s="82"/>
      <c r="H55" s="24"/>
      <c r="I55" s="24"/>
      <c r="J55" s="24"/>
    </row>
    <row r="56" spans="2:10" x14ac:dyDescent="0.25">
      <c r="B56" s="82"/>
      <c r="C56" s="82"/>
      <c r="H56" s="24"/>
      <c r="I56" s="24"/>
      <c r="J56" s="24"/>
    </row>
    <row r="57" spans="2:10" x14ac:dyDescent="0.25">
      <c r="B57" s="82"/>
      <c r="C57" s="82"/>
      <c r="H57" s="24"/>
      <c r="I57" s="24"/>
      <c r="J57" s="24"/>
    </row>
    <row r="58" spans="2:10" x14ac:dyDescent="0.25">
      <c r="B58" s="82"/>
      <c r="C58" s="82"/>
      <c r="H58" s="24"/>
      <c r="I58" s="24"/>
      <c r="J58" s="24"/>
    </row>
    <row r="59" spans="2:10" x14ac:dyDescent="0.25">
      <c r="B59" s="82"/>
      <c r="C59" s="82"/>
      <c r="H59" s="24"/>
      <c r="I59" s="24"/>
      <c r="J59" s="24"/>
    </row>
    <row r="60" spans="2:10" x14ac:dyDescent="0.25">
      <c r="B60" s="82"/>
      <c r="C60" s="82"/>
      <c r="H60" s="24"/>
      <c r="I60" s="24"/>
      <c r="J60" s="24"/>
    </row>
    <row r="61" spans="2:10" x14ac:dyDescent="0.25">
      <c r="B61" s="82"/>
      <c r="C61" s="82"/>
      <c r="H61" s="24"/>
      <c r="I61" s="24"/>
      <c r="J61" s="24"/>
    </row>
    <row r="62" spans="2:10" x14ac:dyDescent="0.25">
      <c r="B62" s="82"/>
      <c r="C62" s="82"/>
      <c r="H62" s="24"/>
      <c r="I62" s="24"/>
      <c r="J62" s="24"/>
    </row>
    <row r="63" spans="2:10" x14ac:dyDescent="0.25">
      <c r="B63" s="82"/>
      <c r="C63" s="82"/>
      <c r="H63" s="24"/>
      <c r="I63" s="24"/>
      <c r="J63" s="24"/>
    </row>
    <row r="64" spans="2:10" x14ac:dyDescent="0.25">
      <c r="B64" s="82"/>
      <c r="C64" s="82"/>
      <c r="H64" s="24"/>
      <c r="I64" s="24"/>
      <c r="J64" s="24"/>
    </row>
    <row r="65" spans="2:10" x14ac:dyDescent="0.25">
      <c r="B65" s="82"/>
      <c r="C65" s="82"/>
      <c r="H65" s="24"/>
      <c r="I65" s="24"/>
      <c r="J65" s="24"/>
    </row>
    <row r="66" spans="2:10" x14ac:dyDescent="0.25">
      <c r="B66" s="82"/>
      <c r="C66" s="82"/>
      <c r="H66" s="24"/>
      <c r="I66" s="24"/>
      <c r="J66" s="24"/>
    </row>
    <row r="67" spans="2:10" x14ac:dyDescent="0.25">
      <c r="B67" s="82"/>
      <c r="C67" s="82"/>
      <c r="H67" s="24"/>
      <c r="I67" s="24"/>
      <c r="J67" s="24"/>
    </row>
    <row r="68" spans="2:10" x14ac:dyDescent="0.25">
      <c r="B68" s="82"/>
      <c r="C68" s="82"/>
      <c r="H68" s="24"/>
      <c r="I68" s="24"/>
      <c r="J68" s="24"/>
    </row>
    <row r="69" spans="2:10" x14ac:dyDescent="0.25">
      <c r="B69" s="82"/>
      <c r="C69" s="82"/>
      <c r="H69" s="24"/>
      <c r="I69" s="24"/>
      <c r="J69" s="24"/>
    </row>
    <row r="70" spans="2:10" x14ac:dyDescent="0.25">
      <c r="B70" s="82"/>
      <c r="C70" s="82"/>
      <c r="H70" s="24"/>
      <c r="I70" s="24"/>
      <c r="J70" s="24"/>
    </row>
    <row r="71" spans="2:10" x14ac:dyDescent="0.25">
      <c r="B71" s="82"/>
      <c r="C71" s="82"/>
      <c r="H71" s="24"/>
      <c r="I71" s="24"/>
      <c r="J71" s="24"/>
    </row>
    <row r="72" spans="2:10" x14ac:dyDescent="0.25">
      <c r="B72" s="82"/>
      <c r="C72" s="82"/>
      <c r="H72" s="24"/>
      <c r="I72" s="24"/>
      <c r="J72" s="24"/>
    </row>
    <row r="73" spans="2:10" x14ac:dyDescent="0.25">
      <c r="B73" s="82"/>
      <c r="C73" s="82"/>
      <c r="H73" s="24"/>
      <c r="I73" s="24"/>
      <c r="J73" s="24"/>
    </row>
    <row r="74" spans="2:10" x14ac:dyDescent="0.25">
      <c r="B74" s="82"/>
      <c r="C74" s="82"/>
      <c r="H74" s="24"/>
      <c r="I74" s="24"/>
      <c r="J74" s="24"/>
    </row>
    <row r="75" spans="2:10" x14ac:dyDescent="0.25">
      <c r="B75" s="82"/>
      <c r="C75" s="82"/>
      <c r="H75" s="24"/>
      <c r="I75" s="24"/>
      <c r="J75" s="24"/>
    </row>
    <row r="76" spans="2:10" x14ac:dyDescent="0.25">
      <c r="B76" s="82"/>
      <c r="C76" s="82"/>
      <c r="H76" s="24"/>
      <c r="I76" s="24"/>
      <c r="J76" s="24"/>
    </row>
    <row r="77" spans="2:10" x14ac:dyDescent="0.25">
      <c r="B77" s="82"/>
      <c r="C77" s="82"/>
      <c r="H77" s="24"/>
      <c r="I77" s="24"/>
      <c r="J77" s="24"/>
    </row>
    <row r="78" spans="2:10" x14ac:dyDescent="0.25">
      <c r="B78" s="82"/>
      <c r="C78" s="82"/>
      <c r="H78" s="24"/>
      <c r="I78" s="24"/>
      <c r="J78" s="24"/>
    </row>
    <row r="79" spans="2:10" x14ac:dyDescent="0.25">
      <c r="B79" s="82"/>
      <c r="C79" s="82"/>
      <c r="H79" s="24"/>
      <c r="I79" s="24"/>
      <c r="J79" s="24"/>
    </row>
    <row r="80" spans="2:10" x14ac:dyDescent="0.25">
      <c r="B80" s="82"/>
      <c r="C80" s="82"/>
      <c r="H80" s="24"/>
      <c r="I80" s="24"/>
      <c r="J80" s="24"/>
    </row>
    <row r="81" spans="2:10" x14ac:dyDescent="0.25">
      <c r="B81" s="82"/>
      <c r="C81" s="82"/>
      <c r="H81" s="24"/>
      <c r="I81" s="24"/>
      <c r="J81" s="24"/>
    </row>
    <row r="82" spans="2:10" x14ac:dyDescent="0.25">
      <c r="B82" s="82"/>
      <c r="C82" s="82"/>
      <c r="H82" s="24"/>
      <c r="I82" s="24"/>
      <c r="J82" s="24"/>
    </row>
    <row r="83" spans="2:10" x14ac:dyDescent="0.25">
      <c r="B83" s="82"/>
      <c r="C83" s="82"/>
      <c r="H83" s="24"/>
      <c r="I83" s="24"/>
      <c r="J83" s="24"/>
    </row>
    <row r="84" spans="2:10" x14ac:dyDescent="0.25">
      <c r="B84" s="82"/>
      <c r="C84" s="82"/>
      <c r="H84" s="24"/>
      <c r="I84" s="24"/>
      <c r="J84" s="24"/>
    </row>
    <row r="85" spans="2:10" x14ac:dyDescent="0.25">
      <c r="B85" s="82"/>
      <c r="C85" s="82"/>
      <c r="H85" s="24"/>
      <c r="I85" s="24"/>
      <c r="J85" s="24"/>
    </row>
    <row r="86" spans="2:10" x14ac:dyDescent="0.25">
      <c r="B86" s="82"/>
      <c r="C86" s="82"/>
      <c r="H86" s="24"/>
      <c r="I86" s="24"/>
      <c r="J86" s="24"/>
    </row>
    <row r="87" spans="2:10" x14ac:dyDescent="0.25">
      <c r="B87" s="82"/>
      <c r="C87" s="82"/>
      <c r="H87" s="24"/>
      <c r="I87" s="24"/>
      <c r="J87" s="24"/>
    </row>
    <row r="88" spans="2:10" x14ac:dyDescent="0.25">
      <c r="B88" s="82"/>
      <c r="C88" s="82"/>
      <c r="H88" s="24"/>
      <c r="I88" s="24"/>
      <c r="J88" s="24"/>
    </row>
    <row r="89" spans="2:10" x14ac:dyDescent="0.25">
      <c r="B89" s="82"/>
      <c r="C89" s="82"/>
      <c r="H89" s="24"/>
      <c r="I89" s="24"/>
      <c r="J89" s="24"/>
    </row>
    <row r="90" spans="2:10" x14ac:dyDescent="0.25">
      <c r="B90" s="82"/>
      <c r="C90" s="82"/>
      <c r="H90" s="24"/>
      <c r="I90" s="24"/>
      <c r="J90" s="24"/>
    </row>
    <row r="91" spans="2:10" x14ac:dyDescent="0.25">
      <c r="B91" s="82"/>
      <c r="C91" s="82"/>
      <c r="H91" s="24"/>
      <c r="I91" s="24"/>
      <c r="J91" s="24"/>
    </row>
    <row r="92" spans="2:10" x14ac:dyDescent="0.25">
      <c r="B92" s="82"/>
      <c r="C92" s="82"/>
      <c r="H92" s="24"/>
      <c r="I92" s="24"/>
      <c r="J92" s="24"/>
    </row>
    <row r="93" spans="2:10" x14ac:dyDescent="0.25">
      <c r="B93" s="82"/>
      <c r="C93" s="82"/>
      <c r="H93" s="24"/>
      <c r="I93" s="24"/>
      <c r="J93" s="24"/>
    </row>
    <row r="94" spans="2:10" x14ac:dyDescent="0.25">
      <c r="B94" s="82"/>
      <c r="C94" s="82"/>
      <c r="H94" s="24"/>
      <c r="I94" s="24"/>
      <c r="J94" s="24"/>
    </row>
    <row r="95" spans="2:10" x14ac:dyDescent="0.25">
      <c r="B95" s="82"/>
      <c r="C95" s="82"/>
      <c r="H95" s="24"/>
      <c r="I95" s="24"/>
      <c r="J95" s="24"/>
    </row>
    <row r="96" spans="2:10" x14ac:dyDescent="0.25">
      <c r="B96" s="82"/>
      <c r="C96" s="82"/>
      <c r="H96" s="24"/>
      <c r="I96" s="24"/>
      <c r="J96" s="24"/>
    </row>
    <row r="97" spans="2:10" x14ac:dyDescent="0.25">
      <c r="B97" s="82"/>
      <c r="C97" s="82"/>
      <c r="H97" s="24"/>
      <c r="I97" s="24"/>
      <c r="J97" s="24"/>
    </row>
    <row r="98" spans="2:10" x14ac:dyDescent="0.25">
      <c r="B98" s="82"/>
      <c r="C98" s="82"/>
      <c r="H98" s="24"/>
      <c r="I98" s="24"/>
      <c r="J98" s="24"/>
    </row>
    <row r="99" spans="2:10" x14ac:dyDescent="0.25">
      <c r="B99" s="82"/>
      <c r="C99" s="82"/>
      <c r="H99" s="24"/>
      <c r="I99" s="24"/>
      <c r="J99" s="24"/>
    </row>
    <row r="100" spans="2:10" x14ac:dyDescent="0.25">
      <c r="B100" s="82"/>
      <c r="C100" s="82"/>
      <c r="H100" s="24"/>
      <c r="I100" s="24"/>
      <c r="J100" s="24"/>
    </row>
    <row r="101" spans="2:10" x14ac:dyDescent="0.25">
      <c r="B101" s="82"/>
      <c r="C101" s="82"/>
      <c r="H101" s="24"/>
      <c r="I101" s="24"/>
      <c r="J101" s="24"/>
    </row>
    <row r="102" spans="2:10" x14ac:dyDescent="0.25">
      <c r="B102" s="82"/>
      <c r="C102" s="82"/>
      <c r="H102" s="24"/>
      <c r="I102" s="24"/>
      <c r="J102" s="24"/>
    </row>
    <row r="103" spans="2:10" x14ac:dyDescent="0.25">
      <c r="B103" s="82"/>
      <c r="C103" s="82"/>
      <c r="H103" s="24"/>
      <c r="I103" s="24"/>
      <c r="J103" s="24"/>
    </row>
    <row r="104" spans="2:10" x14ac:dyDescent="0.25">
      <c r="B104" s="82"/>
      <c r="C104" s="82"/>
      <c r="H104" s="24"/>
      <c r="I104" s="24"/>
      <c r="J104" s="24"/>
    </row>
    <row r="105" spans="2:10" x14ac:dyDescent="0.25">
      <c r="B105" s="82"/>
      <c r="C105" s="82"/>
      <c r="H105" s="24"/>
      <c r="I105" s="24"/>
      <c r="J105" s="24"/>
    </row>
    <row r="106" spans="2:10" x14ac:dyDescent="0.25">
      <c r="B106" s="82"/>
      <c r="C106" s="82"/>
      <c r="H106" s="24"/>
      <c r="I106" s="24"/>
      <c r="J106" s="24"/>
    </row>
    <row r="107" spans="2:10" x14ac:dyDescent="0.25">
      <c r="B107" s="82"/>
      <c r="C107" s="82"/>
      <c r="H107" s="24"/>
      <c r="I107" s="24"/>
      <c r="J107" s="24"/>
    </row>
    <row r="108" spans="2:10" x14ac:dyDescent="0.25">
      <c r="B108" s="82"/>
      <c r="C108" s="82"/>
      <c r="H108" s="24"/>
      <c r="I108" s="24"/>
      <c r="J108" s="24"/>
    </row>
    <row r="109" spans="2:10" x14ac:dyDescent="0.25">
      <c r="B109" s="82"/>
      <c r="C109" s="82"/>
      <c r="H109" s="24"/>
      <c r="I109" s="24"/>
      <c r="J109" s="24"/>
    </row>
    <row r="110" spans="2:10" x14ac:dyDescent="0.25">
      <c r="B110" s="82"/>
      <c r="C110" s="82"/>
      <c r="H110" s="24"/>
      <c r="I110" s="24"/>
      <c r="J110" s="24"/>
    </row>
    <row r="111" spans="2:10" x14ac:dyDescent="0.25">
      <c r="B111" s="82"/>
      <c r="C111" s="82"/>
      <c r="H111" s="24"/>
      <c r="I111" s="24"/>
      <c r="J111" s="24"/>
    </row>
    <row r="112" spans="2:10" x14ac:dyDescent="0.25">
      <c r="B112" s="82"/>
      <c r="C112" s="82"/>
      <c r="H112" s="24"/>
      <c r="I112" s="24"/>
      <c r="J112" s="24"/>
    </row>
    <row r="113" spans="2:10" x14ac:dyDescent="0.25">
      <c r="B113" s="82"/>
      <c r="C113" s="82"/>
      <c r="H113" s="24"/>
      <c r="I113" s="24"/>
      <c r="J113" s="24"/>
    </row>
    <row r="114" spans="2:10" x14ac:dyDescent="0.25">
      <c r="B114" s="82"/>
      <c r="C114" s="82"/>
      <c r="H114" s="24"/>
      <c r="I114" s="24"/>
      <c r="J114" s="24"/>
    </row>
    <row r="115" spans="2:10" x14ac:dyDescent="0.25">
      <c r="B115" s="82"/>
      <c r="C115" s="82"/>
      <c r="H115" s="24"/>
      <c r="I115" s="24"/>
      <c r="J115" s="24"/>
    </row>
    <row r="116" spans="2:10" x14ac:dyDescent="0.25">
      <c r="B116" s="82"/>
      <c r="C116" s="82"/>
      <c r="H116" s="24"/>
      <c r="I116" s="24"/>
      <c r="J116" s="24"/>
    </row>
    <row r="117" spans="2:10" x14ac:dyDescent="0.25">
      <c r="B117" s="82"/>
      <c r="C117" s="82"/>
      <c r="H117" s="24"/>
      <c r="I117" s="24"/>
      <c r="J117" s="24"/>
    </row>
    <row r="118" spans="2:10" x14ac:dyDescent="0.25">
      <c r="B118" s="82"/>
      <c r="C118" s="82"/>
      <c r="H118" s="24"/>
      <c r="I118" s="24"/>
      <c r="J118" s="24"/>
    </row>
    <row r="119" spans="2:10" x14ac:dyDescent="0.25">
      <c r="B119" s="82"/>
      <c r="C119" s="82"/>
      <c r="H119" s="24"/>
      <c r="I119" s="24"/>
      <c r="J119" s="24"/>
    </row>
    <row r="120" spans="2:10" x14ac:dyDescent="0.25">
      <c r="H120" s="24"/>
      <c r="I120" s="24"/>
      <c r="J120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/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42581.046863425923</v>
      </c>
      <c r="B1" s="24" t="s">
        <v>68</v>
      </c>
      <c r="C1" s="24" t="s">
        <v>712</v>
      </c>
      <c r="D1" s="24">
        <v>2150000</v>
      </c>
      <c r="E1" s="24" t="s">
        <v>333</v>
      </c>
      <c r="F1" s="24" t="str">
        <f>B1</f>
        <v>rtdc.l.rtdc.4020:itc</v>
      </c>
      <c r="G1" s="8">
        <f>A1</f>
        <v>42581.046863425923</v>
      </c>
    </row>
    <row r="2" spans="1:7" x14ac:dyDescent="0.25">
      <c r="A2" s="8">
        <v>42581.393020833333</v>
      </c>
      <c r="B2" s="24" t="s">
        <v>103</v>
      </c>
      <c r="C2" s="24" t="s">
        <v>713</v>
      </c>
      <c r="D2" s="24">
        <v>540000</v>
      </c>
      <c r="E2" s="24" t="s">
        <v>714</v>
      </c>
      <c r="F2" s="24" t="str">
        <f t="shared" ref="F2:F65" si="0">B2</f>
        <v>rtdc.l.rtdc.4026:itc</v>
      </c>
      <c r="G2" s="8">
        <f t="shared" ref="G2:G65" si="1">A2</f>
        <v>42581.393020833333</v>
      </c>
    </row>
    <row r="3" spans="1:7" x14ac:dyDescent="0.25">
      <c r="A3" s="8">
        <v>42581.411412037036</v>
      </c>
      <c r="B3" s="24" t="s">
        <v>70</v>
      </c>
      <c r="C3" s="24" t="s">
        <v>715</v>
      </c>
      <c r="D3" s="24">
        <v>1760000</v>
      </c>
      <c r="E3" s="24" t="s">
        <v>377</v>
      </c>
      <c r="F3" s="24" t="str">
        <f t="shared" si="0"/>
        <v>rtdc.l.rtdc.4017:itc</v>
      </c>
      <c r="G3" s="8">
        <f t="shared" si="1"/>
        <v>42581.411412037036</v>
      </c>
    </row>
    <row r="4" spans="1:7" x14ac:dyDescent="0.25">
      <c r="A4" s="8">
        <v>42581.592534722222</v>
      </c>
      <c r="B4" s="24" t="s">
        <v>210</v>
      </c>
      <c r="C4" s="24" t="s">
        <v>716</v>
      </c>
      <c r="D4" s="24">
        <v>1780000</v>
      </c>
      <c r="E4" s="24" t="s">
        <v>305</v>
      </c>
      <c r="F4" s="24" t="str">
        <f t="shared" si="0"/>
        <v>rtdc.l.rtdc.4037:itc</v>
      </c>
      <c r="G4" s="8">
        <f t="shared" si="1"/>
        <v>42581.592534722222</v>
      </c>
    </row>
    <row r="5" spans="1:7" x14ac:dyDescent="0.25">
      <c r="A5" s="8">
        <v>42581.619629629633</v>
      </c>
      <c r="B5" s="24" t="s">
        <v>158</v>
      </c>
      <c r="C5" s="24" t="s">
        <v>717</v>
      </c>
      <c r="D5" s="24">
        <v>1520000</v>
      </c>
      <c r="E5" s="24" t="s">
        <v>180</v>
      </c>
      <c r="F5" s="24" t="str">
        <f t="shared" si="0"/>
        <v>rtdc.l.rtdc.4012:itc</v>
      </c>
      <c r="G5" s="8">
        <f t="shared" si="1"/>
        <v>42581.619629629633</v>
      </c>
    </row>
    <row r="6" spans="1:7" x14ac:dyDescent="0.25">
      <c r="A6" s="8">
        <v>42581.331342592595</v>
      </c>
      <c r="B6" s="24" t="s">
        <v>114</v>
      </c>
      <c r="C6" s="24" t="s">
        <v>463</v>
      </c>
      <c r="D6" s="24">
        <v>1360000</v>
      </c>
      <c r="E6" s="24" t="s">
        <v>300</v>
      </c>
      <c r="F6" s="24" t="str">
        <f t="shared" si="0"/>
        <v>rtdc.l.rtdc.4007:itc</v>
      </c>
      <c r="G6" s="8">
        <f t="shared" si="1"/>
        <v>42581.331342592595</v>
      </c>
    </row>
    <row r="7" spans="1:7" x14ac:dyDescent="0.25">
      <c r="A7" s="8">
        <v>42581.691504629627</v>
      </c>
      <c r="B7" s="24" t="s">
        <v>101</v>
      </c>
      <c r="C7" s="24" t="s">
        <v>519</v>
      </c>
      <c r="D7" s="24">
        <v>1780000</v>
      </c>
      <c r="E7" s="24" t="s">
        <v>305</v>
      </c>
      <c r="F7" s="24" t="str">
        <f t="shared" si="0"/>
        <v>rtdc.l.rtdc.4038:itc</v>
      </c>
      <c r="G7" s="8">
        <f t="shared" si="1"/>
        <v>42581.691504629627</v>
      </c>
    </row>
    <row r="8" spans="1:7" x14ac:dyDescent="0.25">
      <c r="A8" s="8">
        <v>42581.726354166669</v>
      </c>
      <c r="B8" s="24" t="s">
        <v>169</v>
      </c>
      <c r="C8" s="24" t="s">
        <v>652</v>
      </c>
      <c r="D8" s="24">
        <v>1520000</v>
      </c>
      <c r="E8" s="24" t="s">
        <v>180</v>
      </c>
      <c r="F8" s="24" t="str">
        <f t="shared" si="0"/>
        <v>rtdc.l.rtdc.4014:itc</v>
      </c>
      <c r="G8" s="8">
        <f t="shared" si="1"/>
        <v>42581.726354166669</v>
      </c>
    </row>
    <row r="9" spans="1:7" ht="15.75" thickBot="1" x14ac:dyDescent="0.3">
      <c r="A9" s="31">
        <v>42581.764606481483</v>
      </c>
      <c r="B9" s="24" t="s">
        <v>103</v>
      </c>
      <c r="C9" s="24" t="s">
        <v>551</v>
      </c>
      <c r="D9" s="24">
        <v>2000000</v>
      </c>
      <c r="E9" s="24" t="s">
        <v>718</v>
      </c>
      <c r="F9" s="24" t="str">
        <f t="shared" si="0"/>
        <v>rtdc.l.rtdc.4026:itc</v>
      </c>
      <c r="G9" s="8">
        <f t="shared" si="1"/>
        <v>42581.764606481483</v>
      </c>
    </row>
    <row r="10" spans="1:7" x14ac:dyDescent="0.25">
      <c r="A10" s="8">
        <v>42581.933148148149</v>
      </c>
      <c r="B10" s="24" t="s">
        <v>68</v>
      </c>
      <c r="C10" s="24" t="s">
        <v>595</v>
      </c>
      <c r="D10" s="24">
        <v>1740000</v>
      </c>
      <c r="E10" s="24" t="s">
        <v>719</v>
      </c>
      <c r="F10" s="24" t="str">
        <f t="shared" si="0"/>
        <v>rtdc.l.rtdc.4020:itc</v>
      </c>
      <c r="G10" s="8">
        <f t="shared" si="1"/>
        <v>42581.933148148149</v>
      </c>
    </row>
    <row r="11" spans="1:7" x14ac:dyDescent="0.25">
      <c r="A11" s="8">
        <v>42582.047905092593</v>
      </c>
      <c r="B11" s="24" t="s">
        <v>69</v>
      </c>
      <c r="C11" s="24" t="s">
        <v>707</v>
      </c>
      <c r="D11" s="24">
        <v>2030000</v>
      </c>
      <c r="E11" s="24" t="s">
        <v>720</v>
      </c>
      <c r="F11" s="24" t="str">
        <f t="shared" si="0"/>
        <v>rtdc.l.rtdc.4018:itc</v>
      </c>
      <c r="G11" s="8">
        <f t="shared" si="1"/>
        <v>42582.047905092593</v>
      </c>
    </row>
    <row r="12" spans="1:7" x14ac:dyDescent="0.25">
      <c r="A12" s="8">
        <v>42581.251608796294</v>
      </c>
      <c r="B12" s="24" t="s">
        <v>105</v>
      </c>
      <c r="C12" s="24" t="s">
        <v>471</v>
      </c>
      <c r="D12" s="24">
        <v>540000</v>
      </c>
      <c r="E12" s="24" t="s">
        <v>714</v>
      </c>
      <c r="F12" s="24" t="str">
        <f t="shared" si="0"/>
        <v>rtdc.l.rtdc.4025:itc</v>
      </c>
      <c r="G12" s="8">
        <f t="shared" si="1"/>
        <v>42581.251608796294</v>
      </c>
    </row>
    <row r="13" spans="1:7" x14ac:dyDescent="0.25">
      <c r="A13" s="8">
        <v>42581.832118055558</v>
      </c>
      <c r="B13" s="24" t="s">
        <v>105</v>
      </c>
      <c r="C13" s="24" t="s">
        <v>567</v>
      </c>
      <c r="D13" s="24">
        <v>2000000</v>
      </c>
      <c r="E13" s="24" t="s">
        <v>718</v>
      </c>
      <c r="F13" s="24" t="str">
        <f t="shared" si="0"/>
        <v>rtdc.l.rtdc.4025:itc</v>
      </c>
      <c r="G13" s="8">
        <f t="shared" si="1"/>
        <v>42581.832118055558</v>
      </c>
    </row>
    <row r="14" spans="1:7" x14ac:dyDescent="0.25">
      <c r="A14" s="8">
        <v>42581.425173611111</v>
      </c>
      <c r="B14" s="24" t="s">
        <v>107</v>
      </c>
      <c r="C14" s="24" t="s">
        <v>721</v>
      </c>
      <c r="D14" s="24">
        <v>1100000</v>
      </c>
      <c r="E14" s="24" t="s">
        <v>168</v>
      </c>
      <c r="F14" s="24" t="str">
        <f t="shared" si="0"/>
        <v>rtdc.l.rtdc.4029:itc</v>
      </c>
      <c r="G14" s="8">
        <f t="shared" si="1"/>
        <v>42581.425173611111</v>
      </c>
    </row>
    <row r="15" spans="1:7" x14ac:dyDescent="0.25">
      <c r="A15" s="8">
        <v>42581.943912037037</v>
      </c>
      <c r="B15" s="24" t="s">
        <v>101</v>
      </c>
      <c r="C15" s="24" t="s">
        <v>599</v>
      </c>
      <c r="D15" s="24">
        <v>1780000</v>
      </c>
      <c r="E15" s="24" t="s">
        <v>305</v>
      </c>
      <c r="F15" s="24" t="str">
        <f t="shared" si="0"/>
        <v>rtdc.l.rtdc.4038:itc</v>
      </c>
      <c r="G15" s="8">
        <f t="shared" si="1"/>
        <v>42581.943912037037</v>
      </c>
    </row>
    <row r="16" spans="1:7" x14ac:dyDescent="0.25">
      <c r="A16" s="8">
        <v>42581.34480324074</v>
      </c>
      <c r="B16" s="24" t="s">
        <v>68</v>
      </c>
      <c r="C16" s="24" t="s">
        <v>502</v>
      </c>
      <c r="D16" s="24">
        <v>1830000</v>
      </c>
      <c r="E16" s="24" t="s">
        <v>336</v>
      </c>
      <c r="F16" s="24" t="str">
        <f t="shared" si="0"/>
        <v>rtdc.l.rtdc.4020:itc</v>
      </c>
      <c r="G16" s="8">
        <f t="shared" si="1"/>
        <v>42581.34480324074</v>
      </c>
    </row>
    <row r="17" spans="1:7" x14ac:dyDescent="0.25">
      <c r="A17" s="8">
        <v>42582.000775462962</v>
      </c>
      <c r="B17" s="24" t="s">
        <v>105</v>
      </c>
      <c r="C17" s="24" t="s">
        <v>608</v>
      </c>
      <c r="D17" s="24">
        <v>2000000</v>
      </c>
      <c r="E17" s="24" t="s">
        <v>718</v>
      </c>
      <c r="F17" s="24" t="str">
        <f t="shared" si="0"/>
        <v>rtdc.l.rtdc.4025:itc</v>
      </c>
      <c r="G17" s="8">
        <f t="shared" si="1"/>
        <v>42582.000775462962</v>
      </c>
    </row>
    <row r="18" spans="1:7" x14ac:dyDescent="0.25">
      <c r="A18" s="8">
        <v>42581.270578703705</v>
      </c>
      <c r="B18" s="24" t="s">
        <v>103</v>
      </c>
      <c r="C18" s="24" t="s">
        <v>485</v>
      </c>
      <c r="D18" s="24">
        <v>540000</v>
      </c>
      <c r="E18" s="24" t="s">
        <v>714</v>
      </c>
      <c r="F18" s="24" t="str">
        <f t="shared" si="0"/>
        <v>rtdc.l.rtdc.4026:itc</v>
      </c>
      <c r="G18" s="8">
        <f t="shared" si="1"/>
        <v>42581.270578703705</v>
      </c>
    </row>
    <row r="19" spans="1:7" x14ac:dyDescent="0.25">
      <c r="A19" s="8">
        <v>42582.055567129632</v>
      </c>
      <c r="B19" s="24" t="s">
        <v>338</v>
      </c>
      <c r="C19" s="24" t="s">
        <v>698</v>
      </c>
      <c r="D19" s="24">
        <v>1480000</v>
      </c>
      <c r="E19" s="24" t="s">
        <v>102</v>
      </c>
      <c r="F19" s="24" t="str">
        <f t="shared" si="0"/>
        <v>rtdc.l.rtdc.4043:itc</v>
      </c>
      <c r="G19" s="8">
        <f t="shared" si="1"/>
        <v>42582.055567129632</v>
      </c>
    </row>
    <row r="20" spans="1:7" x14ac:dyDescent="0.25">
      <c r="A20" s="8">
        <v>42581.227384259262</v>
      </c>
      <c r="B20" s="24" t="s">
        <v>68</v>
      </c>
      <c r="C20" s="24" t="s">
        <v>632</v>
      </c>
      <c r="D20" s="24">
        <v>1830000</v>
      </c>
      <c r="E20" s="24" t="s">
        <v>336</v>
      </c>
      <c r="F20" s="24" t="str">
        <f t="shared" si="0"/>
        <v>rtdc.l.rtdc.4020:itc</v>
      </c>
      <c r="G20" s="8">
        <f t="shared" si="1"/>
        <v>42581.227384259262</v>
      </c>
    </row>
    <row r="21" spans="1:7" x14ac:dyDescent="0.25">
      <c r="A21" s="8">
        <v>42582.074594907404</v>
      </c>
      <c r="B21" s="24" t="s">
        <v>108</v>
      </c>
      <c r="C21" s="24" t="s">
        <v>702</v>
      </c>
      <c r="D21" s="24">
        <v>1300000</v>
      </c>
      <c r="E21" s="24" t="s">
        <v>150</v>
      </c>
      <c r="F21" s="24" t="str">
        <f t="shared" si="0"/>
        <v>rtdc.l.rtdc.4030:itc</v>
      </c>
      <c r="G21" s="8">
        <f t="shared" si="1"/>
        <v>42582.074594907404</v>
      </c>
    </row>
    <row r="22" spans="1:7" x14ac:dyDescent="0.25">
      <c r="A22" s="33">
        <v>42581.43409722222</v>
      </c>
      <c r="B22" s="24" t="s">
        <v>338</v>
      </c>
      <c r="C22" s="24" t="s">
        <v>722</v>
      </c>
      <c r="D22" s="24">
        <v>1360000</v>
      </c>
      <c r="E22" s="24" t="s">
        <v>300</v>
      </c>
      <c r="F22" s="24" t="str">
        <f t="shared" si="0"/>
        <v>rtdc.l.rtdc.4043:itc</v>
      </c>
      <c r="G22" s="8">
        <f t="shared" si="1"/>
        <v>42581.43409722222</v>
      </c>
    </row>
    <row r="23" spans="1:7" x14ac:dyDescent="0.25">
      <c r="A23" s="8">
        <v>42581.513796296298</v>
      </c>
      <c r="B23" s="24" t="s">
        <v>103</v>
      </c>
      <c r="C23" s="24" t="s">
        <v>723</v>
      </c>
      <c r="D23" s="24">
        <v>750000</v>
      </c>
      <c r="E23" s="24" t="s">
        <v>724</v>
      </c>
      <c r="F23" s="24" t="str">
        <f t="shared" si="0"/>
        <v>rtdc.l.rtdc.4026:itc</v>
      </c>
      <c r="G23" s="8">
        <f t="shared" si="1"/>
        <v>42581.513796296298</v>
      </c>
    </row>
    <row r="24" spans="1:7" x14ac:dyDescent="0.25">
      <c r="A24" s="8">
        <v>42581.373217592591</v>
      </c>
      <c r="B24" s="24" t="s">
        <v>105</v>
      </c>
      <c r="C24" s="24" t="s">
        <v>725</v>
      </c>
      <c r="D24" s="24">
        <v>540000</v>
      </c>
      <c r="E24" s="24" t="s">
        <v>714</v>
      </c>
      <c r="F24" s="24" t="str">
        <f t="shared" si="0"/>
        <v>rtdc.l.rtdc.4025:itc</v>
      </c>
      <c r="G24" s="8">
        <f t="shared" si="1"/>
        <v>42581.373217592591</v>
      </c>
    </row>
    <row r="25" spans="1:7" x14ac:dyDescent="0.25">
      <c r="A25" s="8">
        <v>42581.540671296294</v>
      </c>
      <c r="B25" s="24" t="s">
        <v>105</v>
      </c>
      <c r="C25" s="24" t="s">
        <v>726</v>
      </c>
      <c r="D25" s="24">
        <v>750000</v>
      </c>
      <c r="E25" s="24" t="s">
        <v>724</v>
      </c>
      <c r="F25" s="24" t="str">
        <f t="shared" si="0"/>
        <v>rtdc.l.rtdc.4025:itc</v>
      </c>
      <c r="G25" s="8">
        <f t="shared" si="1"/>
        <v>42581.540671296294</v>
      </c>
    </row>
    <row r="26" spans="1:7" x14ac:dyDescent="0.25">
      <c r="A26" s="8">
        <v>42581.291342592594</v>
      </c>
      <c r="B26" s="24" t="s">
        <v>105</v>
      </c>
      <c r="C26" s="24" t="s">
        <v>487</v>
      </c>
      <c r="D26" s="24">
        <v>540000</v>
      </c>
      <c r="E26" s="24" t="s">
        <v>714</v>
      </c>
      <c r="F26" s="24" t="str">
        <f t="shared" si="0"/>
        <v>rtdc.l.rtdc.4025:itc</v>
      </c>
      <c r="G26" s="8">
        <f t="shared" si="1"/>
        <v>42581.291342592594</v>
      </c>
    </row>
    <row r="27" spans="1:7" x14ac:dyDescent="0.25">
      <c r="A27" s="8">
        <v>42581.581030092595</v>
      </c>
      <c r="B27" s="24" t="s">
        <v>169</v>
      </c>
      <c r="C27" s="24" t="s">
        <v>727</v>
      </c>
      <c r="D27" s="24">
        <v>1520000</v>
      </c>
      <c r="E27" s="24" t="s">
        <v>180</v>
      </c>
      <c r="F27" s="24" t="str">
        <f t="shared" si="0"/>
        <v>rtdc.l.rtdc.4014:itc</v>
      </c>
      <c r="G27" s="8">
        <f t="shared" si="1"/>
        <v>42581.581030092595</v>
      </c>
    </row>
    <row r="28" spans="1:7" x14ac:dyDescent="0.25">
      <c r="A28" s="8">
        <v>42581.260821759257</v>
      </c>
      <c r="B28" s="24" t="s">
        <v>68</v>
      </c>
      <c r="C28" s="24" t="s">
        <v>477</v>
      </c>
      <c r="D28" s="24">
        <v>1830000</v>
      </c>
      <c r="E28" s="24" t="s">
        <v>336</v>
      </c>
      <c r="F28" s="24" t="str">
        <f t="shared" si="0"/>
        <v>rtdc.l.rtdc.4020:itc</v>
      </c>
      <c r="G28" s="8">
        <f t="shared" si="1"/>
        <v>42581.260821759257</v>
      </c>
    </row>
    <row r="29" spans="1:7" x14ac:dyDescent="0.25">
      <c r="A29" s="8">
        <v>42581.602500000001</v>
      </c>
      <c r="B29" s="24" t="s">
        <v>109</v>
      </c>
      <c r="C29" s="24" t="s">
        <v>728</v>
      </c>
      <c r="D29" s="24">
        <v>880000</v>
      </c>
      <c r="E29" s="24" t="s">
        <v>184</v>
      </c>
      <c r="F29" s="24" t="str">
        <f t="shared" si="0"/>
        <v>rtdc.l.rtdc.4027:itc</v>
      </c>
      <c r="G29" s="8">
        <f t="shared" si="1"/>
        <v>42581.602500000001</v>
      </c>
    </row>
    <row r="30" spans="1:7" x14ac:dyDescent="0.25">
      <c r="A30" s="8">
        <v>42581.069155092591</v>
      </c>
      <c r="B30" s="24" t="s">
        <v>76</v>
      </c>
      <c r="C30" s="24" t="s">
        <v>729</v>
      </c>
      <c r="D30" s="24">
        <v>1800000</v>
      </c>
      <c r="E30" s="24" t="s">
        <v>185</v>
      </c>
      <c r="F30" s="24" t="str">
        <f t="shared" si="0"/>
        <v>rtdc.l.rtdc.4042:itc</v>
      </c>
      <c r="G30" s="8">
        <f t="shared" si="1"/>
        <v>42581.069155092591</v>
      </c>
    </row>
    <row r="31" spans="1:7" x14ac:dyDescent="0.25">
      <c r="A31" s="8">
        <v>42581.641319444447</v>
      </c>
      <c r="B31" s="24" t="s">
        <v>106</v>
      </c>
      <c r="C31" s="24" t="s">
        <v>730</v>
      </c>
      <c r="D31" s="24">
        <v>880000</v>
      </c>
      <c r="E31" s="24" t="s">
        <v>184</v>
      </c>
      <c r="F31" s="24" t="str">
        <f t="shared" si="0"/>
        <v>rtdc.l.rtdc.4028:itc</v>
      </c>
      <c r="G31" s="8">
        <f t="shared" si="1"/>
        <v>42581.641319444447</v>
      </c>
    </row>
    <row r="32" spans="1:7" x14ac:dyDescent="0.25">
      <c r="A32" s="8">
        <v>42581.379374999997</v>
      </c>
      <c r="B32" s="24" t="s">
        <v>133</v>
      </c>
      <c r="C32" s="24" t="s">
        <v>731</v>
      </c>
      <c r="D32" s="24">
        <v>1460000</v>
      </c>
      <c r="E32" s="24" t="s">
        <v>304</v>
      </c>
      <c r="F32" s="24" t="str">
        <f t="shared" si="0"/>
        <v>rtdc.l.rtdc.4015:itc</v>
      </c>
      <c r="G32" s="8">
        <f t="shared" si="1"/>
        <v>42581.379374999997</v>
      </c>
    </row>
    <row r="33" spans="1:7" x14ac:dyDescent="0.25">
      <c r="A33" s="8">
        <v>42581.68074074074</v>
      </c>
      <c r="B33" s="24" t="s">
        <v>103</v>
      </c>
      <c r="C33" s="24" t="s">
        <v>522</v>
      </c>
      <c r="D33" s="24">
        <v>1740000</v>
      </c>
      <c r="E33" s="24" t="s">
        <v>719</v>
      </c>
      <c r="F33" s="24" t="str">
        <f t="shared" si="0"/>
        <v>rtdc.l.rtdc.4026:itc</v>
      </c>
      <c r="G33" s="8">
        <f t="shared" si="1"/>
        <v>42581.68074074074</v>
      </c>
    </row>
    <row r="34" spans="1:7" x14ac:dyDescent="0.25">
      <c r="A34" s="8">
        <v>42581.342037037037</v>
      </c>
      <c r="B34" s="24" t="s">
        <v>210</v>
      </c>
      <c r="C34" s="24" t="s">
        <v>505</v>
      </c>
      <c r="D34" s="24">
        <v>1540000</v>
      </c>
      <c r="E34" s="24" t="s">
        <v>189</v>
      </c>
      <c r="F34" s="24" t="str">
        <f t="shared" si="0"/>
        <v>rtdc.l.rtdc.4037:itc</v>
      </c>
      <c r="G34" s="8">
        <f t="shared" si="1"/>
        <v>42581.342037037037</v>
      </c>
    </row>
    <row r="35" spans="1:7" x14ac:dyDescent="0.25">
      <c r="A35" s="8">
        <v>42581.888495370367</v>
      </c>
      <c r="B35" s="24" t="s">
        <v>68</v>
      </c>
      <c r="C35" s="24" t="s">
        <v>584</v>
      </c>
      <c r="D35" s="24">
        <v>1820000</v>
      </c>
      <c r="E35" s="24" t="s">
        <v>337</v>
      </c>
      <c r="F35" s="24" t="str">
        <f t="shared" si="0"/>
        <v>rtdc.l.rtdc.4020:itc</v>
      </c>
      <c r="G35" s="8">
        <f t="shared" si="1"/>
        <v>42581.888495370367</v>
      </c>
    </row>
    <row r="36" spans="1:7" x14ac:dyDescent="0.25">
      <c r="A36" s="8">
        <v>42581.283206018517</v>
      </c>
      <c r="B36" s="24" t="s">
        <v>179</v>
      </c>
      <c r="C36" s="24" t="s">
        <v>445</v>
      </c>
      <c r="D36" s="24">
        <v>1260000</v>
      </c>
      <c r="E36" s="24" t="s">
        <v>187</v>
      </c>
      <c r="F36" s="24" t="str">
        <f t="shared" si="0"/>
        <v>rtdc.l.rtdc.4032:itc</v>
      </c>
      <c r="G36" s="8">
        <f t="shared" si="1"/>
        <v>42581.283206018517</v>
      </c>
    </row>
    <row r="37" spans="1:7" x14ac:dyDescent="0.25">
      <c r="A37" s="8">
        <v>42581.91134259259</v>
      </c>
      <c r="B37" s="24" t="s">
        <v>178</v>
      </c>
      <c r="C37" s="24" t="s">
        <v>686</v>
      </c>
      <c r="D37" s="24">
        <v>1800000</v>
      </c>
      <c r="E37" s="24" t="s">
        <v>185</v>
      </c>
      <c r="F37" s="24" t="str">
        <f t="shared" si="0"/>
        <v>rtdc.l.rtdc.4031:itc</v>
      </c>
      <c r="G37" s="8">
        <f t="shared" si="1"/>
        <v>42581.91134259259</v>
      </c>
    </row>
    <row r="38" spans="1:7" x14ac:dyDescent="0.25">
      <c r="A38" s="8">
        <v>42581.446921296294</v>
      </c>
      <c r="B38" s="24" t="s">
        <v>69</v>
      </c>
      <c r="C38" s="24" t="s">
        <v>732</v>
      </c>
      <c r="D38" s="24">
        <v>1760000</v>
      </c>
      <c r="E38" s="24" t="s">
        <v>377</v>
      </c>
      <c r="F38" s="24" t="str">
        <f t="shared" si="0"/>
        <v>rtdc.l.rtdc.4018:itc</v>
      </c>
      <c r="G38" s="8">
        <f t="shared" si="1"/>
        <v>42581.446921296294</v>
      </c>
    </row>
    <row r="39" spans="1:7" x14ac:dyDescent="0.25">
      <c r="A39" s="8">
        <v>42581.550659722219</v>
      </c>
      <c r="B39" s="24" t="s">
        <v>210</v>
      </c>
      <c r="C39" s="24" t="s">
        <v>733</v>
      </c>
      <c r="D39" s="24">
        <v>1540000</v>
      </c>
      <c r="E39" s="24" t="s">
        <v>189</v>
      </c>
      <c r="F39" s="24" t="str">
        <f t="shared" si="0"/>
        <v>rtdc.l.rtdc.4037:itc</v>
      </c>
      <c r="G39" s="8">
        <f t="shared" si="1"/>
        <v>42581.550659722219</v>
      </c>
    </row>
    <row r="40" spans="1:7" x14ac:dyDescent="0.25">
      <c r="A40" s="8">
        <v>42581.412499999999</v>
      </c>
      <c r="B40" s="32" t="s">
        <v>67</v>
      </c>
      <c r="C40" s="24" t="s">
        <v>734</v>
      </c>
      <c r="D40" s="24">
        <v>1830000</v>
      </c>
      <c r="E40" s="24" t="s">
        <v>336</v>
      </c>
      <c r="F40" s="24" t="str">
        <f t="shared" si="0"/>
        <v>rtdc.l.rtdc.4019:itc</v>
      </c>
      <c r="G40" s="8">
        <f t="shared" si="1"/>
        <v>42581.412499999999</v>
      </c>
    </row>
    <row r="41" spans="1:7" x14ac:dyDescent="0.25">
      <c r="A41" s="8">
        <v>42581.552083333336</v>
      </c>
      <c r="B41" s="24" t="s">
        <v>68</v>
      </c>
      <c r="C41" s="24" t="s">
        <v>735</v>
      </c>
      <c r="D41" s="24">
        <v>1830000</v>
      </c>
      <c r="E41" s="24" t="s">
        <v>336</v>
      </c>
      <c r="F41" s="24" t="str">
        <f t="shared" si="0"/>
        <v>rtdc.l.rtdc.4020:itc</v>
      </c>
      <c r="G41" s="8">
        <f t="shared" si="1"/>
        <v>42581.552083333336</v>
      </c>
    </row>
    <row r="42" spans="1:7" x14ac:dyDescent="0.25">
      <c r="A42" s="8">
        <v>42581.352025462962</v>
      </c>
      <c r="B42" s="24" t="s">
        <v>103</v>
      </c>
      <c r="C42" s="24" t="s">
        <v>736</v>
      </c>
      <c r="D42" s="24">
        <v>540000</v>
      </c>
      <c r="E42" s="24" t="s">
        <v>714</v>
      </c>
      <c r="F42" s="24" t="str">
        <f t="shared" si="0"/>
        <v>rtdc.l.rtdc.4026:itc</v>
      </c>
      <c r="G42" s="8">
        <f t="shared" si="1"/>
        <v>42581.352025462962</v>
      </c>
    </row>
    <row r="43" spans="1:7" x14ac:dyDescent="0.25">
      <c r="A43" s="8">
        <v>42581.59615740741</v>
      </c>
      <c r="B43" s="24" t="s">
        <v>68</v>
      </c>
      <c r="C43" s="24" t="s">
        <v>737</v>
      </c>
      <c r="D43" s="24">
        <v>1820000</v>
      </c>
      <c r="E43" s="24" t="s">
        <v>337</v>
      </c>
      <c r="F43" s="24" t="str">
        <f t="shared" si="0"/>
        <v>rtdc.l.rtdc.4020:itc</v>
      </c>
      <c r="G43" s="8">
        <f t="shared" si="1"/>
        <v>42581.59615740741</v>
      </c>
    </row>
    <row r="44" spans="1:7" x14ac:dyDescent="0.25">
      <c r="A44" s="8">
        <v>42581.35015046296</v>
      </c>
      <c r="B44" s="24" t="s">
        <v>106</v>
      </c>
      <c r="C44" s="24" t="s">
        <v>738</v>
      </c>
      <c r="D44" s="24">
        <v>1310000</v>
      </c>
      <c r="E44" s="24" t="s">
        <v>334</v>
      </c>
      <c r="F44" s="24" t="str">
        <f t="shared" si="0"/>
        <v>rtdc.l.rtdc.4028:itc</v>
      </c>
      <c r="G44" s="8">
        <f t="shared" si="1"/>
        <v>42581.35015046296</v>
      </c>
    </row>
    <row r="45" spans="1:7" x14ac:dyDescent="0.25">
      <c r="A45" s="8">
        <v>42581.661099537036</v>
      </c>
      <c r="B45" s="24" t="s">
        <v>338</v>
      </c>
      <c r="C45" s="24" t="s">
        <v>609</v>
      </c>
      <c r="D45" s="24">
        <v>2040000</v>
      </c>
      <c r="E45" s="24" t="s">
        <v>335</v>
      </c>
      <c r="F45" s="24" t="str">
        <f t="shared" si="0"/>
        <v>rtdc.l.rtdc.4043:itc</v>
      </c>
      <c r="G45" s="8">
        <f t="shared" si="1"/>
        <v>42581.661099537036</v>
      </c>
    </row>
    <row r="46" spans="1:7" x14ac:dyDescent="0.25">
      <c r="A46" s="8">
        <v>42581.330405092594</v>
      </c>
      <c r="B46" s="24" t="s">
        <v>67</v>
      </c>
      <c r="C46" s="24" t="s">
        <v>499</v>
      </c>
      <c r="D46" s="24">
        <v>1830000</v>
      </c>
      <c r="E46" s="24" t="s">
        <v>336</v>
      </c>
      <c r="F46" s="24" t="str">
        <f t="shared" si="0"/>
        <v>rtdc.l.rtdc.4019:itc</v>
      </c>
      <c r="G46" s="8">
        <f t="shared" si="1"/>
        <v>42581.330405092594</v>
      </c>
    </row>
    <row r="47" spans="1:7" x14ac:dyDescent="0.25">
      <c r="A47" s="8">
        <v>42581.662962962961</v>
      </c>
      <c r="B47" s="24" t="s">
        <v>67</v>
      </c>
      <c r="C47" s="24" t="s">
        <v>512</v>
      </c>
      <c r="D47" s="24">
        <v>1820000</v>
      </c>
      <c r="E47" s="24" t="s">
        <v>337</v>
      </c>
      <c r="F47" s="24" t="str">
        <f t="shared" si="0"/>
        <v>rtdc.l.rtdc.4019:itc</v>
      </c>
      <c r="G47" s="8">
        <f t="shared" si="1"/>
        <v>42581.662962962961</v>
      </c>
    </row>
    <row r="48" spans="1:7" x14ac:dyDescent="0.25">
      <c r="A48" s="8">
        <v>42581.23065972222</v>
      </c>
      <c r="B48" s="24" t="s">
        <v>68</v>
      </c>
      <c r="C48" s="24" t="s">
        <v>632</v>
      </c>
      <c r="D48" s="24">
        <v>1830000</v>
      </c>
      <c r="E48" s="24" t="s">
        <v>336</v>
      </c>
      <c r="F48" s="24" t="str">
        <f t="shared" si="0"/>
        <v>rtdc.l.rtdc.4020:itc</v>
      </c>
      <c r="G48" s="8">
        <f t="shared" si="1"/>
        <v>42581.23065972222</v>
      </c>
    </row>
    <row r="49" spans="1:7" x14ac:dyDescent="0.25">
      <c r="A49" s="8">
        <v>42581.681296296294</v>
      </c>
      <c r="B49" s="24" t="s">
        <v>108</v>
      </c>
      <c r="C49" s="24" t="s">
        <v>611</v>
      </c>
      <c r="D49" s="24">
        <v>1770000</v>
      </c>
      <c r="E49" s="24" t="s">
        <v>182</v>
      </c>
      <c r="F49" s="24" t="str">
        <f t="shared" si="0"/>
        <v>rtdc.l.rtdc.4030:itc</v>
      </c>
      <c r="G49" s="8">
        <f t="shared" si="1"/>
        <v>42581.681296296294</v>
      </c>
    </row>
    <row r="50" spans="1:7" x14ac:dyDescent="0.25">
      <c r="A50" s="8">
        <v>42581.230347222219</v>
      </c>
      <c r="B50" s="24" t="s">
        <v>69</v>
      </c>
      <c r="C50" s="24" t="s">
        <v>439</v>
      </c>
      <c r="D50" s="24">
        <v>1760000</v>
      </c>
      <c r="E50" s="24" t="s">
        <v>377</v>
      </c>
      <c r="F50" s="24" t="str">
        <f t="shared" si="0"/>
        <v>rtdc.l.rtdc.4018:itc</v>
      </c>
      <c r="G50" s="8">
        <f t="shared" si="1"/>
        <v>42581.230347222219</v>
      </c>
    </row>
    <row r="51" spans="1:7" x14ac:dyDescent="0.25">
      <c r="A51" s="8">
        <v>42581.714548611111</v>
      </c>
      <c r="B51" s="24" t="s">
        <v>107</v>
      </c>
      <c r="C51" s="24" t="s">
        <v>650</v>
      </c>
      <c r="D51" s="24">
        <v>1770000</v>
      </c>
      <c r="E51" s="24" t="s">
        <v>182</v>
      </c>
      <c r="F51" s="24" t="str">
        <f t="shared" si="0"/>
        <v>rtdc.l.rtdc.4029:itc</v>
      </c>
      <c r="G51" s="8">
        <f t="shared" si="1"/>
        <v>42581.714548611111</v>
      </c>
    </row>
    <row r="52" spans="1:7" x14ac:dyDescent="0.25">
      <c r="A52" s="8">
        <v>42581.117060185185</v>
      </c>
      <c r="B52" s="24" t="s">
        <v>158</v>
      </c>
      <c r="C52" s="24" t="s">
        <v>739</v>
      </c>
      <c r="D52" s="24">
        <v>2010000</v>
      </c>
      <c r="E52" s="24" t="s">
        <v>302</v>
      </c>
      <c r="F52" s="24" t="str">
        <f t="shared" si="0"/>
        <v>rtdc.l.rtdc.4012:itc</v>
      </c>
      <c r="G52" s="8">
        <f t="shared" si="1"/>
        <v>42581.117060185185</v>
      </c>
    </row>
    <row r="53" spans="1:7" x14ac:dyDescent="0.25">
      <c r="A53" s="8">
        <v>42581.804282407407</v>
      </c>
      <c r="B53" s="24" t="s">
        <v>68</v>
      </c>
      <c r="C53" s="24" t="s">
        <v>557</v>
      </c>
      <c r="D53" s="24">
        <v>1820000</v>
      </c>
      <c r="E53" s="24" t="s">
        <v>337</v>
      </c>
      <c r="F53" s="24" t="str">
        <f t="shared" si="0"/>
        <v>rtdc.l.rtdc.4020:itc</v>
      </c>
      <c r="G53" s="8">
        <f t="shared" si="1"/>
        <v>42581.804282407407</v>
      </c>
    </row>
    <row r="54" spans="1:7" x14ac:dyDescent="0.25">
      <c r="A54" s="8">
        <v>42582.014664351853</v>
      </c>
      <c r="B54" s="24" t="s">
        <v>103</v>
      </c>
      <c r="C54" s="24" t="s">
        <v>629</v>
      </c>
      <c r="D54" s="24">
        <v>2000000</v>
      </c>
      <c r="E54" s="24" t="s">
        <v>718</v>
      </c>
      <c r="F54" s="24" t="str">
        <f t="shared" si="0"/>
        <v>rtdc.l.rtdc.4026:itc</v>
      </c>
      <c r="G54" s="8">
        <f t="shared" si="1"/>
        <v>42582.014664351853</v>
      </c>
    </row>
    <row r="55" spans="1:7" x14ac:dyDescent="0.25">
      <c r="A55" s="8">
        <v>42581.869664351849</v>
      </c>
      <c r="B55" s="24" t="s">
        <v>67</v>
      </c>
      <c r="C55" s="24" t="s">
        <v>582</v>
      </c>
      <c r="D55" s="24">
        <v>1820000</v>
      </c>
      <c r="E55" s="24" t="s">
        <v>337</v>
      </c>
      <c r="F55" s="24" t="str">
        <f t="shared" si="0"/>
        <v>rtdc.l.rtdc.4019:itc</v>
      </c>
      <c r="G55" s="8">
        <f t="shared" si="1"/>
        <v>42581.869664351849</v>
      </c>
    </row>
    <row r="56" spans="1:7" x14ac:dyDescent="0.25">
      <c r="A56" s="8">
        <v>42581.991006944445</v>
      </c>
      <c r="B56" s="24" t="s">
        <v>108</v>
      </c>
      <c r="C56" s="24" t="s">
        <v>691</v>
      </c>
      <c r="D56" s="24">
        <v>1300000</v>
      </c>
      <c r="E56" s="24" t="s">
        <v>150</v>
      </c>
      <c r="F56" s="24" t="str">
        <f t="shared" si="0"/>
        <v>rtdc.l.rtdc.4030:itc</v>
      </c>
      <c r="G56" s="8">
        <f t="shared" si="1"/>
        <v>42581.991006944445</v>
      </c>
    </row>
    <row r="57" spans="1:7" x14ac:dyDescent="0.25">
      <c r="A57" s="8">
        <v>42581.899583333332</v>
      </c>
      <c r="B57" s="24" t="s">
        <v>68</v>
      </c>
      <c r="C57" s="24" t="s">
        <v>584</v>
      </c>
      <c r="D57" s="24">
        <v>1820000</v>
      </c>
      <c r="E57" s="24" t="s">
        <v>337</v>
      </c>
      <c r="F57" s="24" t="str">
        <f t="shared" si="0"/>
        <v>rtdc.l.rtdc.4020:itc</v>
      </c>
      <c r="G57" s="8">
        <f t="shared" si="1"/>
        <v>42581.899583333332</v>
      </c>
    </row>
    <row r="58" spans="1:7" x14ac:dyDescent="0.25">
      <c r="A58" s="8">
        <v>42581.985902777778</v>
      </c>
      <c r="B58" s="24" t="s">
        <v>67</v>
      </c>
      <c r="C58" s="24" t="s">
        <v>619</v>
      </c>
      <c r="D58" s="24">
        <v>1740000</v>
      </c>
      <c r="E58" s="24" t="s">
        <v>719</v>
      </c>
      <c r="F58" s="24" t="str">
        <f t="shared" si="0"/>
        <v>rtdc.l.rtdc.4019:itc</v>
      </c>
      <c r="G58" s="8">
        <f t="shared" si="1"/>
        <v>42581.985902777778</v>
      </c>
    </row>
    <row r="59" spans="1:7" x14ac:dyDescent="0.25">
      <c r="A59" s="8">
        <v>42582.035104166665</v>
      </c>
      <c r="B59" s="24" t="s">
        <v>107</v>
      </c>
      <c r="C59" s="24" t="s">
        <v>703</v>
      </c>
      <c r="D59" s="24">
        <v>1300000</v>
      </c>
      <c r="E59" s="24" t="s">
        <v>150</v>
      </c>
      <c r="F59" s="24" t="str">
        <f t="shared" si="0"/>
        <v>rtdc.l.rtdc.4029:itc</v>
      </c>
      <c r="G59" s="8">
        <f t="shared" si="1"/>
        <v>42582.035104166665</v>
      </c>
    </row>
    <row r="60" spans="1:7" x14ac:dyDescent="0.25">
      <c r="A60" s="8">
        <v>42581.965277777781</v>
      </c>
      <c r="B60" s="24" t="s">
        <v>69</v>
      </c>
      <c r="C60" s="24" t="s">
        <v>695</v>
      </c>
      <c r="D60" s="24">
        <v>2030000</v>
      </c>
      <c r="E60" s="24" t="s">
        <v>720</v>
      </c>
      <c r="F60" s="24" t="str">
        <f t="shared" si="0"/>
        <v>rtdc.l.rtdc.4018:itc</v>
      </c>
      <c r="G60" s="8">
        <f t="shared" si="1"/>
        <v>42581.965277777781</v>
      </c>
    </row>
    <row r="61" spans="1:7" x14ac:dyDescent="0.25">
      <c r="A61" s="8">
        <v>42581.170428240737</v>
      </c>
      <c r="B61" s="24" t="s">
        <v>178</v>
      </c>
      <c r="C61" s="24" t="s">
        <v>424</v>
      </c>
      <c r="D61" s="24">
        <v>1260000</v>
      </c>
      <c r="E61" s="24" t="s">
        <v>187</v>
      </c>
      <c r="F61" s="24" t="str">
        <f t="shared" si="0"/>
        <v>rtdc.l.rtdc.4031:itc</v>
      </c>
      <c r="G61" s="8">
        <f t="shared" si="1"/>
        <v>42581.170428240737</v>
      </c>
    </row>
    <row r="62" spans="1:7" x14ac:dyDescent="0.25">
      <c r="A62" s="8">
        <v>42581.925613425927</v>
      </c>
      <c r="B62" s="24" t="s">
        <v>210</v>
      </c>
      <c r="C62" s="24" t="s">
        <v>597</v>
      </c>
      <c r="D62" s="24">
        <v>1780000</v>
      </c>
      <c r="E62" s="24" t="s">
        <v>305</v>
      </c>
      <c r="F62" s="24" t="str">
        <f t="shared" si="0"/>
        <v>rtdc.l.rtdc.4037:itc</v>
      </c>
      <c r="G62" s="8">
        <f t="shared" si="1"/>
        <v>42581.925613425927</v>
      </c>
    </row>
    <row r="63" spans="1:7" x14ac:dyDescent="0.25">
      <c r="A63" s="8">
        <v>42581.202060185184</v>
      </c>
      <c r="B63" s="24" t="s">
        <v>107</v>
      </c>
      <c r="C63" s="24" t="s">
        <v>433</v>
      </c>
      <c r="D63" s="24">
        <v>1100000</v>
      </c>
      <c r="E63" s="24" t="s">
        <v>168</v>
      </c>
      <c r="F63" s="24" t="str">
        <f t="shared" si="0"/>
        <v>rtdc.l.rtdc.4029:itc</v>
      </c>
      <c r="G63" s="8">
        <f t="shared" si="1"/>
        <v>42581.202060185184</v>
      </c>
    </row>
    <row r="64" spans="1:7" x14ac:dyDescent="0.25">
      <c r="A64" s="33">
        <v>42581.901620370372</v>
      </c>
      <c r="B64" s="24" t="s">
        <v>101</v>
      </c>
      <c r="C64" s="24" t="s">
        <v>589</v>
      </c>
      <c r="D64" s="24">
        <v>1780000</v>
      </c>
      <c r="E64" s="24" t="s">
        <v>305</v>
      </c>
      <c r="F64" s="24" t="str">
        <f t="shared" si="0"/>
        <v>rtdc.l.rtdc.4038:itc</v>
      </c>
      <c r="G64" s="8">
        <f t="shared" si="1"/>
        <v>42581.901620370372</v>
      </c>
    </row>
    <row r="65" spans="1:7" x14ac:dyDescent="0.25">
      <c r="A65" s="8">
        <v>42581.209988425922</v>
      </c>
      <c r="B65" s="24" t="s">
        <v>179</v>
      </c>
      <c r="C65" s="24" t="s">
        <v>426</v>
      </c>
      <c r="D65" s="24">
        <v>1260000</v>
      </c>
      <c r="E65" s="24" t="s">
        <v>187</v>
      </c>
      <c r="F65" s="24" t="str">
        <f t="shared" si="0"/>
        <v>rtdc.l.rtdc.4032:itc</v>
      </c>
      <c r="G65" s="8">
        <f t="shared" si="1"/>
        <v>42581.209988425922</v>
      </c>
    </row>
    <row r="66" spans="1:7" x14ac:dyDescent="0.25">
      <c r="A66" s="8">
        <v>42581.889386574076</v>
      </c>
      <c r="B66" s="24" t="s">
        <v>338</v>
      </c>
      <c r="C66" s="24" t="s">
        <v>673</v>
      </c>
      <c r="D66" s="24">
        <v>1480000</v>
      </c>
      <c r="E66" s="24" t="s">
        <v>102</v>
      </c>
      <c r="F66" s="24" t="str">
        <f t="shared" ref="F66:F129" si="2">B66</f>
        <v>rtdc.l.rtdc.4043:itc</v>
      </c>
      <c r="G66" s="8">
        <f t="shared" ref="G66:G129" si="3">A66</f>
        <v>42581.889386574076</v>
      </c>
    </row>
    <row r="67" spans="1:7" x14ac:dyDescent="0.25">
      <c r="A67" s="8">
        <v>42581.211944444447</v>
      </c>
      <c r="B67" s="24" t="s">
        <v>179</v>
      </c>
      <c r="C67" s="24" t="s">
        <v>426</v>
      </c>
      <c r="D67" s="24">
        <v>1260000</v>
      </c>
      <c r="E67" s="24" t="s">
        <v>187</v>
      </c>
      <c r="F67" s="24" t="str">
        <f t="shared" si="2"/>
        <v>rtdc.l.rtdc.4032:itc</v>
      </c>
      <c r="G67" s="8">
        <f t="shared" si="3"/>
        <v>42581.211944444447</v>
      </c>
    </row>
    <row r="68" spans="1:7" x14ac:dyDescent="0.25">
      <c r="A68" s="8">
        <v>42581.865995370368</v>
      </c>
      <c r="B68" s="24" t="s">
        <v>179</v>
      </c>
      <c r="C68" s="24" t="s">
        <v>671</v>
      </c>
      <c r="D68" s="24">
        <v>1800000</v>
      </c>
      <c r="E68" s="24" t="s">
        <v>185</v>
      </c>
      <c r="F68" s="24" t="str">
        <f t="shared" si="2"/>
        <v>rtdc.l.rtdc.4032:itc</v>
      </c>
      <c r="G68" s="8">
        <f t="shared" si="3"/>
        <v>42581.865995370368</v>
      </c>
    </row>
    <row r="69" spans="1:7" x14ac:dyDescent="0.25">
      <c r="A69" s="8">
        <v>42581.242199074077</v>
      </c>
      <c r="B69" s="24" t="s">
        <v>108</v>
      </c>
      <c r="C69" s="24" t="s">
        <v>434</v>
      </c>
      <c r="D69" s="24">
        <v>1100000</v>
      </c>
      <c r="E69" s="24" t="s">
        <v>168</v>
      </c>
      <c r="F69" s="24" t="str">
        <f t="shared" si="2"/>
        <v>rtdc.l.rtdc.4030:itc</v>
      </c>
      <c r="G69" s="8">
        <f t="shared" si="3"/>
        <v>42581.242199074077</v>
      </c>
    </row>
    <row r="70" spans="1:7" x14ac:dyDescent="0.25">
      <c r="A70" s="8">
        <v>42581.831597222219</v>
      </c>
      <c r="B70" s="24" t="s">
        <v>178</v>
      </c>
      <c r="C70" s="24" t="s">
        <v>672</v>
      </c>
      <c r="D70" s="24">
        <v>1800000</v>
      </c>
      <c r="E70" s="24" t="s">
        <v>185</v>
      </c>
      <c r="F70" s="24" t="str">
        <f t="shared" si="2"/>
        <v>rtdc.l.rtdc.4031:itc</v>
      </c>
      <c r="G70" s="8">
        <f t="shared" si="3"/>
        <v>42581.831597222219</v>
      </c>
    </row>
    <row r="71" spans="1:7" x14ac:dyDescent="0.25">
      <c r="A71" s="8">
        <v>42581.258518518516</v>
      </c>
      <c r="B71" s="24" t="s">
        <v>114</v>
      </c>
      <c r="C71" s="24" t="s">
        <v>446</v>
      </c>
      <c r="D71" s="24">
        <v>1360000</v>
      </c>
      <c r="E71" s="24" t="s">
        <v>300</v>
      </c>
      <c r="F71" s="24" t="str">
        <f t="shared" si="2"/>
        <v>rtdc.l.rtdc.4007:itc</v>
      </c>
      <c r="G71" s="8">
        <f t="shared" si="3"/>
        <v>42581.258518518516</v>
      </c>
    </row>
    <row r="72" spans="1:7" x14ac:dyDescent="0.25">
      <c r="A72" s="8">
        <v>42581.804710648146</v>
      </c>
      <c r="B72" s="24" t="s">
        <v>338</v>
      </c>
      <c r="C72" s="24" t="s">
        <v>664</v>
      </c>
      <c r="D72" s="24">
        <v>1480000</v>
      </c>
      <c r="E72" s="24" t="s">
        <v>102</v>
      </c>
      <c r="F72" s="24" t="str">
        <f t="shared" si="2"/>
        <v>rtdc.l.rtdc.4043:itc</v>
      </c>
      <c r="G72" s="8">
        <f t="shared" si="3"/>
        <v>42581.804710648146</v>
      </c>
    </row>
    <row r="73" spans="1:7" x14ac:dyDescent="0.25">
      <c r="A73" s="8">
        <v>42581.391342592593</v>
      </c>
      <c r="B73" s="24" t="s">
        <v>178</v>
      </c>
      <c r="C73" s="24" t="s">
        <v>740</v>
      </c>
      <c r="D73" s="24">
        <v>1260000</v>
      </c>
      <c r="E73" s="24" t="s">
        <v>187</v>
      </c>
      <c r="F73" s="24" t="str">
        <f t="shared" si="2"/>
        <v>rtdc.l.rtdc.4031:itc</v>
      </c>
      <c r="G73" s="8">
        <f t="shared" si="3"/>
        <v>42581.391342592593</v>
      </c>
    </row>
    <row r="74" spans="1:7" x14ac:dyDescent="0.25">
      <c r="A74" s="8">
        <v>42581.800474537034</v>
      </c>
      <c r="B74" s="24" t="s">
        <v>179</v>
      </c>
      <c r="C74" s="24" t="s">
        <v>660</v>
      </c>
      <c r="D74" s="24">
        <v>1800000</v>
      </c>
      <c r="E74" s="24" t="s">
        <v>185</v>
      </c>
      <c r="F74" s="24" t="str">
        <f t="shared" si="2"/>
        <v>rtdc.l.rtdc.4032:itc</v>
      </c>
      <c r="G74" s="8">
        <f t="shared" si="3"/>
        <v>42581.800474537034</v>
      </c>
    </row>
    <row r="75" spans="1:7" x14ac:dyDescent="0.25">
      <c r="A75" s="8">
        <v>42581.423368055555</v>
      </c>
      <c r="B75" s="24" t="s">
        <v>106</v>
      </c>
      <c r="C75" s="24" t="s">
        <v>741</v>
      </c>
      <c r="D75" s="24">
        <v>1310000</v>
      </c>
      <c r="E75" s="24" t="s">
        <v>334</v>
      </c>
      <c r="F75" s="24" t="str">
        <f t="shared" si="2"/>
        <v>rtdc.l.rtdc.4028:itc</v>
      </c>
      <c r="G75" s="8">
        <f t="shared" si="3"/>
        <v>42581.423368055555</v>
      </c>
    </row>
    <row r="76" spans="1:7" x14ac:dyDescent="0.25">
      <c r="A76" s="8">
        <v>42581.780104166668</v>
      </c>
      <c r="B76" s="24" t="s">
        <v>134</v>
      </c>
      <c r="C76" s="24" t="s">
        <v>704</v>
      </c>
      <c r="D76" s="24">
        <v>1750000</v>
      </c>
      <c r="E76" s="24" t="s">
        <v>188</v>
      </c>
      <c r="F76" s="24" t="str">
        <f t="shared" si="2"/>
        <v>rtdc.l.rtdc.4016:itc</v>
      </c>
      <c r="G76" s="8">
        <f t="shared" si="3"/>
        <v>42581.780104166668</v>
      </c>
    </row>
    <row r="77" spans="1:7" x14ac:dyDescent="0.25">
      <c r="A77" s="8">
        <v>42581.427418981482</v>
      </c>
      <c r="B77" s="24" t="s">
        <v>210</v>
      </c>
      <c r="C77" s="24" t="s">
        <v>742</v>
      </c>
      <c r="D77" s="24">
        <v>1540000</v>
      </c>
      <c r="E77" s="24" t="s">
        <v>189</v>
      </c>
      <c r="F77" s="24" t="str">
        <f t="shared" si="2"/>
        <v>rtdc.l.rtdc.4037:itc</v>
      </c>
      <c r="G77" s="8">
        <f t="shared" si="3"/>
        <v>42581.427418981482</v>
      </c>
    </row>
    <row r="78" spans="1:7" x14ac:dyDescent="0.25">
      <c r="A78" s="8">
        <v>42581.735775462963</v>
      </c>
      <c r="B78" s="24" t="s">
        <v>69</v>
      </c>
      <c r="C78" s="24" t="s">
        <v>655</v>
      </c>
      <c r="D78" s="24">
        <v>2030000</v>
      </c>
      <c r="E78" s="24" t="s">
        <v>720</v>
      </c>
      <c r="F78" s="24" t="str">
        <f t="shared" si="2"/>
        <v>rtdc.l.rtdc.4018:itc</v>
      </c>
      <c r="G78" s="8">
        <f t="shared" si="3"/>
        <v>42581.735775462963</v>
      </c>
    </row>
    <row r="79" spans="1:7" x14ac:dyDescent="0.25">
      <c r="A79" s="8">
        <v>42581.539456018516</v>
      </c>
      <c r="B79" s="24" t="s">
        <v>178</v>
      </c>
      <c r="C79" s="24" t="s">
        <v>743</v>
      </c>
      <c r="D79" s="24">
        <v>1280000</v>
      </c>
      <c r="E79" s="24" t="s">
        <v>186</v>
      </c>
      <c r="F79" s="24" t="str">
        <f t="shared" si="2"/>
        <v>rtdc.l.rtdc.4031:itc</v>
      </c>
      <c r="G79" s="8">
        <f t="shared" si="3"/>
        <v>42581.539456018516</v>
      </c>
    </row>
    <row r="80" spans="1:7" x14ac:dyDescent="0.25">
      <c r="A80" s="8">
        <v>42581.708344907405</v>
      </c>
      <c r="B80" s="24" t="s">
        <v>105</v>
      </c>
      <c r="C80" s="24" t="s">
        <v>524</v>
      </c>
      <c r="D80" s="24">
        <v>2000000</v>
      </c>
      <c r="E80" s="24" t="s">
        <v>718</v>
      </c>
      <c r="F80" s="24" t="str">
        <f t="shared" si="2"/>
        <v>rtdc.l.rtdc.4025:itc</v>
      </c>
      <c r="G80" s="8">
        <f t="shared" si="3"/>
        <v>42581.708344907405</v>
      </c>
    </row>
    <row r="81" spans="1:7" x14ac:dyDescent="0.25">
      <c r="A81" s="8">
        <v>42581.589166666665</v>
      </c>
      <c r="B81" s="24" t="s">
        <v>69</v>
      </c>
      <c r="C81" s="24" t="s">
        <v>744</v>
      </c>
      <c r="D81" s="24">
        <v>950000</v>
      </c>
      <c r="E81" s="24" t="s">
        <v>297</v>
      </c>
      <c r="F81" s="24" t="str">
        <f t="shared" si="2"/>
        <v>rtdc.l.rtdc.4018:itc</v>
      </c>
      <c r="G81" s="8">
        <f t="shared" si="3"/>
        <v>42581.589166666665</v>
      </c>
    </row>
    <row r="82" spans="1:7" x14ac:dyDescent="0.25">
      <c r="A82" s="8">
        <v>42581.699467592596</v>
      </c>
      <c r="B82" s="24" t="s">
        <v>70</v>
      </c>
      <c r="C82" s="24" t="s">
        <v>617</v>
      </c>
      <c r="D82" s="24">
        <v>950000</v>
      </c>
      <c r="E82" s="24" t="s">
        <v>297</v>
      </c>
      <c r="F82" s="24" t="str">
        <f t="shared" si="2"/>
        <v>rtdc.l.rtdc.4017:itc</v>
      </c>
      <c r="G82" s="8">
        <f t="shared" si="3"/>
        <v>42581.699467592596</v>
      </c>
    </row>
    <row r="83" spans="1:7" x14ac:dyDescent="0.25">
      <c r="A83" s="8">
        <v>42581.636701388888</v>
      </c>
      <c r="B83" s="24" t="s">
        <v>68</v>
      </c>
      <c r="C83" s="24" t="s">
        <v>745</v>
      </c>
      <c r="D83" s="24">
        <v>1820000</v>
      </c>
      <c r="E83" s="24" t="s">
        <v>337</v>
      </c>
      <c r="F83" s="24" t="str">
        <f t="shared" si="2"/>
        <v>rtdc.l.rtdc.4020:itc</v>
      </c>
      <c r="G83" s="8">
        <f t="shared" si="3"/>
        <v>42581.636701388888</v>
      </c>
    </row>
    <row r="84" spans="1:7" x14ac:dyDescent="0.25">
      <c r="A84" s="8">
        <v>42581.58699074074</v>
      </c>
      <c r="B84" s="24" t="s">
        <v>338</v>
      </c>
      <c r="C84" s="24" t="s">
        <v>746</v>
      </c>
      <c r="D84" s="24">
        <v>2040000</v>
      </c>
      <c r="E84" s="24" t="s">
        <v>335</v>
      </c>
      <c r="F84" s="24" t="str">
        <f t="shared" si="2"/>
        <v>rtdc.l.rtdc.4043:itc</v>
      </c>
      <c r="G84" s="8">
        <f t="shared" si="3"/>
        <v>42581.58699074074</v>
      </c>
    </row>
    <row r="85" spans="1:7" x14ac:dyDescent="0.25">
      <c r="A85" s="8">
        <v>42581.64398148148</v>
      </c>
      <c r="B85" s="24" t="s">
        <v>179</v>
      </c>
      <c r="C85" s="24" t="s">
        <v>747</v>
      </c>
      <c r="D85" s="24">
        <v>1280000</v>
      </c>
      <c r="E85" s="24" t="s">
        <v>186</v>
      </c>
      <c r="F85" s="24" t="str">
        <f t="shared" si="2"/>
        <v>rtdc.l.rtdc.4032:itc</v>
      </c>
      <c r="G85" s="8">
        <f t="shared" si="3"/>
        <v>42581.64398148148</v>
      </c>
    </row>
    <row r="86" spans="1:7" x14ac:dyDescent="0.25">
      <c r="A86" s="8">
        <v>42581.559328703705</v>
      </c>
      <c r="B86" s="24" t="s">
        <v>134</v>
      </c>
      <c r="C86" s="24" t="s">
        <v>748</v>
      </c>
      <c r="D86" s="24">
        <v>1750000</v>
      </c>
      <c r="E86" s="24" t="s">
        <v>188</v>
      </c>
      <c r="F86" s="24" t="str">
        <f t="shared" si="2"/>
        <v>rtdc.l.rtdc.4016:itc</v>
      </c>
      <c r="G86" s="8">
        <f t="shared" si="3"/>
        <v>42581.559328703705</v>
      </c>
    </row>
    <row r="87" spans="1:7" x14ac:dyDescent="0.25">
      <c r="A87" s="8">
        <v>42581.193148148152</v>
      </c>
      <c r="B87" s="24" t="s">
        <v>146</v>
      </c>
      <c r="C87" s="24" t="s">
        <v>421</v>
      </c>
      <c r="D87" s="24">
        <v>1310000</v>
      </c>
      <c r="E87" s="24" t="s">
        <v>334</v>
      </c>
      <c r="F87" s="24" t="str">
        <f t="shared" si="2"/>
        <v>rtdc.l.rtdc.4010:itc</v>
      </c>
      <c r="G87" s="8">
        <f t="shared" si="3"/>
        <v>42581.193148148152</v>
      </c>
    </row>
    <row r="88" spans="1:7" x14ac:dyDescent="0.25">
      <c r="A88" s="8">
        <v>42581.524907407409</v>
      </c>
      <c r="B88" s="24" t="s">
        <v>67</v>
      </c>
      <c r="C88" s="24" t="s">
        <v>749</v>
      </c>
      <c r="D88" s="24">
        <v>1830000</v>
      </c>
      <c r="E88" s="24" t="s">
        <v>336</v>
      </c>
      <c r="F88" s="24" t="str">
        <f t="shared" si="2"/>
        <v>rtdc.l.rtdc.4019:itc</v>
      </c>
      <c r="G88" s="8">
        <f t="shared" si="3"/>
        <v>42581.524907407409</v>
      </c>
    </row>
    <row r="89" spans="1:7" x14ac:dyDescent="0.25">
      <c r="A89" s="8">
        <v>42581.24591435185</v>
      </c>
      <c r="B89" s="24" t="s">
        <v>178</v>
      </c>
      <c r="C89" s="24" t="s">
        <v>444</v>
      </c>
      <c r="D89" s="24">
        <v>1260000</v>
      </c>
      <c r="E89" s="24" t="s">
        <v>187</v>
      </c>
      <c r="F89" s="24" t="str">
        <f t="shared" si="2"/>
        <v>rtdc.l.rtdc.4031:itc</v>
      </c>
      <c r="G89" s="8">
        <f t="shared" si="3"/>
        <v>42581.24591435185</v>
      </c>
    </row>
    <row r="90" spans="1:7" x14ac:dyDescent="0.25">
      <c r="A90" s="8">
        <v>42582.171354166669</v>
      </c>
      <c r="B90" s="24" t="s">
        <v>148</v>
      </c>
      <c r="C90" s="24" t="s">
        <v>750</v>
      </c>
      <c r="D90" s="24">
        <v>1460000</v>
      </c>
      <c r="E90" s="24" t="s">
        <v>304</v>
      </c>
      <c r="F90" s="24" t="str">
        <f t="shared" si="2"/>
        <v>rtdc.l.rtdc.4041:itc</v>
      </c>
      <c r="G90" s="8">
        <f t="shared" si="3"/>
        <v>42582.171354166669</v>
      </c>
    </row>
    <row r="91" spans="1:7" x14ac:dyDescent="0.25">
      <c r="A91" s="8">
        <v>42581.279282407406</v>
      </c>
      <c r="B91" s="24" t="s">
        <v>107</v>
      </c>
      <c r="C91" s="24" t="s">
        <v>453</v>
      </c>
      <c r="D91" s="24">
        <v>1100000</v>
      </c>
      <c r="E91" s="24" t="s">
        <v>168</v>
      </c>
      <c r="F91" s="24" t="str">
        <f t="shared" si="2"/>
        <v>rtdc.l.rtdc.4029:itc</v>
      </c>
      <c r="G91" s="8">
        <f t="shared" si="3"/>
        <v>42581.279282407406</v>
      </c>
    </row>
    <row r="92" spans="1:7" x14ac:dyDescent="0.25">
      <c r="A92" s="8">
        <v>42581.970405092594</v>
      </c>
      <c r="B92" s="24" t="s">
        <v>68</v>
      </c>
      <c r="C92" s="24" t="s">
        <v>604</v>
      </c>
      <c r="D92" s="24">
        <v>1740000</v>
      </c>
      <c r="E92" s="24" t="s">
        <v>719</v>
      </c>
      <c r="F92" s="24" t="str">
        <f t="shared" si="2"/>
        <v>rtdc.l.rtdc.4020:itc</v>
      </c>
      <c r="G92" s="8">
        <f t="shared" si="3"/>
        <v>42581.970405092594</v>
      </c>
    </row>
    <row r="93" spans="1:7" x14ac:dyDescent="0.25">
      <c r="A93" s="8">
        <v>42581.332083333335</v>
      </c>
      <c r="B93" s="24" t="s">
        <v>105</v>
      </c>
      <c r="C93" s="24" t="s">
        <v>498</v>
      </c>
      <c r="D93" s="24">
        <v>540000</v>
      </c>
      <c r="E93" s="24" t="s">
        <v>714</v>
      </c>
      <c r="F93" s="24" t="str">
        <f t="shared" si="2"/>
        <v>rtdc.l.rtdc.4025:itc</v>
      </c>
      <c r="G93" s="8">
        <f t="shared" si="3"/>
        <v>42581.332083333335</v>
      </c>
    </row>
    <row r="94" spans="1:7" x14ac:dyDescent="0.25">
      <c r="A94" s="8">
        <v>42581.950208333335</v>
      </c>
      <c r="B94" s="24" t="s">
        <v>107</v>
      </c>
      <c r="C94" s="24" t="s">
        <v>692</v>
      </c>
      <c r="D94" s="24">
        <v>1300000</v>
      </c>
      <c r="E94" s="24" t="s">
        <v>150</v>
      </c>
      <c r="F94" s="24" t="str">
        <f t="shared" si="2"/>
        <v>rtdc.l.rtdc.4029:itc</v>
      </c>
      <c r="G94" s="8">
        <f t="shared" si="3"/>
        <v>42581.950208333335</v>
      </c>
    </row>
    <row r="95" spans="1:7" x14ac:dyDescent="0.25">
      <c r="A95" s="8">
        <v>42581.350277777776</v>
      </c>
      <c r="B95" s="24" t="s">
        <v>107</v>
      </c>
      <c r="C95" s="24" t="s">
        <v>751</v>
      </c>
      <c r="D95" s="24">
        <v>1100000</v>
      </c>
      <c r="E95" s="24" t="s">
        <v>168</v>
      </c>
      <c r="F95" s="24" t="str">
        <f t="shared" si="2"/>
        <v>rtdc.l.rtdc.4029:itc</v>
      </c>
      <c r="G95" s="8">
        <f t="shared" si="3"/>
        <v>42581.350277777776</v>
      </c>
    </row>
    <row r="96" spans="1:7" x14ac:dyDescent="0.25">
      <c r="A96" s="8">
        <v>42581.817696759259</v>
      </c>
      <c r="B96" s="24" t="s">
        <v>101</v>
      </c>
      <c r="C96" s="24" t="s">
        <v>562</v>
      </c>
      <c r="D96" s="24">
        <v>1780000</v>
      </c>
      <c r="E96" s="24" t="s">
        <v>305</v>
      </c>
      <c r="F96" s="24" t="str">
        <f t="shared" si="2"/>
        <v>rtdc.l.rtdc.4038:itc</v>
      </c>
      <c r="G96" s="8">
        <f t="shared" si="3"/>
        <v>42581.817696759259</v>
      </c>
    </row>
    <row r="97" spans="1:7" x14ac:dyDescent="0.25">
      <c r="A97" s="8">
        <v>42581.433981481481</v>
      </c>
      <c r="B97" s="24" t="s">
        <v>103</v>
      </c>
      <c r="C97" s="24" t="s">
        <v>752</v>
      </c>
      <c r="D97" s="24">
        <v>750000</v>
      </c>
      <c r="E97" s="24" t="s">
        <v>724</v>
      </c>
      <c r="F97" s="24" t="str">
        <f t="shared" si="2"/>
        <v>rtdc.l.rtdc.4026:itc</v>
      </c>
      <c r="G97" s="8">
        <f t="shared" si="3"/>
        <v>42581.433981481481</v>
      </c>
    </row>
    <row r="98" spans="1:7" x14ac:dyDescent="0.25">
      <c r="A98" s="8">
        <v>42581.786921296298</v>
      </c>
      <c r="B98" s="24" t="s">
        <v>67</v>
      </c>
      <c r="C98" s="24" t="s">
        <v>555</v>
      </c>
      <c r="D98" s="24">
        <v>1820000</v>
      </c>
      <c r="E98" s="24" t="s">
        <v>337</v>
      </c>
      <c r="F98" s="24" t="str">
        <f t="shared" si="2"/>
        <v>rtdc.l.rtdc.4019:itc</v>
      </c>
      <c r="G98" s="8">
        <f t="shared" si="3"/>
        <v>42581.786921296298</v>
      </c>
    </row>
    <row r="99" spans="1:7" x14ac:dyDescent="0.25">
      <c r="A99" s="8">
        <v>42581.46056712963</v>
      </c>
      <c r="B99" s="24" t="s">
        <v>108</v>
      </c>
      <c r="C99" s="24" t="s">
        <v>753</v>
      </c>
      <c r="D99" s="24">
        <v>1100000</v>
      </c>
      <c r="E99" s="24" t="s">
        <v>168</v>
      </c>
      <c r="F99" s="24" t="str">
        <f t="shared" si="2"/>
        <v>rtdc.l.rtdc.4030:itc</v>
      </c>
      <c r="G99" s="8">
        <f t="shared" si="3"/>
        <v>42581.46056712963</v>
      </c>
    </row>
    <row r="100" spans="1:7" x14ac:dyDescent="0.25">
      <c r="A100" s="8">
        <v>42581.744675925926</v>
      </c>
      <c r="B100" s="24" t="s">
        <v>67</v>
      </c>
      <c r="C100" s="24" t="s">
        <v>540</v>
      </c>
      <c r="D100" s="24">
        <v>1820000</v>
      </c>
      <c r="E100" s="24" t="s">
        <v>337</v>
      </c>
      <c r="F100" s="24" t="str">
        <f t="shared" si="2"/>
        <v>rtdc.l.rtdc.4019:itc</v>
      </c>
      <c r="G100" s="8">
        <f t="shared" si="3"/>
        <v>42581.744675925926</v>
      </c>
    </row>
    <row r="101" spans="1:7" x14ac:dyDescent="0.25">
      <c r="A101" s="8">
        <v>42581.484375</v>
      </c>
      <c r="B101" s="24" t="s">
        <v>101</v>
      </c>
      <c r="C101" s="24" t="s">
        <v>754</v>
      </c>
      <c r="D101" s="24">
        <v>1540000</v>
      </c>
      <c r="E101" s="24" t="s">
        <v>189</v>
      </c>
      <c r="F101" s="24" t="str">
        <f t="shared" si="2"/>
        <v>rtdc.l.rtdc.4038:itc</v>
      </c>
      <c r="G101" s="8">
        <f t="shared" si="3"/>
        <v>42581.484375</v>
      </c>
    </row>
    <row r="102" spans="1:7" x14ac:dyDescent="0.25">
      <c r="A102" s="8">
        <v>42581.719004629631</v>
      </c>
      <c r="B102" s="24" t="s">
        <v>210</v>
      </c>
      <c r="C102" s="24" t="s">
        <v>532</v>
      </c>
      <c r="D102" s="24">
        <v>1780000</v>
      </c>
      <c r="E102" s="24" t="s">
        <v>305</v>
      </c>
      <c r="F102" s="24" t="str">
        <f t="shared" si="2"/>
        <v>rtdc.l.rtdc.4037:itc</v>
      </c>
      <c r="G102" s="8">
        <f t="shared" si="3"/>
        <v>42581.719004629631</v>
      </c>
    </row>
    <row r="103" spans="1:7" x14ac:dyDescent="0.25">
      <c r="A103" s="8">
        <v>42581.497881944444</v>
      </c>
      <c r="B103" s="24" t="s">
        <v>105</v>
      </c>
      <c r="C103" s="24" t="s">
        <v>755</v>
      </c>
      <c r="D103" s="24">
        <v>750000</v>
      </c>
      <c r="E103" s="24" t="s">
        <v>724</v>
      </c>
      <c r="F103" s="24" t="str">
        <f t="shared" si="2"/>
        <v>rtdc.l.rtdc.4025:itc</v>
      </c>
      <c r="G103" s="8">
        <f t="shared" si="3"/>
        <v>42581.497881944444</v>
      </c>
    </row>
    <row r="104" spans="1:7" x14ac:dyDescent="0.25">
      <c r="A104" s="8">
        <v>42581.715879629628</v>
      </c>
      <c r="B104" s="24" t="s">
        <v>179</v>
      </c>
      <c r="C104" s="24" t="s">
        <v>643</v>
      </c>
      <c r="D104" s="24">
        <v>1280000</v>
      </c>
      <c r="E104" s="24" t="s">
        <v>186</v>
      </c>
      <c r="F104" s="24" t="str">
        <f t="shared" si="2"/>
        <v>rtdc.l.rtdc.4032:itc</v>
      </c>
      <c r="G104" s="8">
        <f t="shared" si="3"/>
        <v>42581.715879629628</v>
      </c>
    </row>
    <row r="105" spans="1:7" x14ac:dyDescent="0.25">
      <c r="A105" s="8">
        <v>42581.519375000003</v>
      </c>
      <c r="B105" s="24" t="s">
        <v>69</v>
      </c>
      <c r="C105" s="24" t="s">
        <v>756</v>
      </c>
      <c r="D105" s="24">
        <v>950000</v>
      </c>
      <c r="E105" s="24" t="s">
        <v>297</v>
      </c>
      <c r="F105" s="24" t="str">
        <f t="shared" si="2"/>
        <v>rtdc.l.rtdc.4018:itc</v>
      </c>
      <c r="G105" s="8">
        <f t="shared" si="3"/>
        <v>42581.519375000003</v>
      </c>
    </row>
    <row r="106" spans="1:7" x14ac:dyDescent="0.25">
      <c r="A106" s="8">
        <v>42581.608449074076</v>
      </c>
      <c r="B106" s="24" t="s">
        <v>108</v>
      </c>
      <c r="C106" s="24" t="s">
        <v>757</v>
      </c>
      <c r="D106" s="24">
        <v>1770000</v>
      </c>
      <c r="E106" s="24" t="s">
        <v>182</v>
      </c>
      <c r="F106" s="24" t="str">
        <f t="shared" si="2"/>
        <v>rtdc.l.rtdc.4030:itc</v>
      </c>
      <c r="G106" s="8">
        <f t="shared" si="3"/>
        <v>42581.608449074076</v>
      </c>
    </row>
    <row r="107" spans="1:7" x14ac:dyDescent="0.25">
      <c r="A107" s="8">
        <v>42581.556898148148</v>
      </c>
      <c r="B107" s="24" t="s">
        <v>103</v>
      </c>
      <c r="C107" s="24" t="s">
        <v>758</v>
      </c>
      <c r="D107" s="24">
        <v>750000</v>
      </c>
      <c r="E107" s="24" t="s">
        <v>724</v>
      </c>
      <c r="F107" s="24" t="str">
        <f t="shared" si="2"/>
        <v>rtdc.l.rtdc.4026:itc</v>
      </c>
      <c r="G107" s="8">
        <f t="shared" si="3"/>
        <v>42581.556898148148</v>
      </c>
    </row>
    <row r="108" spans="1:7" x14ac:dyDescent="0.25">
      <c r="A108" s="8">
        <v>42581.571712962963</v>
      </c>
      <c r="B108" s="24" t="s">
        <v>67</v>
      </c>
      <c r="C108" s="24" t="s">
        <v>759</v>
      </c>
      <c r="D108" s="24">
        <v>1830000</v>
      </c>
      <c r="E108" s="24" t="s">
        <v>336</v>
      </c>
      <c r="F108" s="24" t="str">
        <f t="shared" si="2"/>
        <v>rtdc.l.rtdc.4019:itc</v>
      </c>
      <c r="G108" s="8">
        <f t="shared" si="3"/>
        <v>42581.571712962963</v>
      </c>
    </row>
    <row r="109" spans="1:7" x14ac:dyDescent="0.25">
      <c r="A109" s="8">
        <v>42581.582071759258</v>
      </c>
      <c r="B109" s="24" t="s">
        <v>105</v>
      </c>
      <c r="C109" s="24" t="s">
        <v>760</v>
      </c>
      <c r="D109" s="24">
        <v>1740000</v>
      </c>
      <c r="E109" s="24" t="s">
        <v>719</v>
      </c>
      <c r="F109" s="24" t="str">
        <f t="shared" si="2"/>
        <v>rtdc.l.rtdc.4025:itc</v>
      </c>
      <c r="G109" s="8">
        <f t="shared" si="3"/>
        <v>42581.582071759258</v>
      </c>
    </row>
    <row r="110" spans="1:7" x14ac:dyDescent="0.25">
      <c r="A110" s="8">
        <v>42581.525775462964</v>
      </c>
      <c r="B110" s="24" t="s">
        <v>101</v>
      </c>
      <c r="C110" s="24" t="s">
        <v>761</v>
      </c>
      <c r="D110" s="24">
        <v>1540000</v>
      </c>
      <c r="E110" s="24" t="s">
        <v>189</v>
      </c>
      <c r="F110" s="24" t="str">
        <f t="shared" si="2"/>
        <v>rtdc.l.rtdc.4038:itc</v>
      </c>
      <c r="G110" s="8">
        <f t="shared" si="3"/>
        <v>42581.525775462964</v>
      </c>
    </row>
    <row r="111" spans="1:7" x14ac:dyDescent="0.25">
      <c r="A111" s="8">
        <v>42581.608263888891</v>
      </c>
      <c r="B111" s="24" t="s">
        <v>101</v>
      </c>
      <c r="C111" s="24" t="s">
        <v>762</v>
      </c>
      <c r="D111" s="24">
        <v>1780000</v>
      </c>
      <c r="E111" s="24" t="s">
        <v>305</v>
      </c>
      <c r="F111" s="24" t="str">
        <f t="shared" si="2"/>
        <v>rtdc.l.rtdc.4038:itc</v>
      </c>
      <c r="G111" s="8">
        <f t="shared" si="3"/>
        <v>42581.608263888891</v>
      </c>
    </row>
    <row r="112" spans="1:7" x14ac:dyDescent="0.25">
      <c r="A112" s="8">
        <v>42581.511006944442</v>
      </c>
      <c r="B112" s="24" t="s">
        <v>68</v>
      </c>
      <c r="C112" s="24" t="s">
        <v>763</v>
      </c>
      <c r="D112" s="24">
        <v>1830000</v>
      </c>
      <c r="E112" s="24" t="s">
        <v>336</v>
      </c>
      <c r="F112" s="24" t="str">
        <f t="shared" si="2"/>
        <v>rtdc.l.rtdc.4020:itc</v>
      </c>
      <c r="G112" s="8">
        <f t="shared" si="3"/>
        <v>42581.511006944442</v>
      </c>
    </row>
    <row r="113" spans="1:7" x14ac:dyDescent="0.25">
      <c r="A113" s="8">
        <v>42581.639490740738</v>
      </c>
      <c r="B113" s="24" t="s">
        <v>103</v>
      </c>
      <c r="C113" s="24" t="s">
        <v>764</v>
      </c>
      <c r="D113" s="24">
        <v>1740000</v>
      </c>
      <c r="E113" s="24" t="s">
        <v>719</v>
      </c>
      <c r="F113" s="24" t="str">
        <f t="shared" si="2"/>
        <v>rtdc.l.rtdc.4026:itc</v>
      </c>
      <c r="G113" s="8">
        <f t="shared" si="3"/>
        <v>42581.639490740738</v>
      </c>
    </row>
    <row r="114" spans="1:7" x14ac:dyDescent="0.25">
      <c r="A114" s="8">
        <v>42581.499791666669</v>
      </c>
      <c r="B114" s="24" t="s">
        <v>107</v>
      </c>
      <c r="C114" s="24" t="s">
        <v>765</v>
      </c>
      <c r="D114" s="24">
        <v>1770000</v>
      </c>
      <c r="E114" s="24" t="s">
        <v>182</v>
      </c>
      <c r="F114" s="24" t="str">
        <f t="shared" si="2"/>
        <v>rtdc.l.rtdc.4029:itc</v>
      </c>
      <c r="G114" s="8">
        <f t="shared" si="3"/>
        <v>42581.499791666669</v>
      </c>
    </row>
    <row r="115" spans="1:7" x14ac:dyDescent="0.25">
      <c r="A115" s="8">
        <v>42581.238958333335</v>
      </c>
      <c r="B115" s="24" t="s">
        <v>109</v>
      </c>
      <c r="C115" s="24" t="s">
        <v>441</v>
      </c>
      <c r="D115" s="24">
        <v>1310000</v>
      </c>
      <c r="E115" s="24" t="s">
        <v>334</v>
      </c>
      <c r="F115" s="24" t="str">
        <f t="shared" si="2"/>
        <v>rtdc.l.rtdc.4027:itc</v>
      </c>
      <c r="G115" s="8">
        <f t="shared" si="3"/>
        <v>42581.238958333335</v>
      </c>
    </row>
    <row r="116" spans="1:7" x14ac:dyDescent="0.25">
      <c r="A116" s="8">
        <v>42581.987013888887</v>
      </c>
      <c r="B116" s="24" t="s">
        <v>101</v>
      </c>
      <c r="C116" s="24" t="s">
        <v>624</v>
      </c>
      <c r="D116" s="24">
        <v>1780000</v>
      </c>
      <c r="E116" s="24" t="s">
        <v>305</v>
      </c>
      <c r="F116" s="24" t="str">
        <f t="shared" si="2"/>
        <v>rtdc.l.rtdc.4038:itc</v>
      </c>
      <c r="G116" s="8">
        <f t="shared" si="3"/>
        <v>42581.987013888887</v>
      </c>
    </row>
    <row r="117" spans="1:7" x14ac:dyDescent="0.25">
      <c r="A117" s="8">
        <v>42581.318506944444</v>
      </c>
      <c r="B117" s="24" t="s">
        <v>178</v>
      </c>
      <c r="C117" s="24" t="s">
        <v>462</v>
      </c>
      <c r="D117" s="24">
        <v>1260000</v>
      </c>
      <c r="E117" s="24" t="s">
        <v>187</v>
      </c>
      <c r="F117" s="24" t="str">
        <f t="shared" si="2"/>
        <v>rtdc.l.rtdc.4031:itc</v>
      </c>
      <c r="G117" s="8">
        <f t="shared" si="3"/>
        <v>42581.318506944444</v>
      </c>
    </row>
    <row r="118" spans="1:7" x14ac:dyDescent="0.25">
      <c r="A118" s="8">
        <v>42581.985405092593</v>
      </c>
      <c r="B118" s="24" t="s">
        <v>101</v>
      </c>
      <c r="C118" s="24" t="s">
        <v>624</v>
      </c>
      <c r="D118" s="24">
        <v>1780000</v>
      </c>
      <c r="E118" s="24" t="s">
        <v>305</v>
      </c>
      <c r="F118" s="24" t="str">
        <f t="shared" si="2"/>
        <v>rtdc.l.rtdc.4038:itc</v>
      </c>
      <c r="G118" s="8">
        <f t="shared" si="3"/>
        <v>42581.985405092593</v>
      </c>
    </row>
    <row r="119" spans="1:7" x14ac:dyDescent="0.25">
      <c r="A119" s="8">
        <v>42581.384884259256</v>
      </c>
      <c r="B119" s="24" t="s">
        <v>210</v>
      </c>
      <c r="C119" s="24" t="s">
        <v>766</v>
      </c>
      <c r="D119" s="24">
        <v>1540000</v>
      </c>
      <c r="E119" s="24" t="s">
        <v>189</v>
      </c>
      <c r="F119" s="24" t="str">
        <f t="shared" si="2"/>
        <v>rtdc.l.rtdc.4037:itc</v>
      </c>
      <c r="G119" s="8">
        <f t="shared" si="3"/>
        <v>42581.384884259256</v>
      </c>
    </row>
    <row r="120" spans="1:7" x14ac:dyDescent="0.25">
      <c r="A120" s="8">
        <v>42581.957638888889</v>
      </c>
      <c r="B120" s="24" t="s">
        <v>105</v>
      </c>
      <c r="C120" s="24" t="s">
        <v>602</v>
      </c>
      <c r="D120" s="24">
        <v>2000000</v>
      </c>
      <c r="E120" s="24" t="s">
        <v>718</v>
      </c>
      <c r="F120" s="24" t="str">
        <f t="shared" si="2"/>
        <v>rtdc.l.rtdc.4025:itc</v>
      </c>
      <c r="G120" s="8">
        <f t="shared" si="3"/>
        <v>42581.957638888889</v>
      </c>
    </row>
    <row r="121" spans="1:7" x14ac:dyDescent="0.25">
      <c r="A121" s="8">
        <v>42581.412534722222</v>
      </c>
      <c r="B121" s="24" t="s">
        <v>134</v>
      </c>
      <c r="C121" s="24" t="s">
        <v>767</v>
      </c>
      <c r="D121" s="24">
        <v>1460000</v>
      </c>
      <c r="E121" s="24" t="s">
        <v>304</v>
      </c>
      <c r="F121" s="24" t="str">
        <f t="shared" si="2"/>
        <v>rtdc.l.rtdc.4016:itc</v>
      </c>
      <c r="G121" s="8">
        <f t="shared" si="3"/>
        <v>42581.412534722222</v>
      </c>
    </row>
    <row r="122" spans="1:7" x14ac:dyDescent="0.25">
      <c r="A122" s="8">
        <v>42581.95521990741</v>
      </c>
      <c r="B122" s="32" t="s">
        <v>179</v>
      </c>
      <c r="C122" s="24" t="s">
        <v>685</v>
      </c>
      <c r="D122" s="24">
        <v>1800000</v>
      </c>
      <c r="E122" s="24" t="s">
        <v>185</v>
      </c>
      <c r="F122" s="24" t="str">
        <f t="shared" si="2"/>
        <v>rtdc.l.rtdc.4032:itc</v>
      </c>
      <c r="G122" s="8">
        <f t="shared" si="3"/>
        <v>42581.95521990741</v>
      </c>
    </row>
    <row r="123" spans="1:7" x14ac:dyDescent="0.25">
      <c r="A123" s="8">
        <v>42581.426226851851</v>
      </c>
      <c r="B123" s="24" t="s">
        <v>68</v>
      </c>
      <c r="C123" s="24" t="s">
        <v>768</v>
      </c>
      <c r="D123" s="24">
        <v>1830000</v>
      </c>
      <c r="E123" s="24" t="s">
        <v>336</v>
      </c>
      <c r="F123" s="24" t="str">
        <f t="shared" si="2"/>
        <v>rtdc.l.rtdc.4020:itc</v>
      </c>
      <c r="G123" s="8">
        <f t="shared" si="3"/>
        <v>42581.426226851851</v>
      </c>
    </row>
    <row r="124" spans="1:7" x14ac:dyDescent="0.25">
      <c r="A124" s="8">
        <v>42581.9143287037</v>
      </c>
      <c r="B124" s="24" t="s">
        <v>67</v>
      </c>
      <c r="C124" s="24" t="s">
        <v>594</v>
      </c>
      <c r="D124" s="24">
        <v>1820000</v>
      </c>
      <c r="E124" s="24" t="s">
        <v>337</v>
      </c>
      <c r="F124" s="24" t="str">
        <f t="shared" si="2"/>
        <v>rtdc.l.rtdc.4019:itc</v>
      </c>
      <c r="G124" s="8">
        <f t="shared" si="3"/>
        <v>42581.9143287037</v>
      </c>
    </row>
    <row r="125" spans="1:7" x14ac:dyDescent="0.25">
      <c r="A125" s="8">
        <v>42581.481481481482</v>
      </c>
      <c r="B125" s="24" t="s">
        <v>70</v>
      </c>
      <c r="C125" s="24" t="s">
        <v>769</v>
      </c>
      <c r="D125" s="24">
        <v>1760000</v>
      </c>
      <c r="E125" s="24" t="s">
        <v>377</v>
      </c>
      <c r="F125" s="24" t="str">
        <f t="shared" si="2"/>
        <v>rtdc.l.rtdc.4017:itc</v>
      </c>
      <c r="G125" s="8">
        <f t="shared" si="3"/>
        <v>42581.481481481482</v>
      </c>
    </row>
    <row r="126" spans="1:7" x14ac:dyDescent="0.25">
      <c r="A126" s="8">
        <v>42581.868217592593</v>
      </c>
      <c r="B126" s="24" t="s">
        <v>107</v>
      </c>
      <c r="C126" s="24" t="s">
        <v>679</v>
      </c>
      <c r="D126" s="24">
        <v>1300000</v>
      </c>
      <c r="E126" s="24" t="s">
        <v>150</v>
      </c>
      <c r="F126" s="24" t="str">
        <f t="shared" si="2"/>
        <v>rtdc.l.rtdc.4029:itc</v>
      </c>
      <c r="G126" s="8">
        <f t="shared" si="3"/>
        <v>42581.868217592593</v>
      </c>
    </row>
    <row r="127" spans="1:7" x14ac:dyDescent="0.25">
      <c r="A127" s="8">
        <v>42581.493761574071</v>
      </c>
      <c r="B127" s="24" t="s">
        <v>106</v>
      </c>
      <c r="C127" s="24" t="s">
        <v>770</v>
      </c>
      <c r="D127" s="24">
        <v>880000</v>
      </c>
      <c r="E127" s="24" t="s">
        <v>184</v>
      </c>
      <c r="F127" s="24" t="str">
        <f t="shared" si="2"/>
        <v>rtdc.l.rtdc.4028:itc</v>
      </c>
      <c r="G127" s="8">
        <f t="shared" si="3"/>
        <v>42581.493761574071</v>
      </c>
    </row>
    <row r="128" spans="1:7" x14ac:dyDescent="0.25">
      <c r="A128" s="8">
        <v>42581.848634259259</v>
      </c>
      <c r="B128" s="24" t="s">
        <v>114</v>
      </c>
      <c r="C128" s="24" t="s">
        <v>675</v>
      </c>
      <c r="D128" s="24">
        <v>1480000</v>
      </c>
      <c r="E128" s="24" t="s">
        <v>102</v>
      </c>
      <c r="F128" s="24" t="str">
        <f t="shared" si="2"/>
        <v>rtdc.l.rtdc.4007:itc</v>
      </c>
      <c r="G128" s="8">
        <f t="shared" si="3"/>
        <v>42581.848634259259</v>
      </c>
    </row>
    <row r="129" spans="1:7" x14ac:dyDescent="0.25">
      <c r="A129" s="8">
        <v>42581.497199074074</v>
      </c>
      <c r="B129" s="24" t="s">
        <v>771</v>
      </c>
      <c r="C129" s="24" t="s">
        <v>756</v>
      </c>
      <c r="D129" s="24">
        <v>950000</v>
      </c>
      <c r="E129" s="24" t="s">
        <v>297</v>
      </c>
      <c r="F129" s="24" t="str">
        <f t="shared" si="2"/>
        <v>rtdc.l.rtdc.4021:itc</v>
      </c>
      <c r="G129" s="8">
        <f t="shared" si="3"/>
        <v>42581.497199074074</v>
      </c>
    </row>
    <row r="130" spans="1:7" x14ac:dyDescent="0.25">
      <c r="A130" s="8">
        <v>42581.813784722224</v>
      </c>
      <c r="B130" s="24" t="s">
        <v>103</v>
      </c>
      <c r="C130" s="24" t="s">
        <v>565</v>
      </c>
      <c r="D130" s="24">
        <v>2000000</v>
      </c>
      <c r="E130" s="24" t="s">
        <v>718</v>
      </c>
      <c r="F130" s="24" t="str">
        <f t="shared" ref="F130:F193" si="4">B130</f>
        <v>rtdc.l.rtdc.4026:itc</v>
      </c>
      <c r="G130" s="8">
        <f t="shared" ref="G130:G193" si="5">A130</f>
        <v>42581.813784722224</v>
      </c>
    </row>
    <row r="131" spans="1:7" x14ac:dyDescent="0.25">
      <c r="A131" s="8">
        <v>42581.61922453704</v>
      </c>
      <c r="B131" s="24" t="s">
        <v>67</v>
      </c>
      <c r="C131" s="24" t="s">
        <v>772</v>
      </c>
      <c r="D131" s="24">
        <v>1820000</v>
      </c>
      <c r="E131" s="24" t="s">
        <v>337</v>
      </c>
      <c r="F131" s="24" t="str">
        <f t="shared" si="4"/>
        <v>rtdc.l.rtdc.4019:itc</v>
      </c>
      <c r="G131" s="8">
        <f t="shared" si="5"/>
        <v>42581.61922453704</v>
      </c>
    </row>
    <row r="132" spans="1:7" x14ac:dyDescent="0.25">
      <c r="A132" s="8">
        <v>42581.567708333336</v>
      </c>
      <c r="B132" s="24" t="s">
        <v>101</v>
      </c>
      <c r="C132" s="24" t="s">
        <v>773</v>
      </c>
      <c r="D132" s="24">
        <v>1780000</v>
      </c>
      <c r="E132" s="24" t="s">
        <v>305</v>
      </c>
      <c r="F132" s="24" t="str">
        <f t="shared" si="4"/>
        <v>rtdc.l.rtdc.4038:itc</v>
      </c>
      <c r="G132" s="8">
        <f t="shared" si="5"/>
        <v>42581.567708333336</v>
      </c>
    </row>
    <row r="133" spans="1:7" x14ac:dyDescent="0.25">
      <c r="A133" s="8">
        <v>42581.641261574077</v>
      </c>
      <c r="B133" s="24" t="s">
        <v>107</v>
      </c>
      <c r="C133" s="24" t="s">
        <v>774</v>
      </c>
      <c r="D133" s="24">
        <v>1770000</v>
      </c>
      <c r="E133" s="24" t="s">
        <v>182</v>
      </c>
      <c r="F133" s="24" t="str">
        <f t="shared" si="4"/>
        <v>rtdc.l.rtdc.4029:itc</v>
      </c>
      <c r="G133" s="8">
        <f t="shared" si="5"/>
        <v>42581.641261574077</v>
      </c>
    </row>
    <row r="134" spans="1:7" x14ac:dyDescent="0.25">
      <c r="A134" s="8">
        <v>42581.552523148152</v>
      </c>
      <c r="B134" s="24" t="s">
        <v>70</v>
      </c>
      <c r="C134" s="24" t="s">
        <v>775</v>
      </c>
      <c r="D134" s="24">
        <v>950000</v>
      </c>
      <c r="E134" s="24" t="s">
        <v>297</v>
      </c>
      <c r="F134" s="24" t="str">
        <f t="shared" si="4"/>
        <v>rtdc.l.rtdc.4017:itc</v>
      </c>
      <c r="G134" s="8">
        <f t="shared" si="5"/>
        <v>42581.552523148152</v>
      </c>
    </row>
    <row r="135" spans="1:7" x14ac:dyDescent="0.25">
      <c r="A135" s="8">
        <v>42581.109664351854</v>
      </c>
      <c r="B135" s="24" t="s">
        <v>105</v>
      </c>
      <c r="C135" s="24" t="s">
        <v>776</v>
      </c>
      <c r="D135" s="24">
        <v>1300000</v>
      </c>
      <c r="E135" s="24" t="s">
        <v>150</v>
      </c>
      <c r="F135" s="24" t="str">
        <f t="shared" si="4"/>
        <v>rtdc.l.rtdc.4025:itc</v>
      </c>
      <c r="G135" s="8">
        <f t="shared" si="5"/>
        <v>42581.109664351854</v>
      </c>
    </row>
    <row r="136" spans="1:7" x14ac:dyDescent="0.25">
      <c r="A136" s="8">
        <v>42581.502800925926</v>
      </c>
      <c r="B136" s="24" t="s">
        <v>179</v>
      </c>
      <c r="C136" s="24" t="s">
        <v>777</v>
      </c>
      <c r="D136" s="24">
        <v>1280000</v>
      </c>
      <c r="E136" s="24" t="s">
        <v>186</v>
      </c>
      <c r="F136" s="24" t="str">
        <f t="shared" si="4"/>
        <v>rtdc.l.rtdc.4032:itc</v>
      </c>
      <c r="G136" s="8">
        <f t="shared" si="5"/>
        <v>42581.502800925926</v>
      </c>
    </row>
    <row r="137" spans="1:7" x14ac:dyDescent="0.25">
      <c r="A137" s="8">
        <v>42581.169305555559</v>
      </c>
      <c r="B137" s="24" t="s">
        <v>158</v>
      </c>
      <c r="C137" s="24" t="s">
        <v>416</v>
      </c>
      <c r="D137" s="24">
        <v>2010000</v>
      </c>
      <c r="E137" s="24" t="s">
        <v>302</v>
      </c>
      <c r="F137" s="24" t="str">
        <f t="shared" si="4"/>
        <v>rtdc.l.rtdc.4012:itc</v>
      </c>
      <c r="G137" s="8">
        <f t="shared" si="5"/>
        <v>42581.169305555559</v>
      </c>
    </row>
    <row r="138" spans="1:7" x14ac:dyDescent="0.25">
      <c r="A138" s="8">
        <v>42581.416030092594</v>
      </c>
      <c r="B138" s="24" t="s">
        <v>105</v>
      </c>
      <c r="C138" s="24" t="s">
        <v>778</v>
      </c>
      <c r="D138" s="24">
        <v>750000</v>
      </c>
      <c r="E138" s="24" t="s">
        <v>724</v>
      </c>
      <c r="F138" s="24" t="str">
        <f t="shared" si="4"/>
        <v>rtdc.l.rtdc.4025:itc</v>
      </c>
      <c r="G138" s="8">
        <f t="shared" si="5"/>
        <v>42581.416030092594</v>
      </c>
    </row>
    <row r="139" spans="1:7" x14ac:dyDescent="0.25">
      <c r="A139" s="8">
        <v>42581.259675925925</v>
      </c>
      <c r="B139" s="24" t="s">
        <v>114</v>
      </c>
      <c r="C139" s="24" t="s">
        <v>446</v>
      </c>
      <c r="D139" s="24">
        <v>1360000</v>
      </c>
      <c r="E139" s="24" t="s">
        <v>300</v>
      </c>
      <c r="F139" s="24" t="str">
        <f t="shared" si="4"/>
        <v>rtdc.l.rtdc.4007:itc</v>
      </c>
      <c r="G139" s="8">
        <f t="shared" si="5"/>
        <v>42581.259675925925</v>
      </c>
    </row>
    <row r="140" spans="1:7" x14ac:dyDescent="0.25">
      <c r="A140" s="8">
        <v>42581.401284722226</v>
      </c>
      <c r="B140" s="24" t="s">
        <v>101</v>
      </c>
      <c r="C140" s="24" t="s">
        <v>779</v>
      </c>
      <c r="D140" s="24">
        <v>1540000</v>
      </c>
      <c r="E140" s="24" t="s">
        <v>189</v>
      </c>
      <c r="F140" s="24" t="str">
        <f t="shared" si="4"/>
        <v>rtdc.l.rtdc.4038:itc</v>
      </c>
      <c r="G140" s="8">
        <f t="shared" si="5"/>
        <v>42581.401284722226</v>
      </c>
    </row>
    <row r="141" spans="1:7" x14ac:dyDescent="0.25">
      <c r="A141" s="8">
        <v>42581.327256944445</v>
      </c>
      <c r="B141" s="24" t="s">
        <v>158</v>
      </c>
      <c r="C141" s="24" t="s">
        <v>457</v>
      </c>
      <c r="D141" s="24">
        <v>2010000</v>
      </c>
      <c r="E141" s="24" t="s">
        <v>302</v>
      </c>
      <c r="F141" s="24" t="str">
        <f t="shared" si="4"/>
        <v>rtdc.l.rtdc.4012:itc</v>
      </c>
      <c r="G141" s="8">
        <f t="shared" si="5"/>
        <v>42581.327256944445</v>
      </c>
    </row>
    <row r="142" spans="1:7" x14ac:dyDescent="0.25">
      <c r="A142" s="8">
        <v>42581.388865740744</v>
      </c>
      <c r="B142" s="24" t="s">
        <v>108</v>
      </c>
      <c r="C142" s="24" t="s">
        <v>780</v>
      </c>
      <c r="D142" s="24">
        <v>1100000</v>
      </c>
      <c r="E142" s="24" t="s">
        <v>168</v>
      </c>
      <c r="F142" s="24" t="str">
        <f t="shared" si="4"/>
        <v>rtdc.l.rtdc.4030:itc</v>
      </c>
      <c r="G142" s="8">
        <f t="shared" si="5"/>
        <v>42581.388865740744</v>
      </c>
    </row>
    <row r="143" spans="1:7" x14ac:dyDescent="0.25">
      <c r="A143" s="8">
        <v>42581.360960648148</v>
      </c>
      <c r="B143" s="24" t="s">
        <v>338</v>
      </c>
      <c r="C143" s="24" t="s">
        <v>781</v>
      </c>
      <c r="D143" s="24">
        <v>1360000</v>
      </c>
      <c r="E143" s="24" t="s">
        <v>300</v>
      </c>
      <c r="F143" s="24" t="str">
        <f t="shared" si="4"/>
        <v>rtdc.l.rtdc.4043:itc</v>
      </c>
      <c r="G143" s="8">
        <f t="shared" si="5"/>
        <v>42581.360960648148</v>
      </c>
    </row>
    <row r="144" spans="1:7" x14ac:dyDescent="0.25">
      <c r="A144" s="8">
        <v>42581.214583333334</v>
      </c>
      <c r="B144" s="24" t="s">
        <v>169</v>
      </c>
      <c r="C144" s="24" t="s">
        <v>435</v>
      </c>
      <c r="D144" s="24">
        <v>2010000</v>
      </c>
      <c r="E144" s="24" t="s">
        <v>302</v>
      </c>
      <c r="F144" s="24" t="str">
        <f t="shared" si="4"/>
        <v>rtdc.l.rtdc.4014:itc</v>
      </c>
      <c r="G144" s="8">
        <f t="shared" si="5"/>
        <v>42581.214583333334</v>
      </c>
    </row>
    <row r="145" spans="1:7" x14ac:dyDescent="0.25">
      <c r="A145" s="8">
        <v>42581.395451388889</v>
      </c>
      <c r="B145" s="24" t="s">
        <v>109</v>
      </c>
      <c r="C145" s="24" t="s">
        <v>782</v>
      </c>
      <c r="D145" s="24">
        <v>1310000</v>
      </c>
      <c r="E145" s="24" t="s">
        <v>334</v>
      </c>
      <c r="F145" s="24" t="str">
        <f t="shared" si="4"/>
        <v>rtdc.l.rtdc.4027:itc</v>
      </c>
      <c r="G145" s="8">
        <f t="shared" si="5"/>
        <v>42581.395451388889</v>
      </c>
    </row>
    <row r="146" spans="1:7" x14ac:dyDescent="0.25">
      <c r="A146" s="8">
        <v>42581.209062499998</v>
      </c>
      <c r="B146" s="24" t="s">
        <v>70</v>
      </c>
      <c r="C146" s="24" t="s">
        <v>783</v>
      </c>
      <c r="D146" s="24">
        <v>1760000</v>
      </c>
      <c r="E146" s="24" t="s">
        <v>377</v>
      </c>
      <c r="F146" s="24" t="str">
        <f t="shared" si="4"/>
        <v>rtdc.l.rtdc.4017:itc</v>
      </c>
      <c r="G146" s="8">
        <f t="shared" si="5"/>
        <v>42581.209062499998</v>
      </c>
    </row>
    <row r="147" spans="1:7" x14ac:dyDescent="0.25">
      <c r="A147" s="8">
        <v>42581.46466435185</v>
      </c>
      <c r="B147" s="24" t="s">
        <v>178</v>
      </c>
      <c r="C147" s="24" t="s">
        <v>784</v>
      </c>
      <c r="D147" s="24">
        <v>1280000</v>
      </c>
      <c r="E147" s="24" t="s">
        <v>186</v>
      </c>
      <c r="F147" s="24" t="str">
        <f t="shared" si="4"/>
        <v>rtdc.l.rtdc.4031:itc</v>
      </c>
      <c r="G147" s="8">
        <f t="shared" si="5"/>
        <v>42581.46466435185</v>
      </c>
    </row>
    <row r="148" spans="1:7" x14ac:dyDescent="0.25">
      <c r="A148" s="8">
        <v>42581.368009259262</v>
      </c>
      <c r="B148" s="24" t="s">
        <v>67</v>
      </c>
      <c r="C148" s="24" t="s">
        <v>785</v>
      </c>
      <c r="D148" s="24">
        <v>1830000</v>
      </c>
      <c r="E148" s="24" t="s">
        <v>336</v>
      </c>
      <c r="F148" s="24" t="str">
        <f t="shared" si="4"/>
        <v>rtdc.l.rtdc.4019:itc</v>
      </c>
      <c r="G148" s="8">
        <f t="shared" si="5"/>
        <v>42581.368009259262</v>
      </c>
    </row>
    <row r="149" spans="1:7" x14ac:dyDescent="0.25">
      <c r="A149" s="8">
        <v>42581.467638888891</v>
      </c>
      <c r="B149" s="24" t="s">
        <v>158</v>
      </c>
      <c r="C149" s="24" t="s">
        <v>786</v>
      </c>
      <c r="D149" s="24">
        <v>1520000</v>
      </c>
      <c r="E149" s="24" t="s">
        <v>180</v>
      </c>
      <c r="F149" s="24" t="str">
        <f t="shared" si="4"/>
        <v>rtdc.l.rtdc.4012:itc</v>
      </c>
      <c r="G149" s="8">
        <f t="shared" si="5"/>
        <v>42581.467638888891</v>
      </c>
    </row>
    <row r="150" spans="1:7" x14ac:dyDescent="0.25">
      <c r="A150" s="8">
        <v>42581.358437499999</v>
      </c>
      <c r="B150" s="24" t="s">
        <v>101</v>
      </c>
      <c r="C150" s="24" t="s">
        <v>787</v>
      </c>
      <c r="D150" s="24">
        <v>1540000</v>
      </c>
      <c r="E150" s="24" t="s">
        <v>189</v>
      </c>
      <c r="F150" s="24" t="str">
        <f t="shared" si="4"/>
        <v>rtdc.l.rtdc.4038:itc</v>
      </c>
      <c r="G150" s="8">
        <f t="shared" si="5"/>
        <v>42581.358437499999</v>
      </c>
    </row>
    <row r="151" spans="1:7" x14ac:dyDescent="0.25">
      <c r="A151" s="8">
        <v>42581.487337962964</v>
      </c>
      <c r="B151" s="24" t="s">
        <v>134</v>
      </c>
      <c r="C151" s="24" t="s">
        <v>788</v>
      </c>
      <c r="D151" s="24">
        <v>1750000</v>
      </c>
      <c r="E151" s="24" t="s">
        <v>188</v>
      </c>
      <c r="F151" s="24" t="str">
        <f t="shared" si="4"/>
        <v>rtdc.l.rtdc.4016:itc</v>
      </c>
      <c r="G151" s="8">
        <f t="shared" si="5"/>
        <v>42581.487337962964</v>
      </c>
    </row>
    <row r="152" spans="1:7" x14ac:dyDescent="0.25">
      <c r="A152" s="8">
        <v>42581.278738425928</v>
      </c>
      <c r="B152" s="24" t="s">
        <v>67</v>
      </c>
      <c r="C152" s="24" t="s">
        <v>489</v>
      </c>
      <c r="D152" s="24">
        <v>1830000</v>
      </c>
      <c r="E152" s="24" t="s">
        <v>336</v>
      </c>
      <c r="F152" s="24" t="str">
        <f t="shared" si="4"/>
        <v>rtdc.l.rtdc.4019:itc</v>
      </c>
      <c r="G152" s="8">
        <f t="shared" si="5"/>
        <v>42581.278738425928</v>
      </c>
    </row>
    <row r="153" spans="1:7" x14ac:dyDescent="0.25">
      <c r="A153" s="8">
        <v>42581.567291666666</v>
      </c>
      <c r="B153" s="24" t="s">
        <v>106</v>
      </c>
      <c r="C153" s="24" t="s">
        <v>789</v>
      </c>
      <c r="D153" s="24">
        <v>880000</v>
      </c>
      <c r="E153" s="24" t="s">
        <v>184</v>
      </c>
      <c r="F153" s="24" t="str">
        <f t="shared" si="4"/>
        <v>rtdc.l.rtdc.4028:itc</v>
      </c>
      <c r="G153" s="8">
        <f t="shared" si="5"/>
        <v>42581.567291666666</v>
      </c>
    </row>
    <row r="154" spans="1:7" x14ac:dyDescent="0.25">
      <c r="A154" s="8">
        <v>42581.265740740739</v>
      </c>
      <c r="B154" s="24" t="s">
        <v>70</v>
      </c>
      <c r="C154" s="24" t="s">
        <v>440</v>
      </c>
      <c r="D154" s="24">
        <v>1760000</v>
      </c>
      <c r="E154" s="24" t="s">
        <v>377</v>
      </c>
      <c r="F154" s="24" t="str">
        <f t="shared" si="4"/>
        <v>rtdc.l.rtdc.4017:itc</v>
      </c>
      <c r="G154" s="8">
        <f t="shared" si="5"/>
        <v>42581.265740740739</v>
      </c>
    </row>
    <row r="155" spans="1:7" x14ac:dyDescent="0.25">
      <c r="A155" s="8">
        <v>42581.683842592596</v>
      </c>
      <c r="B155" s="24" t="s">
        <v>178</v>
      </c>
      <c r="C155" s="24" t="s">
        <v>641</v>
      </c>
      <c r="D155" s="24">
        <v>1280000</v>
      </c>
      <c r="E155" s="24" t="s">
        <v>186</v>
      </c>
      <c r="F155" s="24" t="str">
        <f t="shared" si="4"/>
        <v>rtdc.l.rtdc.4031:itc</v>
      </c>
      <c r="G155" s="8">
        <f t="shared" si="5"/>
        <v>42581.683842592596</v>
      </c>
    </row>
    <row r="156" spans="1:7" x14ac:dyDescent="0.25">
      <c r="A156" s="8">
        <v>42581.23333333333</v>
      </c>
      <c r="B156" s="24" t="s">
        <v>101</v>
      </c>
      <c r="C156" s="24" t="s">
        <v>467</v>
      </c>
      <c r="D156" s="24">
        <v>1540000</v>
      </c>
      <c r="E156" s="24" t="s">
        <v>189</v>
      </c>
      <c r="F156" s="24" t="str">
        <f t="shared" si="4"/>
        <v>rtdc.l.rtdc.4038:itc</v>
      </c>
      <c r="G156" s="8">
        <f t="shared" si="5"/>
        <v>42581.23333333333</v>
      </c>
    </row>
    <row r="157" spans="1:7" x14ac:dyDescent="0.25">
      <c r="A157" s="8">
        <v>42581.749062499999</v>
      </c>
      <c r="B157" s="24" t="s">
        <v>105</v>
      </c>
      <c r="C157" s="24" t="s">
        <v>538</v>
      </c>
      <c r="D157" s="24">
        <v>2000000</v>
      </c>
      <c r="E157" s="24" t="s">
        <v>718</v>
      </c>
      <c r="F157" s="24" t="str">
        <f t="shared" si="4"/>
        <v>rtdc.l.rtdc.4025:itc</v>
      </c>
      <c r="G157" s="8">
        <f t="shared" si="5"/>
        <v>42581.749062499999</v>
      </c>
    </row>
    <row r="158" spans="1:7" x14ac:dyDescent="0.25">
      <c r="A158" s="8">
        <v>42581.21634259259</v>
      </c>
      <c r="B158" s="24" t="s">
        <v>338</v>
      </c>
      <c r="C158" s="24" t="s">
        <v>429</v>
      </c>
      <c r="D158" s="24">
        <v>1360000</v>
      </c>
      <c r="E158" s="24" t="s">
        <v>300</v>
      </c>
      <c r="F158" s="24" t="str">
        <f t="shared" si="4"/>
        <v>rtdc.l.rtdc.4043:itc</v>
      </c>
      <c r="G158" s="8">
        <f t="shared" si="5"/>
        <v>42581.21634259259</v>
      </c>
    </row>
    <row r="159" spans="1:7" x14ac:dyDescent="0.25">
      <c r="A159" s="8">
        <v>42581.827476851853</v>
      </c>
      <c r="B159" s="24" t="s">
        <v>67</v>
      </c>
      <c r="C159" s="24" t="s">
        <v>569</v>
      </c>
      <c r="D159" s="24">
        <v>1820000</v>
      </c>
      <c r="E159" s="24" t="s">
        <v>337</v>
      </c>
      <c r="F159" s="24" t="str">
        <f t="shared" si="4"/>
        <v>rtdc.l.rtdc.4019:itc</v>
      </c>
      <c r="G159" s="8">
        <f t="shared" si="5"/>
        <v>42581.827476851853</v>
      </c>
    </row>
    <row r="160" spans="1:7" x14ac:dyDescent="0.25">
      <c r="A160" s="8">
        <v>42581.089444444442</v>
      </c>
      <c r="B160" s="24" t="s">
        <v>101</v>
      </c>
      <c r="C160" s="24" t="s">
        <v>790</v>
      </c>
      <c r="D160" s="24">
        <v>1480000</v>
      </c>
      <c r="E160" s="24" t="s">
        <v>102</v>
      </c>
      <c r="F160" s="24" t="str">
        <f t="shared" si="4"/>
        <v>rtdc.l.rtdc.4038:itc</v>
      </c>
      <c r="G160" s="8">
        <f t="shared" si="5"/>
        <v>42581.089444444442</v>
      </c>
    </row>
    <row r="161" spans="1:7" x14ac:dyDescent="0.25">
      <c r="A161" s="8">
        <v>42581.938333333332</v>
      </c>
      <c r="B161" s="24" t="s">
        <v>103</v>
      </c>
      <c r="C161" s="24" t="s">
        <v>601</v>
      </c>
      <c r="D161" s="24">
        <v>2000000</v>
      </c>
      <c r="E161" s="24" t="s">
        <v>718</v>
      </c>
      <c r="F161" s="24" t="str">
        <f t="shared" si="4"/>
        <v>rtdc.l.rtdc.4026:itc</v>
      </c>
      <c r="G161" s="8">
        <f t="shared" si="5"/>
        <v>42581.938333333332</v>
      </c>
    </row>
    <row r="162" spans="1:7" x14ac:dyDescent="0.25">
      <c r="A162" s="8">
        <v>42581.429629629631</v>
      </c>
      <c r="B162" s="24" t="s">
        <v>179</v>
      </c>
      <c r="C162" s="24" t="s">
        <v>791</v>
      </c>
      <c r="D162" s="24">
        <v>1260000</v>
      </c>
      <c r="E162" s="24" t="s">
        <v>187</v>
      </c>
      <c r="F162" s="24" t="str">
        <f t="shared" si="4"/>
        <v>rtdc.l.rtdc.4032:itc</v>
      </c>
      <c r="G162" s="8">
        <f t="shared" si="5"/>
        <v>42581.429629629631</v>
      </c>
    </row>
    <row r="163" spans="1:7" x14ac:dyDescent="0.25">
      <c r="A163" s="8">
        <v>42581.941527777781</v>
      </c>
      <c r="B163" s="24" t="s">
        <v>103</v>
      </c>
      <c r="C163" s="24" t="s">
        <v>601</v>
      </c>
      <c r="D163" s="24">
        <v>2000000</v>
      </c>
      <c r="E163" s="24" t="s">
        <v>718</v>
      </c>
      <c r="F163" s="24" t="str">
        <f t="shared" si="4"/>
        <v>rtdc.l.rtdc.4026:itc</v>
      </c>
      <c r="G163" s="8">
        <f t="shared" si="5"/>
        <v>42581.941527777781</v>
      </c>
    </row>
    <row r="164" spans="1:7" x14ac:dyDescent="0.25">
      <c r="A164" s="8">
        <v>42581.484178240738</v>
      </c>
      <c r="B164" s="24" t="s">
        <v>67</v>
      </c>
      <c r="C164" s="24" t="s">
        <v>792</v>
      </c>
      <c r="D164" s="24">
        <v>1830000</v>
      </c>
      <c r="E164" s="24" t="s">
        <v>336</v>
      </c>
      <c r="F164" s="24" t="str">
        <f t="shared" si="4"/>
        <v>rtdc.l.rtdc.4019:itc</v>
      </c>
      <c r="G164" s="8">
        <f t="shared" si="5"/>
        <v>42581.484178240738</v>
      </c>
    </row>
    <row r="165" spans="1:7" x14ac:dyDescent="0.25">
      <c r="A165" s="8">
        <v>42582.012627314813</v>
      </c>
      <c r="B165" s="24" t="s">
        <v>70</v>
      </c>
      <c r="C165" s="24" t="s">
        <v>694</v>
      </c>
      <c r="D165" s="24">
        <v>2030000</v>
      </c>
      <c r="E165" s="24" t="s">
        <v>720</v>
      </c>
      <c r="F165" s="24" t="str">
        <f t="shared" si="4"/>
        <v>rtdc.l.rtdc.4017:itc</v>
      </c>
      <c r="G165" s="8">
        <f t="shared" si="5"/>
        <v>42582.012627314813</v>
      </c>
    </row>
    <row r="166" spans="1:7" x14ac:dyDescent="0.25">
      <c r="A166" s="8">
        <v>42581.479074074072</v>
      </c>
      <c r="B166" s="24" t="s">
        <v>114</v>
      </c>
      <c r="C166" s="24" t="s">
        <v>793</v>
      </c>
      <c r="D166" s="24">
        <v>2040000</v>
      </c>
      <c r="E166" s="24" t="s">
        <v>335</v>
      </c>
      <c r="F166" s="24" t="str">
        <f t="shared" si="4"/>
        <v>rtdc.l.rtdc.4007:itc</v>
      </c>
      <c r="G166" s="8">
        <f t="shared" si="5"/>
        <v>42581.479074074072</v>
      </c>
    </row>
    <row r="167" spans="1:7" x14ac:dyDescent="0.25">
      <c r="A167" s="8">
        <v>42582.152499999997</v>
      </c>
      <c r="B167" s="24" t="s">
        <v>101</v>
      </c>
      <c r="C167" s="24" t="s">
        <v>794</v>
      </c>
      <c r="D167" s="24">
        <v>1260000</v>
      </c>
      <c r="E167" s="24" t="s">
        <v>187</v>
      </c>
      <c r="F167" s="24" t="str">
        <f t="shared" si="4"/>
        <v>rtdc.l.rtdc.4038:itc</v>
      </c>
      <c r="G167" s="8">
        <f t="shared" si="5"/>
        <v>42582.152499999997</v>
      </c>
    </row>
    <row r="168" spans="1:7" x14ac:dyDescent="0.25">
      <c r="A168" s="8">
        <v>42581.338726851849</v>
      </c>
      <c r="B168" s="24" t="s">
        <v>134</v>
      </c>
      <c r="C168" s="24" t="s">
        <v>464</v>
      </c>
      <c r="D168" s="24">
        <v>1460000</v>
      </c>
      <c r="E168" s="24" t="s">
        <v>304</v>
      </c>
      <c r="F168" s="24" t="str">
        <f t="shared" si="4"/>
        <v>rtdc.l.rtdc.4016:itc</v>
      </c>
      <c r="G168" s="8">
        <f t="shared" si="5"/>
        <v>42581.338726851849</v>
      </c>
    </row>
    <row r="169" spans="1:7" x14ac:dyDescent="0.25">
      <c r="A169" s="8">
        <v>42581.6643287037</v>
      </c>
      <c r="B169" s="24" t="s">
        <v>105</v>
      </c>
      <c r="C169" s="24" t="s">
        <v>509</v>
      </c>
      <c r="D169" s="24">
        <v>1740000</v>
      </c>
      <c r="E169" s="24" t="s">
        <v>719</v>
      </c>
      <c r="F169" s="24" t="str">
        <f t="shared" si="4"/>
        <v>rtdc.l.rtdc.4025:itc</v>
      </c>
      <c r="G169" s="8">
        <f t="shared" si="5"/>
        <v>42581.6643287037</v>
      </c>
    </row>
    <row r="170" spans="1:7" x14ac:dyDescent="0.25">
      <c r="A170" s="8">
        <v>42581.303761574076</v>
      </c>
      <c r="B170" s="24" t="s">
        <v>133</v>
      </c>
      <c r="C170" s="24" t="s">
        <v>452</v>
      </c>
      <c r="D170" s="24">
        <v>1460000</v>
      </c>
      <c r="E170" s="24" t="s">
        <v>304</v>
      </c>
      <c r="F170" s="24" t="str">
        <f t="shared" si="4"/>
        <v>rtdc.l.rtdc.4015:itc</v>
      </c>
      <c r="G170" s="8">
        <f t="shared" si="5"/>
        <v>42581.303761574076</v>
      </c>
    </row>
    <row r="171" spans="1:7" x14ac:dyDescent="0.25">
      <c r="A171" s="8">
        <v>42581.696018518516</v>
      </c>
      <c r="B171" s="24" t="s">
        <v>114</v>
      </c>
      <c r="C171" s="24" t="s">
        <v>644</v>
      </c>
      <c r="D171" s="24">
        <v>2040000</v>
      </c>
      <c r="E171" s="24" t="s">
        <v>335</v>
      </c>
      <c r="F171" s="24" t="str">
        <f t="shared" si="4"/>
        <v>rtdc.l.rtdc.4007:itc</v>
      </c>
      <c r="G171" s="8">
        <f t="shared" si="5"/>
        <v>42581.696018518516</v>
      </c>
    </row>
    <row r="172" spans="1:7" x14ac:dyDescent="0.25">
      <c r="A172" s="8">
        <v>42581.217546296299</v>
      </c>
      <c r="B172" s="24" t="s">
        <v>210</v>
      </c>
      <c r="C172" s="24" t="s">
        <v>465</v>
      </c>
      <c r="D172" s="24">
        <v>1540000</v>
      </c>
      <c r="E172" s="24" t="s">
        <v>189</v>
      </c>
      <c r="F172" s="24" t="str">
        <f t="shared" si="4"/>
        <v>rtdc.l.rtdc.4037:itc</v>
      </c>
      <c r="G172" s="8">
        <f t="shared" si="5"/>
        <v>42581.217546296299</v>
      </c>
    </row>
    <row r="173" spans="1:7" x14ac:dyDescent="0.25">
      <c r="A173" s="8">
        <v>42581.70416666667</v>
      </c>
      <c r="B173" s="24" t="s">
        <v>134</v>
      </c>
      <c r="C173" s="24" t="s">
        <v>647</v>
      </c>
      <c r="D173" s="24">
        <v>1750000</v>
      </c>
      <c r="E173" s="24" t="s">
        <v>188</v>
      </c>
      <c r="F173" s="24" t="str">
        <f t="shared" si="4"/>
        <v>rtdc.l.rtdc.4016:itc</v>
      </c>
      <c r="G173" s="8">
        <f t="shared" si="5"/>
        <v>42581.70416666667</v>
      </c>
    </row>
    <row r="174" spans="1:7" x14ac:dyDescent="0.25">
      <c r="A174" s="8">
        <v>42581.196435185186</v>
      </c>
      <c r="B174" s="24" t="s">
        <v>134</v>
      </c>
      <c r="C174" s="24" t="s">
        <v>431</v>
      </c>
      <c r="D174" s="24">
        <v>1460000</v>
      </c>
      <c r="E174" s="24" t="s">
        <v>304</v>
      </c>
      <c r="F174" s="24" t="str">
        <f t="shared" si="4"/>
        <v>rtdc.l.rtdc.4016:itc</v>
      </c>
      <c r="G174" s="8">
        <f t="shared" si="5"/>
        <v>42581.196435185186</v>
      </c>
    </row>
    <row r="175" spans="1:7" x14ac:dyDescent="0.25">
      <c r="A175" s="8">
        <v>42581.764803240738</v>
      </c>
      <c r="B175" s="24" t="s">
        <v>158</v>
      </c>
      <c r="C175" s="24" t="s">
        <v>653</v>
      </c>
      <c r="D175" s="24">
        <v>1520000</v>
      </c>
      <c r="E175" s="24" t="s">
        <v>180</v>
      </c>
      <c r="F175" s="24" t="str">
        <f t="shared" si="4"/>
        <v>rtdc.l.rtdc.4012:itc</v>
      </c>
      <c r="G175" s="8">
        <f t="shared" si="5"/>
        <v>42581.764803240738</v>
      </c>
    </row>
    <row r="176" spans="1:7" x14ac:dyDescent="0.25">
      <c r="A176" s="8">
        <v>42581.072858796295</v>
      </c>
      <c r="B176" s="24" t="s">
        <v>103</v>
      </c>
      <c r="C176" s="24" t="s">
        <v>394</v>
      </c>
      <c r="D176" s="24">
        <v>1300000</v>
      </c>
      <c r="E176" s="24" t="s">
        <v>150</v>
      </c>
      <c r="F176" s="24" t="str">
        <f t="shared" si="4"/>
        <v>rtdc.l.rtdc.4026:itc</v>
      </c>
      <c r="G176" s="8">
        <f t="shared" si="5"/>
        <v>42581.072858796295</v>
      </c>
    </row>
    <row r="177" spans="1:7" x14ac:dyDescent="0.25">
      <c r="A177" s="8">
        <v>42581.788449074076</v>
      </c>
      <c r="B177" s="24" t="s">
        <v>107</v>
      </c>
      <c r="C177" s="24" t="s">
        <v>667</v>
      </c>
      <c r="D177" s="24">
        <v>1300000</v>
      </c>
      <c r="E177" s="24" t="s">
        <v>150</v>
      </c>
      <c r="F177" s="24" t="str">
        <f t="shared" si="4"/>
        <v>rtdc.l.rtdc.4029:itc</v>
      </c>
      <c r="G177" s="8">
        <f t="shared" si="5"/>
        <v>42581.788449074076</v>
      </c>
    </row>
    <row r="178" spans="1:7" x14ac:dyDescent="0.25">
      <c r="A178" s="8">
        <v>42582.137349537035</v>
      </c>
      <c r="B178" s="24" t="s">
        <v>156</v>
      </c>
      <c r="C178" s="24" t="s">
        <v>795</v>
      </c>
      <c r="D178" s="24">
        <v>1460000</v>
      </c>
      <c r="E178" s="24" t="s">
        <v>304</v>
      </c>
      <c r="F178" s="24" t="str">
        <f t="shared" si="4"/>
        <v>rtdc.l.rtdc.4011:itc</v>
      </c>
      <c r="G178" s="8">
        <f t="shared" si="5"/>
        <v>42582.137349537035</v>
      </c>
    </row>
    <row r="179" spans="1:7" x14ac:dyDescent="0.25">
      <c r="A179" s="8">
        <v>42581.874236111114</v>
      </c>
      <c r="B179" s="24" t="s">
        <v>210</v>
      </c>
      <c r="C179" s="24" t="s">
        <v>586</v>
      </c>
      <c r="D179" s="24">
        <v>1780000</v>
      </c>
      <c r="E179" s="24" t="s">
        <v>305</v>
      </c>
      <c r="F179" s="24" t="str">
        <f t="shared" si="4"/>
        <v>rtdc.l.rtdc.4037:itc</v>
      </c>
      <c r="G179" s="8">
        <f t="shared" si="5"/>
        <v>42581.874236111114</v>
      </c>
    </row>
    <row r="180" spans="1:7" x14ac:dyDescent="0.25">
      <c r="A180" s="8">
        <v>42582.070520833331</v>
      </c>
      <c r="B180" s="24" t="s">
        <v>178</v>
      </c>
      <c r="C180" s="24" t="s">
        <v>709</v>
      </c>
      <c r="D180" s="24">
        <v>1800000</v>
      </c>
      <c r="E180" s="24" t="s">
        <v>185</v>
      </c>
      <c r="F180" s="24" t="str">
        <f t="shared" si="4"/>
        <v>rtdc.l.rtdc.4031:itc</v>
      </c>
      <c r="G180" s="8">
        <f t="shared" si="5"/>
        <v>42582.070520833331</v>
      </c>
    </row>
    <row r="181" spans="1:7" x14ac:dyDescent="0.25">
      <c r="A181" s="8">
        <v>42581.967326388891</v>
      </c>
      <c r="B181" s="24" t="s">
        <v>210</v>
      </c>
      <c r="C181" s="24" t="s">
        <v>605</v>
      </c>
      <c r="D181" s="24">
        <v>1780000</v>
      </c>
      <c r="E181" s="24" t="s">
        <v>305</v>
      </c>
      <c r="F181" s="24" t="str">
        <f t="shared" si="4"/>
        <v>rtdc.l.rtdc.4037:itc</v>
      </c>
      <c r="G181" s="8">
        <f t="shared" si="5"/>
        <v>42581.967326388891</v>
      </c>
    </row>
    <row r="182" spans="1:7" x14ac:dyDescent="0.25">
      <c r="A182" s="8">
        <v>42582.036886574075</v>
      </c>
      <c r="B182" s="24" t="s">
        <v>179</v>
      </c>
      <c r="C182" s="24" t="s">
        <v>696</v>
      </c>
      <c r="D182" s="24">
        <v>1800000</v>
      </c>
      <c r="E182" s="24" t="s">
        <v>185</v>
      </c>
      <c r="F182" s="24" t="str">
        <f t="shared" si="4"/>
        <v>rtdc.l.rtdc.4032:itc</v>
      </c>
      <c r="G182" s="8">
        <f t="shared" si="5"/>
        <v>42582.036886574075</v>
      </c>
    </row>
    <row r="183" spans="1:7" x14ac:dyDescent="0.25">
      <c r="A183" s="8">
        <v>42581.971319444441</v>
      </c>
      <c r="B183" s="24" t="s">
        <v>338</v>
      </c>
      <c r="C183" s="24" t="s">
        <v>687</v>
      </c>
      <c r="D183" s="24">
        <v>1480000</v>
      </c>
      <c r="E183" s="24" t="s">
        <v>102</v>
      </c>
      <c r="F183" s="24" t="str">
        <f t="shared" si="4"/>
        <v>rtdc.l.rtdc.4043:itc</v>
      </c>
      <c r="G183" s="8">
        <f t="shared" si="5"/>
        <v>42581.971319444441</v>
      </c>
    </row>
    <row r="184" spans="1:7" x14ac:dyDescent="0.25">
      <c r="A184" s="8">
        <v>42581.843124999999</v>
      </c>
      <c r="B184" s="24" t="s">
        <v>210</v>
      </c>
      <c r="C184" s="24" t="s">
        <v>574</v>
      </c>
      <c r="D184" s="24">
        <v>1780000</v>
      </c>
      <c r="E184" s="24" t="s">
        <v>305</v>
      </c>
      <c r="F184" s="24" t="str">
        <f t="shared" si="4"/>
        <v>rtdc.l.rtdc.4037:itc</v>
      </c>
      <c r="G184" s="8">
        <f t="shared" si="5"/>
        <v>42581.843124999999</v>
      </c>
    </row>
    <row r="185" spans="1:7" x14ac:dyDescent="0.25">
      <c r="A185" s="8">
        <v>42582.014178240737</v>
      </c>
      <c r="B185" s="24" t="s">
        <v>114</v>
      </c>
      <c r="C185" s="24" t="s">
        <v>700</v>
      </c>
      <c r="D185" s="24">
        <v>1480000</v>
      </c>
      <c r="E185" s="24" t="s">
        <v>102</v>
      </c>
      <c r="F185" s="24" t="str">
        <f t="shared" si="4"/>
        <v>rtdc.l.rtdc.4007:itc</v>
      </c>
      <c r="G185" s="8">
        <f t="shared" si="5"/>
        <v>42582.014178240737</v>
      </c>
    </row>
    <row r="186" spans="1:7" x14ac:dyDescent="0.25">
      <c r="A186" s="8">
        <v>42581.818611111114</v>
      </c>
      <c r="B186" s="24" t="s">
        <v>109</v>
      </c>
      <c r="C186" s="24" t="s">
        <v>796</v>
      </c>
      <c r="D186" s="24">
        <v>950000</v>
      </c>
      <c r="E186" s="24" t="s">
        <v>297</v>
      </c>
      <c r="F186" s="24" t="str">
        <f t="shared" si="4"/>
        <v>rtdc.l.rtdc.4027:itc</v>
      </c>
      <c r="G186" s="8">
        <f t="shared" si="5"/>
        <v>42581.818611111114</v>
      </c>
    </row>
    <row r="187" spans="1:7" x14ac:dyDescent="0.25">
      <c r="A187" s="8">
        <v>42581.663576388892</v>
      </c>
      <c r="B187" s="24" t="s">
        <v>69</v>
      </c>
      <c r="C187" s="24" t="s">
        <v>615</v>
      </c>
      <c r="D187" s="24">
        <v>950000</v>
      </c>
      <c r="E187" s="24" t="s">
        <v>297</v>
      </c>
      <c r="F187" s="24" t="str">
        <f t="shared" si="4"/>
        <v>rtdc.l.rtdc.4018:itc</v>
      </c>
      <c r="G187" s="8">
        <f t="shared" si="5"/>
        <v>42581.663576388892</v>
      </c>
    </row>
    <row r="188" spans="1:7" x14ac:dyDescent="0.25">
      <c r="A188" s="8">
        <v>42581.799814814818</v>
      </c>
      <c r="B188" s="24" t="s">
        <v>169</v>
      </c>
      <c r="C188" s="24" t="s">
        <v>706</v>
      </c>
      <c r="D188" s="24">
        <v>1520000</v>
      </c>
      <c r="E188" s="24" t="s">
        <v>180</v>
      </c>
      <c r="F188" s="24" t="str">
        <f t="shared" si="4"/>
        <v>rtdc.l.rtdc.4014:itc</v>
      </c>
      <c r="G188" s="8">
        <f t="shared" si="5"/>
        <v>42581.799814814818</v>
      </c>
    </row>
    <row r="189" spans="1:7" x14ac:dyDescent="0.25">
      <c r="A189" s="8">
        <v>42581.667569444442</v>
      </c>
      <c r="B189" s="24" t="s">
        <v>133</v>
      </c>
      <c r="C189" s="24" t="s">
        <v>610</v>
      </c>
      <c r="D189" s="24">
        <v>1750000</v>
      </c>
      <c r="E189" s="24" t="s">
        <v>188</v>
      </c>
      <c r="F189" s="24" t="str">
        <f t="shared" si="4"/>
        <v>rtdc.l.rtdc.4015:itc</v>
      </c>
      <c r="G189" s="8">
        <f t="shared" si="5"/>
        <v>42581.667569444442</v>
      </c>
    </row>
    <row r="190" spans="1:7" x14ac:dyDescent="0.25">
      <c r="A190" s="8">
        <v>42581.775520833333</v>
      </c>
      <c r="B190" s="24" t="s">
        <v>101</v>
      </c>
      <c r="C190" s="24" t="s">
        <v>548</v>
      </c>
      <c r="D190" s="24">
        <v>1740000</v>
      </c>
      <c r="E190" s="24" t="s">
        <v>719</v>
      </c>
      <c r="F190" s="24" t="str">
        <f t="shared" si="4"/>
        <v>rtdc.l.rtdc.4038:itc</v>
      </c>
      <c r="G190" s="8">
        <f t="shared" si="5"/>
        <v>42581.775520833333</v>
      </c>
    </row>
    <row r="191" spans="1:7" x14ac:dyDescent="0.25">
      <c r="A191" s="8">
        <v>42581.73164351852</v>
      </c>
      <c r="B191" s="24" t="s">
        <v>338</v>
      </c>
      <c r="C191" s="24" t="s">
        <v>645</v>
      </c>
      <c r="D191" s="24">
        <v>2040000</v>
      </c>
      <c r="E191" s="24" t="s">
        <v>335</v>
      </c>
      <c r="F191" s="24" t="str">
        <f t="shared" si="4"/>
        <v>rtdc.l.rtdc.4043:itc</v>
      </c>
      <c r="G191" s="8">
        <f t="shared" si="5"/>
        <v>42581.73164351852</v>
      </c>
    </row>
    <row r="192" spans="1:7" x14ac:dyDescent="0.25">
      <c r="A192" s="8">
        <v>42581.622731481482</v>
      </c>
      <c r="B192" s="24" t="s">
        <v>114</v>
      </c>
      <c r="C192" s="24" t="s">
        <v>797</v>
      </c>
      <c r="D192" s="24">
        <v>2040000</v>
      </c>
      <c r="E192" s="24" t="s">
        <v>335</v>
      </c>
      <c r="F192" s="24" t="str">
        <f t="shared" si="4"/>
        <v>rtdc.l.rtdc.4007:itc</v>
      </c>
      <c r="G192" s="8">
        <f t="shared" si="5"/>
        <v>42581.622731481482</v>
      </c>
    </row>
    <row r="193" spans="1:7" x14ac:dyDescent="0.25">
      <c r="A193" s="8">
        <v>42581.752395833333</v>
      </c>
      <c r="B193" s="24" t="s">
        <v>108</v>
      </c>
      <c r="C193" s="24" t="s">
        <v>651</v>
      </c>
      <c r="D193" s="24">
        <v>1770000</v>
      </c>
      <c r="E193" s="24" t="s">
        <v>182</v>
      </c>
      <c r="F193" s="24" t="str">
        <f t="shared" si="4"/>
        <v>rtdc.l.rtdc.4030:itc</v>
      </c>
      <c r="G193" s="8">
        <f t="shared" si="5"/>
        <v>42581.752395833333</v>
      </c>
    </row>
    <row r="194" spans="1:7" x14ac:dyDescent="0.25">
      <c r="A194" s="8">
        <v>42581.596631944441</v>
      </c>
      <c r="B194" s="24" t="s">
        <v>103</v>
      </c>
      <c r="C194" s="24" t="s">
        <v>798</v>
      </c>
      <c r="D194" s="24">
        <v>1740000</v>
      </c>
      <c r="E194" s="24" t="s">
        <v>719</v>
      </c>
      <c r="F194" s="24" t="str">
        <f t="shared" ref="F194:F235" si="6">B194</f>
        <v>rtdc.l.rtdc.4026:itc</v>
      </c>
      <c r="G194" s="8">
        <f t="shared" ref="G194:G235" si="7">A194</f>
        <v>42581.596631944441</v>
      </c>
    </row>
    <row r="195" spans="1:7" x14ac:dyDescent="0.25">
      <c r="A195" s="8">
        <v>42581.825173611112</v>
      </c>
      <c r="B195" s="24" t="s">
        <v>108</v>
      </c>
      <c r="C195" s="24" t="s">
        <v>666</v>
      </c>
      <c r="D195" s="24">
        <v>1300000</v>
      </c>
      <c r="E195" s="24" t="s">
        <v>150</v>
      </c>
      <c r="F195" s="24" t="str">
        <f t="shared" si="6"/>
        <v>rtdc.l.rtdc.4030:itc</v>
      </c>
      <c r="G195" s="8">
        <f t="shared" si="7"/>
        <v>42581.825173611112</v>
      </c>
    </row>
    <row r="196" spans="1:7" x14ac:dyDescent="0.25">
      <c r="A196" s="8">
        <v>42581.594317129631</v>
      </c>
      <c r="B196" s="24" t="s">
        <v>133</v>
      </c>
      <c r="C196" s="24" t="s">
        <v>799</v>
      </c>
      <c r="D196" s="24">
        <v>1750000</v>
      </c>
      <c r="E196" s="24" t="s">
        <v>188</v>
      </c>
      <c r="F196" s="24" t="str">
        <f t="shared" si="6"/>
        <v>rtdc.l.rtdc.4015:itc</v>
      </c>
      <c r="G196" s="8">
        <f t="shared" si="7"/>
        <v>42581.594317129631</v>
      </c>
    </row>
    <row r="197" spans="1:7" x14ac:dyDescent="0.25">
      <c r="A197" s="8">
        <v>42581.846168981479</v>
      </c>
      <c r="B197" s="24" t="s">
        <v>70</v>
      </c>
      <c r="C197" s="24" t="s">
        <v>669</v>
      </c>
      <c r="D197" s="24">
        <v>2030000</v>
      </c>
      <c r="E197" s="24" t="s">
        <v>720</v>
      </c>
      <c r="F197" s="24" t="str">
        <f t="shared" si="6"/>
        <v>rtdc.l.rtdc.4017:itc</v>
      </c>
      <c r="G197" s="8">
        <f t="shared" si="7"/>
        <v>42581.846168981479</v>
      </c>
    </row>
    <row r="198" spans="1:7" x14ac:dyDescent="0.25">
      <c r="A198" s="8">
        <v>42581.535196759258</v>
      </c>
      <c r="B198" s="24" t="s">
        <v>108</v>
      </c>
      <c r="C198" s="24" t="s">
        <v>800</v>
      </c>
      <c r="D198" s="24">
        <v>1770000</v>
      </c>
      <c r="E198" s="24" t="s">
        <v>182</v>
      </c>
      <c r="F198" s="24" t="str">
        <f t="shared" si="6"/>
        <v>rtdc.l.rtdc.4030:itc</v>
      </c>
      <c r="G198" s="8">
        <f t="shared" si="7"/>
        <v>42581.535196759258</v>
      </c>
    </row>
    <row r="199" spans="1:7" x14ac:dyDescent="0.25">
      <c r="A199" s="8">
        <v>42581.882604166669</v>
      </c>
      <c r="B199" s="24" t="s">
        <v>69</v>
      </c>
      <c r="C199" s="24" t="s">
        <v>683</v>
      </c>
      <c r="D199" s="24">
        <v>2030000</v>
      </c>
      <c r="E199" s="24" t="s">
        <v>720</v>
      </c>
      <c r="F199" s="24" t="str">
        <f t="shared" si="6"/>
        <v>rtdc.l.rtdc.4018:itc</v>
      </c>
      <c r="G199" s="8">
        <f t="shared" si="7"/>
        <v>42581.882604166669</v>
      </c>
    </row>
    <row r="200" spans="1:7" x14ac:dyDescent="0.25">
      <c r="A200" s="8">
        <v>42582.000231481485</v>
      </c>
      <c r="B200" s="24" t="s">
        <v>105</v>
      </c>
      <c r="C200" s="24" t="s">
        <v>607</v>
      </c>
      <c r="D200" s="24">
        <v>2000000</v>
      </c>
      <c r="E200" s="24" t="s">
        <v>718</v>
      </c>
      <c r="F200" s="24" t="str">
        <f t="shared" si="6"/>
        <v>rtdc.l.rtdc.4025:itc</v>
      </c>
      <c r="G200" s="8">
        <f t="shared" si="7"/>
        <v>42582.000231481485</v>
      </c>
    </row>
    <row r="201" spans="1:7" x14ac:dyDescent="0.25">
      <c r="A201" s="8">
        <v>42581.908854166664</v>
      </c>
      <c r="B201" s="24" t="s">
        <v>108</v>
      </c>
      <c r="C201" s="24" t="s">
        <v>678</v>
      </c>
      <c r="D201" s="24">
        <v>1300000</v>
      </c>
      <c r="E201" s="24" t="s">
        <v>150</v>
      </c>
      <c r="F201" s="24" t="str">
        <f t="shared" si="6"/>
        <v>rtdc.l.rtdc.4030:itc</v>
      </c>
      <c r="G201" s="8">
        <f t="shared" si="7"/>
        <v>42581.908854166664</v>
      </c>
    </row>
    <row r="202" spans="1:7" x14ac:dyDescent="0.25">
      <c r="A202" s="33">
        <v>42581.874212962961</v>
      </c>
      <c r="B202" s="24" t="s">
        <v>105</v>
      </c>
      <c r="C202" s="24" t="s">
        <v>580</v>
      </c>
      <c r="D202" s="24">
        <v>2000000</v>
      </c>
      <c r="E202" s="24" t="s">
        <v>718</v>
      </c>
      <c r="F202" s="24" t="str">
        <f t="shared" si="6"/>
        <v>rtdc.l.rtdc.4025:itc</v>
      </c>
      <c r="G202" s="8">
        <f t="shared" si="7"/>
        <v>42581.874212962961</v>
      </c>
    </row>
    <row r="203" spans="1:7" x14ac:dyDescent="0.25">
      <c r="A203" s="8">
        <v>42581.974050925928</v>
      </c>
      <c r="B203" s="24" t="s">
        <v>103</v>
      </c>
      <c r="C203" s="24" t="s">
        <v>607</v>
      </c>
      <c r="D203" s="24">
        <v>2000000</v>
      </c>
      <c r="E203" s="24" t="s">
        <v>718</v>
      </c>
      <c r="F203" s="24" t="str">
        <f t="shared" si="6"/>
        <v>rtdc.l.rtdc.4026:itc</v>
      </c>
      <c r="G203" s="8">
        <f t="shared" si="7"/>
        <v>42581.974050925928</v>
      </c>
    </row>
    <row r="204" spans="1:7" x14ac:dyDescent="0.25">
      <c r="A204" s="8">
        <v>42581.858587962961</v>
      </c>
      <c r="B204" s="24" t="s">
        <v>101</v>
      </c>
      <c r="C204" s="24" t="s">
        <v>576</v>
      </c>
      <c r="D204" s="24">
        <v>1780000</v>
      </c>
      <c r="E204" s="24" t="s">
        <v>305</v>
      </c>
      <c r="F204" s="24" t="str">
        <f t="shared" si="6"/>
        <v>rtdc.l.rtdc.4038:itc</v>
      </c>
      <c r="G204" s="8">
        <f t="shared" si="7"/>
        <v>42581.858587962961</v>
      </c>
    </row>
    <row r="205" spans="1:7" x14ac:dyDescent="0.25">
      <c r="A205" s="8">
        <v>42581.302534722221</v>
      </c>
      <c r="B205" s="24" t="s">
        <v>68</v>
      </c>
      <c r="C205" s="24" t="s">
        <v>490</v>
      </c>
      <c r="D205" s="24">
        <v>1830000</v>
      </c>
      <c r="E205" s="24" t="s">
        <v>336</v>
      </c>
      <c r="F205" s="24" t="str">
        <f t="shared" si="6"/>
        <v>rtdc.l.rtdc.4020:itc</v>
      </c>
      <c r="G205" s="8">
        <f t="shared" si="7"/>
        <v>42581.302534722221</v>
      </c>
    </row>
    <row r="206" spans="1:7" x14ac:dyDescent="0.25">
      <c r="A206" s="8">
        <v>42581.792233796295</v>
      </c>
      <c r="B206" s="24" t="s">
        <v>105</v>
      </c>
      <c r="C206" s="24" t="s">
        <v>552</v>
      </c>
      <c r="D206" s="24">
        <v>2000000</v>
      </c>
      <c r="E206" s="24" t="s">
        <v>718</v>
      </c>
      <c r="F206" s="24" t="str">
        <f t="shared" si="6"/>
        <v>rtdc.l.rtdc.4025:itc</v>
      </c>
      <c r="G206" s="8">
        <f t="shared" si="7"/>
        <v>42581.792233796295</v>
      </c>
    </row>
    <row r="207" spans="1:7" x14ac:dyDescent="0.25">
      <c r="A207" s="8">
        <v>42581.385578703703</v>
      </c>
      <c r="B207" s="24" t="s">
        <v>68</v>
      </c>
      <c r="C207" s="24" t="s">
        <v>801</v>
      </c>
      <c r="D207" s="24">
        <v>1830000</v>
      </c>
      <c r="E207" s="24" t="s">
        <v>336</v>
      </c>
      <c r="F207" s="24" t="str">
        <f t="shared" si="6"/>
        <v>rtdc.l.rtdc.4020:itc</v>
      </c>
      <c r="G207" s="8">
        <f t="shared" si="7"/>
        <v>42581.385578703703</v>
      </c>
    </row>
    <row r="208" spans="1:7" x14ac:dyDescent="0.25">
      <c r="A208" s="8">
        <v>42581.770300925928</v>
      </c>
      <c r="B208" s="24" t="s">
        <v>114</v>
      </c>
      <c r="C208" s="24" t="s">
        <v>661</v>
      </c>
      <c r="D208" s="24">
        <v>1480000</v>
      </c>
      <c r="E208" s="24" t="s">
        <v>102</v>
      </c>
      <c r="F208" s="24" t="str">
        <f t="shared" si="6"/>
        <v>rtdc.l.rtdc.4007:itc</v>
      </c>
      <c r="G208" s="8">
        <f t="shared" si="7"/>
        <v>42581.770300925928</v>
      </c>
    </row>
    <row r="209" spans="1:7" x14ac:dyDescent="0.25">
      <c r="A209" s="8">
        <v>42581.437743055554</v>
      </c>
      <c r="B209" s="24" t="s">
        <v>169</v>
      </c>
      <c r="C209" s="24" t="s">
        <v>802</v>
      </c>
      <c r="D209" s="24">
        <v>1520000</v>
      </c>
      <c r="E209" s="24" t="s">
        <v>180</v>
      </c>
      <c r="F209" s="24" t="str">
        <f t="shared" si="6"/>
        <v>rtdc.l.rtdc.4014:itc</v>
      </c>
      <c r="G209" s="8">
        <f t="shared" si="7"/>
        <v>42581.437743055554</v>
      </c>
    </row>
    <row r="210" spans="1:7" x14ac:dyDescent="0.25">
      <c r="A210" s="8">
        <v>42581.762395833335</v>
      </c>
      <c r="B210" s="24" t="s">
        <v>68</v>
      </c>
      <c r="C210" s="24" t="s">
        <v>543</v>
      </c>
      <c r="D210" s="24">
        <v>1820000</v>
      </c>
      <c r="E210" s="24" t="s">
        <v>337</v>
      </c>
      <c r="F210" s="24" t="str">
        <f t="shared" si="6"/>
        <v>rtdc.l.rtdc.4020:itc</v>
      </c>
      <c r="G210" s="8">
        <f t="shared" si="7"/>
        <v>42581.762395833335</v>
      </c>
    </row>
    <row r="211" spans="1:7" x14ac:dyDescent="0.25">
      <c r="A211" s="8">
        <v>42581.477476851855</v>
      </c>
      <c r="B211" s="24" t="s">
        <v>103</v>
      </c>
      <c r="C211" s="24" t="s">
        <v>803</v>
      </c>
      <c r="D211" s="24">
        <v>750000</v>
      </c>
      <c r="E211" s="24" t="s">
        <v>724</v>
      </c>
      <c r="F211" s="24" t="str">
        <f t="shared" si="6"/>
        <v>rtdc.l.rtdc.4026:itc</v>
      </c>
      <c r="G211" s="8">
        <f t="shared" si="7"/>
        <v>42581.477476851855</v>
      </c>
    </row>
    <row r="212" spans="1:7" x14ac:dyDescent="0.25">
      <c r="A212" s="8">
        <v>42581.757847222223</v>
      </c>
      <c r="B212" s="24" t="s">
        <v>210</v>
      </c>
      <c r="C212" s="24" t="s">
        <v>545</v>
      </c>
      <c r="D212" s="24">
        <v>1780000</v>
      </c>
      <c r="E212" s="24" t="s">
        <v>305</v>
      </c>
      <c r="F212" s="24" t="str">
        <f t="shared" si="6"/>
        <v>rtdc.l.rtdc.4037:itc</v>
      </c>
      <c r="G212" s="8">
        <f t="shared" si="7"/>
        <v>42581.757847222223</v>
      </c>
    </row>
    <row r="213" spans="1:7" x14ac:dyDescent="0.25">
      <c r="A213" s="8">
        <v>42581.545266203706</v>
      </c>
      <c r="B213" s="24" t="s">
        <v>158</v>
      </c>
      <c r="C213" s="24" t="s">
        <v>804</v>
      </c>
      <c r="D213" s="24">
        <v>1520000</v>
      </c>
      <c r="E213" s="24" t="s">
        <v>180</v>
      </c>
      <c r="F213" s="24" t="str">
        <f t="shared" si="6"/>
        <v>rtdc.l.rtdc.4012:itc</v>
      </c>
      <c r="G213" s="8">
        <f t="shared" si="7"/>
        <v>42581.545266203706</v>
      </c>
    </row>
    <row r="214" spans="1:7" x14ac:dyDescent="0.25">
      <c r="A214" s="8">
        <v>42581.74690972222</v>
      </c>
      <c r="B214" s="24" t="s">
        <v>109</v>
      </c>
      <c r="C214" s="24" t="s">
        <v>657</v>
      </c>
      <c r="D214" s="24">
        <v>950000</v>
      </c>
      <c r="E214" s="24" t="s">
        <v>297</v>
      </c>
      <c r="F214" s="24" t="str">
        <f t="shared" si="6"/>
        <v>rtdc.l.rtdc.4027:itc</v>
      </c>
      <c r="G214" s="8">
        <f t="shared" si="7"/>
        <v>42581.74690972222</v>
      </c>
    </row>
    <row r="215" spans="1:7" x14ac:dyDescent="0.25">
      <c r="A215" s="8">
        <v>42581.611261574071</v>
      </c>
      <c r="B215" s="24" t="s">
        <v>178</v>
      </c>
      <c r="C215" s="24" t="s">
        <v>805</v>
      </c>
      <c r="D215" s="24">
        <v>1280000</v>
      </c>
      <c r="E215" s="24" t="s">
        <v>186</v>
      </c>
      <c r="F215" s="24" t="str">
        <f t="shared" si="6"/>
        <v>rtdc.l.rtdc.4031:itc</v>
      </c>
      <c r="G215" s="8">
        <f t="shared" si="7"/>
        <v>42581.611261574071</v>
      </c>
    </row>
    <row r="216" spans="1:7" x14ac:dyDescent="0.25">
      <c r="A216" s="8">
        <v>42581.625717592593</v>
      </c>
      <c r="B216" s="24" t="s">
        <v>70</v>
      </c>
      <c r="C216" s="24" t="s">
        <v>806</v>
      </c>
      <c r="D216" s="24">
        <v>950000</v>
      </c>
      <c r="E216" s="24" t="s">
        <v>297</v>
      </c>
      <c r="F216" s="24" t="str">
        <f t="shared" si="6"/>
        <v>rtdc.l.rtdc.4017:itc</v>
      </c>
      <c r="G216" s="8">
        <f t="shared" si="7"/>
        <v>42581.625717592593</v>
      </c>
    </row>
    <row r="217" spans="1:7" x14ac:dyDescent="0.25">
      <c r="A217" s="8">
        <v>42581.230995370373</v>
      </c>
      <c r="B217" s="24" t="s">
        <v>133</v>
      </c>
      <c r="C217" s="24" t="s">
        <v>432</v>
      </c>
      <c r="D217" s="24">
        <v>1460000</v>
      </c>
      <c r="E217" s="24" t="s">
        <v>304</v>
      </c>
      <c r="F217" s="24" t="str">
        <f t="shared" si="6"/>
        <v>rtdc.l.rtdc.4015:itc</v>
      </c>
      <c r="G217" s="8">
        <f t="shared" si="7"/>
        <v>42581.230995370373</v>
      </c>
    </row>
    <row r="218" spans="1:7" x14ac:dyDescent="0.25">
      <c r="A218" s="8">
        <v>42581.550312500003</v>
      </c>
      <c r="B218" s="24" t="s">
        <v>114</v>
      </c>
      <c r="C218" s="24" t="s">
        <v>807</v>
      </c>
      <c r="D218" s="24">
        <v>2040000</v>
      </c>
      <c r="E218" s="24" t="s">
        <v>335</v>
      </c>
      <c r="F218" s="24" t="str">
        <f t="shared" si="6"/>
        <v>rtdc.l.rtdc.4007:itc</v>
      </c>
      <c r="G218" s="8">
        <f t="shared" si="7"/>
        <v>42581.550312500003</v>
      </c>
    </row>
    <row r="219" spans="1:7" x14ac:dyDescent="0.25">
      <c r="A219" s="8">
        <v>42581.239120370374</v>
      </c>
      <c r="B219" s="24" t="s">
        <v>67</v>
      </c>
      <c r="C219" s="24" t="s">
        <v>474</v>
      </c>
      <c r="D219" s="24">
        <v>1830000</v>
      </c>
      <c r="E219" s="24" t="s">
        <v>336</v>
      </c>
      <c r="F219" s="24" t="str">
        <f t="shared" si="6"/>
        <v>rtdc.l.rtdc.4019:itc</v>
      </c>
      <c r="G219" s="8">
        <f t="shared" si="7"/>
        <v>42581.239120370374</v>
      </c>
    </row>
    <row r="220" spans="1:7" x14ac:dyDescent="0.25">
      <c r="A220" s="8">
        <v>42581.516967592594</v>
      </c>
      <c r="B220" s="24" t="s">
        <v>338</v>
      </c>
      <c r="C220" s="24" t="s">
        <v>808</v>
      </c>
      <c r="D220" s="24">
        <v>2040000</v>
      </c>
      <c r="E220" s="24" t="s">
        <v>335</v>
      </c>
      <c r="F220" s="24" t="str">
        <f t="shared" si="6"/>
        <v>rtdc.l.rtdc.4043:itc</v>
      </c>
      <c r="G220" s="8">
        <f t="shared" si="7"/>
        <v>42581.516967592594</v>
      </c>
    </row>
    <row r="221" spans="1:7" x14ac:dyDescent="0.25">
      <c r="A221" s="8">
        <v>42581.385115740741</v>
      </c>
      <c r="B221" s="24" t="s">
        <v>109</v>
      </c>
      <c r="C221" s="24" t="s">
        <v>782</v>
      </c>
      <c r="D221" s="24">
        <v>1310000</v>
      </c>
      <c r="E221" s="24" t="s">
        <v>334</v>
      </c>
      <c r="F221" s="24" t="str">
        <f t="shared" si="6"/>
        <v>rtdc.l.rtdc.4027:itc</v>
      </c>
      <c r="G221" s="8">
        <f t="shared" si="7"/>
        <v>42581.385115740741</v>
      </c>
    </row>
    <row r="222" spans="1:7" x14ac:dyDescent="0.25">
      <c r="A222" s="8">
        <v>42581.515335648146</v>
      </c>
      <c r="B222" s="24" t="s">
        <v>338</v>
      </c>
      <c r="C222" s="24" t="s">
        <v>808</v>
      </c>
      <c r="D222" s="24">
        <v>2040000</v>
      </c>
      <c r="E222" s="24" t="s">
        <v>335</v>
      </c>
      <c r="F222" s="24" t="str">
        <f t="shared" si="6"/>
        <v>rtdc.l.rtdc.4043:itc</v>
      </c>
      <c r="G222" s="8">
        <f t="shared" si="7"/>
        <v>42581.515335648146</v>
      </c>
    </row>
    <row r="223" spans="1:7" x14ac:dyDescent="0.25">
      <c r="A223" s="8">
        <v>42581.454768518517</v>
      </c>
      <c r="B223" s="24" t="s">
        <v>109</v>
      </c>
      <c r="C223" s="24" t="s">
        <v>809</v>
      </c>
      <c r="D223" s="24">
        <v>880000</v>
      </c>
      <c r="E223" s="24" t="s">
        <v>184</v>
      </c>
      <c r="F223" s="24" t="str">
        <f t="shared" si="6"/>
        <v>rtdc.l.rtdc.4027:itc</v>
      </c>
      <c r="G223" s="8">
        <f t="shared" si="7"/>
        <v>42581.454768518517</v>
      </c>
    </row>
    <row r="224" spans="1:7" x14ac:dyDescent="0.25">
      <c r="A224" s="8">
        <v>42581.984398148146</v>
      </c>
      <c r="B224" t="s">
        <v>101</v>
      </c>
      <c r="C224" t="s">
        <v>810</v>
      </c>
      <c r="D224">
        <v>1780000</v>
      </c>
      <c r="E224" t="s">
        <v>305</v>
      </c>
      <c r="F224" s="24" t="str">
        <f t="shared" si="6"/>
        <v>rtdc.l.rtdc.4038:itc</v>
      </c>
      <c r="G224" s="8">
        <f t="shared" si="7"/>
        <v>42581.984398148146</v>
      </c>
    </row>
    <row r="225" spans="1:7" x14ac:dyDescent="0.25">
      <c r="A225" s="8">
        <v>42581.508344907408</v>
      </c>
      <c r="B225" t="s">
        <v>210</v>
      </c>
      <c r="C225" t="s">
        <v>811</v>
      </c>
      <c r="D225">
        <v>1540000</v>
      </c>
      <c r="E225" t="s">
        <v>189</v>
      </c>
      <c r="F225" s="24" t="str">
        <f t="shared" si="6"/>
        <v>rtdc.l.rtdc.4037:itc</v>
      </c>
      <c r="G225" s="8">
        <f t="shared" si="7"/>
        <v>42581.508344907408</v>
      </c>
    </row>
    <row r="226" spans="1:7" x14ac:dyDescent="0.25">
      <c r="A226" s="8">
        <v>42581.948055555556</v>
      </c>
      <c r="B226" t="s">
        <v>67</v>
      </c>
      <c r="C226" t="s">
        <v>603</v>
      </c>
      <c r="D226">
        <v>1740000</v>
      </c>
      <c r="E226" t="s">
        <v>719</v>
      </c>
      <c r="F226" s="24" t="str">
        <f t="shared" si="6"/>
        <v>rtdc.l.rtdc.4019:itc</v>
      </c>
      <c r="G226" s="8">
        <f t="shared" si="7"/>
        <v>42581.948055555556</v>
      </c>
    </row>
    <row r="227" spans="1:7" x14ac:dyDescent="0.25">
      <c r="A227" s="8">
        <v>42581.210810185185</v>
      </c>
      <c r="B227" t="s">
        <v>179</v>
      </c>
      <c r="C227" t="s">
        <v>426</v>
      </c>
      <c r="D227">
        <v>1260000</v>
      </c>
      <c r="E227" t="s">
        <v>187</v>
      </c>
      <c r="F227" s="24" t="str">
        <f t="shared" si="6"/>
        <v>rtdc.l.rtdc.4032:itc</v>
      </c>
      <c r="G227" s="8">
        <f t="shared" si="7"/>
        <v>42581.210810185185</v>
      </c>
    </row>
    <row r="228" spans="1:7" x14ac:dyDescent="0.25">
      <c r="A228" s="8">
        <v>42581.916377314818</v>
      </c>
      <c r="B228" t="s">
        <v>105</v>
      </c>
      <c r="C228" t="s">
        <v>592</v>
      </c>
      <c r="D228">
        <v>2000000</v>
      </c>
      <c r="E228" t="s">
        <v>718</v>
      </c>
      <c r="F228" s="24" t="str">
        <f t="shared" si="6"/>
        <v>rtdc.l.rtdc.4025:itc</v>
      </c>
      <c r="G228" s="8">
        <f t="shared" si="7"/>
        <v>42581.916377314818</v>
      </c>
    </row>
    <row r="229" spans="1:7" x14ac:dyDescent="0.25">
      <c r="A229" s="8">
        <v>42581.298726851855</v>
      </c>
      <c r="B229" t="s">
        <v>69</v>
      </c>
      <c r="C229" t="s">
        <v>458</v>
      </c>
      <c r="D229">
        <v>1760000</v>
      </c>
      <c r="E229" t="s">
        <v>377</v>
      </c>
      <c r="F229" s="24" t="str">
        <f t="shared" si="6"/>
        <v>rtdc.l.rtdc.4018:itc</v>
      </c>
      <c r="G229" s="8">
        <f t="shared" si="7"/>
        <v>42581.298726851855</v>
      </c>
    </row>
    <row r="230" spans="1:7" x14ac:dyDescent="0.25">
      <c r="A230" s="8">
        <v>42581.84615740741</v>
      </c>
      <c r="B230" t="s">
        <v>68</v>
      </c>
      <c r="C230" t="s">
        <v>572</v>
      </c>
      <c r="D230">
        <v>1820000</v>
      </c>
      <c r="E230" t="s">
        <v>337</v>
      </c>
      <c r="F230" s="24" t="str">
        <f t="shared" si="6"/>
        <v>rtdc.l.rtdc.4020:itc</v>
      </c>
      <c r="G230" s="8">
        <f t="shared" si="7"/>
        <v>42581.84615740741</v>
      </c>
    </row>
    <row r="231" spans="1:7" x14ac:dyDescent="0.25">
      <c r="A231" s="8">
        <v>42581.443368055552</v>
      </c>
      <c r="B231" t="s">
        <v>101</v>
      </c>
      <c r="C231" t="s">
        <v>812</v>
      </c>
      <c r="D231">
        <v>1540000</v>
      </c>
      <c r="E231" t="s">
        <v>189</v>
      </c>
      <c r="F231" s="24" t="str">
        <f t="shared" si="6"/>
        <v>rtdc.l.rtdc.4038:itc</v>
      </c>
      <c r="G231" s="8">
        <f t="shared" si="7"/>
        <v>42581.443368055552</v>
      </c>
    </row>
    <row r="232" spans="1:7" x14ac:dyDescent="0.25">
      <c r="A232" s="8">
        <v>42581.790347222224</v>
      </c>
      <c r="B232" t="s">
        <v>210</v>
      </c>
      <c r="C232" t="s">
        <v>560</v>
      </c>
      <c r="D232">
        <v>1740000</v>
      </c>
      <c r="E232" t="s">
        <v>719</v>
      </c>
      <c r="F232" s="24" t="str">
        <f t="shared" si="6"/>
        <v>rtdc.l.rtdc.4037:itc</v>
      </c>
      <c r="G232" s="8">
        <f t="shared" si="7"/>
        <v>42581.790347222224</v>
      </c>
    </row>
    <row r="233" spans="1:7" x14ac:dyDescent="0.25">
      <c r="A233" s="8">
        <v>42581.476898148147</v>
      </c>
      <c r="B233" t="s">
        <v>114</v>
      </c>
      <c r="C233" t="s">
        <v>793</v>
      </c>
      <c r="D233">
        <v>2040000</v>
      </c>
      <c r="E233" t="s">
        <v>335</v>
      </c>
      <c r="F233" s="24" t="str">
        <f t="shared" si="6"/>
        <v>rtdc.l.rtdc.4007:itc</v>
      </c>
      <c r="G233" s="8">
        <f t="shared" si="7"/>
        <v>42581.476898148147</v>
      </c>
    </row>
    <row r="234" spans="1:7" x14ac:dyDescent="0.25">
      <c r="A234" s="8">
        <v>42581.761631944442</v>
      </c>
      <c r="B234" t="s">
        <v>178</v>
      </c>
      <c r="C234" t="s">
        <v>659</v>
      </c>
      <c r="D234">
        <v>1800000</v>
      </c>
      <c r="E234" t="s">
        <v>185</v>
      </c>
      <c r="F234" s="24" t="str">
        <f t="shared" si="6"/>
        <v>rtdc.l.rtdc.4031:itc</v>
      </c>
      <c r="G234" s="8">
        <f t="shared" si="7"/>
        <v>42581.761631944442</v>
      </c>
    </row>
    <row r="235" spans="1:7" x14ac:dyDescent="0.25">
      <c r="A235" s="8">
        <v>42581.130011574074</v>
      </c>
      <c r="B235" t="s">
        <v>169</v>
      </c>
      <c r="C235" t="s">
        <v>414</v>
      </c>
      <c r="D235">
        <v>2010000</v>
      </c>
      <c r="E235" t="s">
        <v>302</v>
      </c>
      <c r="F235" s="24" t="str">
        <f t="shared" si="6"/>
        <v>rtdc.l.rtdc.4014:itc</v>
      </c>
      <c r="G235" s="8">
        <f t="shared" si="7"/>
        <v>42581.130011574074</v>
      </c>
    </row>
    <row r="236" spans="1:7" x14ac:dyDescent="0.25">
      <c r="A236" s="8">
        <v>42581.734560185185</v>
      </c>
      <c r="B236" t="s">
        <v>101</v>
      </c>
      <c r="C236" t="s">
        <v>534</v>
      </c>
      <c r="D236">
        <v>1780000</v>
      </c>
      <c r="E236" t="s">
        <v>305</v>
      </c>
      <c r="F236" s="24" t="str">
        <f t="shared" ref="F236:F265" si="8">B236</f>
        <v>rtdc.l.rtdc.4038:itc</v>
      </c>
      <c r="G236" s="8">
        <f t="shared" ref="G236:G265" si="9">A236</f>
        <v>42581.734560185185</v>
      </c>
    </row>
    <row r="237" spans="1:7" x14ac:dyDescent="0.25">
      <c r="A237" s="8">
        <v>42581.156053240738</v>
      </c>
      <c r="B237" t="s">
        <v>109</v>
      </c>
      <c r="C237" t="s">
        <v>419</v>
      </c>
      <c r="D237">
        <v>1310000</v>
      </c>
      <c r="E237" t="s">
        <v>334</v>
      </c>
      <c r="F237" s="24" t="str">
        <f t="shared" si="8"/>
        <v>rtdc.l.rtdc.4027:itc</v>
      </c>
      <c r="G237" s="8">
        <f t="shared" si="9"/>
        <v>42581.156053240738</v>
      </c>
    </row>
    <row r="238" spans="1:7" x14ac:dyDescent="0.25">
      <c r="A238" s="8">
        <v>42581.726388888892</v>
      </c>
      <c r="B238" t="s">
        <v>103</v>
      </c>
      <c r="C238" t="s">
        <v>536</v>
      </c>
      <c r="D238">
        <v>2000000</v>
      </c>
      <c r="E238" t="s">
        <v>718</v>
      </c>
      <c r="F238" s="24" t="str">
        <f t="shared" si="8"/>
        <v>rtdc.l.rtdc.4026:itc</v>
      </c>
      <c r="G238" s="8">
        <f t="shared" si="9"/>
        <v>42581.726388888892</v>
      </c>
    </row>
    <row r="239" spans="1:7" x14ac:dyDescent="0.25">
      <c r="A239" s="8">
        <v>42581.194444444445</v>
      </c>
      <c r="B239" t="s">
        <v>146</v>
      </c>
      <c r="C239" t="s">
        <v>421</v>
      </c>
      <c r="D239">
        <v>1310000</v>
      </c>
      <c r="E239" t="s">
        <v>334</v>
      </c>
      <c r="F239" s="24" t="str">
        <f t="shared" si="8"/>
        <v>rtdc.l.rtdc.4010:itc</v>
      </c>
      <c r="G239" s="8">
        <f t="shared" si="9"/>
        <v>42581.194444444445</v>
      </c>
    </row>
    <row r="240" spans="1:7" x14ac:dyDescent="0.25">
      <c r="A240" s="8">
        <v>42581.688425925924</v>
      </c>
      <c r="B240" t="s">
        <v>158</v>
      </c>
      <c r="C240" t="s">
        <v>614</v>
      </c>
      <c r="D240">
        <v>1520000</v>
      </c>
      <c r="E240" t="s">
        <v>180</v>
      </c>
      <c r="F240" s="24" t="str">
        <f t="shared" si="8"/>
        <v>rtdc.l.rtdc.4012:itc</v>
      </c>
      <c r="G240" s="8">
        <f t="shared" si="9"/>
        <v>42581.688425925924</v>
      </c>
    </row>
    <row r="241" spans="1:7" x14ac:dyDescent="0.25">
      <c r="A241" s="8">
        <v>42581.209710648145</v>
      </c>
      <c r="B241" t="s">
        <v>101</v>
      </c>
      <c r="C241" t="s">
        <v>620</v>
      </c>
      <c r="D241">
        <v>1540000</v>
      </c>
      <c r="E241" t="s">
        <v>189</v>
      </c>
      <c r="F241" s="24" t="str">
        <f t="shared" si="8"/>
        <v>rtdc.l.rtdc.4038:itc</v>
      </c>
      <c r="G241" s="8">
        <f t="shared" si="9"/>
        <v>42581.209710648145</v>
      </c>
    </row>
    <row r="242" spans="1:7" x14ac:dyDescent="0.25">
      <c r="A242" s="8">
        <v>42581.673703703702</v>
      </c>
      <c r="B242" t="s">
        <v>109</v>
      </c>
      <c r="C242" t="s">
        <v>637</v>
      </c>
      <c r="D242">
        <v>880000</v>
      </c>
      <c r="E242" t="s">
        <v>184</v>
      </c>
      <c r="F242" s="24" t="str">
        <f t="shared" si="8"/>
        <v>rtdc.l.rtdc.4027:itc</v>
      </c>
      <c r="G242" s="8">
        <f t="shared" si="9"/>
        <v>42581.673703703702</v>
      </c>
    </row>
    <row r="243" spans="1:7" x14ac:dyDescent="0.25">
      <c r="A243" s="8">
        <v>42581.219976851855</v>
      </c>
      <c r="B243" t="s">
        <v>105</v>
      </c>
      <c r="C243" t="s">
        <v>626</v>
      </c>
      <c r="D243">
        <v>540000</v>
      </c>
      <c r="E243" t="s">
        <v>714</v>
      </c>
      <c r="F243" s="24" t="str">
        <f t="shared" si="8"/>
        <v>rtdc.l.rtdc.4025:itc</v>
      </c>
      <c r="G243" s="8">
        <f t="shared" si="9"/>
        <v>42581.219976851855</v>
      </c>
    </row>
    <row r="244" spans="1:7" x14ac:dyDescent="0.25">
      <c r="A244" s="8">
        <v>42581.65519675926</v>
      </c>
      <c r="B244" t="s">
        <v>169</v>
      </c>
      <c r="C244" t="s">
        <v>612</v>
      </c>
      <c r="D244">
        <v>1520000</v>
      </c>
      <c r="E244" t="s">
        <v>180</v>
      </c>
      <c r="F244" s="24" t="str">
        <f t="shared" si="8"/>
        <v>rtdc.l.rtdc.4014:itc</v>
      </c>
      <c r="G244" s="8">
        <f t="shared" si="9"/>
        <v>42581.65519675926</v>
      </c>
    </row>
    <row r="245" spans="1:7" x14ac:dyDescent="0.25">
      <c r="A245" s="8">
        <v>42581.254664351851</v>
      </c>
      <c r="B245" t="s">
        <v>158</v>
      </c>
      <c r="C245" t="s">
        <v>437</v>
      </c>
      <c r="D245">
        <v>2010000</v>
      </c>
      <c r="E245" t="s">
        <v>302</v>
      </c>
      <c r="F245" s="24" t="str">
        <f t="shared" si="8"/>
        <v>rtdc.l.rtdc.4012:itc</v>
      </c>
      <c r="G245" s="8">
        <f t="shared" si="9"/>
        <v>42581.254664351851</v>
      </c>
    </row>
    <row r="246" spans="1:7" x14ac:dyDescent="0.25">
      <c r="A246" s="8">
        <v>42581.631655092591</v>
      </c>
      <c r="B246" t="s">
        <v>134</v>
      </c>
      <c r="C246" t="s">
        <v>813</v>
      </c>
      <c r="D246">
        <v>1750000</v>
      </c>
      <c r="E246" t="s">
        <v>188</v>
      </c>
      <c r="F246" s="24" t="str">
        <f t="shared" si="8"/>
        <v>rtdc.l.rtdc.4016:itc</v>
      </c>
      <c r="G246" s="8">
        <f t="shared" si="9"/>
        <v>42581.631655092591</v>
      </c>
    </row>
    <row r="247" spans="1:7" x14ac:dyDescent="0.25">
      <c r="A247" s="8">
        <v>42581.288587962961</v>
      </c>
      <c r="B247" t="s">
        <v>169</v>
      </c>
      <c r="C247" t="s">
        <v>455</v>
      </c>
      <c r="D247">
        <v>2010000</v>
      </c>
      <c r="E247" t="s">
        <v>302</v>
      </c>
      <c r="F247" s="24" t="str">
        <f t="shared" si="8"/>
        <v>rtdc.l.rtdc.4014:itc</v>
      </c>
      <c r="G247" s="8">
        <f t="shared" si="9"/>
        <v>42581.288587962961</v>
      </c>
    </row>
    <row r="248" spans="1:7" x14ac:dyDescent="0.25">
      <c r="A248" s="8">
        <v>42581.576388888891</v>
      </c>
      <c r="B248" t="s">
        <v>179</v>
      </c>
      <c r="C248" t="s">
        <v>814</v>
      </c>
      <c r="D248">
        <v>1280000</v>
      </c>
      <c r="E248" t="s">
        <v>186</v>
      </c>
      <c r="F248" s="24" t="str">
        <f t="shared" si="8"/>
        <v>rtdc.l.rtdc.4032:itc</v>
      </c>
      <c r="G248" s="8">
        <f t="shared" si="9"/>
        <v>42581.576388888891</v>
      </c>
    </row>
    <row r="249" spans="1:7" x14ac:dyDescent="0.25">
      <c r="A249" s="8">
        <v>42581.300347222219</v>
      </c>
      <c r="B249" t="s">
        <v>210</v>
      </c>
      <c r="C249" t="s">
        <v>492</v>
      </c>
      <c r="D249">
        <v>1540000</v>
      </c>
      <c r="E249" t="s">
        <v>189</v>
      </c>
      <c r="F249" s="24" t="str">
        <f t="shared" si="8"/>
        <v>rtdc.l.rtdc.4037:itc</v>
      </c>
      <c r="G249" s="8">
        <f t="shared" si="9"/>
        <v>42581.300347222219</v>
      </c>
    </row>
    <row r="250" spans="1:7" x14ac:dyDescent="0.25">
      <c r="A250" s="8">
        <v>42581.529444444444</v>
      </c>
      <c r="B250" t="s">
        <v>109</v>
      </c>
      <c r="C250" t="s">
        <v>815</v>
      </c>
      <c r="D250">
        <v>880000</v>
      </c>
      <c r="E250" t="s">
        <v>184</v>
      </c>
      <c r="F250" s="24" t="str">
        <f t="shared" si="8"/>
        <v>rtdc.l.rtdc.4027:itc</v>
      </c>
      <c r="G250" s="8">
        <f t="shared" si="9"/>
        <v>42581.529444444444</v>
      </c>
    </row>
    <row r="251" spans="1:7" x14ac:dyDescent="0.25">
      <c r="A251" s="8">
        <v>42581.311296296299</v>
      </c>
      <c r="B251" t="s">
        <v>109</v>
      </c>
      <c r="C251" t="s">
        <v>461</v>
      </c>
      <c r="D251">
        <v>1310000</v>
      </c>
      <c r="E251" t="s">
        <v>334</v>
      </c>
      <c r="F251" s="24" t="str">
        <f t="shared" si="8"/>
        <v>rtdc.l.rtdc.4027:itc</v>
      </c>
      <c r="G251" s="8">
        <f t="shared" si="9"/>
        <v>42581.311296296299</v>
      </c>
    </row>
    <row r="252" spans="1:7" x14ac:dyDescent="0.25">
      <c r="A252" s="8">
        <v>42581.468981481485</v>
      </c>
      <c r="B252" t="s">
        <v>210</v>
      </c>
      <c r="C252" t="s">
        <v>816</v>
      </c>
      <c r="D252">
        <v>1540000</v>
      </c>
      <c r="E252" t="s">
        <v>189</v>
      </c>
      <c r="F252" s="24" t="str">
        <f t="shared" si="8"/>
        <v>rtdc.l.rtdc.4037:itc</v>
      </c>
      <c r="G252" s="8">
        <f t="shared" si="9"/>
        <v>42581.468981481485</v>
      </c>
    </row>
    <row r="253" spans="1:7" x14ac:dyDescent="0.25">
      <c r="A253" s="8">
        <v>42581.355324074073</v>
      </c>
      <c r="B253" t="s">
        <v>179</v>
      </c>
      <c r="C253" t="s">
        <v>817</v>
      </c>
      <c r="D253">
        <v>1260000</v>
      </c>
      <c r="E253" t="s">
        <v>187</v>
      </c>
      <c r="F253" s="24" t="str">
        <f t="shared" si="8"/>
        <v>rtdc.l.rtdc.4032:itc</v>
      </c>
      <c r="G253" s="8">
        <f t="shared" si="9"/>
        <v>42581.355324074073</v>
      </c>
    </row>
    <row r="254" spans="1:7" x14ac:dyDescent="0.25">
      <c r="A254" s="8">
        <v>42581.450162037036</v>
      </c>
      <c r="B254" t="s">
        <v>133</v>
      </c>
      <c r="C254" t="s">
        <v>818</v>
      </c>
      <c r="D254">
        <v>1460000</v>
      </c>
      <c r="E254" t="s">
        <v>304</v>
      </c>
      <c r="F254" s="24" t="str">
        <f t="shared" si="8"/>
        <v>rtdc.l.rtdc.4015:itc</v>
      </c>
      <c r="G254" s="8">
        <f t="shared" si="9"/>
        <v>42581.450162037036</v>
      </c>
    </row>
    <row r="255" spans="1:7" x14ac:dyDescent="0.25">
      <c r="A255" s="8">
        <v>42581.52380787037</v>
      </c>
      <c r="B255" t="s">
        <v>133</v>
      </c>
      <c r="C255" t="s">
        <v>819</v>
      </c>
      <c r="D255">
        <v>1750000</v>
      </c>
      <c r="E255" t="s">
        <v>188</v>
      </c>
      <c r="F255" s="24" t="str">
        <f t="shared" si="8"/>
        <v>rtdc.l.rtdc.4015:itc</v>
      </c>
      <c r="G255" s="8">
        <f t="shared" si="9"/>
        <v>42581.52380787037</v>
      </c>
    </row>
    <row r="256" spans="1:7" x14ac:dyDescent="0.25">
      <c r="A256" s="8">
        <v>42581.398518518516</v>
      </c>
      <c r="B256" t="s">
        <v>158</v>
      </c>
      <c r="C256" t="s">
        <v>820</v>
      </c>
      <c r="D256">
        <v>2010000</v>
      </c>
      <c r="E256" t="s">
        <v>302</v>
      </c>
      <c r="F256" s="24" t="str">
        <f t="shared" si="8"/>
        <v>rtdc.l.rtdc.4012:itc</v>
      </c>
      <c r="G256" s="8">
        <f t="shared" si="9"/>
        <v>42581.398518518516</v>
      </c>
    </row>
    <row r="257" spans="1:7" x14ac:dyDescent="0.25">
      <c r="A257" s="8">
        <v>42581.569085648145</v>
      </c>
      <c r="B257" t="s">
        <v>107</v>
      </c>
      <c r="C257" t="s">
        <v>821</v>
      </c>
      <c r="D257">
        <v>1770000</v>
      </c>
      <c r="E257" t="s">
        <v>182</v>
      </c>
      <c r="F257" s="24" t="str">
        <f t="shared" si="8"/>
        <v>rtdc.l.rtdc.4029:itc</v>
      </c>
      <c r="G257" s="8">
        <f t="shared" si="9"/>
        <v>42581.569085648145</v>
      </c>
    </row>
    <row r="258" spans="1:7" x14ac:dyDescent="0.25">
      <c r="A258" s="8">
        <v>42581.316574074073</v>
      </c>
      <c r="B258" t="s">
        <v>103</v>
      </c>
      <c r="C258" t="s">
        <v>496</v>
      </c>
      <c r="D258">
        <v>540000</v>
      </c>
      <c r="E258" t="s">
        <v>714</v>
      </c>
      <c r="F258" s="24" t="str">
        <f t="shared" si="8"/>
        <v>rtdc.l.rtdc.4026:itc</v>
      </c>
      <c r="G258" s="8">
        <f t="shared" si="9"/>
        <v>42581.316574074073</v>
      </c>
    </row>
    <row r="259" spans="1:7" x14ac:dyDescent="0.25">
      <c r="A259" s="8">
        <v>42581.622511574074</v>
      </c>
      <c r="B259" t="s">
        <v>105</v>
      </c>
      <c r="C259" t="s">
        <v>764</v>
      </c>
      <c r="D259">
        <v>1740000</v>
      </c>
      <c r="E259" t="s">
        <v>719</v>
      </c>
      <c r="F259" s="24" t="str">
        <f t="shared" si="8"/>
        <v>rtdc.l.rtdc.4025:itc</v>
      </c>
      <c r="G259" s="8">
        <f t="shared" si="9"/>
        <v>42581.622511574074</v>
      </c>
    </row>
    <row r="260" spans="1:7" x14ac:dyDescent="0.25">
      <c r="A260" s="8">
        <v>42581.276273148149</v>
      </c>
      <c r="B260" t="s">
        <v>106</v>
      </c>
      <c r="C260" t="s">
        <v>443</v>
      </c>
      <c r="D260">
        <v>1310000</v>
      </c>
      <c r="E260" t="s">
        <v>334</v>
      </c>
      <c r="F260" s="24" t="str">
        <f t="shared" si="8"/>
        <v>rtdc.l.rtdc.4028:itc</v>
      </c>
      <c r="G260" s="8">
        <f t="shared" si="9"/>
        <v>42581.276273148149</v>
      </c>
    </row>
    <row r="261" spans="1:7" x14ac:dyDescent="0.25">
      <c r="A261" s="8">
        <v>42581.701574074075</v>
      </c>
      <c r="B261" t="s">
        <v>67</v>
      </c>
      <c r="C261" t="s">
        <v>527</v>
      </c>
      <c r="D261">
        <v>1820000</v>
      </c>
      <c r="E261" t="s">
        <v>337</v>
      </c>
      <c r="F261" s="24" t="str">
        <f t="shared" si="8"/>
        <v>rtdc.l.rtdc.4019:itc</v>
      </c>
      <c r="G261" s="8">
        <f t="shared" si="9"/>
        <v>42581.701574074075</v>
      </c>
    </row>
    <row r="262" spans="1:7" x14ac:dyDescent="0.25">
      <c r="A262" s="8">
        <v>42581.205891203703</v>
      </c>
      <c r="B262" t="s">
        <v>101</v>
      </c>
      <c r="C262" t="s">
        <v>620</v>
      </c>
      <c r="D262">
        <v>1540000</v>
      </c>
      <c r="E262" t="s">
        <v>189</v>
      </c>
      <c r="F262" s="24" t="str">
        <f t="shared" si="8"/>
        <v>rtdc.l.rtdc.4038:itc</v>
      </c>
      <c r="G262" s="8">
        <f t="shared" si="9"/>
        <v>42581.205891203703</v>
      </c>
    </row>
    <row r="263" spans="1:7" x14ac:dyDescent="0.25">
      <c r="A263" s="8">
        <v>42581.720914351848</v>
      </c>
      <c r="B263" t="s">
        <v>68</v>
      </c>
      <c r="C263" t="s">
        <v>529</v>
      </c>
      <c r="D263">
        <v>1820000</v>
      </c>
      <c r="E263" t="s">
        <v>337</v>
      </c>
      <c r="F263" s="24" t="str">
        <f t="shared" si="8"/>
        <v>rtdc.l.rtdc.4020:itc</v>
      </c>
      <c r="G263" s="8">
        <f t="shared" si="9"/>
        <v>42581.720914351848</v>
      </c>
    </row>
    <row r="264" spans="1:7" x14ac:dyDescent="0.25">
      <c r="A264" s="8">
        <v>42581.183171296296</v>
      </c>
      <c r="B264" t="s">
        <v>114</v>
      </c>
      <c r="C264" t="s">
        <v>427</v>
      </c>
      <c r="D264">
        <v>1360000</v>
      </c>
      <c r="E264" t="s">
        <v>300</v>
      </c>
      <c r="F264" s="24" t="str">
        <f t="shared" si="8"/>
        <v>rtdc.l.rtdc.4007:itc</v>
      </c>
      <c r="G264" s="8">
        <f t="shared" si="9"/>
        <v>42581.183171296296</v>
      </c>
    </row>
    <row r="265" spans="1:7" x14ac:dyDescent="0.25">
      <c r="A265" s="8">
        <v>42581.634976851848</v>
      </c>
      <c r="B265" t="s">
        <v>210</v>
      </c>
      <c r="C265" t="s">
        <v>822</v>
      </c>
      <c r="D265">
        <v>1780000</v>
      </c>
      <c r="E265" t="s">
        <v>305</v>
      </c>
      <c r="F265" s="24" t="str">
        <f t="shared" si="8"/>
        <v>rtdc.l.rtdc.4037:itc</v>
      </c>
      <c r="G265" s="8">
        <f t="shared" si="9"/>
        <v>42581.634976851848</v>
      </c>
    </row>
    <row r="266" spans="1:7" x14ac:dyDescent="0.25">
      <c r="A266" s="8">
        <v>42581.155069444445</v>
      </c>
      <c r="B266" t="s">
        <v>109</v>
      </c>
      <c r="C266" t="s">
        <v>419</v>
      </c>
      <c r="D266">
        <v>1310000</v>
      </c>
      <c r="E266" t="s">
        <v>334</v>
      </c>
      <c r="F266" s="24" t="str">
        <f t="shared" ref="F266:F281" si="10">B266</f>
        <v>rtdc.l.rtdc.4027:itc</v>
      </c>
      <c r="G266" s="8">
        <f t="shared" ref="G266:G281" si="11">A266</f>
        <v>42581.155069444445</v>
      </c>
    </row>
    <row r="267" spans="1:7" x14ac:dyDescent="0.25">
      <c r="A267" s="8">
        <v>42581.640219907407</v>
      </c>
      <c r="B267" t="s">
        <v>103</v>
      </c>
      <c r="C267" t="s">
        <v>823</v>
      </c>
      <c r="D267">
        <v>1740000</v>
      </c>
      <c r="E267" t="s">
        <v>719</v>
      </c>
      <c r="F267" s="24" t="str">
        <f t="shared" si="10"/>
        <v>rtdc.l.rtdc.4026:itc</v>
      </c>
      <c r="G267" s="8">
        <f t="shared" si="11"/>
        <v>42581.640219907407</v>
      </c>
    </row>
    <row r="268" spans="1:7" x14ac:dyDescent="0.25">
      <c r="A268" s="8">
        <v>42581.457858796297</v>
      </c>
      <c r="B268" t="s">
        <v>105</v>
      </c>
      <c r="C268" t="s">
        <v>824</v>
      </c>
      <c r="D268">
        <v>750000</v>
      </c>
      <c r="E268" t="s">
        <v>724</v>
      </c>
      <c r="F268" s="24" t="str">
        <f t="shared" si="10"/>
        <v>rtdc.l.rtdc.4025:itc</v>
      </c>
      <c r="G268" s="8">
        <f t="shared" si="11"/>
        <v>42581.457858796297</v>
      </c>
    </row>
    <row r="269" spans="1:7" x14ac:dyDescent="0.25">
      <c r="A269" s="8">
        <v>42581.713680555556</v>
      </c>
      <c r="B269" t="s">
        <v>106</v>
      </c>
      <c r="C269" t="s">
        <v>639</v>
      </c>
      <c r="D269">
        <v>880000</v>
      </c>
      <c r="E269" t="s">
        <v>184</v>
      </c>
      <c r="F269" s="24" t="str">
        <f t="shared" si="10"/>
        <v>rtdc.l.rtdc.4028:itc</v>
      </c>
      <c r="G269" s="8">
        <f t="shared" si="11"/>
        <v>42581.713680555556</v>
      </c>
    </row>
    <row r="270" spans="1:7" x14ac:dyDescent="0.25">
      <c r="A270" s="8">
        <v>42581.441412037035</v>
      </c>
      <c r="B270" t="s">
        <v>67</v>
      </c>
      <c r="C270" t="s">
        <v>825</v>
      </c>
      <c r="D270">
        <v>1830000</v>
      </c>
      <c r="E270" t="s">
        <v>336</v>
      </c>
      <c r="F270" s="24" t="str">
        <f t="shared" si="10"/>
        <v>rtdc.l.rtdc.4019:itc</v>
      </c>
      <c r="G270" s="8">
        <f t="shared" si="11"/>
        <v>42581.441412037035</v>
      </c>
    </row>
    <row r="271" spans="1:7" x14ac:dyDescent="0.25">
      <c r="A271" s="8">
        <v>42581.7425</v>
      </c>
      <c r="B271" t="s">
        <v>133</v>
      </c>
      <c r="C271" t="s">
        <v>648</v>
      </c>
      <c r="D271">
        <v>1750000</v>
      </c>
      <c r="E271" t="s">
        <v>188</v>
      </c>
      <c r="F271" s="24" t="str">
        <f t="shared" si="10"/>
        <v>rtdc.l.rtdc.4015:itc</v>
      </c>
      <c r="G271" s="8">
        <f t="shared" si="11"/>
        <v>42581.7425</v>
      </c>
    </row>
    <row r="272" spans="1:7" x14ac:dyDescent="0.25">
      <c r="A272" s="8">
        <v>42581.403657407405</v>
      </c>
      <c r="B272" t="s">
        <v>114</v>
      </c>
      <c r="C272" t="s">
        <v>826</v>
      </c>
      <c r="D272">
        <v>1360000</v>
      </c>
      <c r="E272" t="s">
        <v>300</v>
      </c>
      <c r="F272" s="24" t="str">
        <f t="shared" si="10"/>
        <v>rtdc.l.rtdc.4007:itc</v>
      </c>
      <c r="G272" s="8">
        <f t="shared" si="11"/>
        <v>42581.403657407405</v>
      </c>
    </row>
    <row r="273" spans="1:7" x14ac:dyDescent="0.25">
      <c r="A273" s="8">
        <v>42581.773425925923</v>
      </c>
      <c r="B273" t="s">
        <v>70</v>
      </c>
      <c r="C273" t="s">
        <v>656</v>
      </c>
      <c r="D273">
        <v>2030000</v>
      </c>
      <c r="E273" t="s">
        <v>720</v>
      </c>
      <c r="F273" s="24" t="str">
        <f t="shared" si="10"/>
        <v>rtdc.l.rtdc.4017:itc</v>
      </c>
      <c r="G273" s="8">
        <f t="shared" si="11"/>
        <v>42581.773425925923</v>
      </c>
    </row>
    <row r="274" spans="1:7" x14ac:dyDescent="0.25">
      <c r="A274" s="8">
        <v>42581.267291666663</v>
      </c>
      <c r="B274" t="s">
        <v>134</v>
      </c>
      <c r="C274" t="s">
        <v>451</v>
      </c>
      <c r="D274">
        <v>1460000</v>
      </c>
      <c r="E274" t="s">
        <v>304</v>
      </c>
      <c r="F274" s="24" t="str">
        <f t="shared" si="10"/>
        <v>rtdc.l.rtdc.4016:itc</v>
      </c>
      <c r="G274" s="8">
        <f t="shared" si="11"/>
        <v>42581.267291666663</v>
      </c>
    </row>
    <row r="275" spans="1:7" x14ac:dyDescent="0.25">
      <c r="A275" s="8">
        <v>42581.783726851849</v>
      </c>
      <c r="B275" t="s">
        <v>106</v>
      </c>
      <c r="C275" t="s">
        <v>658</v>
      </c>
      <c r="D275">
        <v>950000</v>
      </c>
      <c r="E275" t="s">
        <v>297</v>
      </c>
      <c r="F275" s="24" t="str">
        <f t="shared" si="10"/>
        <v>rtdc.l.rtdc.4028:itc</v>
      </c>
      <c r="G275" s="8">
        <f t="shared" si="11"/>
        <v>42581.783726851849</v>
      </c>
    </row>
    <row r="276" spans="1:7" x14ac:dyDescent="0.25">
      <c r="A276" s="8">
        <v>42581.232604166667</v>
      </c>
      <c r="B276" t="s">
        <v>103</v>
      </c>
      <c r="C276" t="s">
        <v>469</v>
      </c>
      <c r="D276">
        <v>540000</v>
      </c>
      <c r="E276" t="s">
        <v>714</v>
      </c>
      <c r="F276" s="24" t="str">
        <f t="shared" si="10"/>
        <v>rtdc.l.rtdc.4026:itc</v>
      </c>
      <c r="G276" s="8">
        <f t="shared" si="11"/>
        <v>42581.232604166667</v>
      </c>
    </row>
    <row r="277" spans="1:7" x14ac:dyDescent="0.25">
      <c r="A277" s="8">
        <v>42581.810763888891</v>
      </c>
      <c r="B277" t="s">
        <v>69</v>
      </c>
      <c r="C277" t="s">
        <v>670</v>
      </c>
      <c r="D277">
        <v>2030000</v>
      </c>
      <c r="E277" t="s">
        <v>720</v>
      </c>
      <c r="F277" s="24" t="str">
        <f t="shared" si="10"/>
        <v>rtdc.l.rtdc.4018:itc</v>
      </c>
      <c r="G277" s="8">
        <f t="shared" si="11"/>
        <v>42581.810763888891</v>
      </c>
    </row>
    <row r="278" spans="1:7" x14ac:dyDescent="0.25">
      <c r="A278" s="8">
        <v>42581.507372685184</v>
      </c>
      <c r="B278" t="s">
        <v>169</v>
      </c>
      <c r="C278" t="s">
        <v>827</v>
      </c>
      <c r="D278">
        <v>1520000</v>
      </c>
      <c r="E278" t="s">
        <v>180</v>
      </c>
      <c r="F278" s="24" t="str">
        <f t="shared" si="10"/>
        <v>rtdc.l.rtdc.4014:itc</v>
      </c>
      <c r="G278" s="8">
        <f t="shared" si="11"/>
        <v>42581.507372685184</v>
      </c>
    </row>
    <row r="279" spans="1:7" x14ac:dyDescent="0.25">
      <c r="A279" s="8">
        <v>42581.855891203704</v>
      </c>
      <c r="B279" t="s">
        <v>103</v>
      </c>
      <c r="C279" t="s">
        <v>578</v>
      </c>
      <c r="D279">
        <v>2000000</v>
      </c>
      <c r="E279" t="s">
        <v>718</v>
      </c>
      <c r="F279" s="24" t="str">
        <f t="shared" si="10"/>
        <v>rtdc.l.rtdc.4026:itc</v>
      </c>
      <c r="G279" s="8">
        <f t="shared" si="11"/>
        <v>42581.855891203704</v>
      </c>
    </row>
    <row r="280" spans="1:7" x14ac:dyDescent="0.25">
      <c r="A280" s="8">
        <v>42581.361689814818</v>
      </c>
      <c r="B280" t="s">
        <v>169</v>
      </c>
      <c r="C280" t="s">
        <v>828</v>
      </c>
      <c r="D280">
        <v>2010000</v>
      </c>
      <c r="E280" t="s">
        <v>302</v>
      </c>
      <c r="F280" s="24" t="str">
        <f t="shared" si="10"/>
        <v>rtdc.l.rtdc.4014:itc</v>
      </c>
      <c r="G280" s="8">
        <f t="shared" si="11"/>
        <v>42581.361689814818</v>
      </c>
    </row>
    <row r="281" spans="1:7" x14ac:dyDescent="0.25">
      <c r="A281" s="8">
        <v>42581.890520833331</v>
      </c>
      <c r="B281" t="s">
        <v>103</v>
      </c>
      <c r="C281" t="s">
        <v>829</v>
      </c>
      <c r="D281">
        <v>2000000</v>
      </c>
      <c r="E281" t="s">
        <v>718</v>
      </c>
      <c r="F281" s="24" t="str">
        <f t="shared" si="10"/>
        <v>rtdc.l.rtdc.4026:itc</v>
      </c>
      <c r="G281" s="8">
        <f t="shared" si="11"/>
        <v>42581.890520833331</v>
      </c>
    </row>
    <row r="282" spans="1:7" x14ac:dyDescent="0.25">
      <c r="A282" s="8">
        <v>42581.331666666665</v>
      </c>
      <c r="B282" t="s">
        <v>70</v>
      </c>
      <c r="C282" t="s">
        <v>460</v>
      </c>
      <c r="D282">
        <v>1760000</v>
      </c>
      <c r="E282" t="s">
        <v>377</v>
      </c>
      <c r="F282" s="24" t="str">
        <f t="shared" ref="F282:F345" si="12">B282</f>
        <v>rtdc.l.rtdc.4017:itc</v>
      </c>
      <c r="G282" s="8">
        <f t="shared" ref="G282:G345" si="13">A282</f>
        <v>42581.331666666665</v>
      </c>
    </row>
    <row r="283" spans="1:7" x14ac:dyDescent="0.25">
      <c r="A283" s="8">
        <v>42581.904317129629</v>
      </c>
      <c r="B283" t="s">
        <v>68</v>
      </c>
      <c r="C283" t="s">
        <v>584</v>
      </c>
      <c r="D283">
        <v>1820000</v>
      </c>
      <c r="E283" t="s">
        <v>337</v>
      </c>
      <c r="F283" s="24" t="str">
        <f t="shared" si="12"/>
        <v>rtdc.l.rtdc.4020:itc</v>
      </c>
      <c r="G283" s="8">
        <f t="shared" si="13"/>
        <v>42581.904317129629</v>
      </c>
    </row>
    <row r="284" spans="1:7" x14ac:dyDescent="0.25">
      <c r="A284" s="8">
        <v>42581.318425925929</v>
      </c>
      <c r="B284" t="s">
        <v>101</v>
      </c>
      <c r="C284" t="s">
        <v>495</v>
      </c>
      <c r="D284">
        <v>1540000</v>
      </c>
      <c r="E284" t="s">
        <v>189</v>
      </c>
      <c r="F284" s="24" t="str">
        <f t="shared" si="12"/>
        <v>rtdc.l.rtdc.4038:itc</v>
      </c>
      <c r="G284" s="8">
        <f t="shared" si="13"/>
        <v>42581.318425925929</v>
      </c>
    </row>
    <row r="285" spans="1:7" x14ac:dyDescent="0.25">
      <c r="A285" s="8">
        <v>42581.924814814818</v>
      </c>
      <c r="B285" t="s">
        <v>70</v>
      </c>
      <c r="C285" t="s">
        <v>681</v>
      </c>
      <c r="D285">
        <v>2030000</v>
      </c>
      <c r="E285" t="s">
        <v>720</v>
      </c>
      <c r="F285" s="24" t="str">
        <f t="shared" si="12"/>
        <v>rtdc.l.rtdc.4017:itc</v>
      </c>
      <c r="G285" s="8">
        <f t="shared" si="13"/>
        <v>42581.924814814818</v>
      </c>
    </row>
    <row r="286" spans="1:7" x14ac:dyDescent="0.25">
      <c r="A286" s="8">
        <v>42581.277025462965</v>
      </c>
      <c r="B286" t="s">
        <v>101</v>
      </c>
      <c r="C286" t="s">
        <v>483</v>
      </c>
      <c r="D286">
        <v>1540000</v>
      </c>
      <c r="E286" t="s">
        <v>189</v>
      </c>
      <c r="F286" s="24" t="str">
        <f t="shared" si="12"/>
        <v>rtdc.l.rtdc.4038:itc</v>
      </c>
      <c r="G286" s="8">
        <f t="shared" si="13"/>
        <v>42581.277025462965</v>
      </c>
    </row>
    <row r="287" spans="1:7" x14ac:dyDescent="0.25">
      <c r="A287" s="8">
        <v>42581.930462962962</v>
      </c>
      <c r="B287" t="s">
        <v>114</v>
      </c>
      <c r="C287" t="s">
        <v>689</v>
      </c>
      <c r="D287">
        <v>1480000</v>
      </c>
      <c r="E287" t="s">
        <v>102</v>
      </c>
      <c r="F287" s="24" t="str">
        <f t="shared" si="12"/>
        <v>rtdc.l.rtdc.4007:itc</v>
      </c>
      <c r="G287" s="8">
        <f t="shared" si="13"/>
        <v>42581.930462962962</v>
      </c>
    </row>
    <row r="288" spans="1:7" x14ac:dyDescent="0.25">
      <c r="A288" s="8">
        <v>42581.259027777778</v>
      </c>
      <c r="B288" t="s">
        <v>210</v>
      </c>
      <c r="C288" t="s">
        <v>480</v>
      </c>
      <c r="D288">
        <v>1540000</v>
      </c>
      <c r="E288" t="s">
        <v>189</v>
      </c>
      <c r="F288" s="24" t="str">
        <f t="shared" si="12"/>
        <v>rtdc.l.rtdc.4037:itc</v>
      </c>
      <c r="G288" s="8">
        <f t="shared" si="13"/>
        <v>42581.259027777778</v>
      </c>
    </row>
    <row r="289" spans="1:7" x14ac:dyDescent="0.25">
      <c r="A289" s="8">
        <v>42581.997824074075</v>
      </c>
      <c r="B289" t="s">
        <v>178</v>
      </c>
      <c r="C289" t="s">
        <v>697</v>
      </c>
      <c r="D289">
        <v>1800000</v>
      </c>
      <c r="E289" t="s">
        <v>185</v>
      </c>
      <c r="F289" s="24" t="str">
        <f t="shared" si="12"/>
        <v>rtdc.l.rtdc.4031:itc</v>
      </c>
      <c r="G289" s="8">
        <f t="shared" si="13"/>
        <v>42581.997824074075</v>
      </c>
    </row>
    <row r="290" spans="1:7" x14ac:dyDescent="0.25">
      <c r="A290" s="8">
        <v>42581.238321759258</v>
      </c>
      <c r="B290" t="s">
        <v>109</v>
      </c>
      <c r="C290" t="s">
        <v>441</v>
      </c>
      <c r="D290">
        <v>1310000</v>
      </c>
      <c r="E290" t="s">
        <v>334</v>
      </c>
      <c r="F290" s="24" t="str">
        <f t="shared" si="12"/>
        <v>rtdc.l.rtdc.4027:itc</v>
      </c>
      <c r="G290" s="8">
        <f t="shared" si="13"/>
        <v>42581.238321759258</v>
      </c>
    </row>
    <row r="291" spans="1:7" x14ac:dyDescent="0.25">
      <c r="A291" s="8">
        <v>42582.090578703705</v>
      </c>
      <c r="B291" t="s">
        <v>114</v>
      </c>
      <c r="C291" t="s">
        <v>830</v>
      </c>
      <c r="D291">
        <v>1480000</v>
      </c>
      <c r="E291" t="s">
        <v>102</v>
      </c>
      <c r="F291" s="24" t="str">
        <f t="shared" si="12"/>
        <v>rtdc.l.rtdc.4007:itc</v>
      </c>
      <c r="G291" s="8">
        <f t="shared" si="13"/>
        <v>42582.090578703705</v>
      </c>
    </row>
    <row r="292" spans="1:7" x14ac:dyDescent="0.25">
      <c r="A292" s="8">
        <v>42581.054386574076</v>
      </c>
      <c r="B292" t="s">
        <v>210</v>
      </c>
      <c r="C292" t="s">
        <v>831</v>
      </c>
      <c r="D292">
        <v>1480000</v>
      </c>
      <c r="E292" t="s">
        <v>102</v>
      </c>
      <c r="F292" s="24" t="str">
        <f t="shared" si="12"/>
        <v>rtdc.l.rtdc.4037:itc</v>
      </c>
      <c r="G292" s="8">
        <f t="shared" si="13"/>
        <v>42581.054386574076</v>
      </c>
    </row>
    <row r="293" spans="1:7" x14ac:dyDescent="0.25">
      <c r="A293" s="8">
        <v>42582.110243055555</v>
      </c>
      <c r="B293" t="s">
        <v>107</v>
      </c>
      <c r="C293" t="s">
        <v>711</v>
      </c>
      <c r="D293">
        <v>1300000</v>
      </c>
      <c r="E293" t="s">
        <v>150</v>
      </c>
      <c r="F293" s="24" t="str">
        <f t="shared" si="12"/>
        <v>rtdc.l.rtdc.4029:itc</v>
      </c>
      <c r="G293" s="8">
        <f t="shared" si="13"/>
        <v>42582.110243055555</v>
      </c>
    </row>
    <row r="294" spans="1:7" x14ac:dyDescent="0.25">
      <c r="A294" s="8">
        <v>42581.469456018516</v>
      </c>
      <c r="B294" t="s">
        <v>68</v>
      </c>
      <c r="C294" t="s">
        <v>832</v>
      </c>
      <c r="D294">
        <v>1830000</v>
      </c>
      <c r="E294" t="s">
        <v>336</v>
      </c>
      <c r="F294" s="24" t="str">
        <f t="shared" si="12"/>
        <v>rtdc.l.rtdc.4020:itc</v>
      </c>
      <c r="G294" s="8">
        <f t="shared" si="13"/>
        <v>42581.469456018516</v>
      </c>
    </row>
    <row r="295" spans="1:7" x14ac:dyDescent="0.25">
      <c r="A295" s="8">
        <v>42582.136354166665</v>
      </c>
      <c r="B295" t="s">
        <v>156</v>
      </c>
      <c r="C295" t="s">
        <v>795</v>
      </c>
      <c r="D295">
        <v>1460000</v>
      </c>
      <c r="E295" t="s">
        <v>304</v>
      </c>
      <c r="F295" s="24" t="str">
        <f t="shared" si="12"/>
        <v>rtdc.l.rtdc.4011:itc</v>
      </c>
      <c r="G295" s="8">
        <f t="shared" si="13"/>
        <v>42582.136354166665</v>
      </c>
    </row>
    <row r="296" spans="1:7" x14ac:dyDescent="0.25">
      <c r="A296" s="8">
        <v>42581.449189814812</v>
      </c>
      <c r="B296" t="s">
        <v>69</v>
      </c>
      <c r="C296" t="s">
        <v>732</v>
      </c>
      <c r="D296">
        <v>1760000</v>
      </c>
      <c r="E296" t="s">
        <v>377</v>
      </c>
      <c r="F296" s="24" t="str">
        <f t="shared" si="12"/>
        <v>rtdc.l.rtdc.4018:itc</v>
      </c>
      <c r="G296" s="8">
        <f t="shared" si="13"/>
        <v>42581.449189814812</v>
      </c>
    </row>
    <row r="297" spans="1:7" x14ac:dyDescent="0.25">
      <c r="A297" s="8">
        <v>42582.170243055552</v>
      </c>
      <c r="B297" t="s">
        <v>148</v>
      </c>
      <c r="C297" t="s">
        <v>750</v>
      </c>
      <c r="D297">
        <v>1460000</v>
      </c>
      <c r="E297" t="s">
        <v>304</v>
      </c>
      <c r="F297" s="24" t="str">
        <f t="shared" si="12"/>
        <v>rtdc.l.rtdc.4041:itc</v>
      </c>
      <c r="G297" s="8">
        <f t="shared" si="13"/>
        <v>42582.170243055552</v>
      </c>
    </row>
    <row r="298" spans="1:7" x14ac:dyDescent="0.25">
      <c r="A298" s="8">
        <v>42581.317812499998</v>
      </c>
      <c r="B298" t="s">
        <v>108</v>
      </c>
      <c r="C298" t="s">
        <v>454</v>
      </c>
      <c r="D298">
        <v>1100000</v>
      </c>
      <c r="E298" t="s">
        <v>168</v>
      </c>
      <c r="F298" s="24" t="str">
        <f t="shared" si="12"/>
        <v>rtdc.l.rtdc.4030:itc</v>
      </c>
      <c r="G298" s="8">
        <f t="shared" si="13"/>
        <v>42581.317812499998</v>
      </c>
    </row>
    <row r="299" spans="1:7" x14ac:dyDescent="0.25">
      <c r="A299" s="8">
        <v>42581.649965277778</v>
      </c>
      <c r="B299" t="s">
        <v>101</v>
      </c>
      <c r="C299" t="s">
        <v>507</v>
      </c>
      <c r="D299">
        <v>1780000</v>
      </c>
      <c r="E299" t="s">
        <v>305</v>
      </c>
      <c r="F299" s="24" t="str">
        <f t="shared" si="12"/>
        <v>rtdc.l.rtdc.4038:itc</v>
      </c>
      <c r="G299" s="8">
        <f t="shared" si="13"/>
        <v>42581.649965277778</v>
      </c>
    </row>
    <row r="300" spans="1:7" x14ac:dyDescent="0.25">
      <c r="A300" s="8">
        <v>42581.288171296299</v>
      </c>
      <c r="B300" t="s">
        <v>338</v>
      </c>
      <c r="C300" t="s">
        <v>448</v>
      </c>
      <c r="D300">
        <v>1360000</v>
      </c>
      <c r="E300" t="s">
        <v>300</v>
      </c>
      <c r="F300" s="24" t="str">
        <f t="shared" si="12"/>
        <v>rtdc.l.rtdc.4043:itc</v>
      </c>
      <c r="G300" s="8">
        <f t="shared" si="13"/>
        <v>42581.288171296299</v>
      </c>
    </row>
    <row r="301" spans="1:7" x14ac:dyDescent="0.25">
      <c r="A301" s="8">
        <v>42581.679375</v>
      </c>
      <c r="B301" t="s">
        <v>68</v>
      </c>
      <c r="C301" t="s">
        <v>514</v>
      </c>
      <c r="D301">
        <v>1820000</v>
      </c>
      <c r="E301" t="s">
        <v>337</v>
      </c>
      <c r="F301" s="24" t="str">
        <f t="shared" si="12"/>
        <v>rtdc.l.rtdc.4020:itc</v>
      </c>
      <c r="G301" s="8">
        <f t="shared" si="13"/>
        <v>42581.679375</v>
      </c>
    </row>
    <row r="302" spans="1:7" x14ac:dyDescent="0.25">
      <c r="A302" s="8">
        <v>42581.217685185184</v>
      </c>
      <c r="B302" t="s">
        <v>338</v>
      </c>
      <c r="C302" t="s">
        <v>429</v>
      </c>
      <c r="D302">
        <v>1360000</v>
      </c>
      <c r="E302" t="s">
        <v>300</v>
      </c>
      <c r="F302" s="24" t="str">
        <f t="shared" si="12"/>
        <v>rtdc.l.rtdc.4043:itc</v>
      </c>
      <c r="G302" s="8">
        <f t="shared" si="13"/>
        <v>42581.217685185184</v>
      </c>
    </row>
    <row r="303" spans="1:7" x14ac:dyDescent="0.25">
      <c r="A303" s="8">
        <v>42581.915625000001</v>
      </c>
      <c r="B303" t="s">
        <v>105</v>
      </c>
      <c r="C303" t="s">
        <v>601</v>
      </c>
      <c r="D303">
        <v>2000000</v>
      </c>
      <c r="E303" t="s">
        <v>718</v>
      </c>
      <c r="F303" s="24" t="str">
        <f t="shared" si="12"/>
        <v>rtdc.l.rtdc.4025:itc</v>
      </c>
      <c r="G303" s="8">
        <f t="shared" si="13"/>
        <v>42581.915625000001</v>
      </c>
    </row>
    <row r="304" spans="1:7" x14ac:dyDescent="0.25">
      <c r="A304" s="8">
        <v>42581.155509259261</v>
      </c>
      <c r="B304" t="s">
        <v>179</v>
      </c>
      <c r="C304" t="s">
        <v>833</v>
      </c>
      <c r="D304">
        <v>1260000</v>
      </c>
      <c r="E304" t="s">
        <v>187</v>
      </c>
      <c r="F304" s="24" t="str">
        <f t="shared" si="12"/>
        <v>rtdc.l.rtdc.4032:itc</v>
      </c>
      <c r="G304" s="8">
        <f t="shared" si="13"/>
        <v>42581.155509259261</v>
      </c>
    </row>
    <row r="305" spans="1:7" x14ac:dyDescent="0.25">
      <c r="A305" s="8">
        <v>42582.013784722221</v>
      </c>
      <c r="B305" t="s">
        <v>103</v>
      </c>
      <c r="C305" t="s">
        <v>629</v>
      </c>
      <c r="D305">
        <v>2000000</v>
      </c>
      <c r="E305" t="s">
        <v>718</v>
      </c>
      <c r="F305" s="24" t="str">
        <f t="shared" si="12"/>
        <v>rtdc.l.rtdc.4026:itc</v>
      </c>
      <c r="G305" s="8">
        <f t="shared" si="13"/>
        <v>42582.013784722221</v>
      </c>
    </row>
    <row r="306" spans="1:7" x14ac:dyDescent="0.25">
      <c r="A306" s="8">
        <v>42581.677361111113</v>
      </c>
      <c r="B306" t="s">
        <v>210</v>
      </c>
      <c r="C306" t="s">
        <v>517</v>
      </c>
      <c r="D306">
        <v>1780000</v>
      </c>
      <c r="E306" t="s">
        <v>305</v>
      </c>
      <c r="F306" s="24" t="str">
        <f t="shared" si="12"/>
        <v>rtdc.l.rtdc.4037:itc</v>
      </c>
      <c r="G306" s="8">
        <f t="shared" si="13"/>
        <v>42581.677361111113</v>
      </c>
    </row>
    <row r="307" spans="1:7" x14ac:dyDescent="0.25">
      <c r="F307" s="24">
        <f t="shared" si="12"/>
        <v>0</v>
      </c>
      <c r="G307" s="8">
        <f t="shared" si="13"/>
        <v>0</v>
      </c>
    </row>
    <row r="308" spans="1:7" x14ac:dyDescent="0.25">
      <c r="A308" s="8">
        <v>42577.993136574078</v>
      </c>
      <c r="B308" t="s">
        <v>70</v>
      </c>
      <c r="C308" t="s">
        <v>275</v>
      </c>
      <c r="D308">
        <v>1180000</v>
      </c>
      <c r="E308" t="s">
        <v>213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338</v>
      </c>
      <c r="C309" t="s">
        <v>339</v>
      </c>
      <c r="D309">
        <v>2010000</v>
      </c>
      <c r="E309" t="s">
        <v>302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210</v>
      </c>
      <c r="C310" t="s">
        <v>296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340</v>
      </c>
      <c r="D311">
        <v>2010000</v>
      </c>
      <c r="E311" t="s">
        <v>302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274</v>
      </c>
      <c r="D312">
        <v>1180000</v>
      </c>
      <c r="E312" t="s">
        <v>213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338</v>
      </c>
      <c r="C313" t="s">
        <v>341</v>
      </c>
      <c r="D313">
        <v>2010000</v>
      </c>
      <c r="E313" t="s">
        <v>302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210</v>
      </c>
      <c r="C314" t="s">
        <v>293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342</v>
      </c>
      <c r="D315">
        <v>1830000</v>
      </c>
      <c r="E315" t="s">
        <v>336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277</v>
      </c>
      <c r="D316">
        <v>950000</v>
      </c>
      <c r="E316" t="s">
        <v>297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343</v>
      </c>
      <c r="D317">
        <v>1830000</v>
      </c>
      <c r="E317" t="s">
        <v>336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146</v>
      </c>
      <c r="C318" t="s">
        <v>322</v>
      </c>
      <c r="D318">
        <v>1110000</v>
      </c>
      <c r="E318" t="s">
        <v>117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279</v>
      </c>
      <c r="D320">
        <v>1300000</v>
      </c>
      <c r="E320" t="s">
        <v>150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179</v>
      </c>
      <c r="C321" t="s">
        <v>301</v>
      </c>
      <c r="D321">
        <v>2010000</v>
      </c>
      <c r="E321" t="s">
        <v>302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179</v>
      </c>
      <c r="C322" t="s">
        <v>242</v>
      </c>
      <c r="D322">
        <v>1750000</v>
      </c>
      <c r="E322" t="s">
        <v>188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275</v>
      </c>
      <c r="D323">
        <v>1180000</v>
      </c>
      <c r="E323" t="s">
        <v>213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225</v>
      </c>
      <c r="D324">
        <v>1100000</v>
      </c>
      <c r="E324" t="s">
        <v>168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210</v>
      </c>
      <c r="C325" t="s">
        <v>296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178</v>
      </c>
      <c r="C326" t="s">
        <v>244</v>
      </c>
      <c r="D326">
        <v>1750000</v>
      </c>
      <c r="E326" t="s">
        <v>188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274</v>
      </c>
      <c r="D327">
        <v>1180000</v>
      </c>
      <c r="E327" t="s">
        <v>213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226</v>
      </c>
      <c r="D328">
        <v>1260000</v>
      </c>
      <c r="E328" t="s">
        <v>187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210</v>
      </c>
      <c r="C329" t="s">
        <v>293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226</v>
      </c>
      <c r="D330">
        <v>1260000</v>
      </c>
      <c r="E330" t="s">
        <v>187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277</v>
      </c>
      <c r="D331">
        <v>950000</v>
      </c>
      <c r="E331" t="s">
        <v>297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228</v>
      </c>
      <c r="D332">
        <v>1990000</v>
      </c>
      <c r="E332" t="s">
        <v>214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210</v>
      </c>
      <c r="C333" t="s">
        <v>290</v>
      </c>
      <c r="D333">
        <v>1770000</v>
      </c>
      <c r="E333" t="s">
        <v>182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145</v>
      </c>
      <c r="C334" t="s">
        <v>246</v>
      </c>
      <c r="D334">
        <v>1540000</v>
      </c>
      <c r="E334" t="s">
        <v>189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272</v>
      </c>
      <c r="D335">
        <v>1780000</v>
      </c>
      <c r="E335" t="s">
        <v>305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281</v>
      </c>
      <c r="D336">
        <v>1300000</v>
      </c>
      <c r="E336" t="s">
        <v>150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169</v>
      </c>
      <c r="C337" t="s">
        <v>289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210</v>
      </c>
      <c r="C338" t="s">
        <v>282</v>
      </c>
      <c r="D338">
        <v>1300000</v>
      </c>
      <c r="E338" t="s">
        <v>150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288</v>
      </c>
      <c r="D339">
        <v>1770000</v>
      </c>
      <c r="E339" t="s">
        <v>182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229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178</v>
      </c>
      <c r="C341" t="s">
        <v>270</v>
      </c>
      <c r="D341">
        <v>940000</v>
      </c>
      <c r="E341" t="s">
        <v>216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178</v>
      </c>
      <c r="C342" t="s">
        <v>230</v>
      </c>
      <c r="D342">
        <v>1750000</v>
      </c>
      <c r="E342" t="s">
        <v>188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169</v>
      </c>
      <c r="C343" t="s">
        <v>287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283</v>
      </c>
      <c r="D344">
        <v>1300000</v>
      </c>
      <c r="E344" t="s">
        <v>150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146</v>
      </c>
      <c r="C345" t="s">
        <v>268</v>
      </c>
      <c r="D345">
        <v>1520000</v>
      </c>
      <c r="E345" t="s">
        <v>180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179</v>
      </c>
      <c r="C346" t="s">
        <v>249</v>
      </c>
      <c r="D346">
        <v>1750000</v>
      </c>
      <c r="E346" t="s">
        <v>188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241</v>
      </c>
      <c r="D347">
        <v>880000</v>
      </c>
      <c r="E347" t="s">
        <v>184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251</v>
      </c>
      <c r="D348">
        <v>1280000</v>
      </c>
      <c r="E348" t="s">
        <v>186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269</v>
      </c>
      <c r="D349">
        <v>950000</v>
      </c>
      <c r="E349" t="s">
        <v>297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232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145</v>
      </c>
      <c r="C351" t="s">
        <v>267</v>
      </c>
      <c r="D351">
        <v>1520000</v>
      </c>
      <c r="E351" t="s">
        <v>180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254</v>
      </c>
      <c r="D352">
        <v>950000</v>
      </c>
      <c r="E352" t="s">
        <v>297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169</v>
      </c>
      <c r="C353" t="s">
        <v>285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255</v>
      </c>
      <c r="D354">
        <v>1280000</v>
      </c>
      <c r="E354" t="s">
        <v>186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266</v>
      </c>
      <c r="D355">
        <v>1140000</v>
      </c>
      <c r="E355" t="s">
        <v>181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236</v>
      </c>
      <c r="D356">
        <v>1770000</v>
      </c>
      <c r="E356" t="s">
        <v>182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178</v>
      </c>
      <c r="C357" t="s">
        <v>237</v>
      </c>
      <c r="D357">
        <v>940000</v>
      </c>
      <c r="E357" t="s">
        <v>216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210</v>
      </c>
      <c r="C358" t="s">
        <v>238</v>
      </c>
      <c r="D358">
        <v>1770000</v>
      </c>
      <c r="E358" t="s">
        <v>182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259</v>
      </c>
      <c r="D359">
        <v>1120000</v>
      </c>
      <c r="E359" t="s">
        <v>212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260</v>
      </c>
      <c r="D360">
        <v>1140000</v>
      </c>
      <c r="E360" t="s">
        <v>181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257</v>
      </c>
      <c r="D361">
        <v>880000</v>
      </c>
      <c r="E361" t="s">
        <v>184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258</v>
      </c>
      <c r="D362">
        <v>880000</v>
      </c>
      <c r="E362" t="s">
        <v>184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146</v>
      </c>
      <c r="C363" t="s">
        <v>235</v>
      </c>
      <c r="D363">
        <v>1520000</v>
      </c>
      <c r="E363" t="s">
        <v>180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145</v>
      </c>
      <c r="C364" t="s">
        <v>261</v>
      </c>
      <c r="D364">
        <v>1520000</v>
      </c>
      <c r="E364" t="s">
        <v>180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284</v>
      </c>
      <c r="D365">
        <v>1300000</v>
      </c>
      <c r="E365" t="s">
        <v>150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148</v>
      </c>
      <c r="C366" t="s">
        <v>239</v>
      </c>
      <c r="D366">
        <v>1120000</v>
      </c>
      <c r="E366" t="s">
        <v>212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234</v>
      </c>
      <c r="D367">
        <v>880000</v>
      </c>
      <c r="E367" t="s">
        <v>184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179</v>
      </c>
      <c r="C368" t="s">
        <v>240</v>
      </c>
      <c r="D368">
        <v>940000</v>
      </c>
      <c r="E368" t="s">
        <v>216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253</v>
      </c>
      <c r="D369">
        <v>1120000</v>
      </c>
      <c r="E369" t="s">
        <v>212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263</v>
      </c>
      <c r="D370">
        <v>1280000</v>
      </c>
      <c r="E370" t="s">
        <v>186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250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265</v>
      </c>
      <c r="D372">
        <v>1280000</v>
      </c>
      <c r="E372" t="s">
        <v>186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210</v>
      </c>
      <c r="C373" t="s">
        <v>231</v>
      </c>
      <c r="D373">
        <v>1300000</v>
      </c>
      <c r="E373" t="s">
        <v>150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210</v>
      </c>
      <c r="C374" t="s">
        <v>286</v>
      </c>
      <c r="D374">
        <v>1770000</v>
      </c>
      <c r="E374" t="s">
        <v>182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247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271</v>
      </c>
      <c r="D376">
        <v>1180000</v>
      </c>
      <c r="E376" t="s">
        <v>213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245</v>
      </c>
      <c r="D377">
        <v>1100000</v>
      </c>
      <c r="E377" t="s">
        <v>168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169</v>
      </c>
      <c r="C378" t="s">
        <v>295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228</v>
      </c>
      <c r="D379">
        <v>1990000</v>
      </c>
      <c r="E379" t="s">
        <v>214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292</v>
      </c>
      <c r="D380">
        <v>1770000</v>
      </c>
      <c r="E380" t="s">
        <v>182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210</v>
      </c>
      <c r="C381" t="s">
        <v>227</v>
      </c>
      <c r="D381">
        <v>1300000</v>
      </c>
      <c r="E381" t="s">
        <v>150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210</v>
      </c>
      <c r="C382" t="s">
        <v>291</v>
      </c>
      <c r="D382">
        <v>1770000</v>
      </c>
      <c r="E382" t="s">
        <v>182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169</v>
      </c>
      <c r="C383" t="s">
        <v>280</v>
      </c>
      <c r="D383">
        <v>1110000</v>
      </c>
      <c r="E383" t="s">
        <v>117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294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217</v>
      </c>
      <c r="D385">
        <v>1990000</v>
      </c>
      <c r="E385" t="s">
        <v>214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276</v>
      </c>
      <c r="D386">
        <v>1230000</v>
      </c>
      <c r="E386" t="s">
        <v>157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210</v>
      </c>
      <c r="C387" t="s">
        <v>218</v>
      </c>
      <c r="D387">
        <v>1300000</v>
      </c>
      <c r="E387" t="s">
        <v>150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278</v>
      </c>
      <c r="D388">
        <v>1800000</v>
      </c>
      <c r="E388" t="s">
        <v>185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148</v>
      </c>
      <c r="C389" t="s">
        <v>215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179</v>
      </c>
      <c r="C390" t="s">
        <v>306</v>
      </c>
      <c r="D390">
        <v>2010000</v>
      </c>
      <c r="E390" t="s">
        <v>302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205</v>
      </c>
      <c r="D391">
        <v>1180000</v>
      </c>
      <c r="E391" t="s">
        <v>213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307</v>
      </c>
      <c r="D392">
        <v>1100000</v>
      </c>
      <c r="E392" t="s">
        <v>168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133</v>
      </c>
      <c r="C393" t="s">
        <v>204</v>
      </c>
      <c r="D393">
        <v>1800000</v>
      </c>
      <c r="E393" t="s">
        <v>185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299</v>
      </c>
      <c r="D394">
        <v>1360000</v>
      </c>
      <c r="E394" t="s">
        <v>300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133</v>
      </c>
      <c r="C395" t="s">
        <v>204</v>
      </c>
      <c r="D395">
        <v>1800000</v>
      </c>
      <c r="E395" t="s">
        <v>185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298</v>
      </c>
      <c r="D396">
        <v>1100000</v>
      </c>
      <c r="E396" t="s">
        <v>168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210</v>
      </c>
      <c r="C397" t="s">
        <v>203</v>
      </c>
      <c r="D397">
        <v>1180000</v>
      </c>
      <c r="E397" t="s">
        <v>213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303</v>
      </c>
      <c r="D398">
        <v>1190000</v>
      </c>
      <c r="E398" t="s">
        <v>147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148</v>
      </c>
      <c r="C399" t="s">
        <v>209</v>
      </c>
      <c r="D399">
        <v>1290000</v>
      </c>
      <c r="E399" t="s">
        <v>153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299</v>
      </c>
      <c r="D400">
        <v>1360000</v>
      </c>
      <c r="E400" t="s">
        <v>300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201</v>
      </c>
      <c r="D401">
        <v>1810000</v>
      </c>
      <c r="E401" t="s">
        <v>183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308</v>
      </c>
      <c r="D402">
        <v>900000</v>
      </c>
      <c r="E402" t="s">
        <v>211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233</v>
      </c>
      <c r="D403">
        <v>1280000</v>
      </c>
      <c r="E403" t="s">
        <v>186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190</v>
      </c>
      <c r="D405">
        <v>1110000</v>
      </c>
      <c r="E405" t="s">
        <v>117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134</v>
      </c>
      <c r="C406" t="s">
        <v>206</v>
      </c>
      <c r="D406">
        <v>1800000</v>
      </c>
      <c r="E406" t="s">
        <v>185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146</v>
      </c>
      <c r="C407" t="s">
        <v>191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208</v>
      </c>
      <c r="D408">
        <v>1230000</v>
      </c>
      <c r="E408" t="s">
        <v>157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134</v>
      </c>
      <c r="C409" t="s">
        <v>192</v>
      </c>
      <c r="D409">
        <v>1190000</v>
      </c>
      <c r="E409" t="s">
        <v>147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133</v>
      </c>
      <c r="C410" t="s">
        <v>207</v>
      </c>
      <c r="D410">
        <v>1800000</v>
      </c>
      <c r="E410" t="s">
        <v>185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193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219</v>
      </c>
      <c r="D412">
        <v>1990000</v>
      </c>
      <c r="E412" t="s">
        <v>214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158</v>
      </c>
      <c r="C413" t="s">
        <v>177</v>
      </c>
      <c r="D413">
        <v>1800000</v>
      </c>
      <c r="E413" t="s">
        <v>185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220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156</v>
      </c>
      <c r="C415" t="s">
        <v>176</v>
      </c>
      <c r="D415">
        <v>1800000</v>
      </c>
      <c r="E415" t="s">
        <v>185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221</v>
      </c>
      <c r="D416">
        <v>1990000</v>
      </c>
      <c r="E416" t="s">
        <v>214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179</v>
      </c>
      <c r="C417" t="s">
        <v>174</v>
      </c>
      <c r="D417">
        <v>1750000</v>
      </c>
      <c r="E417" t="s">
        <v>188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145</v>
      </c>
      <c r="C418" t="s">
        <v>222</v>
      </c>
      <c r="D418">
        <v>1540000</v>
      </c>
      <c r="E418" t="s">
        <v>189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175</v>
      </c>
      <c r="D419">
        <v>1290000</v>
      </c>
      <c r="E419" t="s">
        <v>153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223</v>
      </c>
      <c r="D420">
        <v>1100000</v>
      </c>
      <c r="E420" t="s">
        <v>168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134</v>
      </c>
      <c r="C421" t="s">
        <v>198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145</v>
      </c>
      <c r="C422" t="s">
        <v>224</v>
      </c>
      <c r="D422">
        <v>1540000</v>
      </c>
      <c r="E422" t="s">
        <v>189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200</v>
      </c>
      <c r="D423">
        <v>880000</v>
      </c>
      <c r="E423" t="s">
        <v>184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/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2" bestFit="1" customWidth="1"/>
  </cols>
  <sheetData>
    <row r="1" spans="1:16" ht="45.75" x14ac:dyDescent="0.3">
      <c r="A1" s="14" t="s">
        <v>25</v>
      </c>
      <c r="C1" s="104" t="s">
        <v>310</v>
      </c>
      <c r="D1" s="105" t="s">
        <v>311</v>
      </c>
      <c r="J1" s="38" t="s">
        <v>312</v>
      </c>
      <c r="K1" s="38" t="s">
        <v>82</v>
      </c>
      <c r="L1" s="38" t="s">
        <v>83</v>
      </c>
      <c r="O1" s="108" t="s">
        <v>313</v>
      </c>
    </row>
    <row r="2" spans="1:16" ht="15.75" thickBot="1" x14ac:dyDescent="0.3">
      <c r="A2" s="15">
        <v>42581</v>
      </c>
      <c r="B2" s="4"/>
      <c r="C2" s="106">
        <v>50</v>
      </c>
      <c r="D2" s="107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2">
        <f t="shared" ref="M3:M14" si="0">AVERAGE(K3:L3)</f>
        <v>2.7201</v>
      </c>
      <c r="O3" t="s">
        <v>314</v>
      </c>
      <c r="P3" s="82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2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2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2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2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2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2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2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2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2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2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2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120</v>
      </c>
      <c r="K18" s="40"/>
      <c r="L18" s="40"/>
      <c r="M18" s="82" t="str">
        <f>"""C:\Program Files (x86)\AstroGrep\AstroGrep.exe"""</f>
        <v>"C:\Program Files (x86)\AstroGrep\AstroGrep.exe"</v>
      </c>
    </row>
    <row r="19" spans="10:13" x14ac:dyDescent="0.25">
      <c r="J19" s="39" t="s">
        <v>121</v>
      </c>
      <c r="K19" s="40"/>
      <c r="L19" s="40"/>
      <c r="M19" s="82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122</v>
      </c>
      <c r="M20" s="82" t="s">
        <v>309</v>
      </c>
    </row>
    <row r="21" spans="10:13" x14ac:dyDescent="0.25">
      <c r="J21" s="24" t="s">
        <v>125</v>
      </c>
      <c r="K21" s="24" t="s">
        <v>126</v>
      </c>
      <c r="M21" s="82" t="s">
        <v>126</v>
      </c>
    </row>
    <row r="22" spans="10:13" x14ac:dyDescent="0.25">
      <c r="J22" s="24" t="s">
        <v>127</v>
      </c>
      <c r="K22" s="24" t="s">
        <v>128</v>
      </c>
      <c r="M22" s="82" t="s">
        <v>128</v>
      </c>
    </row>
    <row r="23" spans="10:13" x14ac:dyDescent="0.25">
      <c r="J23" s="35" t="s">
        <v>130</v>
      </c>
      <c r="K23" s="24"/>
      <c r="M23" s="82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Enforcements</vt:lpstr>
      <vt:lpstr>Missing Trips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2016-08-04T12:59:55Z</dcterms:modified>
</cp:coreProperties>
</file>