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Enforcements!$A$6:$V$83</definedName>
    <definedName name="_xlnm._FilterDatabase" localSheetId="2" hidden="1">'Missing Trips'!$A$2:$H$2</definedName>
    <definedName name="_xlnm._FilterDatabase" localSheetId="0" hidden="1">'Train Runs'!$A$12:$AG$215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Runs'!$A$12:$J$40</definedName>
    <definedName name="refinertdcruntimes">Variables!$M$24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6" l="1"/>
  <c r="F4" i="6"/>
  <c r="G4" i="6"/>
  <c r="H4" i="6"/>
  <c r="K198" i="1"/>
  <c r="M198" i="1"/>
  <c r="N198" i="1" s="1"/>
  <c r="K199" i="1"/>
  <c r="M199" i="1"/>
  <c r="N199" i="1" s="1"/>
  <c r="K200" i="1"/>
  <c r="L200" i="1"/>
  <c r="M200" i="1"/>
  <c r="N200" i="1" s="1"/>
  <c r="V198" i="1"/>
  <c r="Y198" i="1"/>
  <c r="Z198" i="1"/>
  <c r="AB198" i="1"/>
  <c r="AC198" i="1"/>
  <c r="AD198" i="1"/>
  <c r="T198" i="1" s="1"/>
  <c r="AE198" i="1"/>
  <c r="AF198" i="1"/>
  <c r="AH198" i="1"/>
  <c r="V199" i="1"/>
  <c r="Y199" i="1"/>
  <c r="Z199" i="1"/>
  <c r="AB199" i="1"/>
  <c r="AC199" i="1"/>
  <c r="AD199" i="1"/>
  <c r="T199" i="1" s="1"/>
  <c r="AE199" i="1"/>
  <c r="AF199" i="1"/>
  <c r="AH199" i="1"/>
  <c r="V103" i="1"/>
  <c r="Y103" i="1"/>
  <c r="Z103" i="1"/>
  <c r="V104" i="1"/>
  <c r="Y104" i="1"/>
  <c r="Z104" i="1"/>
  <c r="V105" i="1"/>
  <c r="Y105" i="1"/>
  <c r="Z105" i="1"/>
  <c r="V106" i="1"/>
  <c r="Y106" i="1"/>
  <c r="Z106" i="1"/>
  <c r="V107" i="1"/>
  <c r="Y107" i="1"/>
  <c r="Z107" i="1"/>
  <c r="V108" i="1"/>
  <c r="Y108" i="1"/>
  <c r="Z108" i="1"/>
  <c r="V109" i="1"/>
  <c r="Y109" i="1"/>
  <c r="Z109" i="1"/>
  <c r="V110" i="1"/>
  <c r="Y110" i="1"/>
  <c r="Z110" i="1"/>
  <c r="V111" i="1"/>
  <c r="Y111" i="1"/>
  <c r="Z111" i="1"/>
  <c r="V112" i="1"/>
  <c r="Y112" i="1"/>
  <c r="Z112" i="1"/>
  <c r="V113" i="1"/>
  <c r="Y113" i="1"/>
  <c r="Z113" i="1"/>
  <c r="V101" i="1"/>
  <c r="Y101" i="1"/>
  <c r="Z101" i="1"/>
  <c r="V102" i="1"/>
  <c r="Y102" i="1"/>
  <c r="Z102" i="1"/>
  <c r="V127" i="1"/>
  <c r="Y127" i="1"/>
  <c r="Z127" i="1"/>
  <c r="AB127" i="1"/>
  <c r="AC127" i="1"/>
  <c r="AD127" i="1"/>
  <c r="V128" i="1"/>
  <c r="Y128" i="1"/>
  <c r="Z128" i="1"/>
  <c r="AB128" i="1"/>
  <c r="AC128" i="1"/>
  <c r="AD128" i="1"/>
  <c r="V129" i="1"/>
  <c r="Y129" i="1"/>
  <c r="Z129" i="1"/>
  <c r="AB129" i="1"/>
  <c r="AC129" i="1"/>
  <c r="AD129" i="1"/>
  <c r="V130" i="1"/>
  <c r="Y130" i="1"/>
  <c r="Z130" i="1"/>
  <c r="AB130" i="1"/>
  <c r="AC130" i="1"/>
  <c r="AD130" i="1"/>
  <c r="V131" i="1"/>
  <c r="Y131" i="1"/>
  <c r="Z131" i="1"/>
  <c r="AB131" i="1"/>
  <c r="AC131" i="1"/>
  <c r="AD131" i="1"/>
  <c r="V132" i="1"/>
  <c r="Y132" i="1"/>
  <c r="Z132" i="1"/>
  <c r="AB132" i="1"/>
  <c r="AC132" i="1"/>
  <c r="AD132" i="1"/>
  <c r="V133" i="1"/>
  <c r="Y133" i="1"/>
  <c r="Z133" i="1"/>
  <c r="AB133" i="1"/>
  <c r="AC133" i="1"/>
  <c r="AD133" i="1"/>
  <c r="V134" i="1"/>
  <c r="Y134" i="1"/>
  <c r="Z134" i="1"/>
  <c r="AB134" i="1"/>
  <c r="AC134" i="1"/>
  <c r="AD134" i="1"/>
  <c r="V135" i="1"/>
  <c r="Y135" i="1"/>
  <c r="Z135" i="1"/>
  <c r="AB135" i="1"/>
  <c r="AC135" i="1"/>
  <c r="AD135" i="1"/>
  <c r="V136" i="1"/>
  <c r="Y136" i="1"/>
  <c r="Z136" i="1"/>
  <c r="AB136" i="1"/>
  <c r="AC136" i="1"/>
  <c r="AD136" i="1"/>
  <c r="X199" i="1" l="1"/>
  <c r="X198" i="1"/>
  <c r="AA198" i="1"/>
  <c r="AA199" i="1"/>
  <c r="AG199" i="1"/>
  <c r="AG198" i="1"/>
  <c r="AA131" i="1"/>
  <c r="AA127" i="1"/>
  <c r="X134" i="1"/>
  <c r="X132" i="1"/>
  <c r="X128" i="1"/>
  <c r="AA136" i="1"/>
  <c r="AA134" i="1"/>
  <c r="AA132" i="1"/>
  <c r="AA129" i="1"/>
  <c r="X133" i="1"/>
  <c r="X131" i="1"/>
  <c r="X129" i="1"/>
  <c r="AA135" i="1"/>
  <c r="AA130" i="1"/>
  <c r="AA128" i="1"/>
  <c r="X136" i="1"/>
  <c r="AA133" i="1"/>
  <c r="X130" i="1"/>
  <c r="X135" i="1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K15" i="1"/>
  <c r="L15" i="1"/>
  <c r="M15" i="1"/>
  <c r="N15" i="1" s="1"/>
  <c r="V15" i="1"/>
  <c r="Y15" i="1"/>
  <c r="Z15" i="1"/>
  <c r="AB15" i="1"/>
  <c r="AC15" i="1"/>
  <c r="AD15" i="1"/>
  <c r="AE15" i="1"/>
  <c r="AF15" i="1"/>
  <c r="AH15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AH16" i="1"/>
  <c r="K17" i="1"/>
  <c r="L17" i="1"/>
  <c r="M17" i="1"/>
  <c r="N17" i="1" s="1"/>
  <c r="V17" i="1"/>
  <c r="Y17" i="1"/>
  <c r="Z17" i="1"/>
  <c r="AB17" i="1"/>
  <c r="AC17" i="1"/>
  <c r="AD17" i="1"/>
  <c r="AG17" i="1" s="1"/>
  <c r="AE17" i="1"/>
  <c r="AF17" i="1"/>
  <c r="AH17" i="1"/>
  <c r="K18" i="1"/>
  <c r="L18" i="1"/>
  <c r="M18" i="1"/>
  <c r="N18" i="1" s="1"/>
  <c r="V18" i="1"/>
  <c r="Y18" i="1"/>
  <c r="Z18" i="1"/>
  <c r="AB18" i="1"/>
  <c r="AC18" i="1"/>
  <c r="AD18" i="1"/>
  <c r="AE18" i="1"/>
  <c r="AF18" i="1"/>
  <c r="AH18" i="1"/>
  <c r="K19" i="1"/>
  <c r="L19" i="1"/>
  <c r="M19" i="1"/>
  <c r="N19" i="1" s="1"/>
  <c r="V19" i="1"/>
  <c r="Y19" i="1"/>
  <c r="Z19" i="1"/>
  <c r="AB19" i="1"/>
  <c r="AC19" i="1"/>
  <c r="AD19" i="1"/>
  <c r="AE19" i="1"/>
  <c r="AF19" i="1"/>
  <c r="AH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AH20" i="1"/>
  <c r="K21" i="1"/>
  <c r="L21" i="1"/>
  <c r="M21" i="1"/>
  <c r="N21" i="1" s="1"/>
  <c r="V21" i="1"/>
  <c r="Y21" i="1"/>
  <c r="Z21" i="1"/>
  <c r="AB21" i="1"/>
  <c r="AC21" i="1"/>
  <c r="AD21" i="1"/>
  <c r="AG21" i="1" s="1"/>
  <c r="AE21" i="1"/>
  <c r="AF21" i="1"/>
  <c r="AH21" i="1"/>
  <c r="K22" i="1"/>
  <c r="L22" i="1"/>
  <c r="M22" i="1"/>
  <c r="N22" i="1" s="1"/>
  <c r="V22" i="1"/>
  <c r="Y22" i="1"/>
  <c r="Z22" i="1"/>
  <c r="AB22" i="1"/>
  <c r="AC22" i="1"/>
  <c r="AD22" i="1"/>
  <c r="AG22" i="1" s="1"/>
  <c r="AE22" i="1"/>
  <c r="AF22" i="1"/>
  <c r="AH22" i="1"/>
  <c r="K23" i="1"/>
  <c r="L23" i="1"/>
  <c r="M23" i="1"/>
  <c r="N23" i="1" s="1"/>
  <c r="V23" i="1"/>
  <c r="Y23" i="1"/>
  <c r="Z23" i="1"/>
  <c r="AB23" i="1"/>
  <c r="AC23" i="1"/>
  <c r="AD23" i="1"/>
  <c r="AE23" i="1"/>
  <c r="AF23" i="1"/>
  <c r="AH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AH24" i="1"/>
  <c r="K25" i="1"/>
  <c r="L25" i="1"/>
  <c r="M25" i="1"/>
  <c r="N25" i="1" s="1"/>
  <c r="V25" i="1"/>
  <c r="Y25" i="1"/>
  <c r="Z25" i="1"/>
  <c r="AB25" i="1"/>
  <c r="AC25" i="1"/>
  <c r="AD25" i="1"/>
  <c r="AG25" i="1" s="1"/>
  <c r="AE25" i="1"/>
  <c r="AF25" i="1"/>
  <c r="AH25" i="1"/>
  <c r="K26" i="1"/>
  <c r="L26" i="1"/>
  <c r="M26" i="1"/>
  <c r="N26" i="1" s="1"/>
  <c r="V26" i="1"/>
  <c r="Y26" i="1"/>
  <c r="Z26" i="1"/>
  <c r="AB26" i="1"/>
  <c r="AC26" i="1"/>
  <c r="AD26" i="1"/>
  <c r="AG26" i="1" s="1"/>
  <c r="AE26" i="1"/>
  <c r="AF26" i="1"/>
  <c r="AH26" i="1"/>
  <c r="K27" i="1"/>
  <c r="L27" i="1"/>
  <c r="M27" i="1"/>
  <c r="N27" i="1" s="1"/>
  <c r="V27" i="1"/>
  <c r="Y27" i="1"/>
  <c r="Z27" i="1"/>
  <c r="AB27" i="1"/>
  <c r="AC27" i="1"/>
  <c r="AD27" i="1"/>
  <c r="AE27" i="1"/>
  <c r="AF27" i="1"/>
  <c r="AH27" i="1"/>
  <c r="K28" i="1"/>
  <c r="L28" i="1"/>
  <c r="M28" i="1"/>
  <c r="N28" i="1" s="1"/>
  <c r="V28" i="1"/>
  <c r="Y28" i="1"/>
  <c r="Z28" i="1"/>
  <c r="AB28" i="1"/>
  <c r="AC28" i="1"/>
  <c r="AD28" i="1"/>
  <c r="AE28" i="1"/>
  <c r="AF28" i="1"/>
  <c r="AH28" i="1"/>
  <c r="K29" i="1"/>
  <c r="L29" i="1"/>
  <c r="M29" i="1"/>
  <c r="N29" i="1" s="1"/>
  <c r="V29" i="1"/>
  <c r="Y29" i="1"/>
  <c r="Z29" i="1"/>
  <c r="AB29" i="1"/>
  <c r="AC29" i="1"/>
  <c r="AD29" i="1"/>
  <c r="AG29" i="1" s="1"/>
  <c r="AE29" i="1"/>
  <c r="AF29" i="1"/>
  <c r="AH29" i="1"/>
  <c r="K30" i="1"/>
  <c r="L30" i="1"/>
  <c r="M30" i="1"/>
  <c r="N30" i="1" s="1"/>
  <c r="V30" i="1"/>
  <c r="Y30" i="1"/>
  <c r="Z30" i="1"/>
  <c r="AB30" i="1"/>
  <c r="AC30" i="1"/>
  <c r="AD30" i="1"/>
  <c r="AG30" i="1" s="1"/>
  <c r="AE30" i="1"/>
  <c r="AF30" i="1"/>
  <c r="AH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AH31" i="1"/>
  <c r="K32" i="1"/>
  <c r="L32" i="1"/>
  <c r="M32" i="1"/>
  <c r="N32" i="1" s="1"/>
  <c r="V32" i="1"/>
  <c r="Y32" i="1"/>
  <c r="Z32" i="1"/>
  <c r="AB32" i="1"/>
  <c r="AC32" i="1"/>
  <c r="AD32" i="1"/>
  <c r="AE32" i="1"/>
  <c r="AF32" i="1"/>
  <c r="AH32" i="1"/>
  <c r="K33" i="1"/>
  <c r="L33" i="1"/>
  <c r="M33" i="1"/>
  <c r="N33" i="1" s="1"/>
  <c r="V33" i="1"/>
  <c r="Y33" i="1"/>
  <c r="Z33" i="1"/>
  <c r="AB33" i="1"/>
  <c r="AC33" i="1"/>
  <c r="AD33" i="1"/>
  <c r="AG33" i="1" s="1"/>
  <c r="AE33" i="1"/>
  <c r="AF33" i="1"/>
  <c r="AH33" i="1"/>
  <c r="K34" i="1"/>
  <c r="L34" i="1"/>
  <c r="M34" i="1"/>
  <c r="N34" i="1" s="1"/>
  <c r="V34" i="1"/>
  <c r="Y34" i="1"/>
  <c r="Z34" i="1"/>
  <c r="AB34" i="1"/>
  <c r="AC34" i="1"/>
  <c r="AD34" i="1"/>
  <c r="AE34" i="1"/>
  <c r="AF34" i="1"/>
  <c r="AH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AH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AH36" i="1"/>
  <c r="K37" i="1"/>
  <c r="L37" i="1"/>
  <c r="M37" i="1"/>
  <c r="N37" i="1" s="1"/>
  <c r="V37" i="1"/>
  <c r="Y37" i="1"/>
  <c r="Z37" i="1"/>
  <c r="AB37" i="1"/>
  <c r="AC37" i="1"/>
  <c r="AD37" i="1"/>
  <c r="AG37" i="1" s="1"/>
  <c r="AE37" i="1"/>
  <c r="AF37" i="1"/>
  <c r="AH37" i="1"/>
  <c r="K38" i="1"/>
  <c r="L38" i="1"/>
  <c r="M38" i="1"/>
  <c r="N38" i="1" s="1"/>
  <c r="V38" i="1"/>
  <c r="Y38" i="1"/>
  <c r="Z38" i="1"/>
  <c r="AB38" i="1"/>
  <c r="AC38" i="1"/>
  <c r="AD38" i="1"/>
  <c r="AE38" i="1"/>
  <c r="AF38" i="1"/>
  <c r="AH38" i="1"/>
  <c r="K39" i="1"/>
  <c r="L39" i="1"/>
  <c r="M39" i="1"/>
  <c r="N39" i="1" s="1"/>
  <c r="V39" i="1"/>
  <c r="Y39" i="1"/>
  <c r="Z39" i="1"/>
  <c r="AB39" i="1"/>
  <c r="AC39" i="1"/>
  <c r="AD39" i="1"/>
  <c r="AG39" i="1" s="1"/>
  <c r="AE39" i="1"/>
  <c r="AF39" i="1"/>
  <c r="AH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AH40" i="1"/>
  <c r="K41" i="1"/>
  <c r="L41" i="1"/>
  <c r="M41" i="1"/>
  <c r="N41" i="1" s="1"/>
  <c r="V41" i="1"/>
  <c r="Y41" i="1"/>
  <c r="Z41" i="1"/>
  <c r="AB41" i="1"/>
  <c r="AC41" i="1"/>
  <c r="AD41" i="1"/>
  <c r="AG41" i="1" s="1"/>
  <c r="AE41" i="1"/>
  <c r="AF41" i="1"/>
  <c r="AH41" i="1"/>
  <c r="K42" i="1"/>
  <c r="L42" i="1"/>
  <c r="M42" i="1"/>
  <c r="N42" i="1" s="1"/>
  <c r="V42" i="1"/>
  <c r="Y42" i="1"/>
  <c r="Z42" i="1"/>
  <c r="AB42" i="1"/>
  <c r="AC42" i="1"/>
  <c r="AD42" i="1"/>
  <c r="AE42" i="1"/>
  <c r="AF42" i="1"/>
  <c r="AH42" i="1"/>
  <c r="K43" i="1"/>
  <c r="L43" i="1"/>
  <c r="M43" i="1"/>
  <c r="N43" i="1" s="1"/>
  <c r="V43" i="1"/>
  <c r="Y43" i="1"/>
  <c r="Z43" i="1"/>
  <c r="AB43" i="1"/>
  <c r="AC43" i="1"/>
  <c r="AD43" i="1"/>
  <c r="AG43" i="1" s="1"/>
  <c r="AE43" i="1"/>
  <c r="AF43" i="1"/>
  <c r="AH43" i="1"/>
  <c r="K44" i="1"/>
  <c r="L44" i="1"/>
  <c r="M44" i="1"/>
  <c r="N44" i="1" s="1"/>
  <c r="V44" i="1"/>
  <c r="Y44" i="1"/>
  <c r="Z44" i="1"/>
  <c r="AB44" i="1"/>
  <c r="AC44" i="1"/>
  <c r="AD44" i="1"/>
  <c r="AE44" i="1"/>
  <c r="AF44" i="1"/>
  <c r="AH44" i="1"/>
  <c r="K45" i="1"/>
  <c r="L45" i="1"/>
  <c r="M45" i="1"/>
  <c r="N45" i="1" s="1"/>
  <c r="V45" i="1"/>
  <c r="Y45" i="1"/>
  <c r="Z45" i="1"/>
  <c r="AB45" i="1"/>
  <c r="AC45" i="1"/>
  <c r="AD45" i="1"/>
  <c r="AG45" i="1" s="1"/>
  <c r="AE45" i="1"/>
  <c r="AF45" i="1"/>
  <c r="AH45" i="1"/>
  <c r="K46" i="1"/>
  <c r="L46" i="1"/>
  <c r="M46" i="1"/>
  <c r="N46" i="1" s="1"/>
  <c r="V46" i="1"/>
  <c r="Y46" i="1"/>
  <c r="Z46" i="1"/>
  <c r="AB46" i="1"/>
  <c r="AC46" i="1"/>
  <c r="AD46" i="1"/>
  <c r="AE46" i="1"/>
  <c r="AF46" i="1"/>
  <c r="AH46" i="1"/>
  <c r="K47" i="1"/>
  <c r="L47" i="1"/>
  <c r="M47" i="1"/>
  <c r="N47" i="1" s="1"/>
  <c r="V47" i="1"/>
  <c r="Y47" i="1"/>
  <c r="Z47" i="1"/>
  <c r="AB47" i="1"/>
  <c r="AC47" i="1"/>
  <c r="AD47" i="1"/>
  <c r="AG47" i="1" s="1"/>
  <c r="AE47" i="1"/>
  <c r="AF47" i="1"/>
  <c r="AH47" i="1"/>
  <c r="K48" i="1"/>
  <c r="L48" i="1"/>
  <c r="M48" i="1"/>
  <c r="N48" i="1" s="1"/>
  <c r="V48" i="1"/>
  <c r="Y48" i="1"/>
  <c r="Z48" i="1"/>
  <c r="AB48" i="1"/>
  <c r="AC48" i="1"/>
  <c r="AD48" i="1"/>
  <c r="AE48" i="1"/>
  <c r="AF48" i="1"/>
  <c r="AH48" i="1"/>
  <c r="K49" i="1"/>
  <c r="L49" i="1"/>
  <c r="M49" i="1"/>
  <c r="P49" i="1" s="1"/>
  <c r="V49" i="1"/>
  <c r="Y49" i="1"/>
  <c r="Z49" i="1"/>
  <c r="AB49" i="1"/>
  <c r="AC49" i="1"/>
  <c r="AD49" i="1"/>
  <c r="AG49" i="1" s="1"/>
  <c r="AE49" i="1"/>
  <c r="AF49" i="1"/>
  <c r="AH49" i="1"/>
  <c r="K50" i="1"/>
  <c r="L50" i="1"/>
  <c r="M50" i="1"/>
  <c r="N50" i="1" s="1"/>
  <c r="V50" i="1"/>
  <c r="Y50" i="1"/>
  <c r="Z50" i="1"/>
  <c r="AB50" i="1"/>
  <c r="AC50" i="1"/>
  <c r="AD50" i="1"/>
  <c r="AG50" i="1" s="1"/>
  <c r="AE50" i="1"/>
  <c r="AF50" i="1"/>
  <c r="AH50" i="1"/>
  <c r="K51" i="1"/>
  <c r="L51" i="1"/>
  <c r="M51" i="1"/>
  <c r="N51" i="1" s="1"/>
  <c r="V51" i="1"/>
  <c r="Y51" i="1"/>
  <c r="Z51" i="1"/>
  <c r="AB51" i="1"/>
  <c r="AC51" i="1"/>
  <c r="AD51" i="1"/>
  <c r="AG51" i="1" s="1"/>
  <c r="AE51" i="1"/>
  <c r="AF51" i="1"/>
  <c r="AH51" i="1"/>
  <c r="K52" i="1"/>
  <c r="L52" i="1"/>
  <c r="M52" i="1"/>
  <c r="N52" i="1" s="1"/>
  <c r="V52" i="1"/>
  <c r="Y52" i="1"/>
  <c r="Z52" i="1"/>
  <c r="AB52" i="1"/>
  <c r="AC52" i="1"/>
  <c r="AD52" i="1"/>
  <c r="AG52" i="1" s="1"/>
  <c r="AE52" i="1"/>
  <c r="AF52" i="1"/>
  <c r="AH52" i="1"/>
  <c r="K53" i="1"/>
  <c r="L53" i="1"/>
  <c r="M53" i="1"/>
  <c r="N53" i="1" s="1"/>
  <c r="V53" i="1"/>
  <c r="Y53" i="1"/>
  <c r="Z53" i="1"/>
  <c r="AB53" i="1"/>
  <c r="AC53" i="1"/>
  <c r="AD53" i="1"/>
  <c r="AG53" i="1" s="1"/>
  <c r="AE53" i="1"/>
  <c r="AF53" i="1"/>
  <c r="AH53" i="1"/>
  <c r="K54" i="1"/>
  <c r="L54" i="1"/>
  <c r="M54" i="1"/>
  <c r="N54" i="1" s="1"/>
  <c r="V54" i="1"/>
  <c r="Y54" i="1"/>
  <c r="Z54" i="1"/>
  <c r="AB54" i="1"/>
  <c r="AC54" i="1"/>
  <c r="AD54" i="1"/>
  <c r="AE54" i="1"/>
  <c r="AF54" i="1"/>
  <c r="AH54" i="1"/>
  <c r="K55" i="1"/>
  <c r="L55" i="1"/>
  <c r="M55" i="1"/>
  <c r="N55" i="1" s="1"/>
  <c r="V55" i="1"/>
  <c r="Y55" i="1"/>
  <c r="Z55" i="1"/>
  <c r="AB55" i="1"/>
  <c r="AC55" i="1"/>
  <c r="AD55" i="1"/>
  <c r="AE55" i="1"/>
  <c r="AF55" i="1"/>
  <c r="AH55" i="1"/>
  <c r="K56" i="1"/>
  <c r="L56" i="1"/>
  <c r="M56" i="1"/>
  <c r="N56" i="1" s="1"/>
  <c r="V56" i="1"/>
  <c r="Y56" i="1"/>
  <c r="AA56" i="1" s="1"/>
  <c r="AB56" i="1"/>
  <c r="AC56" i="1"/>
  <c r="AD56" i="1"/>
  <c r="AE56" i="1"/>
  <c r="AF56" i="1"/>
  <c r="AH56" i="1"/>
  <c r="K57" i="1"/>
  <c r="L57" i="1"/>
  <c r="M57" i="1"/>
  <c r="N57" i="1" s="1"/>
  <c r="V57" i="1"/>
  <c r="Y57" i="1"/>
  <c r="Z57" i="1"/>
  <c r="AB57" i="1"/>
  <c r="AC57" i="1"/>
  <c r="AD57" i="1"/>
  <c r="X57" i="1" s="1"/>
  <c r="AE57" i="1"/>
  <c r="AF57" i="1"/>
  <c r="AH57" i="1"/>
  <c r="K58" i="1"/>
  <c r="L58" i="1"/>
  <c r="M58" i="1"/>
  <c r="N58" i="1" s="1"/>
  <c r="V58" i="1"/>
  <c r="Y58" i="1"/>
  <c r="Z58" i="1"/>
  <c r="AB58" i="1"/>
  <c r="AC58" i="1"/>
  <c r="AD58" i="1"/>
  <c r="AE58" i="1"/>
  <c r="AF58" i="1"/>
  <c r="AH58" i="1"/>
  <c r="K59" i="1"/>
  <c r="L59" i="1"/>
  <c r="M59" i="1"/>
  <c r="N59" i="1" s="1"/>
  <c r="V59" i="1"/>
  <c r="Y59" i="1"/>
  <c r="Z59" i="1"/>
  <c r="AB59" i="1"/>
  <c r="AC59" i="1"/>
  <c r="AD59" i="1"/>
  <c r="X59" i="1" s="1"/>
  <c r="AE59" i="1"/>
  <c r="AF59" i="1"/>
  <c r="AH59" i="1"/>
  <c r="K60" i="1"/>
  <c r="L60" i="1"/>
  <c r="M60" i="1"/>
  <c r="N60" i="1" s="1"/>
  <c r="V60" i="1"/>
  <c r="Y60" i="1"/>
  <c r="Z60" i="1"/>
  <c r="AB60" i="1"/>
  <c r="AC60" i="1"/>
  <c r="AD60" i="1"/>
  <c r="AE60" i="1"/>
  <c r="AF60" i="1"/>
  <c r="AH60" i="1"/>
  <c r="K61" i="1"/>
  <c r="L61" i="1"/>
  <c r="M61" i="1"/>
  <c r="N61" i="1" s="1"/>
  <c r="V61" i="1"/>
  <c r="Y61" i="1"/>
  <c r="Z61" i="1"/>
  <c r="AB61" i="1"/>
  <c r="AC61" i="1"/>
  <c r="AD61" i="1"/>
  <c r="AE61" i="1"/>
  <c r="AF61" i="1"/>
  <c r="AH61" i="1"/>
  <c r="K62" i="1"/>
  <c r="L62" i="1"/>
  <c r="M62" i="1"/>
  <c r="N62" i="1" s="1"/>
  <c r="V62" i="1"/>
  <c r="Y62" i="1"/>
  <c r="Z62" i="1"/>
  <c r="AB62" i="1"/>
  <c r="AC62" i="1"/>
  <c r="AD62" i="1"/>
  <c r="AG62" i="1" s="1"/>
  <c r="AE62" i="1"/>
  <c r="AF62" i="1"/>
  <c r="AH62" i="1"/>
  <c r="K63" i="1"/>
  <c r="L63" i="1"/>
  <c r="M63" i="1"/>
  <c r="N63" i="1" s="1"/>
  <c r="V63" i="1"/>
  <c r="Y63" i="1"/>
  <c r="Z63" i="1"/>
  <c r="AB63" i="1"/>
  <c r="AC63" i="1"/>
  <c r="AD63" i="1"/>
  <c r="AE63" i="1"/>
  <c r="AF63" i="1"/>
  <c r="AH63" i="1"/>
  <c r="K64" i="1"/>
  <c r="L64" i="1"/>
  <c r="M64" i="1"/>
  <c r="N64" i="1" s="1"/>
  <c r="V64" i="1"/>
  <c r="Y64" i="1"/>
  <c r="Z64" i="1"/>
  <c r="AB64" i="1"/>
  <c r="AC64" i="1"/>
  <c r="AD64" i="1"/>
  <c r="AG64" i="1" s="1"/>
  <c r="AE64" i="1"/>
  <c r="AF64" i="1"/>
  <c r="AH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AH65" i="1"/>
  <c r="K66" i="1"/>
  <c r="L66" i="1"/>
  <c r="M66" i="1"/>
  <c r="N66" i="1" s="1"/>
  <c r="V66" i="1"/>
  <c r="Y66" i="1"/>
  <c r="Z66" i="1"/>
  <c r="AB66" i="1"/>
  <c r="AC66" i="1"/>
  <c r="AD66" i="1"/>
  <c r="AG66" i="1" s="1"/>
  <c r="AE66" i="1"/>
  <c r="AF66" i="1"/>
  <c r="AH66" i="1"/>
  <c r="K67" i="1"/>
  <c r="L67" i="1"/>
  <c r="M67" i="1"/>
  <c r="N67" i="1" s="1"/>
  <c r="V67" i="1"/>
  <c r="Y67" i="1"/>
  <c r="Z67" i="1"/>
  <c r="AB67" i="1"/>
  <c r="AC67" i="1"/>
  <c r="AD67" i="1"/>
  <c r="AE67" i="1"/>
  <c r="AF67" i="1"/>
  <c r="AH67" i="1"/>
  <c r="K68" i="1"/>
  <c r="L68" i="1"/>
  <c r="M68" i="1"/>
  <c r="N68" i="1" s="1"/>
  <c r="V68" i="1"/>
  <c r="Y68" i="1"/>
  <c r="Z68" i="1"/>
  <c r="AB68" i="1"/>
  <c r="AC68" i="1"/>
  <c r="AD68" i="1"/>
  <c r="AG68" i="1" s="1"/>
  <c r="AE68" i="1"/>
  <c r="AF68" i="1"/>
  <c r="AH68" i="1"/>
  <c r="K69" i="1"/>
  <c r="L69" i="1"/>
  <c r="M69" i="1"/>
  <c r="N69" i="1" s="1"/>
  <c r="V69" i="1"/>
  <c r="Y69" i="1"/>
  <c r="Z69" i="1"/>
  <c r="AB69" i="1"/>
  <c r="AC69" i="1"/>
  <c r="AD69" i="1"/>
  <c r="AE69" i="1"/>
  <c r="AF69" i="1"/>
  <c r="AH69" i="1"/>
  <c r="K70" i="1"/>
  <c r="L70" i="1"/>
  <c r="M70" i="1"/>
  <c r="N70" i="1" s="1"/>
  <c r="V70" i="1"/>
  <c r="Y70" i="1"/>
  <c r="Z70" i="1"/>
  <c r="AB70" i="1"/>
  <c r="AC70" i="1"/>
  <c r="AD70" i="1"/>
  <c r="T70" i="1" s="1"/>
  <c r="AE70" i="1"/>
  <c r="AF70" i="1"/>
  <c r="AH70" i="1"/>
  <c r="K71" i="1"/>
  <c r="L71" i="1"/>
  <c r="M71" i="1"/>
  <c r="N71" i="1" s="1"/>
  <c r="V71" i="1"/>
  <c r="Y71" i="1"/>
  <c r="Z71" i="1"/>
  <c r="AB71" i="1"/>
  <c r="AC71" i="1"/>
  <c r="AD71" i="1"/>
  <c r="T71" i="1" s="1"/>
  <c r="AE71" i="1"/>
  <c r="AF71" i="1"/>
  <c r="AH71" i="1"/>
  <c r="K72" i="1"/>
  <c r="L72" i="1"/>
  <c r="M72" i="1"/>
  <c r="N72" i="1" s="1"/>
  <c r="V72" i="1"/>
  <c r="Y72" i="1"/>
  <c r="Z72" i="1"/>
  <c r="AB72" i="1"/>
  <c r="AC72" i="1"/>
  <c r="AD72" i="1"/>
  <c r="T72" i="1" s="1"/>
  <c r="AE72" i="1"/>
  <c r="AF72" i="1"/>
  <c r="AH72" i="1"/>
  <c r="K73" i="1"/>
  <c r="L73" i="1"/>
  <c r="M73" i="1"/>
  <c r="N73" i="1" s="1"/>
  <c r="V73" i="1"/>
  <c r="Y73" i="1"/>
  <c r="Z73" i="1"/>
  <c r="AB73" i="1"/>
  <c r="AC73" i="1"/>
  <c r="AD73" i="1"/>
  <c r="T73" i="1" s="1"/>
  <c r="AE73" i="1"/>
  <c r="AF73" i="1"/>
  <c r="AH73" i="1"/>
  <c r="K74" i="1"/>
  <c r="L74" i="1"/>
  <c r="M74" i="1"/>
  <c r="N74" i="1" s="1"/>
  <c r="V74" i="1"/>
  <c r="Y74" i="1"/>
  <c r="Z74" i="1"/>
  <c r="AB74" i="1"/>
  <c r="AC74" i="1"/>
  <c r="AD74" i="1"/>
  <c r="AE74" i="1"/>
  <c r="AF74" i="1"/>
  <c r="AH74" i="1"/>
  <c r="K75" i="1"/>
  <c r="L75" i="1"/>
  <c r="M75" i="1"/>
  <c r="N75" i="1" s="1"/>
  <c r="V75" i="1"/>
  <c r="Y75" i="1"/>
  <c r="Z75" i="1"/>
  <c r="AB75" i="1"/>
  <c r="AC75" i="1"/>
  <c r="AD75" i="1"/>
  <c r="X75" i="1" s="1"/>
  <c r="AE75" i="1"/>
  <c r="AF75" i="1"/>
  <c r="AH75" i="1"/>
  <c r="K76" i="1"/>
  <c r="L76" i="1"/>
  <c r="M76" i="1"/>
  <c r="N76" i="1" s="1"/>
  <c r="V76" i="1"/>
  <c r="Y76" i="1"/>
  <c r="Z76" i="1"/>
  <c r="AB76" i="1"/>
  <c r="AC76" i="1"/>
  <c r="AD76" i="1"/>
  <c r="X76" i="1" s="1"/>
  <c r="AE76" i="1"/>
  <c r="AF76" i="1"/>
  <c r="AH76" i="1"/>
  <c r="K77" i="1"/>
  <c r="L77" i="1"/>
  <c r="M77" i="1"/>
  <c r="N77" i="1" s="1"/>
  <c r="V77" i="1"/>
  <c r="Y77" i="1"/>
  <c r="Z77" i="1"/>
  <c r="AB77" i="1"/>
  <c r="AC77" i="1"/>
  <c r="AD77" i="1"/>
  <c r="AE77" i="1"/>
  <c r="AF77" i="1"/>
  <c r="AH77" i="1"/>
  <c r="K78" i="1"/>
  <c r="L78" i="1"/>
  <c r="M78" i="1"/>
  <c r="N78" i="1" s="1"/>
  <c r="V78" i="1"/>
  <c r="Y78" i="1"/>
  <c r="Z78" i="1"/>
  <c r="AB78" i="1"/>
  <c r="AC78" i="1"/>
  <c r="AD78" i="1"/>
  <c r="T78" i="1" s="1"/>
  <c r="AE78" i="1"/>
  <c r="AF78" i="1"/>
  <c r="AH78" i="1"/>
  <c r="K79" i="1"/>
  <c r="L79" i="1"/>
  <c r="M79" i="1"/>
  <c r="N79" i="1" s="1"/>
  <c r="V79" i="1"/>
  <c r="Y79" i="1"/>
  <c r="Z79" i="1"/>
  <c r="AB79" i="1"/>
  <c r="AC79" i="1"/>
  <c r="AD79" i="1"/>
  <c r="T79" i="1" s="1"/>
  <c r="AE79" i="1"/>
  <c r="AF79" i="1"/>
  <c r="AH79" i="1"/>
  <c r="K80" i="1"/>
  <c r="L80" i="1"/>
  <c r="M80" i="1"/>
  <c r="N80" i="1" s="1"/>
  <c r="V80" i="1"/>
  <c r="Y80" i="1"/>
  <c r="Z80" i="1"/>
  <c r="AB80" i="1"/>
  <c r="AC80" i="1"/>
  <c r="AD80" i="1"/>
  <c r="T80" i="1" s="1"/>
  <c r="AE80" i="1"/>
  <c r="AF80" i="1"/>
  <c r="AH80" i="1"/>
  <c r="K81" i="1"/>
  <c r="L81" i="1"/>
  <c r="M81" i="1"/>
  <c r="N81" i="1" s="1"/>
  <c r="V81" i="1"/>
  <c r="Y81" i="1"/>
  <c r="Z81" i="1"/>
  <c r="AB81" i="1"/>
  <c r="AC81" i="1"/>
  <c r="AD81" i="1"/>
  <c r="T81" i="1" s="1"/>
  <c r="AE81" i="1"/>
  <c r="AF81" i="1"/>
  <c r="AH81" i="1"/>
  <c r="K82" i="1"/>
  <c r="L82" i="1"/>
  <c r="M82" i="1"/>
  <c r="N82" i="1" s="1"/>
  <c r="V82" i="1"/>
  <c r="Y82" i="1"/>
  <c r="Z82" i="1"/>
  <c r="AB82" i="1"/>
  <c r="AC82" i="1"/>
  <c r="AD82" i="1"/>
  <c r="AG82" i="1" s="1"/>
  <c r="AE82" i="1"/>
  <c r="AF82" i="1"/>
  <c r="AH82" i="1"/>
  <c r="K83" i="1"/>
  <c r="L83" i="1"/>
  <c r="M83" i="1"/>
  <c r="N83" i="1" s="1"/>
  <c r="V83" i="1"/>
  <c r="Y83" i="1"/>
  <c r="Z83" i="1"/>
  <c r="AB83" i="1"/>
  <c r="AC83" i="1"/>
  <c r="AD83" i="1"/>
  <c r="AG83" i="1" s="1"/>
  <c r="AE83" i="1"/>
  <c r="AF83" i="1"/>
  <c r="AH83" i="1"/>
  <c r="K84" i="1"/>
  <c r="L84" i="1"/>
  <c r="M84" i="1"/>
  <c r="N84" i="1" s="1"/>
  <c r="V84" i="1"/>
  <c r="Y84" i="1"/>
  <c r="Z84" i="1"/>
  <c r="AB84" i="1"/>
  <c r="AC84" i="1"/>
  <c r="AD84" i="1"/>
  <c r="AG84" i="1" s="1"/>
  <c r="AE84" i="1"/>
  <c r="AF84" i="1"/>
  <c r="AH84" i="1"/>
  <c r="K85" i="1"/>
  <c r="L85" i="1"/>
  <c r="M85" i="1"/>
  <c r="N85" i="1" s="1"/>
  <c r="V85" i="1"/>
  <c r="Y85" i="1"/>
  <c r="Z85" i="1"/>
  <c r="AB85" i="1"/>
  <c r="AC85" i="1"/>
  <c r="AD85" i="1"/>
  <c r="AG85" i="1" s="1"/>
  <c r="AE85" i="1"/>
  <c r="AF85" i="1"/>
  <c r="AH85" i="1"/>
  <c r="K86" i="1"/>
  <c r="L86" i="1"/>
  <c r="M86" i="1"/>
  <c r="N86" i="1" s="1"/>
  <c r="V86" i="1"/>
  <c r="Y86" i="1"/>
  <c r="Z86" i="1"/>
  <c r="AB86" i="1"/>
  <c r="AC86" i="1"/>
  <c r="AD86" i="1"/>
  <c r="AG86" i="1" s="1"/>
  <c r="AE86" i="1"/>
  <c r="AF86" i="1"/>
  <c r="AH86" i="1"/>
  <c r="K87" i="1"/>
  <c r="L87" i="1"/>
  <c r="M87" i="1"/>
  <c r="N87" i="1" s="1"/>
  <c r="V87" i="1"/>
  <c r="Y87" i="1"/>
  <c r="Z87" i="1"/>
  <c r="AB87" i="1"/>
  <c r="AC87" i="1"/>
  <c r="AD87" i="1"/>
  <c r="AG87" i="1" s="1"/>
  <c r="AE87" i="1"/>
  <c r="AF87" i="1"/>
  <c r="AH87" i="1"/>
  <c r="K88" i="1"/>
  <c r="L88" i="1"/>
  <c r="M88" i="1"/>
  <c r="N88" i="1" s="1"/>
  <c r="V88" i="1"/>
  <c r="Y88" i="1"/>
  <c r="Z88" i="1"/>
  <c r="AB88" i="1"/>
  <c r="AC88" i="1"/>
  <c r="AD88" i="1"/>
  <c r="AG88" i="1" s="1"/>
  <c r="AE88" i="1"/>
  <c r="AF88" i="1"/>
  <c r="AH88" i="1"/>
  <c r="K89" i="1"/>
  <c r="L89" i="1"/>
  <c r="M89" i="1"/>
  <c r="V89" i="1"/>
  <c r="Y89" i="1"/>
  <c r="Z89" i="1"/>
  <c r="AB89" i="1"/>
  <c r="AC89" i="1"/>
  <c r="AD89" i="1"/>
  <c r="AG89" i="1" s="1"/>
  <c r="AE89" i="1"/>
  <c r="AF89" i="1"/>
  <c r="AH89" i="1"/>
  <c r="K90" i="1"/>
  <c r="L90" i="1"/>
  <c r="M90" i="1"/>
  <c r="V90" i="1"/>
  <c r="Y90" i="1"/>
  <c r="Z90" i="1"/>
  <c r="AB90" i="1"/>
  <c r="AC90" i="1"/>
  <c r="AD90" i="1"/>
  <c r="AG90" i="1" s="1"/>
  <c r="AE90" i="1"/>
  <c r="AF90" i="1"/>
  <c r="AH90" i="1"/>
  <c r="K91" i="1"/>
  <c r="L91" i="1"/>
  <c r="M91" i="1"/>
  <c r="N91" i="1" s="1"/>
  <c r="V91" i="1"/>
  <c r="Y91" i="1"/>
  <c r="Z91" i="1"/>
  <c r="AB91" i="1"/>
  <c r="AC91" i="1"/>
  <c r="AD91" i="1"/>
  <c r="AG91" i="1" s="1"/>
  <c r="AE91" i="1"/>
  <c r="AF91" i="1"/>
  <c r="AH91" i="1"/>
  <c r="K92" i="1"/>
  <c r="L92" i="1"/>
  <c r="M92" i="1"/>
  <c r="V92" i="1"/>
  <c r="Y92" i="1"/>
  <c r="Z92" i="1"/>
  <c r="AB92" i="1"/>
  <c r="AC92" i="1"/>
  <c r="AD92" i="1"/>
  <c r="AG92" i="1" s="1"/>
  <c r="AE92" i="1"/>
  <c r="AF92" i="1"/>
  <c r="AH92" i="1"/>
  <c r="K93" i="1"/>
  <c r="L93" i="1"/>
  <c r="M93" i="1"/>
  <c r="V93" i="1"/>
  <c r="Y93" i="1"/>
  <c r="Z93" i="1"/>
  <c r="AB93" i="1"/>
  <c r="AC93" i="1"/>
  <c r="AD93" i="1"/>
  <c r="AG93" i="1" s="1"/>
  <c r="AE93" i="1"/>
  <c r="AF93" i="1"/>
  <c r="AH93" i="1"/>
  <c r="K94" i="1"/>
  <c r="L94" i="1"/>
  <c r="M94" i="1"/>
  <c r="N94" i="1" s="1"/>
  <c r="V94" i="1"/>
  <c r="Y94" i="1"/>
  <c r="Z94" i="1"/>
  <c r="AB94" i="1"/>
  <c r="AC94" i="1"/>
  <c r="AD94" i="1"/>
  <c r="AG94" i="1" s="1"/>
  <c r="AE94" i="1"/>
  <c r="AF94" i="1"/>
  <c r="AH94" i="1"/>
  <c r="K95" i="1"/>
  <c r="L95" i="1"/>
  <c r="M95" i="1"/>
  <c r="P95" i="1" s="1"/>
  <c r="V95" i="1"/>
  <c r="Y95" i="1"/>
  <c r="Z95" i="1"/>
  <c r="AB95" i="1"/>
  <c r="AC95" i="1"/>
  <c r="AD95" i="1"/>
  <c r="AG95" i="1" s="1"/>
  <c r="AE95" i="1"/>
  <c r="AF95" i="1"/>
  <c r="AH95" i="1"/>
  <c r="K96" i="1"/>
  <c r="L96" i="1"/>
  <c r="M96" i="1"/>
  <c r="N96" i="1" s="1"/>
  <c r="V96" i="1"/>
  <c r="Y96" i="1"/>
  <c r="Z96" i="1"/>
  <c r="AB96" i="1"/>
  <c r="AC96" i="1"/>
  <c r="AD96" i="1"/>
  <c r="AG96" i="1" s="1"/>
  <c r="AE96" i="1"/>
  <c r="AF96" i="1"/>
  <c r="AH96" i="1"/>
  <c r="K97" i="1"/>
  <c r="L97" i="1"/>
  <c r="M97" i="1"/>
  <c r="N97" i="1" s="1"/>
  <c r="V97" i="1"/>
  <c r="Y97" i="1"/>
  <c r="Z97" i="1"/>
  <c r="AB97" i="1"/>
  <c r="AC97" i="1"/>
  <c r="AD97" i="1"/>
  <c r="AG97" i="1" s="1"/>
  <c r="AE97" i="1"/>
  <c r="AF97" i="1"/>
  <c r="AH97" i="1"/>
  <c r="K98" i="1"/>
  <c r="L98" i="1"/>
  <c r="M98" i="1"/>
  <c r="N98" i="1" s="1"/>
  <c r="V98" i="1"/>
  <c r="Y98" i="1"/>
  <c r="Z98" i="1"/>
  <c r="AB98" i="1"/>
  <c r="AC98" i="1"/>
  <c r="AD98" i="1"/>
  <c r="AG98" i="1" s="1"/>
  <c r="AE98" i="1"/>
  <c r="AF98" i="1"/>
  <c r="AH98" i="1"/>
  <c r="K99" i="1"/>
  <c r="L99" i="1"/>
  <c r="M99" i="1"/>
  <c r="N99" i="1" s="1"/>
  <c r="V99" i="1"/>
  <c r="Y99" i="1"/>
  <c r="Z99" i="1"/>
  <c r="AB99" i="1"/>
  <c r="AC99" i="1"/>
  <c r="AD99" i="1"/>
  <c r="AG99" i="1" s="1"/>
  <c r="AE99" i="1"/>
  <c r="AF99" i="1"/>
  <c r="AH99" i="1"/>
  <c r="K100" i="1"/>
  <c r="L100" i="1"/>
  <c r="M100" i="1"/>
  <c r="N100" i="1" s="1"/>
  <c r="V100" i="1"/>
  <c r="Y100" i="1"/>
  <c r="Z100" i="1"/>
  <c r="AB100" i="1"/>
  <c r="AC100" i="1"/>
  <c r="AD100" i="1"/>
  <c r="AG100" i="1" s="1"/>
  <c r="AE100" i="1"/>
  <c r="AF100" i="1"/>
  <c r="AH100" i="1"/>
  <c r="K101" i="1"/>
  <c r="L101" i="1"/>
  <c r="M101" i="1"/>
  <c r="N101" i="1" s="1"/>
  <c r="AA101" i="1"/>
  <c r="AB101" i="1"/>
  <c r="AC101" i="1"/>
  <c r="AD101" i="1"/>
  <c r="AE101" i="1"/>
  <c r="AF101" i="1"/>
  <c r="AH101" i="1"/>
  <c r="K102" i="1"/>
  <c r="L102" i="1"/>
  <c r="M102" i="1"/>
  <c r="N102" i="1" s="1"/>
  <c r="AB102" i="1"/>
  <c r="AC102" i="1"/>
  <c r="AD102" i="1"/>
  <c r="AE102" i="1"/>
  <c r="AF102" i="1"/>
  <c r="AH102" i="1"/>
  <c r="K103" i="1"/>
  <c r="L103" i="1"/>
  <c r="M103" i="1"/>
  <c r="N103" i="1" s="1"/>
  <c r="AB103" i="1"/>
  <c r="AC103" i="1"/>
  <c r="AD103" i="1"/>
  <c r="AE103" i="1"/>
  <c r="AF103" i="1"/>
  <c r="AH103" i="1"/>
  <c r="K104" i="1"/>
  <c r="L104" i="1"/>
  <c r="M104" i="1"/>
  <c r="N104" i="1" s="1"/>
  <c r="AB104" i="1"/>
  <c r="AC104" i="1"/>
  <c r="AD104" i="1"/>
  <c r="AE104" i="1"/>
  <c r="AF104" i="1"/>
  <c r="AH104" i="1"/>
  <c r="K105" i="1"/>
  <c r="L105" i="1"/>
  <c r="M105" i="1"/>
  <c r="N105" i="1" s="1"/>
  <c r="AA105" i="1"/>
  <c r="AB105" i="1"/>
  <c r="AC105" i="1"/>
  <c r="AD105" i="1"/>
  <c r="AE105" i="1"/>
  <c r="AF105" i="1"/>
  <c r="AH105" i="1"/>
  <c r="K106" i="1"/>
  <c r="L106" i="1"/>
  <c r="M106" i="1"/>
  <c r="N106" i="1" s="1"/>
  <c r="AA106" i="1"/>
  <c r="AB106" i="1"/>
  <c r="AC106" i="1"/>
  <c r="AD106" i="1"/>
  <c r="AE106" i="1"/>
  <c r="AF106" i="1"/>
  <c r="AH106" i="1"/>
  <c r="K107" i="1"/>
  <c r="L107" i="1"/>
  <c r="M107" i="1"/>
  <c r="N107" i="1" s="1"/>
  <c r="AA107" i="1"/>
  <c r="AB107" i="1"/>
  <c r="AC107" i="1"/>
  <c r="AD107" i="1"/>
  <c r="AE107" i="1"/>
  <c r="AF107" i="1"/>
  <c r="AH107" i="1"/>
  <c r="K108" i="1"/>
  <c r="L108" i="1"/>
  <c r="M108" i="1"/>
  <c r="N108" i="1" s="1"/>
  <c r="AB108" i="1"/>
  <c r="AC108" i="1"/>
  <c r="AD108" i="1"/>
  <c r="AE108" i="1"/>
  <c r="AF108" i="1"/>
  <c r="AH108" i="1"/>
  <c r="K109" i="1"/>
  <c r="L109" i="1"/>
  <c r="M109" i="1"/>
  <c r="N109" i="1" s="1"/>
  <c r="AB109" i="1"/>
  <c r="AC109" i="1"/>
  <c r="AD109" i="1"/>
  <c r="AE109" i="1"/>
  <c r="AF109" i="1"/>
  <c r="AH109" i="1"/>
  <c r="K110" i="1"/>
  <c r="L110" i="1"/>
  <c r="M110" i="1"/>
  <c r="N110" i="1" s="1"/>
  <c r="AB110" i="1"/>
  <c r="AC110" i="1"/>
  <c r="AD110" i="1"/>
  <c r="AE110" i="1"/>
  <c r="AF110" i="1"/>
  <c r="AH110" i="1"/>
  <c r="K111" i="1"/>
  <c r="L111" i="1"/>
  <c r="M111" i="1"/>
  <c r="N111" i="1" s="1"/>
  <c r="AB111" i="1"/>
  <c r="AC111" i="1"/>
  <c r="AD111" i="1"/>
  <c r="AE111" i="1"/>
  <c r="AF111" i="1"/>
  <c r="AH111" i="1"/>
  <c r="K112" i="1"/>
  <c r="L112" i="1"/>
  <c r="M112" i="1"/>
  <c r="AB112" i="1"/>
  <c r="AC112" i="1"/>
  <c r="AD112" i="1"/>
  <c r="AE112" i="1"/>
  <c r="AF112" i="1"/>
  <c r="AH112" i="1"/>
  <c r="K113" i="1"/>
  <c r="L113" i="1"/>
  <c r="M113" i="1"/>
  <c r="AB113" i="1"/>
  <c r="AC113" i="1"/>
  <c r="AD113" i="1"/>
  <c r="AE113" i="1"/>
  <c r="AF113" i="1"/>
  <c r="AH113" i="1"/>
  <c r="K114" i="1"/>
  <c r="L114" i="1"/>
  <c r="M114" i="1"/>
  <c r="N114" i="1" s="1"/>
  <c r="V114" i="1"/>
  <c r="Y114" i="1"/>
  <c r="Z114" i="1"/>
  <c r="AB114" i="1"/>
  <c r="AC114" i="1"/>
  <c r="AD114" i="1"/>
  <c r="AE114" i="1"/>
  <c r="AF114" i="1"/>
  <c r="AH114" i="1"/>
  <c r="K115" i="1"/>
  <c r="L115" i="1"/>
  <c r="M115" i="1"/>
  <c r="N115" i="1" s="1"/>
  <c r="V115" i="1"/>
  <c r="Y115" i="1"/>
  <c r="Z115" i="1"/>
  <c r="AB115" i="1"/>
  <c r="AC115" i="1"/>
  <c r="AD115" i="1"/>
  <c r="AE115" i="1"/>
  <c r="AF115" i="1"/>
  <c r="AH115" i="1"/>
  <c r="K116" i="1"/>
  <c r="L116" i="1"/>
  <c r="M116" i="1"/>
  <c r="N116" i="1" s="1"/>
  <c r="V116" i="1"/>
  <c r="Y116" i="1"/>
  <c r="Z116" i="1"/>
  <c r="AB116" i="1"/>
  <c r="AC116" i="1"/>
  <c r="AD116" i="1"/>
  <c r="AG116" i="1" s="1"/>
  <c r="AE116" i="1"/>
  <c r="AF116" i="1"/>
  <c r="AH116" i="1"/>
  <c r="K117" i="1"/>
  <c r="L117" i="1"/>
  <c r="M117" i="1"/>
  <c r="N117" i="1" s="1"/>
  <c r="V117" i="1"/>
  <c r="Y117" i="1"/>
  <c r="Z117" i="1"/>
  <c r="AB117" i="1"/>
  <c r="AC117" i="1"/>
  <c r="AD117" i="1"/>
  <c r="AG117" i="1" s="1"/>
  <c r="AE117" i="1"/>
  <c r="AF117" i="1"/>
  <c r="AH117" i="1"/>
  <c r="K118" i="1"/>
  <c r="L118" i="1"/>
  <c r="M118" i="1"/>
  <c r="N118" i="1" s="1"/>
  <c r="V118" i="1"/>
  <c r="Y118" i="1"/>
  <c r="Z118" i="1"/>
  <c r="AB118" i="1"/>
  <c r="AC118" i="1"/>
  <c r="AD118" i="1"/>
  <c r="AG118" i="1" s="1"/>
  <c r="AE118" i="1"/>
  <c r="AF118" i="1"/>
  <c r="AH118" i="1"/>
  <c r="K119" i="1"/>
  <c r="L119" i="1"/>
  <c r="M119" i="1"/>
  <c r="N119" i="1" s="1"/>
  <c r="V119" i="1"/>
  <c r="Y119" i="1"/>
  <c r="Z119" i="1"/>
  <c r="AB119" i="1"/>
  <c r="AC119" i="1"/>
  <c r="AD119" i="1"/>
  <c r="AG119" i="1" s="1"/>
  <c r="AE119" i="1"/>
  <c r="AF119" i="1"/>
  <c r="AH119" i="1"/>
  <c r="K120" i="1"/>
  <c r="L120" i="1"/>
  <c r="M120" i="1"/>
  <c r="N120" i="1" s="1"/>
  <c r="V120" i="1"/>
  <c r="Y120" i="1"/>
  <c r="Z120" i="1"/>
  <c r="AB120" i="1"/>
  <c r="AC120" i="1"/>
  <c r="AD120" i="1"/>
  <c r="AG120" i="1" s="1"/>
  <c r="AE120" i="1"/>
  <c r="AF120" i="1"/>
  <c r="AH120" i="1"/>
  <c r="K121" i="1"/>
  <c r="L121" i="1"/>
  <c r="M121" i="1"/>
  <c r="N121" i="1" s="1"/>
  <c r="V121" i="1"/>
  <c r="Y121" i="1"/>
  <c r="Z121" i="1"/>
  <c r="AB121" i="1"/>
  <c r="AC121" i="1"/>
  <c r="AD121" i="1"/>
  <c r="AG121" i="1" s="1"/>
  <c r="AE121" i="1"/>
  <c r="AF121" i="1"/>
  <c r="AH121" i="1"/>
  <c r="K122" i="1"/>
  <c r="L122" i="1"/>
  <c r="M122" i="1"/>
  <c r="N122" i="1" s="1"/>
  <c r="V122" i="1"/>
  <c r="Y122" i="1"/>
  <c r="Z122" i="1"/>
  <c r="AB122" i="1"/>
  <c r="AC122" i="1"/>
  <c r="AD122" i="1"/>
  <c r="AE122" i="1"/>
  <c r="AF122" i="1"/>
  <c r="AH122" i="1"/>
  <c r="K123" i="1"/>
  <c r="L123" i="1"/>
  <c r="M123" i="1"/>
  <c r="N123" i="1" s="1"/>
  <c r="V123" i="1"/>
  <c r="Y123" i="1"/>
  <c r="Z123" i="1"/>
  <c r="AB123" i="1"/>
  <c r="AC123" i="1"/>
  <c r="AD123" i="1"/>
  <c r="AE123" i="1"/>
  <c r="AF123" i="1"/>
  <c r="AH123" i="1"/>
  <c r="K124" i="1"/>
  <c r="L124" i="1"/>
  <c r="M124" i="1"/>
  <c r="N124" i="1" s="1"/>
  <c r="V124" i="1"/>
  <c r="Y124" i="1"/>
  <c r="Z124" i="1"/>
  <c r="AB124" i="1"/>
  <c r="AC124" i="1"/>
  <c r="AD124" i="1"/>
  <c r="AG124" i="1" s="1"/>
  <c r="AE124" i="1"/>
  <c r="AF124" i="1"/>
  <c r="AH124" i="1"/>
  <c r="K125" i="1"/>
  <c r="L125" i="1"/>
  <c r="M125" i="1"/>
  <c r="N125" i="1" s="1"/>
  <c r="V125" i="1"/>
  <c r="Y125" i="1"/>
  <c r="Z125" i="1"/>
  <c r="AB125" i="1"/>
  <c r="AC125" i="1"/>
  <c r="AD125" i="1"/>
  <c r="AG125" i="1" s="1"/>
  <c r="AE125" i="1"/>
  <c r="AF125" i="1"/>
  <c r="AH125" i="1"/>
  <c r="K126" i="1"/>
  <c r="L126" i="1"/>
  <c r="M126" i="1"/>
  <c r="N126" i="1" s="1"/>
  <c r="V126" i="1"/>
  <c r="Y126" i="1"/>
  <c r="Z126" i="1"/>
  <c r="AB126" i="1"/>
  <c r="AC126" i="1"/>
  <c r="AD126" i="1"/>
  <c r="AG126" i="1" s="1"/>
  <c r="AE126" i="1"/>
  <c r="AF126" i="1"/>
  <c r="AH126" i="1"/>
  <c r="K127" i="1"/>
  <c r="L127" i="1"/>
  <c r="M127" i="1"/>
  <c r="N127" i="1" s="1"/>
  <c r="AG127" i="1"/>
  <c r="AE127" i="1"/>
  <c r="AF127" i="1"/>
  <c r="AH127" i="1"/>
  <c r="K128" i="1"/>
  <c r="L128" i="1"/>
  <c r="M128" i="1"/>
  <c r="N128" i="1" s="1"/>
  <c r="AG128" i="1"/>
  <c r="AE128" i="1"/>
  <c r="AF128" i="1"/>
  <c r="AH128" i="1"/>
  <c r="K129" i="1"/>
  <c r="L129" i="1"/>
  <c r="M129" i="1"/>
  <c r="AG129" i="1"/>
  <c r="W129" i="1" s="1"/>
  <c r="AE129" i="1"/>
  <c r="AF129" i="1"/>
  <c r="AH129" i="1"/>
  <c r="K130" i="1"/>
  <c r="L130" i="1"/>
  <c r="M130" i="1"/>
  <c r="AG130" i="1"/>
  <c r="AE130" i="1"/>
  <c r="AF130" i="1"/>
  <c r="AH130" i="1"/>
  <c r="K131" i="1"/>
  <c r="L131" i="1"/>
  <c r="M131" i="1"/>
  <c r="N131" i="1" s="1"/>
  <c r="AG131" i="1"/>
  <c r="AE131" i="1"/>
  <c r="AF131" i="1"/>
  <c r="AH131" i="1"/>
  <c r="K132" i="1"/>
  <c r="L132" i="1"/>
  <c r="M132" i="1"/>
  <c r="P132" i="1" s="1"/>
  <c r="AG132" i="1"/>
  <c r="AE132" i="1"/>
  <c r="AF132" i="1"/>
  <c r="AH132" i="1"/>
  <c r="K133" i="1"/>
  <c r="L133" i="1"/>
  <c r="M133" i="1"/>
  <c r="N133" i="1" s="1"/>
  <c r="AG133" i="1"/>
  <c r="AE133" i="1"/>
  <c r="AF133" i="1"/>
  <c r="AH133" i="1"/>
  <c r="K134" i="1"/>
  <c r="L134" i="1"/>
  <c r="M134" i="1"/>
  <c r="N134" i="1" s="1"/>
  <c r="AG134" i="1"/>
  <c r="AE134" i="1"/>
  <c r="AF134" i="1"/>
  <c r="AH134" i="1"/>
  <c r="K135" i="1"/>
  <c r="L135" i="1"/>
  <c r="M135" i="1"/>
  <c r="N135" i="1" s="1"/>
  <c r="AG135" i="1"/>
  <c r="AE135" i="1"/>
  <c r="AF135" i="1"/>
  <c r="AH135" i="1"/>
  <c r="K136" i="1"/>
  <c r="L136" i="1"/>
  <c r="M136" i="1"/>
  <c r="N136" i="1" s="1"/>
  <c r="AG136" i="1"/>
  <c r="AE136" i="1"/>
  <c r="AF136" i="1"/>
  <c r="AH136" i="1"/>
  <c r="K137" i="1"/>
  <c r="L137" i="1"/>
  <c r="M137" i="1"/>
  <c r="N137" i="1" s="1"/>
  <c r="V137" i="1"/>
  <c r="Y137" i="1"/>
  <c r="Z137" i="1"/>
  <c r="AB137" i="1"/>
  <c r="AC137" i="1"/>
  <c r="AD137" i="1"/>
  <c r="AG137" i="1" s="1"/>
  <c r="AE137" i="1"/>
  <c r="AF137" i="1"/>
  <c r="AH137" i="1"/>
  <c r="K138" i="1"/>
  <c r="L138" i="1"/>
  <c r="M138" i="1"/>
  <c r="N138" i="1" s="1"/>
  <c r="V138" i="1"/>
  <c r="Y138" i="1"/>
  <c r="Z138" i="1"/>
  <c r="AB138" i="1"/>
  <c r="AC138" i="1"/>
  <c r="AD138" i="1"/>
  <c r="T138" i="1" s="1"/>
  <c r="AE138" i="1"/>
  <c r="AF138" i="1"/>
  <c r="AH138" i="1"/>
  <c r="K139" i="1"/>
  <c r="L139" i="1"/>
  <c r="M139" i="1"/>
  <c r="N139" i="1" s="1"/>
  <c r="V139" i="1"/>
  <c r="Y139" i="1"/>
  <c r="Z139" i="1"/>
  <c r="AB139" i="1"/>
  <c r="AC139" i="1"/>
  <c r="AD139" i="1"/>
  <c r="T139" i="1" s="1"/>
  <c r="AE139" i="1"/>
  <c r="AF139" i="1"/>
  <c r="AH139" i="1"/>
  <c r="K140" i="1"/>
  <c r="L140" i="1"/>
  <c r="M140" i="1"/>
  <c r="N140" i="1" s="1"/>
  <c r="V140" i="1"/>
  <c r="Y140" i="1"/>
  <c r="Z140" i="1"/>
  <c r="AB140" i="1"/>
  <c r="AC140" i="1"/>
  <c r="AD140" i="1"/>
  <c r="T140" i="1" s="1"/>
  <c r="AE140" i="1"/>
  <c r="AF140" i="1"/>
  <c r="AH140" i="1"/>
  <c r="K141" i="1"/>
  <c r="L141" i="1"/>
  <c r="M141" i="1"/>
  <c r="N141" i="1" s="1"/>
  <c r="V141" i="1"/>
  <c r="Y141" i="1"/>
  <c r="Z141" i="1"/>
  <c r="AB141" i="1"/>
  <c r="AC141" i="1"/>
  <c r="AD141" i="1"/>
  <c r="T141" i="1" s="1"/>
  <c r="AE141" i="1"/>
  <c r="AF141" i="1"/>
  <c r="AH141" i="1"/>
  <c r="K142" i="1"/>
  <c r="L142" i="1"/>
  <c r="M142" i="1"/>
  <c r="N142" i="1" s="1"/>
  <c r="V142" i="1"/>
  <c r="Y142" i="1"/>
  <c r="Z142" i="1"/>
  <c r="AB142" i="1"/>
  <c r="AC142" i="1"/>
  <c r="AD142" i="1"/>
  <c r="T142" i="1" s="1"/>
  <c r="AE142" i="1"/>
  <c r="AF142" i="1"/>
  <c r="AH142" i="1"/>
  <c r="K143" i="1"/>
  <c r="L143" i="1"/>
  <c r="M143" i="1"/>
  <c r="N143" i="1" s="1"/>
  <c r="V143" i="1"/>
  <c r="Y143" i="1"/>
  <c r="Z143" i="1"/>
  <c r="AB143" i="1"/>
  <c r="AC143" i="1"/>
  <c r="AD143" i="1"/>
  <c r="T143" i="1" s="1"/>
  <c r="AE143" i="1"/>
  <c r="AF143" i="1"/>
  <c r="AH143" i="1"/>
  <c r="K144" i="1"/>
  <c r="L144" i="1"/>
  <c r="M144" i="1"/>
  <c r="N144" i="1" s="1"/>
  <c r="V144" i="1"/>
  <c r="Y144" i="1"/>
  <c r="Z144" i="1"/>
  <c r="AB144" i="1"/>
  <c r="AC144" i="1"/>
  <c r="AD144" i="1"/>
  <c r="T144" i="1" s="1"/>
  <c r="AE144" i="1"/>
  <c r="AF144" i="1"/>
  <c r="AH144" i="1"/>
  <c r="K145" i="1"/>
  <c r="L145" i="1"/>
  <c r="M145" i="1"/>
  <c r="N145" i="1" s="1"/>
  <c r="V145" i="1"/>
  <c r="Y145" i="1"/>
  <c r="Z145" i="1"/>
  <c r="AB145" i="1"/>
  <c r="AC145" i="1"/>
  <c r="AD145" i="1"/>
  <c r="AE145" i="1"/>
  <c r="AF145" i="1"/>
  <c r="AH145" i="1"/>
  <c r="K146" i="1"/>
  <c r="L146" i="1"/>
  <c r="M146" i="1"/>
  <c r="N146" i="1" s="1"/>
  <c r="V146" i="1"/>
  <c r="Y146" i="1"/>
  <c r="Z146" i="1"/>
  <c r="AB146" i="1"/>
  <c r="AC146" i="1"/>
  <c r="AD146" i="1"/>
  <c r="AG146" i="1" s="1"/>
  <c r="AE146" i="1"/>
  <c r="AF146" i="1"/>
  <c r="AH146" i="1"/>
  <c r="K147" i="1"/>
  <c r="L147" i="1"/>
  <c r="M147" i="1"/>
  <c r="N147" i="1" s="1"/>
  <c r="V147" i="1"/>
  <c r="Y147" i="1"/>
  <c r="Z147" i="1"/>
  <c r="AB147" i="1"/>
  <c r="AC147" i="1"/>
  <c r="AD147" i="1"/>
  <c r="AE147" i="1"/>
  <c r="AF147" i="1"/>
  <c r="AH147" i="1"/>
  <c r="K148" i="1"/>
  <c r="L148" i="1"/>
  <c r="M148" i="1"/>
  <c r="N148" i="1" s="1"/>
  <c r="V148" i="1"/>
  <c r="Y148" i="1"/>
  <c r="Z148" i="1"/>
  <c r="AB148" i="1"/>
  <c r="AC148" i="1"/>
  <c r="AD148" i="1"/>
  <c r="AG148" i="1" s="1"/>
  <c r="AE148" i="1"/>
  <c r="AF148" i="1"/>
  <c r="AH148" i="1"/>
  <c r="K149" i="1"/>
  <c r="L149" i="1"/>
  <c r="M149" i="1"/>
  <c r="N149" i="1" s="1"/>
  <c r="V149" i="1"/>
  <c r="Y149" i="1"/>
  <c r="Z149" i="1"/>
  <c r="AB149" i="1"/>
  <c r="AC149" i="1"/>
  <c r="AD149" i="1"/>
  <c r="AE149" i="1"/>
  <c r="AF149" i="1"/>
  <c r="AH149" i="1"/>
  <c r="K150" i="1"/>
  <c r="L150" i="1"/>
  <c r="M150" i="1"/>
  <c r="N150" i="1" s="1"/>
  <c r="V150" i="1"/>
  <c r="Y150" i="1"/>
  <c r="AB150" i="1"/>
  <c r="AC150" i="1"/>
  <c r="AD150" i="1"/>
  <c r="AE150" i="1"/>
  <c r="AF150" i="1"/>
  <c r="AH150" i="1"/>
  <c r="K151" i="1"/>
  <c r="L151" i="1"/>
  <c r="M151" i="1"/>
  <c r="N151" i="1" s="1"/>
  <c r="V151" i="1"/>
  <c r="Y151" i="1"/>
  <c r="Z151" i="1"/>
  <c r="AB151" i="1"/>
  <c r="AC151" i="1"/>
  <c r="AD151" i="1"/>
  <c r="AE151" i="1"/>
  <c r="AF151" i="1"/>
  <c r="AH151" i="1"/>
  <c r="K152" i="1"/>
  <c r="L152" i="1"/>
  <c r="M152" i="1"/>
  <c r="N152" i="1" s="1"/>
  <c r="V152" i="1"/>
  <c r="Y152" i="1"/>
  <c r="Z152" i="1"/>
  <c r="AB152" i="1"/>
  <c r="AC152" i="1"/>
  <c r="AD152" i="1"/>
  <c r="AG152" i="1" s="1"/>
  <c r="AE152" i="1"/>
  <c r="AF152" i="1"/>
  <c r="AH152" i="1"/>
  <c r="K153" i="1"/>
  <c r="L153" i="1"/>
  <c r="M153" i="1"/>
  <c r="N153" i="1" s="1"/>
  <c r="V153" i="1"/>
  <c r="Y153" i="1"/>
  <c r="Z153" i="1"/>
  <c r="AB153" i="1"/>
  <c r="AC153" i="1"/>
  <c r="AD153" i="1"/>
  <c r="AE153" i="1"/>
  <c r="AF153" i="1"/>
  <c r="AH153" i="1"/>
  <c r="K154" i="1"/>
  <c r="L154" i="1"/>
  <c r="M154" i="1"/>
  <c r="N154" i="1" s="1"/>
  <c r="V154" i="1"/>
  <c r="Y154" i="1"/>
  <c r="Z154" i="1"/>
  <c r="AB154" i="1"/>
  <c r="AC154" i="1"/>
  <c r="AD154" i="1"/>
  <c r="AG154" i="1" s="1"/>
  <c r="AE154" i="1"/>
  <c r="AF154" i="1"/>
  <c r="AH154" i="1"/>
  <c r="K155" i="1"/>
  <c r="L155" i="1"/>
  <c r="M155" i="1"/>
  <c r="N155" i="1" s="1"/>
  <c r="V155" i="1"/>
  <c r="Y155" i="1"/>
  <c r="Z155" i="1"/>
  <c r="AB155" i="1"/>
  <c r="AC155" i="1"/>
  <c r="AD155" i="1"/>
  <c r="AE155" i="1"/>
  <c r="AF155" i="1"/>
  <c r="AH155" i="1"/>
  <c r="K156" i="1"/>
  <c r="L156" i="1"/>
  <c r="M156" i="1"/>
  <c r="N156" i="1" s="1"/>
  <c r="V156" i="1"/>
  <c r="Y156" i="1"/>
  <c r="Z156" i="1"/>
  <c r="AB156" i="1"/>
  <c r="AC156" i="1"/>
  <c r="AD156" i="1"/>
  <c r="AE156" i="1"/>
  <c r="AF156" i="1"/>
  <c r="AH156" i="1"/>
  <c r="K157" i="1"/>
  <c r="L157" i="1"/>
  <c r="M157" i="1"/>
  <c r="N157" i="1" s="1"/>
  <c r="V157" i="1"/>
  <c r="Y157" i="1"/>
  <c r="Z157" i="1"/>
  <c r="AB157" i="1"/>
  <c r="AC157" i="1"/>
  <c r="AD157" i="1"/>
  <c r="AE157" i="1"/>
  <c r="AF157" i="1"/>
  <c r="AH157" i="1"/>
  <c r="K158" i="1"/>
  <c r="L158" i="1"/>
  <c r="M158" i="1"/>
  <c r="N158" i="1" s="1"/>
  <c r="V158" i="1"/>
  <c r="Y158" i="1"/>
  <c r="Z158" i="1"/>
  <c r="AB158" i="1"/>
  <c r="AC158" i="1"/>
  <c r="AD158" i="1"/>
  <c r="AG158" i="1" s="1"/>
  <c r="AE158" i="1"/>
  <c r="AF158" i="1"/>
  <c r="AH158" i="1"/>
  <c r="K159" i="1"/>
  <c r="L159" i="1"/>
  <c r="M159" i="1"/>
  <c r="N159" i="1" s="1"/>
  <c r="V159" i="1"/>
  <c r="Y159" i="1"/>
  <c r="Z159" i="1"/>
  <c r="AB159" i="1"/>
  <c r="AC159" i="1"/>
  <c r="AD159" i="1"/>
  <c r="AE159" i="1"/>
  <c r="AF159" i="1"/>
  <c r="AH159" i="1"/>
  <c r="K160" i="1"/>
  <c r="L160" i="1"/>
  <c r="M160" i="1"/>
  <c r="N160" i="1" s="1"/>
  <c r="V160" i="1"/>
  <c r="Y160" i="1"/>
  <c r="Z160" i="1"/>
  <c r="AB160" i="1"/>
  <c r="AC160" i="1"/>
  <c r="AD160" i="1"/>
  <c r="AE160" i="1"/>
  <c r="AF160" i="1"/>
  <c r="AH160" i="1"/>
  <c r="K207" i="1"/>
  <c r="L207" i="1"/>
  <c r="M207" i="1"/>
  <c r="N207" i="1" s="1"/>
  <c r="V207" i="1"/>
  <c r="Y207" i="1"/>
  <c r="Z207" i="1"/>
  <c r="AB207" i="1"/>
  <c r="AC207" i="1"/>
  <c r="AD207" i="1"/>
  <c r="AE207" i="1"/>
  <c r="AF207" i="1"/>
  <c r="AH207" i="1"/>
  <c r="K208" i="1"/>
  <c r="L208" i="1"/>
  <c r="M208" i="1"/>
  <c r="N208" i="1" s="1"/>
  <c r="V208" i="1"/>
  <c r="Y208" i="1"/>
  <c r="Z208" i="1"/>
  <c r="AB208" i="1"/>
  <c r="AC208" i="1"/>
  <c r="AD208" i="1"/>
  <c r="AE208" i="1"/>
  <c r="AF208" i="1"/>
  <c r="AH208" i="1"/>
  <c r="K209" i="1"/>
  <c r="L209" i="1"/>
  <c r="M209" i="1"/>
  <c r="N209" i="1" s="1"/>
  <c r="V209" i="1"/>
  <c r="Y209" i="1"/>
  <c r="Z209" i="1"/>
  <c r="AB209" i="1"/>
  <c r="AC209" i="1"/>
  <c r="AD209" i="1"/>
  <c r="AE209" i="1"/>
  <c r="AF209" i="1"/>
  <c r="AH209" i="1"/>
  <c r="K210" i="1"/>
  <c r="L210" i="1"/>
  <c r="M210" i="1"/>
  <c r="N210" i="1" s="1"/>
  <c r="V210" i="1"/>
  <c r="Y210" i="1"/>
  <c r="Z210" i="1"/>
  <c r="AB210" i="1"/>
  <c r="AC210" i="1"/>
  <c r="AD210" i="1"/>
  <c r="AG210" i="1" s="1"/>
  <c r="AE210" i="1"/>
  <c r="AF210" i="1"/>
  <c r="AH210" i="1"/>
  <c r="K211" i="1"/>
  <c r="L211" i="1"/>
  <c r="M211" i="1"/>
  <c r="N211" i="1" s="1"/>
  <c r="V211" i="1"/>
  <c r="Y211" i="1"/>
  <c r="Z211" i="1"/>
  <c r="AB211" i="1"/>
  <c r="AC211" i="1"/>
  <c r="AD211" i="1"/>
  <c r="AG211" i="1" s="1"/>
  <c r="AE211" i="1"/>
  <c r="AF211" i="1"/>
  <c r="AH211" i="1"/>
  <c r="K212" i="1"/>
  <c r="L212" i="1"/>
  <c r="M212" i="1"/>
  <c r="N212" i="1" s="1"/>
  <c r="V212" i="1"/>
  <c r="Y212" i="1"/>
  <c r="Z212" i="1"/>
  <c r="AB212" i="1"/>
  <c r="AC212" i="1"/>
  <c r="AD212" i="1"/>
  <c r="AG212" i="1" s="1"/>
  <c r="AE212" i="1"/>
  <c r="AF212" i="1"/>
  <c r="AH212" i="1"/>
  <c r="K161" i="1"/>
  <c r="L161" i="1"/>
  <c r="M161" i="1"/>
  <c r="N161" i="1" s="1"/>
  <c r="V161" i="1"/>
  <c r="Y161" i="1"/>
  <c r="Z161" i="1"/>
  <c r="AB161" i="1"/>
  <c r="AC161" i="1"/>
  <c r="AD161" i="1"/>
  <c r="AE161" i="1"/>
  <c r="AF161" i="1"/>
  <c r="AH161" i="1"/>
  <c r="K162" i="1"/>
  <c r="L162" i="1"/>
  <c r="M162" i="1"/>
  <c r="N162" i="1" s="1"/>
  <c r="V162" i="1"/>
  <c r="Y162" i="1"/>
  <c r="Z162" i="1"/>
  <c r="AB162" i="1"/>
  <c r="AC162" i="1"/>
  <c r="AD162" i="1"/>
  <c r="X162" i="1" s="1"/>
  <c r="AE162" i="1"/>
  <c r="AF162" i="1"/>
  <c r="AH162" i="1"/>
  <c r="K163" i="1"/>
  <c r="L163" i="1"/>
  <c r="M163" i="1"/>
  <c r="N163" i="1" s="1"/>
  <c r="V163" i="1"/>
  <c r="Y163" i="1"/>
  <c r="Z163" i="1"/>
  <c r="AB163" i="1"/>
  <c r="AC163" i="1"/>
  <c r="AD163" i="1"/>
  <c r="AE163" i="1"/>
  <c r="AF163" i="1"/>
  <c r="AH163" i="1"/>
  <c r="K164" i="1"/>
  <c r="L164" i="1"/>
  <c r="M164" i="1"/>
  <c r="N164" i="1" s="1"/>
  <c r="V164" i="1"/>
  <c r="Y164" i="1"/>
  <c r="Z164" i="1"/>
  <c r="AB164" i="1"/>
  <c r="AC164" i="1"/>
  <c r="AD164" i="1"/>
  <c r="AE164" i="1"/>
  <c r="AF164" i="1"/>
  <c r="AH164" i="1"/>
  <c r="K165" i="1"/>
  <c r="L165" i="1"/>
  <c r="M165" i="1"/>
  <c r="N165" i="1" s="1"/>
  <c r="V165" i="1"/>
  <c r="Y165" i="1"/>
  <c r="Z165" i="1"/>
  <c r="AB165" i="1"/>
  <c r="AC165" i="1"/>
  <c r="AD165" i="1"/>
  <c r="AG165" i="1" s="1"/>
  <c r="AE165" i="1"/>
  <c r="AF165" i="1"/>
  <c r="AH165" i="1"/>
  <c r="K166" i="1"/>
  <c r="L166" i="1"/>
  <c r="M166" i="1"/>
  <c r="N166" i="1" s="1"/>
  <c r="V166" i="1"/>
  <c r="Y166" i="1"/>
  <c r="Z166" i="1"/>
  <c r="AB166" i="1"/>
  <c r="AC166" i="1"/>
  <c r="AD166" i="1"/>
  <c r="AG166" i="1" s="1"/>
  <c r="AE166" i="1"/>
  <c r="AF166" i="1"/>
  <c r="AH166" i="1"/>
  <c r="K167" i="1"/>
  <c r="L167" i="1"/>
  <c r="M167" i="1"/>
  <c r="N167" i="1" s="1"/>
  <c r="V167" i="1"/>
  <c r="Y167" i="1"/>
  <c r="Z167" i="1"/>
  <c r="AB167" i="1"/>
  <c r="AC167" i="1"/>
  <c r="AD167" i="1"/>
  <c r="AG167" i="1" s="1"/>
  <c r="AE167" i="1"/>
  <c r="AF167" i="1"/>
  <c r="AH167" i="1"/>
  <c r="K168" i="1"/>
  <c r="L168" i="1"/>
  <c r="M168" i="1"/>
  <c r="N168" i="1" s="1"/>
  <c r="V168" i="1"/>
  <c r="Y168" i="1"/>
  <c r="Z168" i="1"/>
  <c r="AB168" i="1"/>
  <c r="AC168" i="1"/>
  <c r="AD168" i="1"/>
  <c r="AE168" i="1"/>
  <c r="AF168" i="1"/>
  <c r="AH168" i="1"/>
  <c r="K169" i="1"/>
  <c r="L169" i="1"/>
  <c r="M169" i="1"/>
  <c r="N169" i="1" s="1"/>
  <c r="V169" i="1"/>
  <c r="Y169" i="1"/>
  <c r="Z169" i="1"/>
  <c r="AB169" i="1"/>
  <c r="AC169" i="1"/>
  <c r="AD169" i="1"/>
  <c r="AG169" i="1" s="1"/>
  <c r="AE169" i="1"/>
  <c r="AF169" i="1"/>
  <c r="AH169" i="1"/>
  <c r="K170" i="1"/>
  <c r="L170" i="1"/>
  <c r="M170" i="1"/>
  <c r="N170" i="1" s="1"/>
  <c r="V170" i="1"/>
  <c r="Y170" i="1"/>
  <c r="Z170" i="1"/>
  <c r="AB170" i="1"/>
  <c r="AC170" i="1"/>
  <c r="AD170" i="1"/>
  <c r="AG170" i="1" s="1"/>
  <c r="AE170" i="1"/>
  <c r="AF170" i="1"/>
  <c r="AH170" i="1"/>
  <c r="K171" i="1"/>
  <c r="L171" i="1"/>
  <c r="M171" i="1"/>
  <c r="N171" i="1" s="1"/>
  <c r="V171" i="1"/>
  <c r="Y171" i="1"/>
  <c r="Z171" i="1"/>
  <c r="AB171" i="1"/>
  <c r="AC171" i="1"/>
  <c r="AD171" i="1"/>
  <c r="AG171" i="1" s="1"/>
  <c r="AE171" i="1"/>
  <c r="AF171" i="1"/>
  <c r="AH171" i="1"/>
  <c r="K172" i="1"/>
  <c r="L172" i="1"/>
  <c r="M172" i="1"/>
  <c r="N172" i="1" s="1"/>
  <c r="V172" i="1"/>
  <c r="Y172" i="1"/>
  <c r="Z172" i="1"/>
  <c r="AB172" i="1"/>
  <c r="AC172" i="1"/>
  <c r="AD172" i="1"/>
  <c r="AG172" i="1" s="1"/>
  <c r="AE172" i="1"/>
  <c r="AF172" i="1"/>
  <c r="AH172" i="1"/>
  <c r="K173" i="1"/>
  <c r="L173" i="1"/>
  <c r="M173" i="1"/>
  <c r="N173" i="1" s="1"/>
  <c r="V173" i="1"/>
  <c r="Y173" i="1"/>
  <c r="Z173" i="1"/>
  <c r="AB173" i="1"/>
  <c r="AC173" i="1"/>
  <c r="AD173" i="1"/>
  <c r="AG173" i="1" s="1"/>
  <c r="AE173" i="1"/>
  <c r="AF173" i="1"/>
  <c r="AH173" i="1"/>
  <c r="K174" i="1"/>
  <c r="L174" i="1"/>
  <c r="M174" i="1"/>
  <c r="N174" i="1" s="1"/>
  <c r="V174" i="1"/>
  <c r="Y174" i="1"/>
  <c r="Z174" i="1"/>
  <c r="AB174" i="1"/>
  <c r="AC174" i="1"/>
  <c r="AD174" i="1"/>
  <c r="AE174" i="1"/>
  <c r="AF174" i="1"/>
  <c r="AH174" i="1"/>
  <c r="K175" i="1"/>
  <c r="L175" i="1"/>
  <c r="M175" i="1"/>
  <c r="N175" i="1" s="1"/>
  <c r="V175" i="1"/>
  <c r="Y175" i="1"/>
  <c r="Z175" i="1"/>
  <c r="AB175" i="1"/>
  <c r="AC175" i="1"/>
  <c r="AD175" i="1"/>
  <c r="AG175" i="1" s="1"/>
  <c r="AE175" i="1"/>
  <c r="AF175" i="1"/>
  <c r="AH175" i="1"/>
  <c r="K176" i="1"/>
  <c r="L176" i="1"/>
  <c r="M176" i="1"/>
  <c r="N176" i="1" s="1"/>
  <c r="V176" i="1"/>
  <c r="Y176" i="1"/>
  <c r="Z176" i="1"/>
  <c r="AB176" i="1"/>
  <c r="AC176" i="1"/>
  <c r="AD176" i="1"/>
  <c r="AG176" i="1" s="1"/>
  <c r="AE176" i="1"/>
  <c r="AF176" i="1"/>
  <c r="AH176" i="1"/>
  <c r="K177" i="1"/>
  <c r="L177" i="1"/>
  <c r="M177" i="1"/>
  <c r="N177" i="1" s="1"/>
  <c r="V177" i="1"/>
  <c r="Y177" i="1"/>
  <c r="Z177" i="1"/>
  <c r="AB177" i="1"/>
  <c r="AC177" i="1"/>
  <c r="AD177" i="1"/>
  <c r="AG177" i="1" s="1"/>
  <c r="AE177" i="1"/>
  <c r="AF177" i="1"/>
  <c r="AH177" i="1"/>
  <c r="K178" i="1"/>
  <c r="L178" i="1"/>
  <c r="M178" i="1"/>
  <c r="N178" i="1" s="1"/>
  <c r="V178" i="1"/>
  <c r="Y178" i="1"/>
  <c r="Z178" i="1"/>
  <c r="AB178" i="1"/>
  <c r="AC178" i="1"/>
  <c r="AD178" i="1"/>
  <c r="AG178" i="1" s="1"/>
  <c r="AE178" i="1"/>
  <c r="AF178" i="1"/>
  <c r="AH178" i="1"/>
  <c r="K179" i="1"/>
  <c r="L179" i="1"/>
  <c r="M179" i="1"/>
  <c r="N179" i="1" s="1"/>
  <c r="V179" i="1"/>
  <c r="Y179" i="1"/>
  <c r="Z179" i="1"/>
  <c r="AB179" i="1"/>
  <c r="AC179" i="1"/>
  <c r="AD179" i="1"/>
  <c r="AG179" i="1" s="1"/>
  <c r="AE179" i="1"/>
  <c r="AF179" i="1"/>
  <c r="AH179" i="1"/>
  <c r="K180" i="1"/>
  <c r="L180" i="1"/>
  <c r="M180" i="1"/>
  <c r="N180" i="1" s="1"/>
  <c r="V180" i="1"/>
  <c r="Y180" i="1"/>
  <c r="Z180" i="1"/>
  <c r="AB180" i="1"/>
  <c r="AC180" i="1"/>
  <c r="AD180" i="1"/>
  <c r="AE180" i="1"/>
  <c r="AF180" i="1"/>
  <c r="AH180" i="1"/>
  <c r="K181" i="1"/>
  <c r="L181" i="1"/>
  <c r="M181" i="1"/>
  <c r="N181" i="1" s="1"/>
  <c r="V181" i="1"/>
  <c r="Y181" i="1"/>
  <c r="Z181" i="1"/>
  <c r="AB181" i="1"/>
  <c r="AC181" i="1"/>
  <c r="AD181" i="1"/>
  <c r="AG181" i="1" s="1"/>
  <c r="AE181" i="1"/>
  <c r="AF181" i="1"/>
  <c r="AH181" i="1"/>
  <c r="K182" i="1"/>
  <c r="L182" i="1"/>
  <c r="M182" i="1"/>
  <c r="N182" i="1" s="1"/>
  <c r="V182" i="1"/>
  <c r="Y182" i="1"/>
  <c r="Z182" i="1"/>
  <c r="AB182" i="1"/>
  <c r="AC182" i="1"/>
  <c r="AD182" i="1"/>
  <c r="AG182" i="1" s="1"/>
  <c r="AE182" i="1"/>
  <c r="AF182" i="1"/>
  <c r="AH182" i="1"/>
  <c r="K183" i="1"/>
  <c r="L183" i="1"/>
  <c r="M183" i="1"/>
  <c r="N183" i="1" s="1"/>
  <c r="V183" i="1"/>
  <c r="Y183" i="1"/>
  <c r="Z183" i="1"/>
  <c r="AB183" i="1"/>
  <c r="AC183" i="1"/>
  <c r="AD183" i="1"/>
  <c r="AG183" i="1" s="1"/>
  <c r="AE183" i="1"/>
  <c r="AF183" i="1"/>
  <c r="AH183" i="1"/>
  <c r="K184" i="1"/>
  <c r="L184" i="1"/>
  <c r="M184" i="1"/>
  <c r="P184" i="1" s="1"/>
  <c r="V184" i="1"/>
  <c r="Y184" i="1"/>
  <c r="Z184" i="1"/>
  <c r="AB184" i="1"/>
  <c r="AC184" i="1"/>
  <c r="AD184" i="1"/>
  <c r="AG184" i="1" s="1"/>
  <c r="AE184" i="1"/>
  <c r="AF184" i="1"/>
  <c r="AH184" i="1"/>
  <c r="K185" i="1"/>
  <c r="L185" i="1"/>
  <c r="M185" i="1"/>
  <c r="N185" i="1" s="1"/>
  <c r="V185" i="1"/>
  <c r="Y185" i="1"/>
  <c r="Z185" i="1"/>
  <c r="AB185" i="1"/>
  <c r="AC185" i="1"/>
  <c r="AD185" i="1"/>
  <c r="AG185" i="1" s="1"/>
  <c r="AE185" i="1"/>
  <c r="AF185" i="1"/>
  <c r="AH185" i="1"/>
  <c r="K186" i="1"/>
  <c r="L186" i="1"/>
  <c r="M186" i="1"/>
  <c r="N186" i="1" s="1"/>
  <c r="V186" i="1"/>
  <c r="Y186" i="1"/>
  <c r="Z186" i="1"/>
  <c r="AB186" i="1"/>
  <c r="AC186" i="1"/>
  <c r="AD186" i="1"/>
  <c r="AE186" i="1"/>
  <c r="AF186" i="1"/>
  <c r="AH186" i="1"/>
  <c r="K187" i="1"/>
  <c r="L187" i="1"/>
  <c r="M187" i="1"/>
  <c r="N187" i="1" s="1"/>
  <c r="V187" i="1"/>
  <c r="Y187" i="1"/>
  <c r="Z187" i="1"/>
  <c r="AB187" i="1"/>
  <c r="AC187" i="1"/>
  <c r="AD187" i="1"/>
  <c r="AG187" i="1" s="1"/>
  <c r="AE187" i="1"/>
  <c r="AF187" i="1"/>
  <c r="AH187" i="1"/>
  <c r="K188" i="1"/>
  <c r="L188" i="1"/>
  <c r="M188" i="1"/>
  <c r="N188" i="1" s="1"/>
  <c r="V188" i="1"/>
  <c r="Y188" i="1"/>
  <c r="Z188" i="1"/>
  <c r="AB188" i="1"/>
  <c r="AC188" i="1"/>
  <c r="AD188" i="1"/>
  <c r="AG188" i="1" s="1"/>
  <c r="AE188" i="1"/>
  <c r="AF188" i="1"/>
  <c r="AH188" i="1"/>
  <c r="K189" i="1"/>
  <c r="L189" i="1"/>
  <c r="M189" i="1"/>
  <c r="N189" i="1" s="1"/>
  <c r="V189" i="1"/>
  <c r="Y189" i="1"/>
  <c r="Z189" i="1"/>
  <c r="AB189" i="1"/>
  <c r="AC189" i="1"/>
  <c r="AD189" i="1"/>
  <c r="AG189" i="1" s="1"/>
  <c r="AE189" i="1"/>
  <c r="AF189" i="1"/>
  <c r="AH189" i="1"/>
  <c r="K190" i="1"/>
  <c r="L190" i="1"/>
  <c r="M190" i="1"/>
  <c r="N190" i="1" s="1"/>
  <c r="V190" i="1"/>
  <c r="Y190" i="1"/>
  <c r="Z190" i="1"/>
  <c r="AB190" i="1"/>
  <c r="AC190" i="1"/>
  <c r="AD190" i="1"/>
  <c r="AG190" i="1" s="1"/>
  <c r="AE190" i="1"/>
  <c r="AF190" i="1"/>
  <c r="AH190" i="1"/>
  <c r="K191" i="1"/>
  <c r="L191" i="1"/>
  <c r="M191" i="1"/>
  <c r="N191" i="1" s="1"/>
  <c r="V191" i="1"/>
  <c r="Y191" i="1"/>
  <c r="Z191" i="1"/>
  <c r="AB191" i="1"/>
  <c r="AC191" i="1"/>
  <c r="AD191" i="1"/>
  <c r="AG191" i="1" s="1"/>
  <c r="AE191" i="1"/>
  <c r="AF191" i="1"/>
  <c r="AH191" i="1"/>
  <c r="K192" i="1"/>
  <c r="L192" i="1"/>
  <c r="M192" i="1"/>
  <c r="N192" i="1" s="1"/>
  <c r="V192" i="1"/>
  <c r="Y192" i="1"/>
  <c r="Z192" i="1"/>
  <c r="AB192" i="1"/>
  <c r="AC192" i="1"/>
  <c r="AD192" i="1"/>
  <c r="AE192" i="1"/>
  <c r="AF192" i="1"/>
  <c r="AH192" i="1"/>
  <c r="K193" i="1"/>
  <c r="L193" i="1"/>
  <c r="M193" i="1"/>
  <c r="N193" i="1" s="1"/>
  <c r="V193" i="1"/>
  <c r="Y193" i="1"/>
  <c r="Z193" i="1"/>
  <c r="AB193" i="1"/>
  <c r="AC193" i="1"/>
  <c r="AD193" i="1"/>
  <c r="AG193" i="1" s="1"/>
  <c r="AE193" i="1"/>
  <c r="AF193" i="1"/>
  <c r="AH193" i="1"/>
  <c r="K194" i="1"/>
  <c r="L194" i="1"/>
  <c r="M194" i="1"/>
  <c r="N194" i="1" s="1"/>
  <c r="V194" i="1"/>
  <c r="Y194" i="1"/>
  <c r="Z194" i="1"/>
  <c r="AB194" i="1"/>
  <c r="AC194" i="1"/>
  <c r="AD194" i="1"/>
  <c r="AG194" i="1" s="1"/>
  <c r="AE194" i="1"/>
  <c r="AF194" i="1"/>
  <c r="AH194" i="1"/>
  <c r="K195" i="1"/>
  <c r="L195" i="1"/>
  <c r="M195" i="1"/>
  <c r="N195" i="1" s="1"/>
  <c r="V195" i="1"/>
  <c r="Y195" i="1"/>
  <c r="Z195" i="1"/>
  <c r="AB195" i="1"/>
  <c r="AC195" i="1"/>
  <c r="AD195" i="1"/>
  <c r="AG195" i="1" s="1"/>
  <c r="AE195" i="1"/>
  <c r="AF195" i="1"/>
  <c r="AH195" i="1"/>
  <c r="K196" i="1"/>
  <c r="L196" i="1"/>
  <c r="M196" i="1"/>
  <c r="N196" i="1" s="1"/>
  <c r="V196" i="1"/>
  <c r="Y196" i="1"/>
  <c r="Z196" i="1"/>
  <c r="AB196" i="1"/>
  <c r="AC196" i="1"/>
  <c r="AD196" i="1"/>
  <c r="AG196" i="1" s="1"/>
  <c r="AE196" i="1"/>
  <c r="AF196" i="1"/>
  <c r="AH196" i="1"/>
  <c r="K197" i="1"/>
  <c r="L197" i="1"/>
  <c r="M197" i="1"/>
  <c r="N197" i="1" s="1"/>
  <c r="V197" i="1"/>
  <c r="Y197" i="1"/>
  <c r="Z197" i="1"/>
  <c r="AB197" i="1"/>
  <c r="AC197" i="1"/>
  <c r="AD197" i="1"/>
  <c r="AE197" i="1"/>
  <c r="AF197" i="1"/>
  <c r="AH197" i="1"/>
  <c r="V200" i="1"/>
  <c r="Y200" i="1"/>
  <c r="Z200" i="1"/>
  <c r="AB200" i="1"/>
  <c r="AC200" i="1"/>
  <c r="AD200" i="1"/>
  <c r="X200" i="1" s="1"/>
  <c r="AE200" i="1"/>
  <c r="AF200" i="1"/>
  <c r="AH200" i="1"/>
  <c r="K201" i="1"/>
  <c r="L201" i="1"/>
  <c r="M201" i="1"/>
  <c r="N201" i="1" s="1"/>
  <c r="V201" i="1"/>
  <c r="Y201" i="1"/>
  <c r="Z201" i="1"/>
  <c r="AB201" i="1"/>
  <c r="AC201" i="1"/>
  <c r="AD201" i="1"/>
  <c r="AE201" i="1"/>
  <c r="AF201" i="1"/>
  <c r="AH201" i="1"/>
  <c r="K202" i="1"/>
  <c r="L202" i="1"/>
  <c r="M202" i="1"/>
  <c r="N202" i="1" s="1"/>
  <c r="V202" i="1"/>
  <c r="Y202" i="1"/>
  <c r="Z202" i="1"/>
  <c r="AB202" i="1"/>
  <c r="AC202" i="1"/>
  <c r="AD202" i="1"/>
  <c r="AE202" i="1"/>
  <c r="AF202" i="1"/>
  <c r="AH202" i="1"/>
  <c r="K203" i="1"/>
  <c r="L203" i="1"/>
  <c r="M203" i="1"/>
  <c r="N203" i="1" s="1"/>
  <c r="V203" i="1"/>
  <c r="Y203" i="1"/>
  <c r="Z203" i="1"/>
  <c r="AB203" i="1"/>
  <c r="AC203" i="1"/>
  <c r="AD203" i="1"/>
  <c r="AE203" i="1"/>
  <c r="AF203" i="1"/>
  <c r="AH203" i="1"/>
  <c r="K204" i="1"/>
  <c r="L204" i="1"/>
  <c r="M204" i="1"/>
  <c r="N204" i="1" s="1"/>
  <c r="V204" i="1"/>
  <c r="Y204" i="1"/>
  <c r="Z204" i="1"/>
  <c r="AB204" i="1"/>
  <c r="AC204" i="1"/>
  <c r="AD204" i="1"/>
  <c r="AE204" i="1"/>
  <c r="AF204" i="1"/>
  <c r="AH204" i="1"/>
  <c r="K205" i="1"/>
  <c r="L205" i="1"/>
  <c r="M205" i="1"/>
  <c r="N205" i="1" s="1"/>
  <c r="V205" i="1"/>
  <c r="Y205" i="1"/>
  <c r="Z205" i="1"/>
  <c r="AB205" i="1"/>
  <c r="AC205" i="1"/>
  <c r="AD205" i="1"/>
  <c r="T205" i="1" s="1"/>
  <c r="AE205" i="1"/>
  <c r="AF205" i="1"/>
  <c r="AH205" i="1"/>
  <c r="K206" i="1"/>
  <c r="L206" i="1"/>
  <c r="M206" i="1"/>
  <c r="N206" i="1" s="1"/>
  <c r="V206" i="1"/>
  <c r="Y206" i="1"/>
  <c r="Z206" i="1"/>
  <c r="AB206" i="1"/>
  <c r="AC206" i="1"/>
  <c r="AD206" i="1"/>
  <c r="T206" i="1" s="1"/>
  <c r="AE206" i="1"/>
  <c r="AF206" i="1"/>
  <c r="AH206" i="1"/>
  <c r="K213" i="1"/>
  <c r="L213" i="1"/>
  <c r="M213" i="1"/>
  <c r="N213" i="1" s="1"/>
  <c r="V213" i="1"/>
  <c r="Y213" i="1"/>
  <c r="Z213" i="1"/>
  <c r="AB213" i="1"/>
  <c r="AC213" i="1"/>
  <c r="AD213" i="1"/>
  <c r="T213" i="1" s="1"/>
  <c r="AE213" i="1"/>
  <c r="AF213" i="1"/>
  <c r="AH213" i="1"/>
  <c r="K214" i="1"/>
  <c r="L214" i="1"/>
  <c r="M214" i="1"/>
  <c r="N214" i="1" s="1"/>
  <c r="V214" i="1"/>
  <c r="Q62" i="3" s="1"/>
  <c r="Y214" i="1"/>
  <c r="Z214" i="1"/>
  <c r="AB214" i="1"/>
  <c r="AC214" i="1"/>
  <c r="AD214" i="1"/>
  <c r="T214" i="1" s="1"/>
  <c r="AE214" i="1"/>
  <c r="P62" i="3" s="1"/>
  <c r="AF214" i="1"/>
  <c r="AH214" i="1"/>
  <c r="K215" i="1"/>
  <c r="L215" i="1"/>
  <c r="M215" i="1"/>
  <c r="N215" i="1" s="1"/>
  <c r="V215" i="1"/>
  <c r="Y215" i="1"/>
  <c r="Z215" i="1"/>
  <c r="AB215" i="1"/>
  <c r="AC215" i="1"/>
  <c r="AD215" i="1"/>
  <c r="T215" i="1" s="1"/>
  <c r="AE215" i="1"/>
  <c r="AF215" i="1"/>
  <c r="AH215" i="1"/>
  <c r="S40" i="3"/>
  <c r="R40" i="3" s="1"/>
  <c r="T40" i="3"/>
  <c r="U40" i="3"/>
  <c r="V40" i="3"/>
  <c r="S41" i="3"/>
  <c r="R41" i="3" s="1"/>
  <c r="T41" i="3"/>
  <c r="U41" i="3"/>
  <c r="V41" i="3"/>
  <c r="S63" i="3"/>
  <c r="R63" i="3" s="1"/>
  <c r="T63" i="3"/>
  <c r="U63" i="3"/>
  <c r="V63" i="3"/>
  <c r="S62" i="3"/>
  <c r="R62" i="3" s="1"/>
  <c r="T62" i="3"/>
  <c r="U62" i="3"/>
  <c r="V62" i="3"/>
  <c r="S74" i="3"/>
  <c r="R74" i="3" s="1"/>
  <c r="T74" i="3"/>
  <c r="U74" i="3"/>
  <c r="V74" i="3"/>
  <c r="L13" i="3"/>
  <c r="S13" i="3"/>
  <c r="R13" i="3" s="1"/>
  <c r="T13" i="3"/>
  <c r="U13" i="3"/>
  <c r="V13" i="3"/>
  <c r="L35" i="3"/>
  <c r="S35" i="3"/>
  <c r="R35" i="3" s="1"/>
  <c r="T35" i="3"/>
  <c r="U35" i="3"/>
  <c r="V35" i="3"/>
  <c r="L31" i="3"/>
  <c r="S31" i="3"/>
  <c r="R31" i="3" s="1"/>
  <c r="T31" i="3"/>
  <c r="U31" i="3"/>
  <c r="V31" i="3"/>
  <c r="S60" i="3"/>
  <c r="R60" i="3" s="1"/>
  <c r="T60" i="3"/>
  <c r="U60" i="3"/>
  <c r="V60" i="3"/>
  <c r="L11" i="3"/>
  <c r="S11" i="3"/>
  <c r="R11" i="3" s="1"/>
  <c r="T11" i="3"/>
  <c r="U11" i="3"/>
  <c r="V11" i="3"/>
  <c r="L14" i="3"/>
  <c r="S14" i="3"/>
  <c r="R14" i="3" s="1"/>
  <c r="T14" i="3"/>
  <c r="U14" i="3"/>
  <c r="V14" i="3"/>
  <c r="L15" i="3"/>
  <c r="S15" i="3"/>
  <c r="R15" i="3" s="1"/>
  <c r="T15" i="3"/>
  <c r="U15" i="3"/>
  <c r="V15" i="3"/>
  <c r="S78" i="3"/>
  <c r="R78" i="3" s="1"/>
  <c r="T78" i="3"/>
  <c r="U78" i="3"/>
  <c r="V78" i="3"/>
  <c r="S81" i="3"/>
  <c r="R81" i="3" s="1"/>
  <c r="T81" i="3"/>
  <c r="U81" i="3"/>
  <c r="V81" i="3"/>
  <c r="S42" i="3"/>
  <c r="R42" i="3" s="1"/>
  <c r="T42" i="3"/>
  <c r="U42" i="3"/>
  <c r="V42" i="3"/>
  <c r="L16" i="3"/>
  <c r="S16" i="3"/>
  <c r="R16" i="3" s="1"/>
  <c r="T16" i="3"/>
  <c r="U16" i="3"/>
  <c r="V16" i="3"/>
  <c r="L17" i="3"/>
  <c r="S17" i="3"/>
  <c r="R17" i="3" s="1"/>
  <c r="T17" i="3"/>
  <c r="U17" i="3"/>
  <c r="V17" i="3"/>
  <c r="L18" i="3"/>
  <c r="S18" i="3"/>
  <c r="R18" i="3" s="1"/>
  <c r="T18" i="3"/>
  <c r="U18" i="3"/>
  <c r="V18" i="3"/>
  <c r="L7" i="3"/>
  <c r="S7" i="3"/>
  <c r="R7" i="3" s="1"/>
  <c r="T7" i="3"/>
  <c r="U7" i="3"/>
  <c r="V7" i="3"/>
  <c r="L36" i="3"/>
  <c r="S36" i="3"/>
  <c r="R36" i="3" s="1"/>
  <c r="T36" i="3"/>
  <c r="U36" i="3"/>
  <c r="V36" i="3"/>
  <c r="S61" i="3"/>
  <c r="R61" i="3" s="1"/>
  <c r="T61" i="3"/>
  <c r="U61" i="3"/>
  <c r="V61" i="3"/>
  <c r="S79" i="3"/>
  <c r="R79" i="3" s="1"/>
  <c r="T79" i="3"/>
  <c r="U79" i="3"/>
  <c r="V79" i="3"/>
  <c r="L19" i="3"/>
  <c r="S19" i="3"/>
  <c r="R19" i="3" s="1"/>
  <c r="T19" i="3"/>
  <c r="U19" i="3"/>
  <c r="V19" i="3"/>
  <c r="S82" i="3"/>
  <c r="R82" i="3" s="1"/>
  <c r="T82" i="3"/>
  <c r="U82" i="3"/>
  <c r="V82" i="3"/>
  <c r="S83" i="3"/>
  <c r="R83" i="3" s="1"/>
  <c r="T83" i="3"/>
  <c r="U83" i="3"/>
  <c r="V83" i="3"/>
  <c r="L33" i="3"/>
  <c r="S33" i="3"/>
  <c r="R33" i="3" s="1"/>
  <c r="T33" i="3"/>
  <c r="U33" i="3"/>
  <c r="V33" i="3"/>
  <c r="L20" i="3"/>
  <c r="S20" i="3"/>
  <c r="R20" i="3" s="1"/>
  <c r="T20" i="3"/>
  <c r="U20" i="3"/>
  <c r="V20" i="3"/>
  <c r="S37" i="3"/>
  <c r="R37" i="3" s="1"/>
  <c r="T37" i="3"/>
  <c r="U37" i="3"/>
  <c r="V37" i="3"/>
  <c r="L21" i="3"/>
  <c r="S21" i="3"/>
  <c r="R21" i="3" s="1"/>
  <c r="T21" i="3"/>
  <c r="U21" i="3"/>
  <c r="V21" i="3"/>
  <c r="L10" i="3"/>
  <c r="S10" i="3"/>
  <c r="R10" i="3" s="1"/>
  <c r="T10" i="3"/>
  <c r="U10" i="3"/>
  <c r="V10" i="3"/>
  <c r="L28" i="3"/>
  <c r="S28" i="3"/>
  <c r="R28" i="3" s="1"/>
  <c r="T28" i="3"/>
  <c r="U28" i="3"/>
  <c r="V28" i="3"/>
  <c r="S58" i="3"/>
  <c r="R58" i="3" s="1"/>
  <c r="T58" i="3"/>
  <c r="U58" i="3"/>
  <c r="V58" i="3"/>
  <c r="S52" i="3"/>
  <c r="R52" i="3" s="1"/>
  <c r="T52" i="3"/>
  <c r="U52" i="3"/>
  <c r="V52" i="3"/>
  <c r="L8" i="3"/>
  <c r="S8" i="3"/>
  <c r="R8" i="3" s="1"/>
  <c r="T8" i="3"/>
  <c r="U8" i="3"/>
  <c r="V8" i="3"/>
  <c r="S48" i="3"/>
  <c r="R48" i="3" s="1"/>
  <c r="T48" i="3"/>
  <c r="U48" i="3"/>
  <c r="V48" i="3"/>
  <c r="L22" i="3"/>
  <c r="S22" i="3"/>
  <c r="R22" i="3" s="1"/>
  <c r="T22" i="3"/>
  <c r="U22" i="3"/>
  <c r="V22" i="3"/>
  <c r="L23" i="3"/>
  <c r="S23" i="3"/>
  <c r="R23" i="3" s="1"/>
  <c r="T23" i="3"/>
  <c r="U23" i="3"/>
  <c r="V23" i="3"/>
  <c r="S75" i="3"/>
  <c r="R75" i="3" s="1"/>
  <c r="T75" i="3"/>
  <c r="U75" i="3"/>
  <c r="V75" i="3"/>
  <c r="S80" i="3"/>
  <c r="R80" i="3" s="1"/>
  <c r="T80" i="3"/>
  <c r="U80" i="3"/>
  <c r="V80" i="3"/>
  <c r="L25" i="3"/>
  <c r="S25" i="3"/>
  <c r="R25" i="3" s="1"/>
  <c r="T25" i="3"/>
  <c r="U25" i="3"/>
  <c r="V25" i="3"/>
  <c r="X111" i="1" l="1"/>
  <c r="W198" i="1"/>
  <c r="W135" i="1"/>
  <c r="W131" i="1"/>
  <c r="T204" i="1"/>
  <c r="X204" i="1"/>
  <c r="T203" i="1"/>
  <c r="X203" i="1"/>
  <c r="T202" i="1"/>
  <c r="X202" i="1"/>
  <c r="T201" i="1"/>
  <c r="X201" i="1"/>
  <c r="AG197" i="1"/>
  <c r="X197" i="1"/>
  <c r="X104" i="1"/>
  <c r="X107" i="1"/>
  <c r="X105" i="1"/>
  <c r="X109" i="1"/>
  <c r="AA80" i="1"/>
  <c r="AA79" i="1"/>
  <c r="AA72" i="1"/>
  <c r="AA70" i="1"/>
  <c r="AA33" i="1"/>
  <c r="W33" i="1" s="1"/>
  <c r="AA31" i="1"/>
  <c r="U199" i="1"/>
  <c r="S199" i="1" s="1"/>
  <c r="AG164" i="1"/>
  <c r="X164" i="1"/>
  <c r="AG163" i="1"/>
  <c r="X163" i="1"/>
  <c r="AG161" i="1"/>
  <c r="X161" i="1"/>
  <c r="AG160" i="1"/>
  <c r="X160" i="1"/>
  <c r="U198" i="1"/>
  <c r="S198" i="1" s="1"/>
  <c r="W199" i="1"/>
  <c r="X106" i="1"/>
  <c r="AG113" i="1"/>
  <c r="X113" i="1"/>
  <c r="AA139" i="1"/>
  <c r="AG112" i="1"/>
  <c r="X112" i="1"/>
  <c r="X108" i="1"/>
  <c r="X103" i="1"/>
  <c r="X110" i="1"/>
  <c r="W127" i="1"/>
  <c r="AA25" i="1"/>
  <c r="T107" i="1"/>
  <c r="T105" i="1"/>
  <c r="T103" i="1"/>
  <c r="T102" i="1"/>
  <c r="X102" i="1"/>
  <c r="T109" i="1"/>
  <c r="T106" i="1"/>
  <c r="T101" i="1"/>
  <c r="X101" i="1"/>
  <c r="T108" i="1"/>
  <c r="T104" i="1"/>
  <c r="AA214" i="1"/>
  <c r="W130" i="1"/>
  <c r="AA114" i="1"/>
  <c r="AG111" i="1"/>
  <c r="AG110" i="1"/>
  <c r="AA192" i="1"/>
  <c r="AA190" i="1"/>
  <c r="W190" i="1" s="1"/>
  <c r="AA125" i="1"/>
  <c r="W125" i="1" s="1"/>
  <c r="AA124" i="1"/>
  <c r="W124" i="1" s="1"/>
  <c r="AG109" i="1"/>
  <c r="AG106" i="1"/>
  <c r="AG102" i="1"/>
  <c r="AG103" i="1"/>
  <c r="AA142" i="1"/>
  <c r="AG108" i="1"/>
  <c r="U108" i="1" s="1"/>
  <c r="AG104" i="1"/>
  <c r="U104" i="1" s="1"/>
  <c r="AG101" i="1"/>
  <c r="U101" i="1" s="1"/>
  <c r="AA163" i="1"/>
  <c r="AG105" i="1"/>
  <c r="U105" i="1" s="1"/>
  <c r="AA95" i="1"/>
  <c r="W95" i="1" s="1"/>
  <c r="X127" i="1"/>
  <c r="AG138" i="1"/>
  <c r="U138" i="1" s="1"/>
  <c r="S138" i="1" s="1"/>
  <c r="AA111" i="1"/>
  <c r="AG72" i="1"/>
  <c r="W72" i="1" s="1"/>
  <c r="AA60" i="1"/>
  <c r="AA55" i="1"/>
  <c r="AA51" i="1"/>
  <c r="W51" i="1" s="1"/>
  <c r="X87" i="1"/>
  <c r="AG76" i="1"/>
  <c r="AA187" i="1"/>
  <c r="W187" i="1" s="1"/>
  <c r="AA176" i="1"/>
  <c r="W176" i="1" s="1"/>
  <c r="AA174" i="1"/>
  <c r="AG143" i="1"/>
  <c r="AA117" i="1"/>
  <c r="W117" i="1" s="1"/>
  <c r="T110" i="1"/>
  <c r="AG81" i="1"/>
  <c r="X79" i="1"/>
  <c r="X77" i="1"/>
  <c r="AA75" i="1"/>
  <c r="AA74" i="1"/>
  <c r="AA17" i="1"/>
  <c r="W17" i="1" s="1"/>
  <c r="AA15" i="1"/>
  <c r="W133" i="1"/>
  <c r="W134" i="1"/>
  <c r="W128" i="1"/>
  <c r="W132" i="1"/>
  <c r="W136" i="1"/>
  <c r="P89" i="1"/>
  <c r="X125" i="1"/>
  <c r="AG55" i="1"/>
  <c r="X55" i="1"/>
  <c r="AA185" i="1"/>
  <c r="W185" i="1" s="1"/>
  <c r="AA126" i="1"/>
  <c r="W126" i="1" s="1"/>
  <c r="AA120" i="1"/>
  <c r="W120" i="1" s="1"/>
  <c r="T116" i="1"/>
  <c r="U116" i="1" s="1"/>
  <c r="S116" i="1" s="1"/>
  <c r="AA108" i="1"/>
  <c r="AA102" i="1"/>
  <c r="AA87" i="1"/>
  <c r="W87" i="1" s="1"/>
  <c r="AA85" i="1"/>
  <c r="W85" i="1" s="1"/>
  <c r="X74" i="1"/>
  <c r="AA62" i="1"/>
  <c r="W62" i="1" s="1"/>
  <c r="AG60" i="1"/>
  <c r="X60" i="1"/>
  <c r="AA43" i="1"/>
  <c r="W43" i="1" s="1"/>
  <c r="P92" i="1"/>
  <c r="P129" i="1"/>
  <c r="X119" i="1"/>
  <c r="AA118" i="1"/>
  <c r="W118" i="1" s="1"/>
  <c r="P112" i="1"/>
  <c r="AA94" i="1"/>
  <c r="W94" i="1" s="1"/>
  <c r="AA93" i="1"/>
  <c r="W93" i="1" s="1"/>
  <c r="AA92" i="1"/>
  <c r="W92" i="1" s="1"/>
  <c r="AA91" i="1"/>
  <c r="W91" i="1" s="1"/>
  <c r="AA81" i="1"/>
  <c r="AG73" i="1"/>
  <c r="U73" i="1" s="1"/>
  <c r="S73" i="1" s="1"/>
  <c r="AG58" i="1"/>
  <c r="X58" i="1"/>
  <c r="X56" i="1"/>
  <c r="AA53" i="1"/>
  <c r="W53" i="1" s="1"/>
  <c r="AA52" i="1"/>
  <c r="W52" i="1" s="1"/>
  <c r="AA48" i="1"/>
  <c r="AA195" i="1"/>
  <c r="W195" i="1" s="1"/>
  <c r="AA179" i="1"/>
  <c r="W179" i="1" s="1"/>
  <c r="AA193" i="1"/>
  <c r="W193" i="1" s="1"/>
  <c r="AA177" i="1"/>
  <c r="T133" i="1"/>
  <c r="AA96" i="1"/>
  <c r="W96" i="1" s="1"/>
  <c r="X91" i="1"/>
  <c r="X85" i="1"/>
  <c r="AA73" i="1"/>
  <c r="AA68" i="1"/>
  <c r="W68" i="1" s="1"/>
  <c r="AA67" i="1"/>
  <c r="AA66" i="1"/>
  <c r="W66" i="1" s="1"/>
  <c r="AA65" i="1"/>
  <c r="AA64" i="1"/>
  <c r="W64" i="1" s="1"/>
  <c r="T62" i="1"/>
  <c r="U62" i="1" s="1"/>
  <c r="S62" i="1" s="1"/>
  <c r="AA49" i="1"/>
  <c r="AA29" i="1"/>
  <c r="W29" i="1" s="1"/>
  <c r="AA21" i="1"/>
  <c r="W21" i="1" s="1"/>
  <c r="AA202" i="1"/>
  <c r="AA200" i="1"/>
  <c r="AA184" i="1"/>
  <c r="W184" i="1" s="1"/>
  <c r="AA182" i="1"/>
  <c r="W182" i="1" s="1"/>
  <c r="AA168" i="1"/>
  <c r="AA166" i="1"/>
  <c r="W166" i="1" s="1"/>
  <c r="AA160" i="1"/>
  <c r="AA159" i="1"/>
  <c r="AA138" i="1"/>
  <c r="AA123" i="1"/>
  <c r="AA119" i="1"/>
  <c r="W119" i="1" s="1"/>
  <c r="AA112" i="1"/>
  <c r="W112" i="1" s="1"/>
  <c r="AA104" i="1"/>
  <c r="W104" i="1" s="1"/>
  <c r="X78" i="1"/>
  <c r="AA71" i="1"/>
  <c r="AA59" i="1"/>
  <c r="AA58" i="1"/>
  <c r="AA57" i="1"/>
  <c r="AA44" i="1"/>
  <c r="AA37" i="1"/>
  <c r="W37" i="1" s="1"/>
  <c r="AA152" i="1"/>
  <c r="W152" i="1" s="1"/>
  <c r="AA151" i="1"/>
  <c r="AA143" i="1"/>
  <c r="AA121" i="1"/>
  <c r="W121" i="1" s="1"/>
  <c r="AA116" i="1"/>
  <c r="W116" i="1" s="1"/>
  <c r="AA115" i="1"/>
  <c r="AA110" i="1"/>
  <c r="W110" i="1" s="1"/>
  <c r="AA109" i="1"/>
  <c r="AA103" i="1"/>
  <c r="AA90" i="1"/>
  <c r="W90" i="1" s="1"/>
  <c r="AA89" i="1"/>
  <c r="W89" i="1" s="1"/>
  <c r="AA88" i="1"/>
  <c r="W88" i="1" s="1"/>
  <c r="AA84" i="1"/>
  <c r="W84" i="1" s="1"/>
  <c r="AA83" i="1"/>
  <c r="W83" i="1" s="1"/>
  <c r="AA82" i="1"/>
  <c r="W82" i="1" s="1"/>
  <c r="AG80" i="1"/>
  <c r="AA78" i="1"/>
  <c r="AG77" i="1"/>
  <c r="AA76" i="1"/>
  <c r="X71" i="1"/>
  <c r="AA41" i="1"/>
  <c r="AA204" i="1"/>
  <c r="AA194" i="1"/>
  <c r="W194" i="1" s="1"/>
  <c r="AA186" i="1"/>
  <c r="AA178" i="1"/>
  <c r="W178" i="1" s="1"/>
  <c r="AA170" i="1"/>
  <c r="W170" i="1" s="1"/>
  <c r="AA210" i="1"/>
  <c r="W210" i="1" s="1"/>
  <c r="AA209" i="1"/>
  <c r="AA156" i="1"/>
  <c r="AA155" i="1"/>
  <c r="AA148" i="1"/>
  <c r="W148" i="1" s="1"/>
  <c r="AA147" i="1"/>
  <c r="AA137" i="1"/>
  <c r="W137" i="1" s="1"/>
  <c r="T124" i="1"/>
  <c r="U124" i="1" s="1"/>
  <c r="S124" i="1" s="1"/>
  <c r="AA122" i="1"/>
  <c r="X117" i="1"/>
  <c r="AA113" i="1"/>
  <c r="AA100" i="1"/>
  <c r="W100" i="1" s="1"/>
  <c r="AA99" i="1"/>
  <c r="W99" i="1" s="1"/>
  <c r="AA98" i="1"/>
  <c r="W98" i="1" s="1"/>
  <c r="AA97" i="1"/>
  <c r="W97" i="1" s="1"/>
  <c r="AA42" i="1"/>
  <c r="AA141" i="1"/>
  <c r="X97" i="1"/>
  <c r="AA86" i="1"/>
  <c r="W86" i="1" s="1"/>
  <c r="AA77" i="1"/>
  <c r="AA54" i="1"/>
  <c r="AA40" i="1"/>
  <c r="AA191" i="1"/>
  <c r="W191" i="1" s="1"/>
  <c r="AA183" i="1"/>
  <c r="W183" i="1" s="1"/>
  <c r="AA206" i="1"/>
  <c r="AA197" i="1"/>
  <c r="W197" i="1" s="1"/>
  <c r="AA196" i="1"/>
  <c r="W196" i="1" s="1"/>
  <c r="AA189" i="1"/>
  <c r="W189" i="1" s="1"/>
  <c r="AA188" i="1"/>
  <c r="W188" i="1" s="1"/>
  <c r="AA181" i="1"/>
  <c r="W181" i="1" s="1"/>
  <c r="AA180" i="1"/>
  <c r="AA172" i="1"/>
  <c r="W172" i="1" s="1"/>
  <c r="AA161" i="1"/>
  <c r="AA212" i="1"/>
  <c r="W212" i="1" s="1"/>
  <c r="AG141" i="1"/>
  <c r="U141" i="1" s="1"/>
  <c r="S141" i="1" s="1"/>
  <c r="X121" i="1"/>
  <c r="T118" i="1"/>
  <c r="U118" i="1" s="1"/>
  <c r="S118" i="1" s="1"/>
  <c r="AA144" i="1"/>
  <c r="AG140" i="1"/>
  <c r="U140" i="1" s="1"/>
  <c r="S140" i="1" s="1"/>
  <c r="X138" i="1"/>
  <c r="AA213" i="1"/>
  <c r="AA203" i="1"/>
  <c r="AA173" i="1"/>
  <c r="W173" i="1" s="1"/>
  <c r="AA169" i="1"/>
  <c r="W169" i="1" s="1"/>
  <c r="AA165" i="1"/>
  <c r="W165" i="1" s="1"/>
  <c r="AA162" i="1"/>
  <c r="AA208" i="1"/>
  <c r="AA158" i="1"/>
  <c r="W158" i="1" s="1"/>
  <c r="AA154" i="1"/>
  <c r="W154" i="1" s="1"/>
  <c r="AA150" i="1"/>
  <c r="AA146" i="1"/>
  <c r="W146" i="1" s="1"/>
  <c r="AG144" i="1"/>
  <c r="U144" i="1" s="1"/>
  <c r="S144" i="1" s="1"/>
  <c r="U143" i="1"/>
  <c r="S143" i="1" s="1"/>
  <c r="AG142" i="1"/>
  <c r="AG139" i="1"/>
  <c r="X137" i="1"/>
  <c r="AG123" i="1"/>
  <c r="W123" i="1" s="1"/>
  <c r="X123" i="1"/>
  <c r="AG115" i="1"/>
  <c r="X115" i="1"/>
  <c r="AG107" i="1"/>
  <c r="W177" i="1"/>
  <c r="AA164" i="1"/>
  <c r="AA211" i="1"/>
  <c r="W211" i="1" s="1"/>
  <c r="AA207" i="1"/>
  <c r="AA157" i="1"/>
  <c r="AA153" i="1"/>
  <c r="AA149" i="1"/>
  <c r="AA145" i="1"/>
  <c r="T134" i="1"/>
  <c r="U134" i="1" s="1"/>
  <c r="S134" i="1" s="1"/>
  <c r="AA215" i="1"/>
  <c r="AA205" i="1"/>
  <c r="AA201" i="1"/>
  <c r="AA175" i="1"/>
  <c r="W175" i="1" s="1"/>
  <c r="AA171" i="1"/>
  <c r="W171" i="1" s="1"/>
  <c r="AA167" i="1"/>
  <c r="W167" i="1" s="1"/>
  <c r="AA140" i="1"/>
  <c r="T137" i="1"/>
  <c r="U137" i="1" s="1"/>
  <c r="S137" i="1" s="1"/>
  <c r="T136" i="1"/>
  <c r="U136" i="1" s="1"/>
  <c r="S136" i="1" s="1"/>
  <c r="T135" i="1"/>
  <c r="U135" i="1" s="1"/>
  <c r="S135" i="1" s="1"/>
  <c r="T123" i="1"/>
  <c r="AG122" i="1"/>
  <c r="T122" i="1"/>
  <c r="T115" i="1"/>
  <c r="AG114" i="1"/>
  <c r="T114" i="1"/>
  <c r="T121" i="1"/>
  <c r="U121" i="1" s="1"/>
  <c r="S121" i="1" s="1"/>
  <c r="T113" i="1"/>
  <c r="X95" i="1"/>
  <c r="T87" i="1"/>
  <c r="U87" i="1" s="1"/>
  <c r="S87" i="1" s="1"/>
  <c r="X81" i="1"/>
  <c r="X80" i="1"/>
  <c r="AG79" i="1"/>
  <c r="U79" i="1" s="1"/>
  <c r="S79" i="1" s="1"/>
  <c r="AG78" i="1"/>
  <c r="U78" i="1" s="1"/>
  <c r="S78" i="1" s="1"/>
  <c r="T77" i="1"/>
  <c r="T76" i="1"/>
  <c r="X73" i="1"/>
  <c r="X72" i="1"/>
  <c r="AG71" i="1"/>
  <c r="U71" i="1" s="1"/>
  <c r="S71" i="1" s="1"/>
  <c r="AG70" i="1"/>
  <c r="U70" i="1" s="1"/>
  <c r="S70" i="1" s="1"/>
  <c r="T68" i="1"/>
  <c r="U68" i="1" s="1"/>
  <c r="S68" i="1" s="1"/>
  <c r="T66" i="1"/>
  <c r="U66" i="1" s="1"/>
  <c r="S66" i="1" s="1"/>
  <c r="AA63" i="1"/>
  <c r="AA61" i="1"/>
  <c r="AA47" i="1"/>
  <c r="W47" i="1" s="1"/>
  <c r="AA46" i="1"/>
  <c r="AA36" i="1"/>
  <c r="AA32" i="1"/>
  <c r="AA28" i="1"/>
  <c r="AA24" i="1"/>
  <c r="AA20" i="1"/>
  <c r="AA16" i="1"/>
  <c r="T99" i="1"/>
  <c r="U99" i="1" s="1"/>
  <c r="S99" i="1" s="1"/>
  <c r="T93" i="1"/>
  <c r="U93" i="1" s="1"/>
  <c r="T89" i="1"/>
  <c r="U89" i="1" s="1"/>
  <c r="S89" i="1" s="1"/>
  <c r="T83" i="1"/>
  <c r="U83" i="1" s="1"/>
  <c r="S83" i="1" s="1"/>
  <c r="T82" i="1"/>
  <c r="U82" i="1" s="1"/>
  <c r="S82" i="1" s="1"/>
  <c r="T75" i="1"/>
  <c r="T74" i="1"/>
  <c r="T64" i="1"/>
  <c r="U64" i="1" s="1"/>
  <c r="S64" i="1" s="1"/>
  <c r="T128" i="1"/>
  <c r="U128" i="1" s="1"/>
  <c r="S128" i="1" s="1"/>
  <c r="T127" i="1"/>
  <c r="U127" i="1" s="1"/>
  <c r="T126" i="1"/>
  <c r="U126" i="1" s="1"/>
  <c r="S126" i="1" s="1"/>
  <c r="T125" i="1"/>
  <c r="U125" i="1" s="1"/>
  <c r="S125" i="1" s="1"/>
  <c r="T117" i="1"/>
  <c r="U117" i="1" s="1"/>
  <c r="S117" i="1" s="1"/>
  <c r="T95" i="1"/>
  <c r="U95" i="1" s="1"/>
  <c r="S95" i="1" s="1"/>
  <c r="AG75" i="1"/>
  <c r="AG74" i="1"/>
  <c r="W74" i="1" s="1"/>
  <c r="AA69" i="1"/>
  <c r="X68" i="1"/>
  <c r="T60" i="1"/>
  <c r="T58" i="1"/>
  <c r="AA45" i="1"/>
  <c r="W45" i="1" s="1"/>
  <c r="AA39" i="1"/>
  <c r="W39" i="1" s="1"/>
  <c r="AA38" i="1"/>
  <c r="T132" i="1"/>
  <c r="U132" i="1" s="1"/>
  <c r="S132" i="1" s="1"/>
  <c r="T131" i="1"/>
  <c r="U131" i="1" s="1"/>
  <c r="S131" i="1" s="1"/>
  <c r="T130" i="1"/>
  <c r="U130" i="1" s="1"/>
  <c r="T129" i="1"/>
  <c r="T120" i="1"/>
  <c r="U120" i="1" s="1"/>
  <c r="S120" i="1" s="1"/>
  <c r="T119" i="1"/>
  <c r="U119" i="1" s="1"/>
  <c r="S119" i="1" s="1"/>
  <c r="T112" i="1"/>
  <c r="T111" i="1"/>
  <c r="X99" i="1"/>
  <c r="T97" i="1"/>
  <c r="U97" i="1" s="1"/>
  <c r="S97" i="1" s="1"/>
  <c r="X93" i="1"/>
  <c r="T91" i="1"/>
  <c r="U91" i="1" s="1"/>
  <c r="S91" i="1" s="1"/>
  <c r="X89" i="1"/>
  <c r="T85" i="1"/>
  <c r="U85" i="1" s="1"/>
  <c r="S85" i="1" s="1"/>
  <c r="X83" i="1"/>
  <c r="X82" i="1"/>
  <c r="U81" i="1"/>
  <c r="S81" i="1" s="1"/>
  <c r="X64" i="1"/>
  <c r="T200" i="1"/>
  <c r="T192" i="1"/>
  <c r="X192" i="1"/>
  <c r="T186" i="1"/>
  <c r="X186" i="1"/>
  <c r="T180" i="1"/>
  <c r="X180" i="1"/>
  <c r="T174" i="1"/>
  <c r="X174" i="1"/>
  <c r="T168" i="1"/>
  <c r="X168" i="1"/>
  <c r="T162" i="1"/>
  <c r="T208" i="1"/>
  <c r="X208" i="1"/>
  <c r="T156" i="1"/>
  <c r="X156" i="1"/>
  <c r="T150" i="1"/>
  <c r="X150" i="1"/>
  <c r="AG69" i="1"/>
  <c r="X69" i="1"/>
  <c r="T69" i="1"/>
  <c r="AG65" i="1"/>
  <c r="X65" i="1"/>
  <c r="T65" i="1"/>
  <c r="AG61" i="1"/>
  <c r="X61" i="1"/>
  <c r="T61" i="1"/>
  <c r="AG57" i="1"/>
  <c r="T57" i="1"/>
  <c r="T46" i="1"/>
  <c r="X46" i="1"/>
  <c r="AG46" i="1"/>
  <c r="T38" i="1"/>
  <c r="X38" i="1"/>
  <c r="AG38" i="1"/>
  <c r="W38" i="1" s="1"/>
  <c r="AG215" i="1"/>
  <c r="AG214" i="1"/>
  <c r="AG213" i="1"/>
  <c r="AG206" i="1"/>
  <c r="AG205" i="1"/>
  <c r="AG204" i="1"/>
  <c r="AG203" i="1"/>
  <c r="AG202" i="1"/>
  <c r="AG201" i="1"/>
  <c r="AG200" i="1"/>
  <c r="W200" i="1" s="1"/>
  <c r="AG192" i="1"/>
  <c r="AG186" i="1"/>
  <c r="AG180" i="1"/>
  <c r="W180" i="1" s="1"/>
  <c r="AG174" i="1"/>
  <c r="AG168" i="1"/>
  <c r="AG162" i="1"/>
  <c r="AG208" i="1"/>
  <c r="AG156" i="1"/>
  <c r="AG150" i="1"/>
  <c r="X70" i="1"/>
  <c r="X66" i="1"/>
  <c r="X62" i="1"/>
  <c r="T23" i="1"/>
  <c r="X23" i="1"/>
  <c r="AG23" i="1"/>
  <c r="T196" i="1"/>
  <c r="U196" i="1" s="1"/>
  <c r="S196" i="1" s="1"/>
  <c r="X196" i="1"/>
  <c r="T190" i="1"/>
  <c r="U190" i="1" s="1"/>
  <c r="S190" i="1" s="1"/>
  <c r="X190" i="1"/>
  <c r="T184" i="1"/>
  <c r="U184" i="1" s="1"/>
  <c r="S184" i="1" s="1"/>
  <c r="X184" i="1"/>
  <c r="T178" i="1"/>
  <c r="U178" i="1" s="1"/>
  <c r="S178" i="1" s="1"/>
  <c r="X178" i="1"/>
  <c r="T172" i="1"/>
  <c r="U172" i="1" s="1"/>
  <c r="S172" i="1" s="1"/>
  <c r="X172" i="1"/>
  <c r="T166" i="1"/>
  <c r="U166" i="1" s="1"/>
  <c r="S166" i="1" s="1"/>
  <c r="X166" i="1"/>
  <c r="T212" i="1"/>
  <c r="U212" i="1" s="1"/>
  <c r="S212" i="1" s="1"/>
  <c r="X212" i="1"/>
  <c r="T160" i="1"/>
  <c r="T154" i="1"/>
  <c r="U154" i="1" s="1"/>
  <c r="S154" i="1" s="1"/>
  <c r="X154" i="1"/>
  <c r="T148" i="1"/>
  <c r="U148" i="1" s="1"/>
  <c r="S148" i="1" s="1"/>
  <c r="X148" i="1"/>
  <c r="X215" i="1"/>
  <c r="X214" i="1"/>
  <c r="X213" i="1"/>
  <c r="X206" i="1"/>
  <c r="X205" i="1"/>
  <c r="T197" i="1"/>
  <c r="U197" i="1" s="1"/>
  <c r="S197" i="1" s="1"/>
  <c r="T195" i="1"/>
  <c r="U195" i="1" s="1"/>
  <c r="S195" i="1" s="1"/>
  <c r="X195" i="1"/>
  <c r="T193" i="1"/>
  <c r="U193" i="1" s="1"/>
  <c r="S193" i="1" s="1"/>
  <c r="X193" i="1"/>
  <c r="T191" i="1"/>
  <c r="U191" i="1" s="1"/>
  <c r="S191" i="1" s="1"/>
  <c r="X191" i="1"/>
  <c r="T189" i="1"/>
  <c r="U189" i="1" s="1"/>
  <c r="S189" i="1" s="1"/>
  <c r="X189" i="1"/>
  <c r="T187" i="1"/>
  <c r="U187" i="1" s="1"/>
  <c r="S187" i="1" s="1"/>
  <c r="X187" i="1"/>
  <c r="T185" i="1"/>
  <c r="U185" i="1" s="1"/>
  <c r="S185" i="1" s="1"/>
  <c r="X185" i="1"/>
  <c r="T183" i="1"/>
  <c r="U183" i="1" s="1"/>
  <c r="S183" i="1" s="1"/>
  <c r="X183" i="1"/>
  <c r="T181" i="1"/>
  <c r="U181" i="1" s="1"/>
  <c r="S181" i="1" s="1"/>
  <c r="X181" i="1"/>
  <c r="T179" i="1"/>
  <c r="U179" i="1" s="1"/>
  <c r="S179" i="1" s="1"/>
  <c r="X179" i="1"/>
  <c r="T177" i="1"/>
  <c r="U177" i="1" s="1"/>
  <c r="S177" i="1" s="1"/>
  <c r="X177" i="1"/>
  <c r="T175" i="1"/>
  <c r="U175" i="1" s="1"/>
  <c r="S175" i="1" s="1"/>
  <c r="X175" i="1"/>
  <c r="T173" i="1"/>
  <c r="U173" i="1" s="1"/>
  <c r="S173" i="1" s="1"/>
  <c r="X173" i="1"/>
  <c r="T171" i="1"/>
  <c r="U171" i="1" s="1"/>
  <c r="S171" i="1" s="1"/>
  <c r="X171" i="1"/>
  <c r="T169" i="1"/>
  <c r="U169" i="1" s="1"/>
  <c r="S169" i="1" s="1"/>
  <c r="X169" i="1"/>
  <c r="T167" i="1"/>
  <c r="U167" i="1" s="1"/>
  <c r="S167" i="1" s="1"/>
  <c r="X167" i="1"/>
  <c r="T165" i="1"/>
  <c r="U165" i="1" s="1"/>
  <c r="S165" i="1" s="1"/>
  <c r="X165" i="1"/>
  <c r="T163" i="1"/>
  <c r="T161" i="1"/>
  <c r="T211" i="1"/>
  <c r="U211" i="1" s="1"/>
  <c r="S211" i="1" s="1"/>
  <c r="X211" i="1"/>
  <c r="T209" i="1"/>
  <c r="X209" i="1"/>
  <c r="T207" i="1"/>
  <c r="X207" i="1"/>
  <c r="T159" i="1"/>
  <c r="X159" i="1"/>
  <c r="T157" i="1"/>
  <c r="X157" i="1"/>
  <c r="T155" i="1"/>
  <c r="X155" i="1"/>
  <c r="T153" i="1"/>
  <c r="X153" i="1"/>
  <c r="T151" i="1"/>
  <c r="X151" i="1"/>
  <c r="T149" i="1"/>
  <c r="X149" i="1"/>
  <c r="T147" i="1"/>
  <c r="X147" i="1"/>
  <c r="T145" i="1"/>
  <c r="X145" i="1"/>
  <c r="AG67" i="1"/>
  <c r="X67" i="1"/>
  <c r="T67" i="1"/>
  <c r="AG63" i="1"/>
  <c r="X63" i="1"/>
  <c r="T63" i="1"/>
  <c r="AG59" i="1"/>
  <c r="T59" i="1"/>
  <c r="T42" i="1"/>
  <c r="X42" i="1"/>
  <c r="AG42" i="1"/>
  <c r="W42" i="1" s="1"/>
  <c r="T194" i="1"/>
  <c r="U194" i="1" s="1"/>
  <c r="S194" i="1" s="1"/>
  <c r="X194" i="1"/>
  <c r="T188" i="1"/>
  <c r="U188" i="1" s="1"/>
  <c r="S188" i="1" s="1"/>
  <c r="X188" i="1"/>
  <c r="T182" i="1"/>
  <c r="U182" i="1" s="1"/>
  <c r="S182" i="1" s="1"/>
  <c r="X182" i="1"/>
  <c r="T176" i="1"/>
  <c r="U176" i="1" s="1"/>
  <c r="S176" i="1" s="1"/>
  <c r="X176" i="1"/>
  <c r="T170" i="1"/>
  <c r="U170" i="1" s="1"/>
  <c r="S170" i="1" s="1"/>
  <c r="X170" i="1"/>
  <c r="T164" i="1"/>
  <c r="T210" i="1"/>
  <c r="U210" i="1" s="1"/>
  <c r="S210" i="1" s="1"/>
  <c r="X210" i="1"/>
  <c r="T158" i="1"/>
  <c r="U158" i="1" s="1"/>
  <c r="S158" i="1" s="1"/>
  <c r="X158" i="1"/>
  <c r="T152" i="1"/>
  <c r="U152" i="1" s="1"/>
  <c r="S152" i="1" s="1"/>
  <c r="X152" i="1"/>
  <c r="T146" i="1"/>
  <c r="U146" i="1" s="1"/>
  <c r="S146" i="1" s="1"/>
  <c r="X146" i="1"/>
  <c r="AG209" i="1"/>
  <c r="AG207" i="1"/>
  <c r="AG159" i="1"/>
  <c r="AG157" i="1"/>
  <c r="AG155" i="1"/>
  <c r="AG153" i="1"/>
  <c r="AG151" i="1"/>
  <c r="AG149" i="1"/>
  <c r="AG147" i="1"/>
  <c r="AG145" i="1"/>
  <c r="T34" i="1"/>
  <c r="X34" i="1"/>
  <c r="AG34" i="1"/>
  <c r="T100" i="1"/>
  <c r="U100" i="1" s="1"/>
  <c r="S100" i="1" s="1"/>
  <c r="T98" i="1"/>
  <c r="U98" i="1" s="1"/>
  <c r="S98" i="1" s="1"/>
  <c r="T96" i="1"/>
  <c r="U96" i="1" s="1"/>
  <c r="S96" i="1" s="1"/>
  <c r="T94" i="1"/>
  <c r="U94" i="1" s="1"/>
  <c r="S94" i="1" s="1"/>
  <c r="T92" i="1"/>
  <c r="U92" i="1" s="1"/>
  <c r="S92" i="1" s="1"/>
  <c r="T90" i="1"/>
  <c r="U90" i="1" s="1"/>
  <c r="T88" i="1"/>
  <c r="U88" i="1" s="1"/>
  <c r="S88" i="1" s="1"/>
  <c r="T86" i="1"/>
  <c r="U86" i="1" s="1"/>
  <c r="S86" i="1" s="1"/>
  <c r="T84" i="1"/>
  <c r="U84" i="1" s="1"/>
  <c r="S84" i="1" s="1"/>
  <c r="W49" i="1"/>
  <c r="W41" i="1"/>
  <c r="AA27" i="1"/>
  <c r="T18" i="1"/>
  <c r="X18" i="1"/>
  <c r="AG18" i="1"/>
  <c r="X144" i="1"/>
  <c r="X143" i="1"/>
  <c r="X142" i="1"/>
  <c r="X141" i="1"/>
  <c r="X140" i="1"/>
  <c r="X139" i="1"/>
  <c r="X126" i="1"/>
  <c r="X124" i="1"/>
  <c r="X122" i="1"/>
  <c r="X120" i="1"/>
  <c r="X118" i="1"/>
  <c r="X116" i="1"/>
  <c r="X114" i="1"/>
  <c r="X100" i="1"/>
  <c r="X98" i="1"/>
  <c r="X96" i="1"/>
  <c r="X94" i="1"/>
  <c r="X92" i="1"/>
  <c r="X90" i="1"/>
  <c r="X88" i="1"/>
  <c r="X86" i="1"/>
  <c r="X84" i="1"/>
  <c r="T54" i="1"/>
  <c r="X54" i="1"/>
  <c r="AG54" i="1"/>
  <c r="AA50" i="1"/>
  <c r="W50" i="1" s="1"/>
  <c r="T30" i="1"/>
  <c r="U30" i="1" s="1"/>
  <c r="S30" i="1" s="1"/>
  <c r="X30" i="1"/>
  <c r="T27" i="1"/>
  <c r="X27" i="1"/>
  <c r="AG27" i="1"/>
  <c r="T56" i="1"/>
  <c r="AG56" i="1"/>
  <c r="T52" i="1"/>
  <c r="U52" i="1" s="1"/>
  <c r="S52" i="1" s="1"/>
  <c r="X52" i="1"/>
  <c r="T48" i="1"/>
  <c r="X48" i="1"/>
  <c r="AG48" i="1"/>
  <c r="T44" i="1"/>
  <c r="X44" i="1"/>
  <c r="AG44" i="1"/>
  <c r="T40" i="1"/>
  <c r="X40" i="1"/>
  <c r="AG40" i="1"/>
  <c r="AA35" i="1"/>
  <c r="T31" i="1"/>
  <c r="X31" i="1"/>
  <c r="AG31" i="1"/>
  <c r="T22" i="1"/>
  <c r="U22" i="1" s="1"/>
  <c r="S22" i="1" s="1"/>
  <c r="X22" i="1"/>
  <c r="AA19" i="1"/>
  <c r="T15" i="1"/>
  <c r="AG15" i="1"/>
  <c r="T50" i="1"/>
  <c r="U50" i="1" s="1"/>
  <c r="S50" i="1" s="1"/>
  <c r="X50" i="1"/>
  <c r="T35" i="1"/>
  <c r="X35" i="1"/>
  <c r="AG35" i="1"/>
  <c r="T26" i="1"/>
  <c r="U26" i="1" s="1"/>
  <c r="S26" i="1" s="1"/>
  <c r="X26" i="1"/>
  <c r="AA23" i="1"/>
  <c r="T19" i="1"/>
  <c r="X19" i="1"/>
  <c r="AG19" i="1"/>
  <c r="T36" i="1"/>
  <c r="X36" i="1"/>
  <c r="T32" i="1"/>
  <c r="X32" i="1"/>
  <c r="T28" i="1"/>
  <c r="X28" i="1"/>
  <c r="W25" i="1"/>
  <c r="T24" i="1"/>
  <c r="X24" i="1"/>
  <c r="T20" i="1"/>
  <c r="X20" i="1"/>
  <c r="T16" i="1"/>
  <c r="X16" i="1"/>
  <c r="T55" i="1"/>
  <c r="T53" i="1"/>
  <c r="U53" i="1" s="1"/>
  <c r="S53" i="1" s="1"/>
  <c r="X53" i="1"/>
  <c r="T51" i="1"/>
  <c r="U51" i="1" s="1"/>
  <c r="S51" i="1" s="1"/>
  <c r="X51" i="1"/>
  <c r="T49" i="1"/>
  <c r="U49" i="1" s="1"/>
  <c r="S49" i="1" s="1"/>
  <c r="X49" i="1"/>
  <c r="T47" i="1"/>
  <c r="U47" i="1" s="1"/>
  <c r="S47" i="1" s="1"/>
  <c r="X47" i="1"/>
  <c r="T45" i="1"/>
  <c r="U45" i="1" s="1"/>
  <c r="S45" i="1" s="1"/>
  <c r="X45" i="1"/>
  <c r="T43" i="1"/>
  <c r="U43" i="1" s="1"/>
  <c r="S43" i="1" s="1"/>
  <c r="X43" i="1"/>
  <c r="T41" i="1"/>
  <c r="U41" i="1" s="1"/>
  <c r="S41" i="1" s="1"/>
  <c r="X41" i="1"/>
  <c r="T39" i="1"/>
  <c r="U39" i="1" s="1"/>
  <c r="S39" i="1" s="1"/>
  <c r="X39" i="1"/>
  <c r="T37" i="1"/>
  <c r="U37" i="1" s="1"/>
  <c r="S37" i="1" s="1"/>
  <c r="X37" i="1"/>
  <c r="AG36" i="1"/>
  <c r="AA34" i="1"/>
  <c r="T33" i="1"/>
  <c r="U33" i="1" s="1"/>
  <c r="S33" i="1" s="1"/>
  <c r="X33" i="1"/>
  <c r="AG32" i="1"/>
  <c r="AA30" i="1"/>
  <c r="W30" i="1" s="1"/>
  <c r="T29" i="1"/>
  <c r="U29" i="1" s="1"/>
  <c r="S29" i="1" s="1"/>
  <c r="X29" i="1"/>
  <c r="AG28" i="1"/>
  <c r="AA26" i="1"/>
  <c r="W26" i="1" s="1"/>
  <c r="T25" i="1"/>
  <c r="U25" i="1" s="1"/>
  <c r="S25" i="1" s="1"/>
  <c r="X25" i="1"/>
  <c r="AG24" i="1"/>
  <c r="AA22" i="1"/>
  <c r="W22" i="1" s="1"/>
  <c r="T21" i="1"/>
  <c r="U21" i="1" s="1"/>
  <c r="S21" i="1" s="1"/>
  <c r="X21" i="1"/>
  <c r="AG20" i="1"/>
  <c r="W20" i="1" s="1"/>
  <c r="AA18" i="1"/>
  <c r="T17" i="1"/>
  <c r="U17" i="1" s="1"/>
  <c r="S17" i="1" s="1"/>
  <c r="X17" i="1"/>
  <c r="AG16" i="1"/>
  <c r="AH14" i="1"/>
  <c r="AH13" i="1"/>
  <c r="W103" i="1" l="1"/>
  <c r="W55" i="1"/>
  <c r="W80" i="1"/>
  <c r="U60" i="1"/>
  <c r="S60" i="1" s="1"/>
  <c r="W40" i="1"/>
  <c r="W203" i="1"/>
  <c r="U164" i="1"/>
  <c r="S164" i="1" s="1"/>
  <c r="W161" i="1"/>
  <c r="U102" i="1"/>
  <c r="S102" i="1" s="1"/>
  <c r="U115" i="1"/>
  <c r="S115" i="1" s="1"/>
  <c r="U161" i="1"/>
  <c r="S161" i="1" s="1"/>
  <c r="U107" i="1"/>
  <c r="S107" i="1" s="1"/>
  <c r="W109" i="1"/>
  <c r="W192" i="1"/>
  <c r="U122" i="1"/>
  <c r="S122" i="1" s="1"/>
  <c r="W164" i="1"/>
  <c r="W142" i="1"/>
  <c r="W138" i="1"/>
  <c r="U58" i="1"/>
  <c r="S58" i="1" s="1"/>
  <c r="W81" i="1"/>
  <c r="W163" i="1"/>
  <c r="W31" i="1"/>
  <c r="U142" i="1"/>
  <c r="S142" i="1" s="1"/>
  <c r="U80" i="1"/>
  <c r="S80" i="1" s="1"/>
  <c r="W113" i="1"/>
  <c r="W58" i="1"/>
  <c r="W102" i="1"/>
  <c r="U103" i="1"/>
  <c r="S103" i="1" s="1"/>
  <c r="U72" i="1"/>
  <c r="S72" i="1" s="1"/>
  <c r="W111" i="1"/>
  <c r="U106" i="1"/>
  <c r="S106" i="1" s="1"/>
  <c r="W147" i="1"/>
  <c r="W59" i="1"/>
  <c r="U163" i="1"/>
  <c r="S163" i="1" s="1"/>
  <c r="U160" i="1"/>
  <c r="S160" i="1" s="1"/>
  <c r="W160" i="1"/>
  <c r="W114" i="1"/>
  <c r="W75" i="1"/>
  <c r="W108" i="1"/>
  <c r="U109" i="1"/>
  <c r="S109" i="1" s="1"/>
  <c r="W106" i="1"/>
  <c r="W107" i="1"/>
  <c r="U110" i="1"/>
  <c r="S110" i="1" s="1"/>
  <c r="U113" i="1"/>
  <c r="U111" i="1"/>
  <c r="S111" i="1" s="1"/>
  <c r="W105" i="1"/>
  <c r="U112" i="1"/>
  <c r="W150" i="1"/>
  <c r="S105" i="1"/>
  <c r="W101" i="1"/>
  <c r="W143" i="1"/>
  <c r="W60" i="1"/>
  <c r="W73" i="1"/>
  <c r="S101" i="1"/>
  <c r="S104" i="1"/>
  <c r="S108" i="1"/>
  <c r="U76" i="1"/>
  <c r="S76" i="1" s="1"/>
  <c r="W76" i="1"/>
  <c r="W57" i="1"/>
  <c r="W34" i="1"/>
  <c r="U55" i="1"/>
  <c r="S55" i="1" s="1"/>
  <c r="W48" i="1"/>
  <c r="W67" i="1"/>
  <c r="W115" i="1"/>
  <c r="W44" i="1"/>
  <c r="U133" i="1"/>
  <c r="S133" i="1" s="1"/>
  <c r="S127" i="1"/>
  <c r="U129" i="1"/>
  <c r="S129" i="1" s="1"/>
  <c r="W61" i="1"/>
  <c r="W16" i="1"/>
  <c r="W32" i="1"/>
  <c r="W141" i="1"/>
  <c r="U77" i="1"/>
  <c r="S77" i="1" s="1"/>
  <c r="W23" i="1"/>
  <c r="W35" i="1"/>
  <c r="W77" i="1"/>
  <c r="W122" i="1"/>
  <c r="U123" i="1"/>
  <c r="S123" i="1" s="1"/>
  <c r="U114" i="1"/>
  <c r="S114" i="1" s="1"/>
  <c r="W78" i="1"/>
  <c r="W79" i="1"/>
  <c r="W63" i="1"/>
  <c r="W157" i="1"/>
  <c r="W213" i="1"/>
  <c r="W70" i="1"/>
  <c r="W140" i="1"/>
  <c r="U74" i="1"/>
  <c r="S74" i="1" s="1"/>
  <c r="W144" i="1"/>
  <c r="U75" i="1"/>
  <c r="S75" i="1" s="1"/>
  <c r="W71" i="1"/>
  <c r="W139" i="1"/>
  <c r="U139" i="1"/>
  <c r="S139" i="1" s="1"/>
  <c r="U19" i="1"/>
  <c r="S19" i="1" s="1"/>
  <c r="W19" i="1"/>
  <c r="U56" i="1"/>
  <c r="S56" i="1" s="1"/>
  <c r="U151" i="1"/>
  <c r="S151" i="1" s="1"/>
  <c r="U174" i="1"/>
  <c r="S174" i="1" s="1"/>
  <c r="U204" i="1"/>
  <c r="S204" i="1" s="1"/>
  <c r="W56" i="1"/>
  <c r="U69" i="1"/>
  <c r="S69" i="1" s="1"/>
  <c r="U15" i="1"/>
  <c r="S15" i="1" s="1"/>
  <c r="U153" i="1"/>
  <c r="S153" i="1" s="1"/>
  <c r="U159" i="1"/>
  <c r="S159" i="1" s="1"/>
  <c r="U156" i="1"/>
  <c r="S156" i="1" s="1"/>
  <c r="U200" i="1"/>
  <c r="S200" i="1" s="1"/>
  <c r="U214" i="1"/>
  <c r="S214" i="1" s="1"/>
  <c r="U31" i="1"/>
  <c r="S31" i="1" s="1"/>
  <c r="U54" i="1"/>
  <c r="S54" i="1" s="1"/>
  <c r="W69" i="1"/>
  <c r="U18" i="1"/>
  <c r="S18" i="1" s="1"/>
  <c r="U145" i="1"/>
  <c r="S145" i="1" s="1"/>
  <c r="U207" i="1"/>
  <c r="S207" i="1" s="1"/>
  <c r="U67" i="1"/>
  <c r="S67" i="1" s="1"/>
  <c r="U23" i="1"/>
  <c r="S23" i="1" s="1"/>
  <c r="U208" i="1"/>
  <c r="S208" i="1" s="1"/>
  <c r="U180" i="1"/>
  <c r="S180" i="1" s="1"/>
  <c r="U201" i="1"/>
  <c r="S201" i="1" s="1"/>
  <c r="U205" i="1"/>
  <c r="S205" i="1" s="1"/>
  <c r="U215" i="1"/>
  <c r="S215" i="1" s="1"/>
  <c r="U46" i="1"/>
  <c r="S46" i="1" s="1"/>
  <c r="U65" i="1"/>
  <c r="S65" i="1" s="1"/>
  <c r="W153" i="1"/>
  <c r="W207" i="1"/>
  <c r="W214" i="1"/>
  <c r="W156" i="1"/>
  <c r="W201" i="1"/>
  <c r="W18" i="1"/>
  <c r="U40" i="1"/>
  <c r="S40" i="1" s="1"/>
  <c r="U44" i="1"/>
  <c r="S44" i="1" s="1"/>
  <c r="U48" i="1"/>
  <c r="S48" i="1" s="1"/>
  <c r="U27" i="1"/>
  <c r="S27" i="1" s="1"/>
  <c r="W46" i="1"/>
  <c r="W27" i="1"/>
  <c r="W54" i="1"/>
  <c r="W15" i="1"/>
  <c r="U34" i="1"/>
  <c r="S34" i="1" s="1"/>
  <c r="U147" i="1"/>
  <c r="S147" i="1" s="1"/>
  <c r="U155" i="1"/>
  <c r="S155" i="1" s="1"/>
  <c r="U209" i="1"/>
  <c r="S209" i="1" s="1"/>
  <c r="U42" i="1"/>
  <c r="S42" i="1" s="1"/>
  <c r="U63" i="1"/>
  <c r="S63" i="1" s="1"/>
  <c r="U162" i="1"/>
  <c r="S162" i="1" s="1"/>
  <c r="U186" i="1"/>
  <c r="S186" i="1" s="1"/>
  <c r="U202" i="1"/>
  <c r="S202" i="1" s="1"/>
  <c r="U206" i="1"/>
  <c r="S206" i="1" s="1"/>
  <c r="U38" i="1"/>
  <c r="S38" i="1" s="1"/>
  <c r="U61" i="1"/>
  <c r="S61" i="1" s="1"/>
  <c r="W204" i="1"/>
  <c r="W202" i="1"/>
  <c r="W155" i="1"/>
  <c r="W209" i="1"/>
  <c r="W174" i="1"/>
  <c r="W145" i="1"/>
  <c r="W205" i="1"/>
  <c r="U16" i="1"/>
  <c r="S16" i="1" s="1"/>
  <c r="U20" i="1"/>
  <c r="S20" i="1" s="1"/>
  <c r="U24" i="1"/>
  <c r="S24" i="1" s="1"/>
  <c r="U28" i="1"/>
  <c r="S28" i="1" s="1"/>
  <c r="U32" i="1"/>
  <c r="S32" i="1" s="1"/>
  <c r="U36" i="1"/>
  <c r="S36" i="1" s="1"/>
  <c r="U35" i="1"/>
  <c r="S35" i="1" s="1"/>
  <c r="W28" i="1"/>
  <c r="W65" i="1"/>
  <c r="W36" i="1"/>
  <c r="W24" i="1"/>
  <c r="U149" i="1"/>
  <c r="S149" i="1" s="1"/>
  <c r="U157" i="1"/>
  <c r="S157" i="1" s="1"/>
  <c r="U59" i="1"/>
  <c r="S59" i="1" s="1"/>
  <c r="U150" i="1"/>
  <c r="S150" i="1" s="1"/>
  <c r="U168" i="1"/>
  <c r="S168" i="1" s="1"/>
  <c r="U192" i="1"/>
  <c r="S192" i="1" s="1"/>
  <c r="U203" i="1"/>
  <c r="S203" i="1" s="1"/>
  <c r="U213" i="1"/>
  <c r="S213" i="1" s="1"/>
  <c r="U57" i="1"/>
  <c r="S57" i="1" s="1"/>
  <c r="W208" i="1"/>
  <c r="W162" i="1"/>
  <c r="W168" i="1"/>
  <c r="W206" i="1"/>
  <c r="W151" i="1"/>
  <c r="W159" i="1"/>
  <c r="W186" i="1"/>
  <c r="W149" i="1"/>
  <c r="W215" i="1"/>
  <c r="E3" i="6"/>
  <c r="F3" i="6"/>
  <c r="G3" i="6"/>
  <c r="H3" i="6"/>
  <c r="S112" i="1" l="1"/>
  <c r="Q11" i="3"/>
  <c r="P11" i="3"/>
  <c r="Q19" i="3"/>
  <c r="P19" i="3"/>
  <c r="Q61" i="3"/>
  <c r="P61" i="3"/>
  <c r="Q58" i="3"/>
  <c r="P58" i="3"/>
  <c r="Q52" i="3"/>
  <c r="P52" i="3"/>
  <c r="Q37" i="3"/>
  <c r="P37" i="3"/>
  <c r="Q25" i="3"/>
  <c r="P25" i="3"/>
  <c r="Q78" i="3"/>
  <c r="P78" i="3"/>
  <c r="Q81" i="3"/>
  <c r="P81" i="3"/>
  <c r="Q79" i="3"/>
  <c r="P79" i="3"/>
  <c r="Q75" i="3"/>
  <c r="P75" i="3"/>
  <c r="Q80" i="3"/>
  <c r="P80" i="3"/>
  <c r="P74" i="3" l="1"/>
  <c r="P63" i="3"/>
  <c r="Q18" i="3"/>
  <c r="Q17" i="3"/>
  <c r="Q36" i="3"/>
  <c r="P16" i="3"/>
  <c r="P42" i="3"/>
  <c r="P7" i="3"/>
  <c r="P15" i="3"/>
  <c r="P35" i="3"/>
  <c r="P14" i="3"/>
  <c r="P41" i="3"/>
  <c r="P40" i="3"/>
  <c r="Q40" i="3"/>
  <c r="Q41" i="3"/>
  <c r="P23" i="3"/>
  <c r="P22" i="3"/>
  <c r="P8" i="3"/>
  <c r="P28" i="3"/>
  <c r="P48" i="3"/>
  <c r="Q20" i="3"/>
  <c r="Q33" i="3"/>
  <c r="Q10" i="3"/>
  <c r="Q21" i="3"/>
  <c r="Q60" i="3"/>
  <c r="Q13" i="3"/>
  <c r="Q31" i="3"/>
  <c r="Q83" i="3"/>
  <c r="Q82" i="3"/>
  <c r="Q63" i="3"/>
  <c r="Q74" i="3"/>
  <c r="Q22" i="3"/>
  <c r="Q23" i="3"/>
  <c r="P18" i="3"/>
  <c r="P36" i="3"/>
  <c r="P17" i="3"/>
  <c r="Q42" i="3"/>
  <c r="Q7" i="3"/>
  <c r="Q16" i="3"/>
  <c r="Q35" i="3"/>
  <c r="Q14" i="3"/>
  <c r="Q15" i="3"/>
  <c r="P83" i="3"/>
  <c r="P82" i="3"/>
  <c r="Q28" i="3"/>
  <c r="Q48" i="3"/>
  <c r="Q8" i="3"/>
  <c r="P33" i="3"/>
  <c r="P10" i="3"/>
  <c r="P21" i="3"/>
  <c r="P20" i="3"/>
  <c r="P13" i="3"/>
  <c r="P31" i="3"/>
  <c r="P60" i="3"/>
  <c r="S46" i="3" l="1"/>
  <c r="R46" i="3" s="1"/>
  <c r="T46" i="3"/>
  <c r="U46" i="3"/>
  <c r="V46" i="3"/>
  <c r="S55" i="3"/>
  <c r="R55" i="3" s="1"/>
  <c r="T55" i="3"/>
  <c r="U55" i="3"/>
  <c r="V55" i="3"/>
  <c r="L24" i="3"/>
  <c r="S24" i="3"/>
  <c r="R24" i="3" s="1"/>
  <c r="T24" i="3"/>
  <c r="U24" i="3"/>
  <c r="V24" i="3"/>
  <c r="S45" i="3"/>
  <c r="R45" i="3" s="1"/>
  <c r="T45" i="3"/>
  <c r="U45" i="3"/>
  <c r="V45" i="3"/>
  <c r="S76" i="3"/>
  <c r="R76" i="3" s="1"/>
  <c r="T76" i="3"/>
  <c r="U76" i="3"/>
  <c r="V76" i="3"/>
  <c r="Q46" i="3"/>
  <c r="P46" i="3"/>
  <c r="P55" i="3"/>
  <c r="Q76" i="3"/>
  <c r="P76" i="3"/>
  <c r="Q24" i="3" l="1"/>
  <c r="Q45" i="3"/>
  <c r="P24" i="3"/>
  <c r="P45" i="3"/>
  <c r="Q55" i="3"/>
  <c r="S39" i="3"/>
  <c r="R39" i="3" s="1"/>
  <c r="T39" i="3"/>
  <c r="U39" i="3"/>
  <c r="V39" i="3"/>
  <c r="L9" i="3"/>
  <c r="S9" i="3"/>
  <c r="R9" i="3" s="1"/>
  <c r="T9" i="3"/>
  <c r="U9" i="3"/>
  <c r="V9" i="3"/>
  <c r="S57" i="3"/>
  <c r="R57" i="3" s="1"/>
  <c r="T57" i="3"/>
  <c r="U57" i="3"/>
  <c r="V57" i="3"/>
  <c r="S67" i="3"/>
  <c r="R67" i="3" s="1"/>
  <c r="T67" i="3"/>
  <c r="U67" i="3"/>
  <c r="V67" i="3"/>
  <c r="S38" i="3"/>
  <c r="R38" i="3" s="1"/>
  <c r="T38" i="3"/>
  <c r="U38" i="3"/>
  <c r="V38" i="3"/>
  <c r="S73" i="3"/>
  <c r="R73" i="3" s="1"/>
  <c r="T73" i="3"/>
  <c r="U73" i="3"/>
  <c r="V73" i="3"/>
  <c r="S59" i="3"/>
  <c r="R59" i="3" s="1"/>
  <c r="T59" i="3"/>
  <c r="U59" i="3"/>
  <c r="V59" i="3"/>
  <c r="S54" i="3"/>
  <c r="R54" i="3" s="1"/>
  <c r="T54" i="3"/>
  <c r="U54" i="3"/>
  <c r="V54" i="3"/>
  <c r="S72" i="3"/>
  <c r="R72" i="3" s="1"/>
  <c r="T72" i="3"/>
  <c r="U72" i="3"/>
  <c r="V72" i="3"/>
  <c r="L26" i="3"/>
  <c r="S26" i="3"/>
  <c r="R26" i="3" s="1"/>
  <c r="T26" i="3"/>
  <c r="U26" i="3"/>
  <c r="V26" i="3"/>
  <c r="S70" i="3"/>
  <c r="R70" i="3" s="1"/>
  <c r="T70" i="3"/>
  <c r="U70" i="3"/>
  <c r="V70" i="3"/>
  <c r="S49" i="3"/>
  <c r="R49" i="3" s="1"/>
  <c r="T49" i="3"/>
  <c r="U49" i="3"/>
  <c r="V49" i="3"/>
  <c r="L12" i="3"/>
  <c r="S12" i="3"/>
  <c r="R12" i="3" s="1"/>
  <c r="T12" i="3"/>
  <c r="U12" i="3"/>
  <c r="V12" i="3"/>
  <c r="L29" i="3"/>
  <c r="S29" i="3"/>
  <c r="R29" i="3" s="1"/>
  <c r="T29" i="3"/>
  <c r="U29" i="3"/>
  <c r="V29" i="3"/>
  <c r="S71" i="3"/>
  <c r="R71" i="3" s="1"/>
  <c r="T71" i="3"/>
  <c r="U71" i="3"/>
  <c r="V71" i="3"/>
  <c r="P43" i="3"/>
  <c r="Q43" i="3"/>
  <c r="S43" i="3"/>
  <c r="R43" i="3" s="1"/>
  <c r="T43" i="3"/>
  <c r="U43" i="3"/>
  <c r="V43" i="3"/>
  <c r="S64" i="3"/>
  <c r="R64" i="3" s="1"/>
  <c r="T64" i="3"/>
  <c r="U64" i="3"/>
  <c r="V64" i="3"/>
  <c r="S69" i="3"/>
  <c r="R69" i="3" s="1"/>
  <c r="T69" i="3"/>
  <c r="U69" i="3"/>
  <c r="V69" i="3"/>
  <c r="S77" i="3"/>
  <c r="R77" i="3" s="1"/>
  <c r="T77" i="3"/>
  <c r="U77" i="3"/>
  <c r="V77" i="3"/>
  <c r="S50" i="3"/>
  <c r="R50" i="3" s="1"/>
  <c r="T50" i="3"/>
  <c r="U50" i="3"/>
  <c r="V50" i="3"/>
  <c r="L27" i="3"/>
  <c r="S27" i="3"/>
  <c r="R27" i="3" s="1"/>
  <c r="T27" i="3"/>
  <c r="U27" i="3"/>
  <c r="V27" i="3"/>
  <c r="S47" i="3"/>
  <c r="R47" i="3" s="1"/>
  <c r="T47" i="3"/>
  <c r="U47" i="3"/>
  <c r="V47" i="3"/>
  <c r="S44" i="3"/>
  <c r="R44" i="3" s="1"/>
  <c r="T44" i="3"/>
  <c r="U44" i="3"/>
  <c r="V44" i="3"/>
  <c r="S68" i="3"/>
  <c r="R68" i="3" s="1"/>
  <c r="T68" i="3"/>
  <c r="U68" i="3"/>
  <c r="V68" i="3"/>
  <c r="L34" i="3"/>
  <c r="S34" i="3"/>
  <c r="R34" i="3" s="1"/>
  <c r="T34" i="3"/>
  <c r="U34" i="3"/>
  <c r="V34" i="3"/>
  <c r="L32" i="3"/>
  <c r="S32" i="3"/>
  <c r="R32" i="3" s="1"/>
  <c r="T32" i="3"/>
  <c r="U32" i="3"/>
  <c r="V32" i="3"/>
  <c r="S56" i="3"/>
  <c r="R56" i="3" s="1"/>
  <c r="T56" i="3"/>
  <c r="U56" i="3"/>
  <c r="V56" i="3"/>
  <c r="S53" i="3"/>
  <c r="R53" i="3" s="1"/>
  <c r="T53" i="3"/>
  <c r="U53" i="3"/>
  <c r="V53" i="3"/>
  <c r="S51" i="3"/>
  <c r="R51" i="3" s="1"/>
  <c r="T51" i="3"/>
  <c r="U51" i="3"/>
  <c r="V51" i="3"/>
  <c r="L30" i="3"/>
  <c r="S30" i="3"/>
  <c r="R30" i="3" s="1"/>
  <c r="T30" i="3"/>
  <c r="U30" i="3"/>
  <c r="V30" i="3"/>
  <c r="S65" i="3"/>
  <c r="R65" i="3" s="1"/>
  <c r="T65" i="3"/>
  <c r="U65" i="3"/>
  <c r="V65" i="3"/>
  <c r="U66" i="3"/>
  <c r="Q68" i="3"/>
  <c r="P68" i="3"/>
  <c r="Q77" i="3"/>
  <c r="P77" i="3"/>
  <c r="Q9" i="3"/>
  <c r="P9" i="3"/>
  <c r="Q50" i="3"/>
  <c r="P50" i="3"/>
  <c r="Q39" i="3"/>
  <c r="P39" i="3"/>
  <c r="Q26" i="3"/>
  <c r="P26" i="3"/>
  <c r="Q64" i="3"/>
  <c r="P64" i="3"/>
  <c r="Q71" i="3"/>
  <c r="P71" i="3"/>
  <c r="Q49" i="3"/>
  <c r="Q12" i="3"/>
  <c r="P12" i="3"/>
  <c r="Q69" i="3"/>
  <c r="P69" i="3"/>
  <c r="Q70" i="3" l="1"/>
  <c r="P49" i="3"/>
  <c r="P70" i="3"/>
  <c r="Q57" i="3"/>
  <c r="P57" i="3"/>
  <c r="Q29" i="3"/>
  <c r="P29" i="3"/>
  <c r="Q47" i="3"/>
  <c r="P47" i="3"/>
  <c r="Q44" i="3"/>
  <c r="P44" i="3"/>
  <c r="Q56" i="3"/>
  <c r="P56" i="3"/>
  <c r="Q32" i="3"/>
  <c r="P32" i="3"/>
  <c r="Q38" i="3"/>
  <c r="P38" i="3"/>
  <c r="Q53" i="3"/>
  <c r="P53" i="3"/>
  <c r="Q27" i="3"/>
  <c r="P27" i="3"/>
  <c r="Q72" i="3"/>
  <c r="P72" i="3"/>
  <c r="Q73" i="3"/>
  <c r="P73" i="3"/>
  <c r="Q67" i="3"/>
  <c r="Q59" i="3" l="1"/>
  <c r="Q30" i="3"/>
  <c r="Q65" i="3"/>
  <c r="P65" i="3"/>
  <c r="P30" i="3"/>
  <c r="Q51" i="3"/>
  <c r="Q34" i="3"/>
  <c r="Q54" i="3"/>
  <c r="P59" i="3"/>
  <c r="P67" i="3"/>
  <c r="P34" i="3"/>
  <c r="P51" i="3"/>
  <c r="P54" i="3"/>
  <c r="S66" i="3"/>
  <c r="R66" i="3" s="1"/>
  <c r="T66" i="3"/>
  <c r="V66" i="3"/>
  <c r="Q66" i="3" l="1"/>
  <c r="P66" i="3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AF14" i="1" l="1"/>
  <c r="AF13" i="1"/>
  <c r="AE13" i="1" l="1"/>
  <c r="AE14" i="1"/>
  <c r="M18" i="5" l="1"/>
  <c r="AD14" i="1" l="1"/>
  <c r="X15" i="1" s="1"/>
  <c r="AD13" i="1"/>
  <c r="AG13" i="1" l="1"/>
  <c r="T13" i="1"/>
  <c r="AG14" i="1"/>
  <c r="T14" i="1"/>
  <c r="X13" i="1"/>
  <c r="X14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<sst xmlns="http://schemas.openxmlformats.org/spreadsheetml/2006/main" count="2756" uniqueCount="845">
  <si>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</si>
  <si>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</si>
  <si>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</si>
  <si>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</si>
  <si>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</si>
  <si>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</si>
  <si>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</si>
  <si>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</si>
  <si>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</si>
  <si>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</si>
  <si>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</si>
  <si>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</si>
  <si>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</si>
  <si>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</si>
  <si>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</si>
  <si>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</si>
  <si>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</si>
  <si>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</si>
  <si>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</si>
  <si>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</si>
  <si>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</si>
  <si>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</si>
  <si>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</si>
  <si>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</si>
  <si>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</si>
  <si>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</si>
  <si>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</si>
  <si>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</si>
  <si>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</si>
  <si>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</si>
  <si>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</si>
  <si>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</si>
  <si>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</si>
  <si>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</si>
  <si>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</si>
  <si>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</si>
  <si>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</si>
  <si>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</si>
  <si>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</si>
  <si>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</si>
  <si>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</si>
  <si>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</si>
  <si>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</si>
  <si>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</si>
  <si>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</si>
  <si>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</si>
  <si>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</si>
  <si>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</si>
  <si>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</si>
  <si>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</si>
  <si>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</si>
  <si>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</si>
  <si>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</si>
  <si>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</si>
  <si>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</si>
  <si>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</si>
  <si>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</si>
  <si>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</si>
  <si>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</si>
  <si>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</si>
  <si>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</si>
  <si>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</si>
  <si>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</si>
  <si>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</si>
  <si>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</si>
  <si>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</si>
  <si>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</si>
  <si>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</si>
  <si>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</si>
  <si>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</si>
  <si>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</si>
  <si>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</si>
  <si>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</si>
  <si>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</si>
  <si>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</si>
  <si>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</si>
  <si>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</si>
  <si>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</si>
  <si>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</si>
  <si>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</si>
  <si>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</si>
  <si>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</si>
  <si>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</si>
  <si>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</si>
  <si>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</si>
  <si>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</si>
  <si>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</si>
  <si>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</si>
  <si>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</si>
  <si>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</si>
  <si>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</si>
  <si>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</si>
  <si>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</si>
  <si>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</si>
  <si>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</si>
  <si>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</si>
  <si>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</si>
  <si>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</si>
  <si>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</si>
  <si>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</si>
  <si>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</si>
  <si>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</si>
  <si>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</si>
  <si>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</si>
  <si>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</si>
  <si>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</si>
  <si>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</si>
  <si>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</si>
  <si>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</si>
  <si>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</si>
  <si>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</si>
  <si>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</si>
  <si>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</si>
  <si>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</si>
  <si>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</si>
  <si>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</si>
  <si>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</si>
  <si>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</si>
  <si>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</si>
  <si>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</si>
  <si>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</si>
  <si>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</si>
  <si>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</si>
  <si>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</si>
  <si>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</si>
  <si>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</si>
  <si>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</si>
  <si>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</si>
  <si>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</si>
  <si>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</si>
  <si>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</si>
  <si>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</si>
  <si>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</si>
  <si>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</si>
  <si>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</si>
  <si>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</si>
  <si>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204:154</t>
  </si>
  <si>
    <t>204:150</t>
  </si>
  <si>
    <t>204:464</t>
  </si>
  <si>
    <t>204:139</t>
  </si>
  <si>
    <t>204:462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</si>
  <si>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</si>
  <si>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</si>
  <si>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</si>
  <si>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</si>
  <si>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</si>
  <si>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</si>
  <si>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</si>
  <si>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</si>
  <si>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</si>
  <si>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</si>
  <si>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</si>
  <si>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</si>
  <si>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</si>
  <si>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</si>
  <si>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</si>
  <si>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</si>
  <si>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</si>
  <si>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</si>
  <si>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</si>
  <si>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204:149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</si>
  <si>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</si>
  <si>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</si>
  <si>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</si>
  <si>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</si>
  <si>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</si>
  <si>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</si>
  <si>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</si>
  <si>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</si>
  <si>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</si>
  <si>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</si>
  <si>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</si>
  <si>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</si>
  <si>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</si>
  <si>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</si>
  <si>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</si>
  <si>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</si>
  <si>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</si>
  <si>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</si>
  <si>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</si>
  <si>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</si>
  <si>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</si>
  <si>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</si>
  <si>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</si>
  <si>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</si>
  <si>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</si>
  <si>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</si>
  <si>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</si>
  <si>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</si>
  <si>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143-25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</si>
  <si>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</si>
  <si>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</si>
  <si>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</si>
  <si>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</si>
  <si>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</si>
  <si>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</si>
  <si>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</si>
  <si>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</si>
  <si>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</si>
  <si>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</si>
  <si>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</si>
  <si>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</si>
  <si>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</si>
  <si>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</si>
  <si>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</si>
  <si>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</si>
  <si>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</si>
  <si>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</si>
  <si>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</si>
  <si>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</si>
  <si>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</si>
  <si>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</si>
  <si>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</si>
  <si>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</si>
  <si>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</si>
  <si>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</si>
  <si>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</si>
  <si>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</si>
  <si>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</si>
  <si>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</si>
  <si>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</si>
  <si>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</si>
  <si>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</si>
  <si>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</si>
  <si>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</si>
  <si>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</si>
  <si>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</si>
  <si>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</si>
  <si>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</si>
  <si>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</si>
  <si>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</si>
  <si>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</si>
  <si>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</si>
  <si>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</si>
  <si>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</si>
  <si>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</si>
  <si>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</si>
  <si>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</si>
  <si>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</si>
  <si>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</si>
  <si>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</si>
  <si>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</si>
  <si>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</si>
  <si>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</si>
  <si>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</si>
  <si>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</si>
  <si>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</si>
  <si>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</si>
  <si>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</si>
  <si>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</si>
  <si>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</si>
  <si>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187-26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</si>
  <si>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</si>
  <si>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</si>
  <si>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</si>
  <si>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</si>
  <si>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</si>
  <si>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</si>
  <si>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</si>
  <si>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</si>
  <si>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</si>
  <si>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</si>
  <si>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</si>
  <si>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</si>
  <si>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</si>
  <si>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</si>
  <si>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</si>
  <si>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</si>
  <si>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</si>
  <si>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</si>
  <si>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</si>
  <si>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</si>
  <si>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</si>
  <si>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</si>
  <si>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</si>
  <si>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</si>
  <si>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</si>
  <si>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</si>
  <si>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</si>
  <si>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</si>
  <si>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</si>
  <si>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</si>
  <si>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</si>
  <si>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</si>
  <si>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</si>
  <si>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</si>
  <si>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</si>
  <si>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</si>
  <si>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</si>
  <si>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</si>
  <si>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</si>
  <si>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</si>
  <si>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</si>
  <si>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</si>
  <si>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</si>
  <si>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</si>
  <si>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</si>
  <si>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</si>
  <si>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</si>
  <si>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</si>
  <si>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</si>
  <si>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</si>
  <si>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</si>
  <si>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156-27</t>
  </si>
  <si>
    <t>204:165</t>
  </si>
  <si>
    <t>204:451</t>
  </si>
  <si>
    <t>204:478</t>
  </si>
  <si>
    <t>204:232985</t>
  </si>
  <si>
    <t>300:58609</t>
  </si>
  <si>
    <t>SWANSON</t>
  </si>
  <si>
    <t>YORK</t>
  </si>
  <si>
    <t>rtdc.l.rtdc.4043:itc</t>
  </si>
  <si>
    <t>302-28</t>
  </si>
  <si>
    <t>101-28</t>
  </si>
  <si>
    <t>102-28</t>
  </si>
  <si>
    <t>802-28</t>
  </si>
  <si>
    <t>806-28</t>
  </si>
  <si>
    <t>204:447</t>
  </si>
  <si>
    <t>204:170</t>
  </si>
  <si>
    <t>204:232982</t>
  </si>
  <si>
    <t>204:232975</t>
  </si>
  <si>
    <t>204:457</t>
  </si>
  <si>
    <t>TEMPORARY SPEED RESTRICTION</t>
  </si>
  <si>
    <t>204:233309</t>
  </si>
  <si>
    <t>204:435</t>
  </si>
  <si>
    <t>204:232998</t>
  </si>
  <si>
    <t>204:160</t>
  </si>
  <si>
    <t>204:232971</t>
  </si>
  <si>
    <t>300:58924</t>
  </si>
  <si>
    <t>204:233311</t>
  </si>
  <si>
    <t>1866-30</t>
  </si>
  <si>
    <t>204:965</t>
  </si>
  <si>
    <t>1904-30</t>
  </si>
  <si>
    <t>204:233004</t>
  </si>
  <si>
    <t>2004-30</t>
  </si>
  <si>
    <t>204:233301</t>
  </si>
  <si>
    <t>STAMBAUGH</t>
  </si>
  <si>
    <t>STORY</t>
  </si>
  <si>
    <t>306-30</t>
  </si>
  <si>
    <t>204:232994</t>
  </si>
  <si>
    <t>204:437</t>
  </si>
  <si>
    <t>204:233316</t>
  </si>
  <si>
    <t>204:232983</t>
  </si>
  <si>
    <t>204:233297</t>
  </si>
  <si>
    <t>204:449</t>
  </si>
  <si>
    <t>204:446</t>
  </si>
  <si>
    <t>204:455</t>
  </si>
  <si>
    <t>204:232973</t>
  </si>
  <si>
    <t>SWITCH UNKNOWN</t>
  </si>
  <si>
    <t>Track device (7)</t>
  </si>
  <si>
    <t>Onboard in-route failure</t>
  </si>
  <si>
    <t>204:233006</t>
  </si>
  <si>
    <t>204:232972</t>
  </si>
  <si>
    <t>204:232996</t>
  </si>
  <si>
    <t>204:473</t>
  </si>
  <si>
    <t>204:233286</t>
  </si>
  <si>
    <t>204:233280</t>
  </si>
  <si>
    <t>204:233314</t>
  </si>
  <si>
    <t>204:484</t>
  </si>
  <si>
    <t>204:127</t>
  </si>
  <si>
    <t>204:232980</t>
  </si>
  <si>
    <t>204:444</t>
  </si>
  <si>
    <t>204:427</t>
  </si>
  <si>
    <t>204:232990</t>
  </si>
  <si>
    <t>204:232959</t>
  </si>
  <si>
    <t>225-01</t>
  </si>
  <si>
    <t>235-01</t>
  </si>
  <si>
    <t>300:23304</t>
  </si>
  <si>
    <t>300:58931</t>
  </si>
  <si>
    <t>HAITHCOX</t>
  </si>
  <si>
    <t>ISHMAEL</t>
  </si>
  <si>
    <t>rtdc.l.rtdc.4044:itc</t>
  </si>
  <si>
    <t>OUN</t>
  </si>
  <si>
    <t>rtdc.l.rtdc.4039:itc</t>
  </si>
  <si>
    <t>ROBINSON</t>
  </si>
  <si>
    <t>107-02</t>
  </si>
  <si>
    <t>231-31</t>
  </si>
  <si>
    <t>116-02</t>
  </si>
  <si>
    <t>:.+((SYSTEM_STATE.+slice.+state.+changed )|(ment ac)|(system.+state.+changed )|(\|lc)|(penalty)|(\[timeout)|(PRM\|1\|D)|(kpr)|(kdp))</t>
  </si>
  <si>
    <t>RefineRTDCRunTimes</t>
  </si>
  <si>
    <t>RefineTime</t>
  </si>
  <si>
    <t>832-02</t>
  </si>
  <si>
    <t>239-02</t>
  </si>
  <si>
    <t>204:701</t>
  </si>
  <si>
    <t>204:233289</t>
  </si>
  <si>
    <t>204:475</t>
  </si>
  <si>
    <t>204:233324</t>
  </si>
  <si>
    <t>204:422</t>
  </si>
  <si>
    <t>204:233002</t>
  </si>
  <si>
    <t>204:138</t>
  </si>
  <si>
    <t>204:233330</t>
  </si>
  <si>
    <t>204:650</t>
  </si>
  <si>
    <t>204:232978</t>
  </si>
  <si>
    <t>204:136</t>
  </si>
  <si>
    <t>204:232991</t>
  </si>
  <si>
    <t>204:167</t>
  </si>
  <si>
    <t>204:488</t>
  </si>
  <si>
    <t>204:233007</t>
  </si>
  <si>
    <t>204:187</t>
  </si>
  <si>
    <t>204:440</t>
  </si>
  <si>
    <t>204:232979</t>
  </si>
  <si>
    <t>204:233332</t>
  </si>
  <si>
    <t>204:232986</t>
  </si>
  <si>
    <t>204:233327</t>
  </si>
  <si>
    <t>204:132</t>
  </si>
  <si>
    <t>204:233300</t>
  </si>
  <si>
    <t>220-02</t>
  </si>
  <si>
    <t>204:233304</t>
  </si>
  <si>
    <t>222-02</t>
  </si>
  <si>
    <t>223-02</t>
  </si>
  <si>
    <t>224-02</t>
  </si>
  <si>
    <t>225-02</t>
  </si>
  <si>
    <t>227-02</t>
  </si>
  <si>
    <t>229-02</t>
  </si>
  <si>
    <t>230-02</t>
  </si>
  <si>
    <t>231-02</t>
  </si>
  <si>
    <t>232-02</t>
  </si>
  <si>
    <t>233-02</t>
  </si>
  <si>
    <t>234-02</t>
  </si>
  <si>
    <t>235-02</t>
  </si>
  <si>
    <t>236-02</t>
  </si>
  <si>
    <t>237-02</t>
  </si>
  <si>
    <t>204:233270</t>
  </si>
  <si>
    <t>238-02</t>
  </si>
  <si>
    <t>240-02</t>
  </si>
  <si>
    <t>204:981</t>
  </si>
  <si>
    <t>241-02</t>
  </si>
  <si>
    <t>242-02</t>
  </si>
  <si>
    <t>243-02</t>
  </si>
  <si>
    <t>204:1164</t>
  </si>
  <si>
    <t>204:233288</t>
  </si>
  <si>
    <t>244-02</t>
  </si>
  <si>
    <t>307-02</t>
  </si>
  <si>
    <t>309-02</t>
  </si>
  <si>
    <t>313-02</t>
  </si>
  <si>
    <t>315-02</t>
  </si>
  <si>
    <t>300:58907</t>
  </si>
  <si>
    <t>300:58914</t>
  </si>
  <si>
    <t>300:58935</t>
  </si>
  <si>
    <t>300:58594</t>
  </si>
  <si>
    <t>300:58916</t>
  </si>
  <si>
    <t>300:58598</t>
  </si>
  <si>
    <t>300:58912</t>
  </si>
  <si>
    <t>300:58922</t>
  </si>
  <si>
    <t>204:724</t>
  </si>
  <si>
    <t>840-02</t>
  </si>
  <si>
    <t>300:58617</t>
  </si>
  <si>
    <t>204:685</t>
  </si>
  <si>
    <t>842-02</t>
  </si>
  <si>
    <t>843-02</t>
  </si>
  <si>
    <t>844-02</t>
  </si>
  <si>
    <t>845-02</t>
  </si>
  <si>
    <t>204:978</t>
  </si>
  <si>
    <t>847-02</t>
  </si>
  <si>
    <t>204:1020</t>
  </si>
  <si>
    <t>908-02</t>
  </si>
  <si>
    <t>103-03</t>
  </si>
  <si>
    <t>102-03</t>
  </si>
  <si>
    <t>803-03</t>
  </si>
  <si>
    <t>802-03</t>
  </si>
  <si>
    <t>125-03</t>
  </si>
  <si>
    <t>805-03</t>
  </si>
  <si>
    <t>120-03</t>
  </si>
  <si>
    <t>STRICKLAND</t>
  </si>
  <si>
    <t>127-03</t>
  </si>
  <si>
    <t>119-03</t>
  </si>
  <si>
    <t>112-03</t>
  </si>
  <si>
    <t>106-03</t>
  </si>
  <si>
    <t>107-03</t>
  </si>
  <si>
    <t>311-02</t>
  </si>
  <si>
    <t>104-03</t>
  </si>
  <si>
    <t>113-03</t>
  </si>
  <si>
    <t>115-03</t>
  </si>
  <si>
    <t>110-03</t>
  </si>
  <si>
    <t>117-03</t>
  </si>
  <si>
    <t>801-03</t>
  </si>
  <si>
    <t>116-03</t>
  </si>
  <si>
    <t>118-03</t>
  </si>
  <si>
    <t>804-03</t>
  </si>
  <si>
    <t>123-03</t>
  </si>
  <si>
    <t>108-03</t>
  </si>
  <si>
    <t>111-03</t>
  </si>
  <si>
    <t>109-03</t>
  </si>
  <si>
    <t>105-03</t>
  </si>
  <si>
    <t>306-03</t>
  </si>
  <si>
    <t>101-03</t>
  </si>
  <si>
    <t>310-03</t>
  </si>
  <si>
    <t>800-03</t>
  </si>
  <si>
    <t>114-03</t>
  </si>
  <si>
    <t>121-03</t>
  </si>
  <si>
    <t>122-03</t>
  </si>
  <si>
    <t>Repeated consist updates from TMDS</t>
  </si>
  <si>
    <t>Did not initialize</t>
  </si>
  <si>
    <t>Wi-MAX outage</t>
  </si>
  <si>
    <t>"%USERPROFILE%\Documents\GitHub\eaglep3\Utilities\RefineRTDCRunTimes.py"</t>
  </si>
  <si>
    <t>%USERPROFILE%\Documents\GitHub\mrs-test-scripts\Headless Mode &amp; Sideloading\WalkAndUnGZ.bat</t>
  </si>
  <si>
    <t>"%USERPROFILE%\AppData\Local\Temp\OnboardLogs"</t>
  </si>
  <si>
    <t>126-03</t>
  </si>
  <si>
    <t>130-03</t>
  </si>
  <si>
    <t>134-03</t>
  </si>
  <si>
    <t>813-03</t>
  </si>
  <si>
    <t>136-03</t>
  </si>
  <si>
    <t>814-03</t>
  </si>
  <si>
    <t>144-03</t>
  </si>
  <si>
    <t>148-03</t>
  </si>
  <si>
    <t>163-03</t>
  </si>
  <si>
    <t>167-03</t>
  </si>
  <si>
    <t>164-03</t>
  </si>
  <si>
    <t>166-03</t>
  </si>
  <si>
    <t>177-03</t>
  </si>
  <si>
    <t>168-03</t>
  </si>
  <si>
    <t>170-03</t>
  </si>
  <si>
    <t>179-03</t>
  </si>
  <si>
    <t>823-03</t>
  </si>
  <si>
    <t>180-03</t>
  </si>
  <si>
    <t>182-03</t>
  </si>
  <si>
    <t>187-03</t>
  </si>
  <si>
    <t>825-03</t>
  </si>
  <si>
    <t>904-03</t>
  </si>
  <si>
    <t>195-03</t>
  </si>
  <si>
    <t>192-03</t>
  </si>
  <si>
    <t>199-03</t>
  </si>
  <si>
    <t>828-03</t>
  </si>
  <si>
    <t>829-03</t>
  </si>
  <si>
    <t>196-03</t>
  </si>
  <si>
    <t>198-03</t>
  </si>
  <si>
    <t>203-03</t>
  </si>
  <si>
    <t>832-03</t>
  </si>
  <si>
    <t>202-03</t>
  </si>
  <si>
    <t>833-03</t>
  </si>
  <si>
    <t>206-03</t>
  </si>
  <si>
    <t>211-03</t>
  </si>
  <si>
    <t>212-03</t>
  </si>
  <si>
    <t>208-03</t>
  </si>
  <si>
    <t>210-03</t>
  </si>
  <si>
    <t>220-03</t>
  </si>
  <si>
    <t>840-03</t>
  </si>
  <si>
    <t>842-03</t>
  </si>
  <si>
    <t>234-03</t>
  </si>
  <si>
    <t>204:703</t>
  </si>
  <si>
    <t>204:232687</t>
  </si>
  <si>
    <t>204:88</t>
  </si>
  <si>
    <t>204:606</t>
  </si>
  <si>
    <t>204:233387</t>
  </si>
  <si>
    <t>204:232733</t>
  </si>
  <si>
    <t>204:123</t>
  </si>
  <si>
    <t>204:774</t>
  </si>
  <si>
    <t>204:233282</t>
  </si>
  <si>
    <t>204:232660</t>
  </si>
  <si>
    <t>204:227</t>
  </si>
  <si>
    <t>204:233312</t>
  </si>
  <si>
    <t>204:697</t>
  </si>
  <si>
    <t>204:409</t>
  </si>
  <si>
    <t>204:233298</t>
  </si>
  <si>
    <t>204:402</t>
  </si>
  <si>
    <t>204:887</t>
  </si>
  <si>
    <t>124-03</t>
  </si>
  <si>
    <t>204:429</t>
  </si>
  <si>
    <t>128-03</t>
  </si>
  <si>
    <t>129-03</t>
  </si>
  <si>
    <t>204:207</t>
  </si>
  <si>
    <t>131-03</t>
  </si>
  <si>
    <t>204:433</t>
  </si>
  <si>
    <t>132-03</t>
  </si>
  <si>
    <t>204:130</t>
  </si>
  <si>
    <t>133-03</t>
  </si>
  <si>
    <t>135-03</t>
  </si>
  <si>
    <t>204:480</t>
  </si>
  <si>
    <t>204:198</t>
  </si>
  <si>
    <t>137-03</t>
  </si>
  <si>
    <t>204:19125</t>
  </si>
  <si>
    <t>138-03</t>
  </si>
  <si>
    <t>139-03</t>
  </si>
  <si>
    <t>140-03</t>
  </si>
  <si>
    <t>141-03</t>
  </si>
  <si>
    <t>142-03</t>
  </si>
  <si>
    <t>143-03</t>
  </si>
  <si>
    <t>204:500</t>
  </si>
  <si>
    <t>204:128444</t>
  </si>
  <si>
    <t>145-03</t>
  </si>
  <si>
    <t>146-03</t>
  </si>
  <si>
    <t>147-03</t>
  </si>
  <si>
    <t>149-03</t>
  </si>
  <si>
    <t>204:497</t>
  </si>
  <si>
    <t>204:233320</t>
  </si>
  <si>
    <t>150-03</t>
  </si>
  <si>
    <t>204:232984</t>
  </si>
  <si>
    <t>151-03</t>
  </si>
  <si>
    <t>152-03</t>
  </si>
  <si>
    <t>204:233000</t>
  </si>
  <si>
    <t>204:158</t>
  </si>
  <si>
    <t>153-03</t>
  </si>
  <si>
    <t>154-03</t>
  </si>
  <si>
    <t>155-03</t>
  </si>
  <si>
    <t>156-03</t>
  </si>
  <si>
    <t>157-03</t>
  </si>
  <si>
    <t>158-03</t>
  </si>
  <si>
    <t>159-03</t>
  </si>
  <si>
    <t>160-03</t>
  </si>
  <si>
    <t>161-03</t>
  </si>
  <si>
    <t>162-03</t>
  </si>
  <si>
    <t>204:4634</t>
  </si>
  <si>
    <t>165-03</t>
  </si>
  <si>
    <t>204:232988</t>
  </si>
  <si>
    <t>204:2969</t>
  </si>
  <si>
    <t>204:477</t>
  </si>
  <si>
    <t>204:233366</t>
  </si>
  <si>
    <t>204:233047</t>
  </si>
  <si>
    <t>204:242</t>
  </si>
  <si>
    <t>169-03</t>
  </si>
  <si>
    <t>171-03</t>
  </si>
  <si>
    <t>172-03</t>
  </si>
  <si>
    <t>173-03</t>
  </si>
  <si>
    <t>174-03</t>
  </si>
  <si>
    <t>175-03</t>
  </si>
  <si>
    <t>176-03</t>
  </si>
  <si>
    <t>204:19152</t>
  </si>
  <si>
    <t>204:5817</t>
  </si>
  <si>
    <t>178-03</t>
  </si>
  <si>
    <t>204:19137</t>
  </si>
  <si>
    <t>204:7807</t>
  </si>
  <si>
    <t>181-03</t>
  </si>
  <si>
    <t>204:19119</t>
  </si>
  <si>
    <t>183-03</t>
  </si>
  <si>
    <t>184-03</t>
  </si>
  <si>
    <t>185-03</t>
  </si>
  <si>
    <t>186-03</t>
  </si>
  <si>
    <t>204:233285</t>
  </si>
  <si>
    <t>188-03</t>
  </si>
  <si>
    <t>204:176</t>
  </si>
  <si>
    <t>189-03</t>
  </si>
  <si>
    <t>190-03</t>
  </si>
  <si>
    <t>204:163</t>
  </si>
  <si>
    <t>191-03</t>
  </si>
  <si>
    <t>204:233238</t>
  </si>
  <si>
    <t>204:232928</t>
  </si>
  <si>
    <t>193-03</t>
  </si>
  <si>
    <t>194-03</t>
  </si>
  <si>
    <t>204:129</t>
  </si>
  <si>
    <t>204:233278</t>
  </si>
  <si>
    <t>204:232943</t>
  </si>
  <si>
    <t>197-03</t>
  </si>
  <si>
    <t>204:57972</t>
  </si>
  <si>
    <t>204:36791</t>
  </si>
  <si>
    <t>200-03</t>
  </si>
  <si>
    <t>204:232974</t>
  </si>
  <si>
    <t>201-03</t>
  </si>
  <si>
    <t>204:232967</t>
  </si>
  <si>
    <t>204-03</t>
  </si>
  <si>
    <t>205-03</t>
  </si>
  <si>
    <t>207-03</t>
  </si>
  <si>
    <t>204:233319</t>
  </si>
  <si>
    <t>204:94</t>
  </si>
  <si>
    <t>209-03</t>
  </si>
  <si>
    <t>204:232957</t>
  </si>
  <si>
    <t>204:233336</t>
  </si>
  <si>
    <t>204:233034</t>
  </si>
  <si>
    <t>204:4081</t>
  </si>
  <si>
    <t>213-03</t>
  </si>
  <si>
    <t>214-03</t>
  </si>
  <si>
    <t>204:121425</t>
  </si>
  <si>
    <t>204:64174</t>
  </si>
  <si>
    <t>215-03</t>
  </si>
  <si>
    <t>216-03</t>
  </si>
  <si>
    <t>204:154005</t>
  </si>
  <si>
    <t>217-03</t>
  </si>
  <si>
    <t>218-03</t>
  </si>
  <si>
    <t>219-03</t>
  </si>
  <si>
    <t>204:103</t>
  </si>
  <si>
    <t>221-03</t>
  </si>
  <si>
    <t>222-03</t>
  </si>
  <si>
    <t>204:232970</t>
  </si>
  <si>
    <t>204:161</t>
  </si>
  <si>
    <t>223-03</t>
  </si>
  <si>
    <t>224-03</t>
  </si>
  <si>
    <t>225-03</t>
  </si>
  <si>
    <t>226-03</t>
  </si>
  <si>
    <t>227-03</t>
  </si>
  <si>
    <t>204:413</t>
  </si>
  <si>
    <t>204:233321</t>
  </si>
  <si>
    <t>228-03</t>
  </si>
  <si>
    <t>229-03</t>
  </si>
  <si>
    <t>204:233268</t>
  </si>
  <si>
    <t>230-03</t>
  </si>
  <si>
    <t>231-03</t>
  </si>
  <si>
    <t>232-03</t>
  </si>
  <si>
    <t>233-03</t>
  </si>
  <si>
    <t>204:26829</t>
  </si>
  <si>
    <t>235-03</t>
  </si>
  <si>
    <t>236-03</t>
  </si>
  <si>
    <t>237-03</t>
  </si>
  <si>
    <t>238-03</t>
  </si>
  <si>
    <t>204:232955</t>
  </si>
  <si>
    <t>239-03</t>
  </si>
  <si>
    <t>240-03</t>
  </si>
  <si>
    <t>241-03</t>
  </si>
  <si>
    <t>204:233263</t>
  </si>
  <si>
    <t>242-03</t>
  </si>
  <si>
    <t>243-03</t>
  </si>
  <si>
    <t>204:489</t>
  </si>
  <si>
    <t>244-03</t>
  </si>
  <si>
    <t>307-03</t>
  </si>
  <si>
    <t>204:491</t>
  </si>
  <si>
    <t>300:23337</t>
  </si>
  <si>
    <t>309-03</t>
  </si>
  <si>
    <t>300:23314</t>
  </si>
  <si>
    <t>300:24197</t>
  </si>
  <si>
    <t>311-03</t>
  </si>
  <si>
    <t>300:23081</t>
  </si>
  <si>
    <t>315-03</t>
  </si>
  <si>
    <t>300:22282</t>
  </si>
  <si>
    <t>300:58608</t>
  </si>
  <si>
    <t>204:657</t>
  </si>
  <si>
    <t>204:941</t>
  </si>
  <si>
    <t>204:640</t>
  </si>
  <si>
    <t>300:58973</t>
  </si>
  <si>
    <t>300:58658</t>
  </si>
  <si>
    <t>204:719</t>
  </si>
  <si>
    <t>204:927</t>
  </si>
  <si>
    <t>300:58943</t>
  </si>
  <si>
    <t>806-03</t>
  </si>
  <si>
    <t>300:58626</t>
  </si>
  <si>
    <t>204:661</t>
  </si>
  <si>
    <t>807-03</t>
  </si>
  <si>
    <t>204:1021</t>
  </si>
  <si>
    <t>300:58984</t>
  </si>
  <si>
    <t>808-03</t>
  </si>
  <si>
    <t>300:58668</t>
  </si>
  <si>
    <t>204:682</t>
  </si>
  <si>
    <t>809-03</t>
  </si>
  <si>
    <t>204:943</t>
  </si>
  <si>
    <t>810-03</t>
  </si>
  <si>
    <t>204:680</t>
  </si>
  <si>
    <t>811-03</t>
  </si>
  <si>
    <t>300:58950</t>
  </si>
  <si>
    <t>812-03</t>
  </si>
  <si>
    <t>300:58619</t>
  </si>
  <si>
    <t>204:983</t>
  </si>
  <si>
    <t>300:58589</t>
  </si>
  <si>
    <t>204:692</t>
  </si>
  <si>
    <t>815-03</t>
  </si>
  <si>
    <t>204:986</t>
  </si>
  <si>
    <t>816-03</t>
  </si>
  <si>
    <t>817-03</t>
  </si>
  <si>
    <t>818-03</t>
  </si>
  <si>
    <t>300:58634</t>
  </si>
  <si>
    <t>819-03</t>
  </si>
  <si>
    <t>204:979</t>
  </si>
  <si>
    <t>820-03</t>
  </si>
  <si>
    <t>204:691</t>
  </si>
  <si>
    <t>821-03</t>
  </si>
  <si>
    <t>204:995</t>
  </si>
  <si>
    <t>822-03</t>
  </si>
  <si>
    <t>204:955</t>
  </si>
  <si>
    <t>204:2883</t>
  </si>
  <si>
    <t>824-03</t>
  </si>
  <si>
    <t>204:946</t>
  </si>
  <si>
    <t>300:58939</t>
  </si>
  <si>
    <t>826-03</t>
  </si>
  <si>
    <t>300:58623</t>
  </si>
  <si>
    <t>204:675</t>
  </si>
  <si>
    <t>827-03</t>
  </si>
  <si>
    <t>204:902</t>
  </si>
  <si>
    <t>204:951</t>
  </si>
  <si>
    <t>300:58854</t>
  </si>
  <si>
    <t>830-03</t>
  </si>
  <si>
    <t>831-03</t>
  </si>
  <si>
    <t>834-03</t>
  </si>
  <si>
    <t>300:58624</t>
  </si>
  <si>
    <t>204:146</t>
  </si>
  <si>
    <t>835-03</t>
  </si>
  <si>
    <t>836-03</t>
  </si>
  <si>
    <t>204:892</t>
  </si>
  <si>
    <t>204:155</t>
  </si>
  <si>
    <t>841-03</t>
  </si>
  <si>
    <t>300:58621</t>
  </si>
  <si>
    <t>843-03</t>
  </si>
  <si>
    <t>204:439</t>
  </si>
  <si>
    <t>300:58941</t>
  </si>
  <si>
    <t>844-03</t>
  </si>
  <si>
    <t>300:58585</t>
  </si>
  <si>
    <t>204:720</t>
  </si>
  <si>
    <t>845-03</t>
  </si>
  <si>
    <t>204:976</t>
  </si>
  <si>
    <t>300:58905</t>
  </si>
  <si>
    <t>847-03</t>
  </si>
  <si>
    <t>903-03</t>
  </si>
  <si>
    <t>204:972</t>
  </si>
  <si>
    <t>300:24178</t>
  </si>
  <si>
    <t>300:24476</t>
  </si>
  <si>
    <t>300:24080</t>
  </si>
  <si>
    <t>908-03</t>
  </si>
  <si>
    <t>300:58592</t>
  </si>
  <si>
    <t>300:21793</t>
  </si>
  <si>
    <t>MOSES</t>
  </si>
  <si>
    <t>rtdc.l.rtdc.4040:itc</t>
  </si>
  <si>
    <t>ARNOLD</t>
  </si>
  <si>
    <t>308-04</t>
  </si>
  <si>
    <t>KILLION</t>
  </si>
  <si>
    <t>113-04</t>
  </si>
  <si>
    <t>803-04</t>
  </si>
  <si>
    <t>123-04</t>
  </si>
  <si>
    <t>118-04</t>
  </si>
  <si>
    <t>120-04</t>
  </si>
  <si>
    <t>MALAVE</t>
  </si>
  <si>
    <t>129-04</t>
  </si>
  <si>
    <t>CLARK</t>
  </si>
  <si>
    <t>804-04</t>
  </si>
  <si>
    <t>800-04</t>
  </si>
  <si>
    <t>104-04</t>
  </si>
  <si>
    <t>313-03</t>
  </si>
  <si>
    <t>115-04</t>
  </si>
  <si>
    <t>119-04</t>
  </si>
  <si>
    <t>802-04</t>
  </si>
  <si>
    <t>122-04</t>
  </si>
  <si>
    <t>806-04</t>
  </si>
  <si>
    <t>106-04</t>
  </si>
  <si>
    <t>101-04</t>
  </si>
  <si>
    <t>302-04</t>
  </si>
  <si>
    <t>102-04</t>
  </si>
  <si>
    <t>107-04</t>
  </si>
  <si>
    <t>109-04</t>
  </si>
  <si>
    <t>111-04</t>
  </si>
  <si>
    <t>108-04</t>
  </si>
  <si>
    <t>110-04</t>
  </si>
  <si>
    <t>801-04</t>
  </si>
  <si>
    <t>117-04</t>
  </si>
  <si>
    <t>112-04</t>
  </si>
  <si>
    <t>114-04</t>
  </si>
  <si>
    <t>121-04</t>
  </si>
  <si>
    <t>805-04</t>
  </si>
  <si>
    <t>116-04</t>
  </si>
  <si>
    <t>125-04</t>
  </si>
  <si>
    <t>127-04</t>
  </si>
  <si>
    <t>807-04</t>
  </si>
  <si>
    <t>837-03</t>
  </si>
  <si>
    <t>838-03</t>
  </si>
  <si>
    <t>839-03</t>
  </si>
  <si>
    <t>846-03</t>
  </si>
  <si>
    <t>Not found in data</t>
  </si>
  <si>
    <t>-</t>
  </si>
  <si>
    <t>Annulled, 838-03 ran in its place?</t>
  </si>
  <si>
    <t>Did not initialize… or was it annulled?</t>
  </si>
  <si>
    <t>Quebec 4S stuck at STOP, seems to be track circuit issue</t>
  </si>
  <si>
    <t>DUS 28N was STOP, no clear requests ever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</si>
</sst>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C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42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0" fontId="0" fillId="0" borderId="5" xfId="0" quotePrefix="1" applyNumberFormat="1" applyBorder="1" applyAlignment="1">
      <alignment horizontal="left"/>
    </xf>
    <xf numFmtId="169" fontId="0" fillId="5" borderId="0" xfId="0" applyFill="1"/>
    <xf numFmtId="169" fontId="10" fillId="5" borderId="0" xfId="0" applyFont="1" applyFill="1" applyBorder="1" applyAlignment="1">
      <alignment horizontal="center" vertical="center" wrapText="1"/>
    </xf>
    <xf numFmtId="169" fontId="10" fillId="5" borderId="0" xfId="0" applyFont="1" applyFill="1"/>
    <xf numFmtId="169" fontId="0" fillId="6" borderId="0" xfId="0" applyFill="1"/>
    <xf numFmtId="169" fontId="10" fillId="6" borderId="0" xfId="0" applyFont="1" applyFill="1" applyBorder="1" applyAlignment="1">
      <alignment horizontal="center" vertical="center" wrapText="1"/>
    </xf>
    <xf numFmtId="169" fontId="10" fillId="6" borderId="0" xfId="0" applyFont="1" applyFill="1"/>
    <xf numFmtId="169" fontId="10" fillId="7" borderId="0" xfId="0" applyFont="1" applyFill="1"/>
    <xf numFmtId="169" fontId="10" fillId="7" borderId="0" xfId="0" applyFont="1" applyFill="1" applyBorder="1" applyAlignment="1">
      <alignment horizontal="center" vertical="center" wrapText="1"/>
    </xf>
    <xf numFmtId="169" fontId="1" fillId="0" borderId="1" xfId="0" applyFont="1" applyFill="1" applyBorder="1" applyAlignment="1"/>
    <xf numFmtId="169" fontId="5" fillId="0" borderId="0" xfId="0" applyFont="1" applyFill="1"/>
    <xf numFmtId="169" fontId="5" fillId="8" borderId="0" xfId="0" applyFont="1" applyFill="1"/>
    <xf numFmtId="169" fontId="10" fillId="8" borderId="0" xfId="0" applyFont="1" applyFill="1" applyBorder="1" applyAlignment="1">
      <alignment horizontal="center" vertical="center" wrapText="1"/>
    </xf>
    <xf numFmtId="169" fontId="10" fillId="8" borderId="0" xfId="0" applyFont="1" applyFill="1" applyBorder="1"/>
    <xf numFmtId="0" fontId="1" fillId="0" borderId="0" xfId="0" applyNumberFormat="1" applyFont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2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8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5"/>
  <sheetViews>
    <sheetView tabSelected="1" workbookViewId="0">
      <selection activeCell="AA8" sqref="AA8"/>
    </sheetView>
  </sheetViews>
  <sheetFormatPr defaultRowHeight="15" x14ac:dyDescent="0.25"/>
  <cols>
    <col min="1" max="1" width="10.5703125" style="46" customWidth="1"/>
    <col min="2" max="2" width="6.140625" style="48" customWidth="1"/>
    <col min="3" max="3" width="13.5703125" style="33" hidden="1" customWidth="1"/>
    <col min="4" max="4" width="16.140625" style="33" hidden="1" customWidth="1"/>
    <col min="5" max="5" width="19.5703125" style="45" hidden="1" customWidth="1"/>
    <col min="6" max="6" width="18.28515625" style="45" customWidth="1"/>
    <col min="7" max="7" width="4.85546875" style="48" hidden="1" customWidth="1"/>
    <col min="8" max="8" width="22.140625" style="45" hidden="1" customWidth="1"/>
    <col min="9" max="9" width="18.5703125" style="45" customWidth="1"/>
    <col min="10" max="10" width="7.28515625" style="48" customWidth="1"/>
    <col min="11" max="11" width="10.42578125" style="33" customWidth="1"/>
    <col min="12" max="12" width="13.28515625" style="33" customWidth="1"/>
    <col min="13" max="13" width="9.5703125" style="47" customWidth="1"/>
    <col min="14" max="14" width="4.140625" style="48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0" customWidth="1"/>
    <col min="22" max="22" width="5.7109375" style="136" customWidth="1"/>
    <col min="23" max="23" width="3.85546875" style="23" customWidth="1"/>
    <col min="24" max="24" width="4.140625" style="78" customWidth="1"/>
    <col min="25" max="25" width="9.140625" style="75"/>
    <col min="26" max="26" width="7.28515625" style="75" customWidth="1"/>
    <col min="27" max="27" width="9.140625" style="75"/>
    <col min="28" max="28" width="10.7109375" style="72" hidden="1" customWidth="1"/>
    <col min="29" max="29" width="9.42578125" style="66" hidden="1" customWidth="1"/>
    <col min="30" max="30" width="7.85546875" style="67" customWidth="1"/>
    <col min="31" max="31" width="4.5703125" style="129" customWidth="1"/>
    <col min="32" max="32" width="6.28515625" style="126" customWidth="1"/>
    <col min="33" max="33" width="3.42578125" customWidth="1"/>
    <col min="34" max="34" width="5" style="132" customWidth="1"/>
  </cols>
  <sheetData>
    <row r="1" spans="1:91" s="24" customFormat="1" ht="15.75" thickBot="1" x14ac:dyDescent="0.3">
      <c r="A1" s="46"/>
      <c r="B1" s="48"/>
      <c r="C1" s="33"/>
      <c r="D1" s="33"/>
      <c r="E1" s="45"/>
      <c r="F1" s="45"/>
      <c r="G1" s="48"/>
      <c r="H1" s="45"/>
      <c r="I1" s="45" t="s">
        <v>300</v>
      </c>
      <c r="J1" s="48"/>
      <c r="K1" s="33"/>
      <c r="L1" s="33"/>
      <c r="M1" s="47"/>
      <c r="N1" s="48"/>
      <c r="O1" s="2"/>
      <c r="P1" s="2"/>
      <c r="R1" s="45" t="s">
        <v>301</v>
      </c>
      <c r="S1" s="48"/>
      <c r="T1" s="33"/>
      <c r="U1" s="33"/>
      <c r="V1" s="47"/>
      <c r="W1" s="48"/>
      <c r="X1" s="2"/>
      <c r="Y1" s="75"/>
      <c r="Z1" s="75"/>
      <c r="AA1" s="75"/>
      <c r="AB1" s="72"/>
      <c r="AC1" s="66"/>
      <c r="AD1" s="67"/>
      <c r="AE1" s="1"/>
      <c r="AF1" s="1"/>
      <c r="AG1" s="1"/>
      <c r="AH1" s="63"/>
    </row>
    <row r="2" spans="1:91" s="24" customFormat="1" ht="15.75" thickBot="1" x14ac:dyDescent="0.3">
      <c r="A2" s="46"/>
      <c r="B2" s="48"/>
      <c r="C2" s="33"/>
      <c r="D2" s="33"/>
      <c r="E2" s="45"/>
      <c r="F2" s="45"/>
      <c r="G2" s="48"/>
      <c r="H2" s="45"/>
      <c r="I2" s="107">
        <f>Variables!$A$2</f>
        <v>42585</v>
      </c>
      <c r="J2" s="108"/>
      <c r="K2" s="109"/>
      <c r="L2" s="109"/>
      <c r="M2" s="110" t="s">
        <v>8</v>
      </c>
      <c r="N2" s="111"/>
      <c r="O2" s="112"/>
      <c r="P2" s="2"/>
      <c r="R2" s="107">
        <f>Variables!$A$2</f>
        <v>42585</v>
      </c>
      <c r="S2" s="108"/>
      <c r="T2" s="109"/>
      <c r="U2" s="109"/>
      <c r="V2" s="134" t="s">
        <v>8</v>
      </c>
      <c r="W2" s="111"/>
      <c r="X2" s="112"/>
      <c r="Y2" s="75"/>
      <c r="Z2" s="75"/>
      <c r="AA2" s="75"/>
      <c r="AB2" s="72"/>
      <c r="AC2" s="66"/>
      <c r="AD2" s="67"/>
      <c r="AE2" s="1"/>
      <c r="AF2" s="1"/>
      <c r="AG2" s="1"/>
      <c r="AH2" s="63"/>
    </row>
    <row r="3" spans="1:91" s="24" customFormat="1" ht="15.75" thickBot="1" x14ac:dyDescent="0.3">
      <c r="A3" s="46"/>
      <c r="B3" s="48"/>
      <c r="C3" s="33"/>
      <c r="D3" s="33"/>
      <c r="E3" s="45"/>
      <c r="F3" s="45"/>
      <c r="G3" s="48"/>
      <c r="H3" s="45"/>
      <c r="I3" s="113" t="s">
        <v>10</v>
      </c>
      <c r="J3" s="114"/>
      <c r="K3" s="115"/>
      <c r="L3" s="115"/>
      <c r="M3" s="49" t="s">
        <v>11</v>
      </c>
      <c r="N3" s="50" t="s">
        <v>12</v>
      </c>
      <c r="O3" s="3" t="s">
        <v>13</v>
      </c>
      <c r="P3" s="2"/>
      <c r="R3" s="113" t="s">
        <v>10</v>
      </c>
      <c r="S3" s="114"/>
      <c r="T3" s="115"/>
      <c r="U3" s="115"/>
      <c r="V3" s="49" t="s">
        <v>11</v>
      </c>
      <c r="W3" s="50" t="s">
        <v>12</v>
      </c>
      <c r="X3" s="3" t="s">
        <v>13</v>
      </c>
      <c r="Y3" s="75"/>
      <c r="Z3" s="75"/>
      <c r="AA3" s="75"/>
      <c r="AB3" s="72"/>
      <c r="AC3" s="66"/>
      <c r="AD3" s="67"/>
      <c r="AE3" s="1"/>
      <c r="AF3" s="1"/>
      <c r="AG3" s="1"/>
      <c r="AH3" s="63"/>
    </row>
    <row r="4" spans="1:91" s="24" customFormat="1" ht="15.75" thickBot="1" x14ac:dyDescent="0.3">
      <c r="A4" s="46"/>
      <c r="B4" s="48"/>
      <c r="C4" s="33"/>
      <c r="D4" s="33"/>
      <c r="E4" s="45"/>
      <c r="F4" s="45"/>
      <c r="G4" s="48"/>
      <c r="H4" s="45"/>
      <c r="I4" s="116" t="s">
        <v>14</v>
      </c>
      <c r="J4" s="65">
        <f>SUM(J5:J7)</f>
        <v>144</v>
      </c>
      <c r="K4" s="51"/>
      <c r="L4" s="51"/>
      <c r="M4" s="52" t="s">
        <v>15</v>
      </c>
      <c r="N4" s="50" t="s">
        <v>15</v>
      </c>
      <c r="O4" s="3" t="s">
        <v>15</v>
      </c>
      <c r="P4" s="2"/>
      <c r="R4" s="116" t="s">
        <v>14</v>
      </c>
      <c r="S4" s="65">
        <f>SUM(S5:S7)</f>
        <v>46</v>
      </c>
      <c r="T4" s="51"/>
      <c r="U4" s="51"/>
      <c r="V4" s="52" t="s">
        <v>15</v>
      </c>
      <c r="W4" s="50" t="s">
        <v>15</v>
      </c>
      <c r="X4" s="3" t="s">
        <v>15</v>
      </c>
      <c r="Y4" s="75"/>
      <c r="Z4" s="75"/>
      <c r="AA4" s="75"/>
      <c r="AB4" s="72"/>
      <c r="AC4" s="66"/>
      <c r="AD4" s="67"/>
      <c r="AE4" s="1"/>
      <c r="AF4" s="1"/>
      <c r="AG4" s="1"/>
      <c r="AH4" s="63"/>
    </row>
    <row r="5" spans="1:91" s="24" customFormat="1" ht="15.75" thickBot="1" x14ac:dyDescent="0.3">
      <c r="A5" s="46"/>
      <c r="B5" s="48"/>
      <c r="C5" s="33"/>
      <c r="D5" s="33"/>
      <c r="E5" s="45"/>
      <c r="F5" s="45"/>
      <c r="G5" s="48"/>
      <c r="H5" s="45"/>
      <c r="I5" s="116" t="s">
        <v>17</v>
      </c>
      <c r="J5" s="65">
        <f>COUNTIFS($N$13:$N$9872,"&gt;0",$AG$13:$AG$9872,I1)</f>
        <v>137</v>
      </c>
      <c r="K5" s="51"/>
      <c r="L5" s="51"/>
      <c r="M5" s="52">
        <f>AVERAGEIFS($N$13:$N$9872,$AG$13:$AG$9872,I1)</f>
        <v>44.736131386895984</v>
      </c>
      <c r="N5" s="50">
        <f t="array" ref="N5">MIN(IF($AG$13:$AG$9872=I1,IF(ISNUMBER($N$13:$N$9872),IF($N$13:$N$9872&gt;0,$N$13:$N$9872))))</f>
        <v>18.583333339774981</v>
      </c>
      <c r="O5" s="3">
        <f t="array" ref="O5">MAX(IF($AG$13:$AG$9872=I1,IF(ISNUMBER($N$13:$N$9872),IF($N$13:$N$9872&gt;0,$N$13:$N$9872))))</f>
        <v>61.550000002607703</v>
      </c>
      <c r="P5" s="2"/>
      <c r="R5" s="116" t="s">
        <v>17</v>
      </c>
      <c r="S5" s="65">
        <f>COUNTIFS($N$13:$N$9872,"&gt;0",$AG$13:$AG$9872,R1)</f>
        <v>43</v>
      </c>
      <c r="T5" s="51"/>
      <c r="U5" s="51"/>
      <c r="V5" s="52">
        <f>AVERAGEIFS($N$13:$N$9872,$AG$13:$AG$9872,R1)</f>
        <v>21.612592593766749</v>
      </c>
      <c r="W5" s="50">
        <f t="array" ref="W5">MIN(IF($AG$13:$AG$9872=R1,IF(ISNUMBER($N$13:$N$9872),IF($N$13:$N$9872&gt;0,$N$13:$N$9872))))</f>
        <v>14.949999995296821</v>
      </c>
      <c r="X5" s="3">
        <f t="array" ref="X5">MAX(IF($AG$13:$AG$9872=R1,IF(ISNUMBER($N$13:$N$9872),IF($N$13:$N$9872&gt;0,$N$13:$N$9872))))</f>
        <v>83.133333331206813</v>
      </c>
      <c r="Y5" s="75"/>
      <c r="Z5" s="75"/>
      <c r="AA5" s="75"/>
      <c r="AB5" s="72"/>
      <c r="AC5" s="66"/>
      <c r="AD5" s="67"/>
      <c r="AE5" s="1"/>
      <c r="AF5" s="1"/>
      <c r="AG5" s="1"/>
      <c r="AH5" s="63"/>
    </row>
    <row r="6" spans="1:91" s="24" customFormat="1" ht="15.75" thickBot="1" x14ac:dyDescent="0.3">
      <c r="A6" s="46"/>
      <c r="B6" s="48"/>
      <c r="C6" s="33"/>
      <c r="D6" s="33"/>
      <c r="E6" s="45"/>
      <c r="F6" s="45"/>
      <c r="G6" s="48"/>
      <c r="H6" s="45"/>
      <c r="I6" s="117" t="s">
        <v>43</v>
      </c>
      <c r="J6" s="65">
        <f>COUNT($O$13:$O$572)</f>
        <v>0</v>
      </c>
      <c r="K6" s="51"/>
      <c r="L6" s="51"/>
      <c r="M6" s="52">
        <f>IFERROR(AVERAGE($O$13:$O$572),0)</f>
        <v>0</v>
      </c>
      <c r="N6" s="50">
        <f>MIN($O$13:$O$572)</f>
        <v>0</v>
      </c>
      <c r="O6" s="3">
        <f>MAX($O$13:$O$572)</f>
        <v>0</v>
      </c>
      <c r="P6" s="2"/>
      <c r="R6" s="117" t="s">
        <v>43</v>
      </c>
      <c r="S6" s="65">
        <f>COUNT($O$13:$O$572)</f>
        <v>0</v>
      </c>
      <c r="T6" s="51"/>
      <c r="U6" s="51"/>
      <c r="V6" s="52">
        <f>IFERROR(AVERAGE($O$13:$O$572),0)</f>
        <v>0</v>
      </c>
      <c r="W6" s="50">
        <f>MIN($O$13:$O$572)</f>
        <v>0</v>
      </c>
      <c r="X6" s="3">
        <f>MAX($O$13:$O$572)</f>
        <v>0</v>
      </c>
      <c r="Y6" s="75"/>
      <c r="Z6" s="75"/>
      <c r="AA6" s="75"/>
      <c r="AB6" s="72"/>
      <c r="AC6" s="66"/>
      <c r="AD6" s="67"/>
      <c r="AE6" s="1"/>
      <c r="AF6" s="1"/>
      <c r="AG6" s="1"/>
      <c r="AH6" s="63"/>
    </row>
    <row r="7" spans="1:91" s="24" customFormat="1" ht="15.75" thickBot="1" x14ac:dyDescent="0.3">
      <c r="A7" s="46"/>
      <c r="B7" s="48"/>
      <c r="C7" s="33"/>
      <c r="D7" s="33"/>
      <c r="E7" s="45"/>
      <c r="F7" s="45"/>
      <c r="G7" s="48"/>
      <c r="H7" s="45"/>
      <c r="I7" s="118" t="s">
        <v>9</v>
      </c>
      <c r="J7" s="65">
        <f>COUNTIFS($P$13:$P$9872,"&gt;0",$AG$13:$AG$9872,I1)</f>
        <v>7</v>
      </c>
      <c r="K7" s="51"/>
      <c r="L7" s="51"/>
      <c r="M7" s="52" t="s">
        <v>15</v>
      </c>
      <c r="N7" s="50" t="s">
        <v>15</v>
      </c>
      <c r="O7" s="3" t="s">
        <v>15</v>
      </c>
      <c r="P7" s="2"/>
      <c r="R7" s="118" t="s">
        <v>9</v>
      </c>
      <c r="S7" s="65">
        <f>COUNTIFS($P$13:$P$9872,"&gt;0",$AG$13:$AG$9872,R1)</f>
        <v>3</v>
      </c>
      <c r="T7" s="51"/>
      <c r="U7" s="51"/>
      <c r="V7" s="52" t="s">
        <v>15</v>
      </c>
      <c r="W7" s="50" t="s">
        <v>15</v>
      </c>
      <c r="X7" s="3" t="s">
        <v>15</v>
      </c>
      <c r="Y7" s="75"/>
      <c r="Z7" s="75"/>
      <c r="AA7" s="75"/>
      <c r="AB7" s="72"/>
      <c r="AC7" s="66"/>
      <c r="AD7" s="67"/>
      <c r="AE7" s="1"/>
      <c r="AF7" s="1"/>
      <c r="AG7" s="1"/>
      <c r="AH7" s="63"/>
    </row>
    <row r="8" spans="1:91" s="24" customFormat="1" ht="15.75" thickBot="1" x14ac:dyDescent="0.3">
      <c r="A8" s="46"/>
      <c r="B8" s="48"/>
      <c r="C8" s="33"/>
      <c r="D8" s="33"/>
      <c r="E8" s="45"/>
      <c r="F8" s="45"/>
      <c r="G8" s="48"/>
      <c r="H8" s="45"/>
      <c r="I8" s="116" t="s">
        <v>16</v>
      </c>
      <c r="J8" s="65">
        <f>J5</f>
        <v>137</v>
      </c>
      <c r="K8" s="51"/>
      <c r="L8" s="51"/>
      <c r="M8" s="52">
        <f>M5</f>
        <v>44.736131386895984</v>
      </c>
      <c r="N8" s="50">
        <f>N5</f>
        <v>18.583333339774981</v>
      </c>
      <c r="O8" s="3">
        <f>O5</f>
        <v>61.550000002607703</v>
      </c>
      <c r="P8" s="2"/>
      <c r="R8" s="116" t="s">
        <v>16</v>
      </c>
      <c r="S8" s="65">
        <f>S5</f>
        <v>43</v>
      </c>
      <c r="T8" s="51"/>
      <c r="U8" s="51"/>
      <c r="V8" s="52">
        <f>V5</f>
        <v>21.612592593766749</v>
      </c>
      <c r="W8" s="50">
        <f>W5</f>
        <v>14.949999995296821</v>
      </c>
      <c r="X8" s="3">
        <f>X5</f>
        <v>83.133333331206813</v>
      </c>
      <c r="Y8" s="75"/>
      <c r="Z8" s="75"/>
      <c r="AA8" s="75"/>
      <c r="AB8" s="72"/>
      <c r="AC8" s="66"/>
      <c r="AD8" s="67"/>
      <c r="AE8" s="1"/>
      <c r="AF8" s="1"/>
      <c r="AG8" s="1"/>
      <c r="AH8" s="63"/>
    </row>
    <row r="9" spans="1:91" s="24" customFormat="1" ht="15.75" thickBot="1" x14ac:dyDescent="0.3">
      <c r="A9" s="46"/>
      <c r="B9" s="48"/>
      <c r="C9" s="33"/>
      <c r="D9" s="33"/>
      <c r="E9" s="45"/>
      <c r="F9" s="45"/>
      <c r="G9" s="48"/>
      <c r="H9" s="45"/>
      <c r="I9" s="116" t="s">
        <v>19</v>
      </c>
      <c r="J9" s="83">
        <f>J8/J4</f>
        <v>0.95138888888888884</v>
      </c>
      <c r="K9" s="53"/>
      <c r="L9" s="53"/>
      <c r="M9" s="119"/>
      <c r="N9" s="48"/>
      <c r="O9" s="120"/>
      <c r="P9" s="2"/>
      <c r="R9" s="116" t="s">
        <v>19</v>
      </c>
      <c r="S9" s="83">
        <f>S8/S4</f>
        <v>0.93478260869565222</v>
      </c>
      <c r="T9" s="53"/>
      <c r="U9" s="53"/>
      <c r="V9" s="119"/>
      <c r="W9" s="48"/>
      <c r="X9" s="120"/>
      <c r="Y9" s="75"/>
      <c r="Z9" s="75"/>
      <c r="AA9" s="75"/>
      <c r="AB9" s="72"/>
      <c r="AC9" s="66"/>
      <c r="AD9" s="67"/>
      <c r="AE9" s="1"/>
      <c r="AF9" s="1"/>
      <c r="AG9" s="1"/>
      <c r="AH9" s="63"/>
    </row>
    <row r="10" spans="1:91" s="24" customFormat="1" x14ac:dyDescent="0.25">
      <c r="A10" s="46"/>
      <c r="B10" s="48"/>
      <c r="C10" s="33"/>
      <c r="D10" s="33"/>
      <c r="E10" s="45"/>
      <c r="F10" s="45"/>
      <c r="G10" s="48"/>
      <c r="H10" s="45"/>
      <c r="I10" s="45"/>
      <c r="J10" s="48"/>
      <c r="K10" s="33"/>
      <c r="L10" s="33"/>
      <c r="M10" s="47"/>
      <c r="N10" s="48"/>
      <c r="O10" s="2"/>
      <c r="P10" s="2"/>
      <c r="U10" s="80"/>
      <c r="V10" s="135"/>
      <c r="W10" s="23"/>
      <c r="X10" s="78"/>
      <c r="Y10" s="75"/>
      <c r="Z10" s="75"/>
      <c r="AA10" s="75"/>
      <c r="AB10" s="72"/>
      <c r="AC10" s="66"/>
      <c r="AD10" s="67"/>
      <c r="AE10" s="1"/>
      <c r="AF10" s="1"/>
      <c r="AG10" s="1"/>
      <c r="AH10" s="63"/>
    </row>
    <row r="11" spans="1:91" ht="16.5" thickBot="1" x14ac:dyDescent="0.3">
      <c r="A11" s="140" t="str">
        <f>"Eagle P3 System Performance - "&amp;TEXT(Variables!A2,"yyyy-mm-dd")</f>
        <v>Eagle P3 System Performance - 2016-08-03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S11" s="93">
        <f>AVERAGE(S13:S151)</f>
        <v>0.99629629629629635</v>
      </c>
      <c r="V11" s="135"/>
      <c r="AE11" s="1"/>
      <c r="AF11" s="1"/>
      <c r="AG11" s="1"/>
      <c r="AH11" s="63"/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23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4" t="s">
        <v>80</v>
      </c>
      <c r="U12" s="81" t="s">
        <v>81</v>
      </c>
      <c r="V12" s="137" t="s">
        <v>45</v>
      </c>
      <c r="W12" s="61" t="s">
        <v>23</v>
      </c>
      <c r="X12" s="79" t="s">
        <v>48</v>
      </c>
      <c r="Y12" s="76" t="s">
        <v>20</v>
      </c>
      <c r="Z12" s="76" t="s">
        <v>21</v>
      </c>
      <c r="AA12" s="76" t="s">
        <v>22</v>
      </c>
      <c r="AB12" s="73" t="s">
        <v>39</v>
      </c>
      <c r="AC12" s="69" t="s">
        <v>40</v>
      </c>
      <c r="AD12" s="68" t="s">
        <v>115</v>
      </c>
      <c r="AE12" s="130" t="s">
        <v>124</v>
      </c>
      <c r="AF12" s="127" t="s">
        <v>129</v>
      </c>
      <c r="AG12" s="4" t="s">
        <v>302</v>
      </c>
      <c r="AH12" s="133" t="s">
        <v>380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4" t="s">
        <v>485</v>
      </c>
      <c r="B13" s="7">
        <v>4038</v>
      </c>
      <c r="C13" s="25" t="s">
        <v>163</v>
      </c>
      <c r="D13" s="25" t="s">
        <v>539</v>
      </c>
      <c r="E13" s="16">
        <v>42585.129236111112</v>
      </c>
      <c r="F13" s="16">
        <v>42585.130162037036</v>
      </c>
      <c r="G13" s="7">
        <v>1</v>
      </c>
      <c r="H13" s="16" t="s">
        <v>386</v>
      </c>
      <c r="I13" s="16">
        <v>42585.161377314813</v>
      </c>
      <c r="J13" s="7">
        <v>0</v>
      </c>
      <c r="K13" s="121" t="str">
        <f t="shared" ref="K13:K14" si="0">IF(ISEVEN(B13),(B13-1)&amp;"/"&amp;B13,B13&amp;"/"&amp;(B13+1))</f>
        <v>4037/4038</v>
      </c>
      <c r="L13" s="25" t="str">
        <f>VLOOKUP(A13,'Trips&amp;Operators'!$C$1:$E$10000,3,FALSE)</f>
        <v>MAELZER</v>
      </c>
      <c r="M13" s="6">
        <f t="shared" ref="M13:M14" si="1">I13-F13</f>
        <v>3.1215277776937E-2</v>
      </c>
      <c r="N13" s="7">
        <f t="shared" ref="N13:P75" si="2">24*60*SUM($M13:$M13)</f>
        <v>44.949999998789281</v>
      </c>
      <c r="O13" s="7"/>
      <c r="P13" s="7"/>
      <c r="Q13" s="26"/>
      <c r="R13" s="26"/>
      <c r="S13" s="40">
        <f t="shared" ref="S13:S14" si="3">SUM(U13:U13)/IF(AG13="EC",12,1)</f>
        <v>1</v>
      </c>
      <c r="T13" s="57" t="str">
        <f>IF(ISEVEN(LEFT(AD13,4)),"Southbound","NorthBound")</f>
        <v>NorthBound</v>
      </c>
      <c r="U13" s="82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138" t="str">
        <f t="shared" ref="V13:V14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https://search-rtdc-monitor-bjffxe2xuh6vdkpspy63sjmuny.us-east-1.es.amazonaws.com/_plugin/kibana/#/discover/Steve-Slow-Train-Analysis-(2080s-and-2083s)?_g=(refreshInterval:(display:Off,section:0,value:0),time:(from:'2016-08-03 02:06:06-0600',mode:absolute,to:'2016-08-03 04:52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" s="62" t="str">
        <f t="shared" ref="W13:W14" si="5">IF(AA13&lt;IF(AG13="EC",23,5.65),"Y","N")</f>
        <v>N</v>
      </c>
      <c r="X13" s="124" t="e">
        <f>VALUE(LEFT(AD13,4))-VALUE(LEFT(AD12,4))</f>
        <v>#VALUE!</v>
      </c>
      <c r="Y13" s="77">
        <f t="shared" ref="Y13:Y14" si="6">RIGHT(D13,LEN(D13)-4)/10000</f>
        <v>7.0300000000000001E-2</v>
      </c>
      <c r="Z13" s="77">
        <f t="shared" ref="Z13:Z14" si="7">RIGHT(H13,LEN(H13)-4)/10000</f>
        <v>23.3324</v>
      </c>
      <c r="AA13" s="77">
        <f t="shared" ref="AA13:AA14" si="8">ABS(Z13-Y13)</f>
        <v>23.2621</v>
      </c>
      <c r="AB13" s="74" t="e">
        <f>VLOOKUP(A13,Enforcements!$C$7:$J$24,8,0)</f>
        <v>#N/A</v>
      </c>
      <c r="AC13" s="70" t="e">
        <f>VLOOKUP(A13,Enforcements!$C$7:$E$24,3,0)</f>
        <v>#N/A</v>
      </c>
      <c r="AD13" s="71" t="str">
        <f t="shared" ref="AD13:AD14" si="9">IF(LEN(A13)=6,"0"&amp;A13,A13)</f>
        <v>0101-03</v>
      </c>
      <c r="AE13" s="131" t="str">
        <f t="shared" ref="AE13:AE14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13" s="128" t="str">
        <f t="shared" ref="AF13:AF14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/spath="%USERPROFILE%\AppData\Local\Temp\OnboardLogs" /stypes="*4038*20160803*" /stext=" 09:.+((SYSTEM_STATE.+slice.+state.+changed )|(ment ac)|(system.+state.+changed )|(\|lc)|(penalty)|(\[timeout)|(PRM\|1\|D)|(kpr)|(kdp))" /e /r /s</v>
      </c>
      <c r="AG13" s="1" t="str">
        <f>IF(VALUE(LEFT(AD13,2))&lt;=2,"EC",IF(OR(VALUE(LEFT(AD13,2))=8,VALUE(LEFT(AD13,2))=18),"NW","GL"))</f>
        <v>EC</v>
      </c>
      <c r="AH13" s="132" t="str">
        <f>refinertdcruntimes&amp;" --tripid "&amp;A13&amp;" --locoid "&amp;B13&amp;" --swversion "&amp;C13&amp;" --startMP "&amp;D13&amp;" --initTime "&amp;TEXT(E13,"yyyy-mm-ddTHH:MM:SS")&amp;" --startdatetime "&amp;TEXT(F13,"yyyy-mm-ddTHH:MM:SS")&amp;" --delay "&amp;G13&amp;" --endMP "&amp;H13&amp;" --enddatetime "&amp;TEXT(I13,"yyyy-mm-ddTHH:MM:SS")&amp;" --enforcementcount "&amp;J13&amp;" &gt;&gt; "&amp;TEXT(Variables!$A$2,"yyyy-mm-dd")&amp;"-refined-runtimes.txt"</f>
        <v>"%USERPROFILE%\Documents\GitHub\eaglep3\Utilities\RefineRTDCRunTimes.py" --tripid 101-03 --locoid 4038 --swversion DE.1.0.7.0 --startMP 204:703 --initTime 2016-08-03T03:06:06 --startdatetime 2016-08-03T03:07:26 --delay 1 --endMP 204:233324 --enddatetime 2016-08-03T03:52:23 --enforcementcount 0 &gt;&gt; 2016-08-03-refined-runtimes.txt</v>
      </c>
    </row>
    <row r="14" spans="1:91" s="1" customFormat="1" x14ac:dyDescent="0.25">
      <c r="A14" s="44" t="s">
        <v>457</v>
      </c>
      <c r="B14" s="7">
        <v>4017</v>
      </c>
      <c r="C14" s="25" t="s">
        <v>163</v>
      </c>
      <c r="D14" s="25" t="s">
        <v>540</v>
      </c>
      <c r="E14" s="16">
        <v>42585.168009259258</v>
      </c>
      <c r="F14" s="16">
        <v>42585.169039351851</v>
      </c>
      <c r="G14" s="7">
        <v>1</v>
      </c>
      <c r="H14" s="16" t="s">
        <v>541</v>
      </c>
      <c r="I14" s="16">
        <v>42585.201562499999</v>
      </c>
      <c r="J14" s="7">
        <v>0</v>
      </c>
      <c r="K14" s="121" t="str">
        <f t="shared" si="0"/>
        <v>4017/4018</v>
      </c>
      <c r="L14" s="25" t="str">
        <f>VLOOKUP(A14,'Trips&amp;Operators'!$C$1:$E$10000,3,FALSE)</f>
        <v>MAELZER</v>
      </c>
      <c r="M14" s="6">
        <f t="shared" si="1"/>
        <v>3.25231481474475E-2</v>
      </c>
      <c r="N14" s="7">
        <f t="shared" si="2"/>
        <v>46.833333332324401</v>
      </c>
      <c r="O14" s="7"/>
      <c r="P14" s="7"/>
      <c r="Q14" s="26"/>
      <c r="R14" s="26"/>
      <c r="S14" s="40">
        <f t="shared" si="3"/>
        <v>1</v>
      </c>
      <c r="T14" s="57" t="str">
        <f t="shared" ref="T14" si="12">IF(ISEVEN(LEFT(AD14,4)),"Southbound","NorthBound")</f>
        <v>Southbound</v>
      </c>
      <c r="U14" s="82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138" t="str">
        <f t="shared" si="4"/>
        <v>https://search-rtdc-monitor-bjffxe2xuh6vdkpspy63sjmuny.us-east-1.es.amazonaws.com/_plugin/kibana/#/discover/Steve-Slow-Train-Analysis-(2080s-and-2083s)?_g=(refreshInterval:(display:Off,section:0,value:0),time:(from:'2016-08-03 03:01:56-0600',mode:absolute,to:'2016-08-03 05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" s="62" t="str">
        <f t="shared" si="5"/>
        <v>N</v>
      </c>
      <c r="X14" s="124">
        <f t="shared" ref="X14" si="13">VALUE(LEFT(AD14,4))-VALUE(LEFT(AD13,4))</f>
        <v>1</v>
      </c>
      <c r="Y14" s="77">
        <f t="shared" si="6"/>
        <v>23.268699999999999</v>
      </c>
      <c r="Z14" s="77">
        <f t="shared" si="7"/>
        <v>8.8000000000000005E-3</v>
      </c>
      <c r="AA14" s="77">
        <f t="shared" si="8"/>
        <v>23.259899999999998</v>
      </c>
      <c r="AB14" s="74" t="e">
        <f>VLOOKUP(A14,Enforcements!$C$7:$J$24,8,0)</f>
        <v>#N/A</v>
      </c>
      <c r="AC14" s="70" t="e">
        <f>VLOOKUP(A14,Enforcements!$C$7:$E$24,3,0)</f>
        <v>#N/A</v>
      </c>
      <c r="AD14" s="71" t="str">
        <f t="shared" si="9"/>
        <v>0102-03</v>
      </c>
      <c r="AE14" s="131" t="str">
        <f t="shared" si="10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4" s="128" t="str">
        <f t="shared" si="11"/>
        <v>"C:\Program Files (x86)\AstroGrep\AstroGrep.exe" /spath="%USERPROFILE%\AppData\Local\Temp\OnboardLogs" /stypes="*4017*20160803*" /stext=" 10:.+((SYSTEM_STATE.+slice.+state.+changed )|(ment ac)|(system.+state.+changed )|(\|lc)|(penalty)|(\[timeout)|(PRM\|1\|D)|(kpr)|(kdp))" /e /r /s</v>
      </c>
      <c r="AG14" s="1" t="str">
        <f t="shared" ref="AG14" si="14">IF(VALUE(LEFT(AD14,2))&lt;=2,"EC",IF(OR(VALUE(LEFT(AD14,2))=8,VALUE(LEFT(AD14,2))=18),"NW","GL"))</f>
        <v>EC</v>
      </c>
      <c r="AH14" s="132" t="str">
        <f>refinertdcruntimes&amp;" --tripid "&amp;A14&amp;" --locoid "&amp;B14&amp;" --swversion "&amp;C14&amp;" --startMP "&amp;D14&amp;" --initTime "&amp;TEXT(E14,"yyyy-mm-ddTHH:MM:SS")&amp;" --startdatetime "&amp;TEXT(F14,"yyyy-mm-ddTHH:MM:SS")&amp;" --delay "&amp;G14&amp;" --endMP "&amp;H14&amp;" --enddatetime "&amp;TEXT(I14,"yyyy-mm-ddTHH:MM:SS")&amp;" --enforcementcount "&amp;J14&amp;" &gt;&gt; "&amp;TEXT(Variables!$A$2,"yyyy-mm-dd")&amp;"-refined-runtimes.txt"</f>
        <v>"%USERPROFILE%\Documents\GitHub\eaglep3\Utilities\RefineRTDCRunTimes.py" --tripid 102-03 --locoid 4017 --swversion DE.1.0.7.0 --startMP 204:232687 --initTime 2016-08-03T04:01:56 --startdatetime 2016-08-03T04:03:25 --delay 1 --endMP 204:88 --enddatetime 2016-08-03T04:50:15 --enforcementcount 0 &gt;&gt; 2016-08-03-refined-runtimes.txt</v>
      </c>
    </row>
    <row r="15" spans="1:91" s="1" customFormat="1" x14ac:dyDescent="0.25">
      <c r="A15" s="44" t="s">
        <v>456</v>
      </c>
      <c r="B15" s="7">
        <v>4014</v>
      </c>
      <c r="C15" s="25" t="s">
        <v>163</v>
      </c>
      <c r="D15" s="25" t="s">
        <v>542</v>
      </c>
      <c r="E15" s="16">
        <v>42585.152129629627</v>
      </c>
      <c r="F15" s="16">
        <v>42585.152962962966</v>
      </c>
      <c r="G15" s="7">
        <v>1</v>
      </c>
      <c r="H15" s="16" t="s">
        <v>543</v>
      </c>
      <c r="I15" s="16">
        <v>42585.182129629633</v>
      </c>
      <c r="J15" s="7">
        <v>0</v>
      </c>
      <c r="K15" s="121" t="str">
        <f t="shared" ref="K15:K77" si="15">IF(ISEVEN(B15),(B15-1)&amp;"/"&amp;B15,B15&amp;"/"&amp;(B15+1))</f>
        <v>4013/4014</v>
      </c>
      <c r="L15" s="25" t="str">
        <f>VLOOKUP(A15,'Trips&amp;Operators'!$C$1:$E$10000,3,FALSE)</f>
        <v>ACKERMAN</v>
      </c>
      <c r="M15" s="6">
        <f t="shared" ref="M15:M77" si="16">I15-F15</f>
        <v>2.9166666667151731E-2</v>
      </c>
      <c r="N15" s="7">
        <f t="shared" si="2"/>
        <v>42.000000000698492</v>
      </c>
      <c r="O15" s="7"/>
      <c r="P15" s="7"/>
      <c r="Q15" s="26"/>
      <c r="R15" s="26"/>
      <c r="S15" s="40">
        <f t="shared" ref="S15:S77" si="17">SUM(U15:U15)/IF(AG15="EC",12,1)</f>
        <v>1</v>
      </c>
      <c r="T15" s="57" t="str">
        <f t="shared" ref="T15:T77" si="18">IF(ISEVEN(LEFT(AD15,4)),"Southbound","NorthBound")</f>
        <v>NorthBound</v>
      </c>
      <c r="U15" s="82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138" t="str">
        <f t="shared" ref="V15:V77" si="1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https://search-rtdc-monitor-bjffxe2xuh6vdkpspy63sjmuny.us-east-1.es.amazonaws.com/_plugin/kibana/#/discover/Steve-Slow-Train-Analysis-(2080s-and-2083s)?_g=(refreshInterval:(display:Off,section:0,value:0),time:(from:'2016-08-03 02:39:04-0600',mode:absolute,to:'2016-08-03 05:22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5" s="62" t="str">
        <f t="shared" ref="W15:W77" si="20">IF(AA15&lt;IF(AG15="EC",23,5.65),"Y","N")</f>
        <v>N</v>
      </c>
      <c r="X15" s="124">
        <f t="shared" ref="X15:X77" si="21">VALUE(LEFT(AD15,4))-VALUE(LEFT(AD14,4))</f>
        <v>1</v>
      </c>
      <c r="Y15" s="77">
        <f t="shared" ref="Y15:Y77" si="22">RIGHT(D15,LEN(D15)-4)/10000</f>
        <v>6.0600000000000001E-2</v>
      </c>
      <c r="Z15" s="77">
        <f t="shared" ref="Z15:Z77" si="23">RIGHT(H15,LEN(H15)-4)/10000</f>
        <v>23.338699999999999</v>
      </c>
      <c r="AA15" s="77">
        <f t="shared" ref="AA15:AA77" si="24">ABS(Z15-Y15)</f>
        <v>23.278099999999998</v>
      </c>
      <c r="AB15" s="74" t="e">
        <f>VLOOKUP(A15,Enforcements!$C$7:$J$24,8,0)</f>
        <v>#N/A</v>
      </c>
      <c r="AC15" s="70" t="e">
        <f>VLOOKUP(A15,Enforcements!$C$7:$E$24,3,0)</f>
        <v>#N/A</v>
      </c>
      <c r="AD15" s="71" t="str">
        <f t="shared" ref="AD15:AD77" si="25">IF(LEN(A15)=6,"0"&amp;A15,A15)</f>
        <v>0103-03</v>
      </c>
      <c r="AE15" s="131" t="str">
        <f t="shared" ref="AE15:AE77" si="26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5" s="128" t="str">
        <f t="shared" ref="AF15:AF77" si="27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/spath="%USERPROFILE%\AppData\Local\Temp\OnboardLogs" /stypes="*4014*20160803*" /stext=" 10:.+((SYSTEM_STATE.+slice.+state.+changed )|(ment ac)|(system.+state.+changed )|(\|lc)|(penalty)|(\[timeout)|(PRM\|1\|D)|(kpr)|(kdp))" /e /r /s</v>
      </c>
      <c r="AG15" s="1" t="str">
        <f t="shared" ref="AG15:AG77" si="28">IF(VALUE(LEFT(AD15,2))&lt;=2,"EC",IF(OR(VALUE(LEFT(AD15,2))=8,VALUE(LEFT(AD15,2))=18),"NW","GL"))</f>
        <v>EC</v>
      </c>
      <c r="AH15" s="132" t="str">
        <f>refinertdcruntimes&amp;" --tripid "&amp;A15&amp;" --locoid "&amp;B15&amp;" --swversion "&amp;C15&amp;" --startMP "&amp;D15&amp;" --initTime "&amp;TEXT(E15,"yyyy-mm-ddTHH:MM:SS")&amp;" --startdatetime "&amp;TEXT(F15,"yyyy-mm-ddTHH:MM:SS")&amp;" --delay "&amp;G15&amp;" --endMP "&amp;H15&amp;" --enddatetime "&amp;TEXT(I15,"yyyy-mm-ddTHH:MM:SS")&amp;" --enforcementcount "&amp;J15&amp;" &gt;&gt; "&amp;TEXT(Variables!$A$2,"yyyy-mm-dd")&amp;"-refined-runtimes.txt"</f>
        <v>"%USERPROFILE%\Documents\GitHub\eaglep3\Utilities\RefineRTDCRunTimes.py" --tripid 103-03 --locoid 4014 --swversion DE.1.0.7.0 --startMP 204:606 --initTime 2016-08-03T03:39:04 --startdatetime 2016-08-03T03:40:16 --delay 1 --endMP 204:233387 --enddatetime 2016-08-03T04:22:16 --enforcementcount 0 &gt;&gt; 2016-08-03-refined-runtimes.txt</v>
      </c>
    </row>
    <row r="16" spans="1:91" s="1" customFormat="1" x14ac:dyDescent="0.25">
      <c r="A16" s="44" t="s">
        <v>470</v>
      </c>
      <c r="B16" s="7">
        <v>4012</v>
      </c>
      <c r="C16" s="25" t="s">
        <v>163</v>
      </c>
      <c r="D16" s="25" t="s">
        <v>544</v>
      </c>
      <c r="E16" s="16">
        <v>42585.190520833334</v>
      </c>
      <c r="F16" s="16">
        <v>42585.19153935185</v>
      </c>
      <c r="G16" s="7">
        <v>1</v>
      </c>
      <c r="H16" s="16" t="s">
        <v>545</v>
      </c>
      <c r="I16" s="16">
        <v>42585.224247685182</v>
      </c>
      <c r="J16" s="7">
        <v>0</v>
      </c>
      <c r="K16" s="121" t="str">
        <f t="shared" si="15"/>
        <v>4011/4012</v>
      </c>
      <c r="L16" s="25" t="str">
        <f>VLOOKUP(A16,'Trips&amp;Operators'!$C$1:$E$10000,3,FALSE)</f>
        <v>ACKERMAN</v>
      </c>
      <c r="M16" s="6">
        <f t="shared" si="16"/>
        <v>3.2708333332266193E-2</v>
      </c>
      <c r="N16" s="7">
        <f t="shared" si="2"/>
        <v>47.099999998463318</v>
      </c>
      <c r="O16" s="7"/>
      <c r="P16" s="7"/>
      <c r="Q16" s="26"/>
      <c r="R16" s="26"/>
      <c r="S16" s="40">
        <f t="shared" si="17"/>
        <v>1</v>
      </c>
      <c r="T16" s="57" t="str">
        <f t="shared" si="18"/>
        <v>Southbound</v>
      </c>
      <c r="U16" s="82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03:34:21-0600',mode:absolute,to:'2016-08-03 06:22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6" s="62" t="str">
        <f t="shared" si="20"/>
        <v>N</v>
      </c>
      <c r="X16" s="124">
        <f t="shared" si="21"/>
        <v>1</v>
      </c>
      <c r="Y16" s="77">
        <f t="shared" si="22"/>
        <v>23.273299999999999</v>
      </c>
      <c r="Z16" s="77">
        <f t="shared" si="23"/>
        <v>1.23E-2</v>
      </c>
      <c r="AA16" s="77">
        <f t="shared" si="24"/>
        <v>23.260999999999999</v>
      </c>
      <c r="AB16" s="74" t="e">
        <f>VLOOKUP(A16,Enforcements!$C$7:$J$24,8,0)</f>
        <v>#N/A</v>
      </c>
      <c r="AC16" s="70" t="e">
        <f>VLOOKUP(A16,Enforcements!$C$7:$E$24,3,0)</f>
        <v>#N/A</v>
      </c>
      <c r="AD16" s="71" t="str">
        <f t="shared" si="25"/>
        <v>0104-03</v>
      </c>
      <c r="AE16" s="131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6" s="128" t="str">
        <f t="shared" si="27"/>
        <v>"C:\Program Files (x86)\AstroGrep\AstroGrep.exe" /spath="%USERPROFILE%\AppData\Local\Temp\OnboardLogs" /stypes="*4012*20160803*" /stext=" 11:.+((SYSTEM_STATE.+slice.+state.+changed )|(ment ac)|(system.+state.+changed )|(\|lc)|(penalty)|(\[timeout)|(PRM\|1\|D)|(kpr)|(kdp))" /e /r /s</v>
      </c>
      <c r="AG16" s="1" t="str">
        <f t="shared" si="28"/>
        <v>EC</v>
      </c>
      <c r="AH16" s="132" t="str">
        <f>refinertdcruntimes&amp;" --tripid "&amp;A16&amp;" --locoid "&amp;B16&amp;" --swversion "&amp;C16&amp;" --startMP "&amp;D16&amp;" --initTime "&amp;TEXT(E16,"yyyy-mm-ddTHH:MM:SS")&amp;" --startdatetime "&amp;TEXT(F16,"yyyy-mm-ddTHH:MM:SS")&amp;" --delay "&amp;G16&amp;" --endMP "&amp;H16&amp;" --enddatetime "&amp;TEXT(I16,"yyyy-mm-ddTHH:MM:SS")&amp;" --enforcementcount "&amp;J16&amp;" &gt;&gt; "&amp;TEXT(Variables!$A$2,"yyyy-mm-dd")&amp;"-refined-runtimes.txt"</f>
        <v>"%USERPROFILE%\Documents\GitHub\eaglep3\Utilities\RefineRTDCRunTimes.py" --tripid 104-03 --locoid 4012 --swversion DE.1.0.7.0 --startMP 204:232733 --initTime 2016-08-03T04:34:21 --startdatetime 2016-08-03T04:35:49 --delay 1 --endMP 204:123 --enddatetime 2016-08-03T05:22:55 --enforcementcount 0 &gt;&gt; 2016-08-03-refined-runtimes.txt</v>
      </c>
    </row>
    <row r="17" spans="1:34" s="1" customFormat="1" x14ac:dyDescent="0.25">
      <c r="A17" s="44" t="s">
        <v>483</v>
      </c>
      <c r="B17" s="7">
        <v>4044</v>
      </c>
      <c r="C17" s="25" t="s">
        <v>163</v>
      </c>
      <c r="D17" s="25" t="s">
        <v>546</v>
      </c>
      <c r="E17" s="16">
        <v>42585.171446759261</v>
      </c>
      <c r="F17" s="16">
        <v>42585.172650462962</v>
      </c>
      <c r="G17" s="7">
        <v>1</v>
      </c>
      <c r="H17" s="16" t="s">
        <v>547</v>
      </c>
      <c r="I17" s="16">
        <v>42585.205474537041</v>
      </c>
      <c r="J17" s="7">
        <v>0</v>
      </c>
      <c r="K17" s="121" t="str">
        <f t="shared" si="15"/>
        <v>4043/4044</v>
      </c>
      <c r="L17" s="25" t="str">
        <f>VLOOKUP(A17,'Trips&amp;Operators'!$C$1:$E$10000,3,FALSE)</f>
        <v>STRICKLAND</v>
      </c>
      <c r="M17" s="6">
        <f t="shared" si="16"/>
        <v>3.2824074078234844E-2</v>
      </c>
      <c r="N17" s="7">
        <f t="shared" si="2"/>
        <v>47.266666672658175</v>
      </c>
      <c r="O17" s="7"/>
      <c r="P17" s="7"/>
      <c r="Q17" s="26"/>
      <c r="R17" s="26"/>
      <c r="S17" s="40">
        <f t="shared" si="17"/>
        <v>1</v>
      </c>
      <c r="T17" s="57" t="str">
        <f t="shared" si="18"/>
        <v>NorthBound</v>
      </c>
      <c r="U17" s="82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03:06:53-0600',mode:absolute,to:'2016-08-03 05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7" s="62" t="str">
        <f t="shared" si="20"/>
        <v>N</v>
      </c>
      <c r="X17" s="124">
        <f t="shared" si="21"/>
        <v>1</v>
      </c>
      <c r="Y17" s="77">
        <f t="shared" si="22"/>
        <v>7.7399999999999997E-2</v>
      </c>
      <c r="Z17" s="77">
        <f t="shared" si="23"/>
        <v>23.328199999999999</v>
      </c>
      <c r="AA17" s="77">
        <f t="shared" si="24"/>
        <v>23.250799999999998</v>
      </c>
      <c r="AB17" s="74" t="e">
        <f>VLOOKUP(A17,Enforcements!$C$7:$J$24,8,0)</f>
        <v>#N/A</v>
      </c>
      <c r="AC17" s="70" t="e">
        <f>VLOOKUP(A17,Enforcements!$C$7:$E$24,3,0)</f>
        <v>#N/A</v>
      </c>
      <c r="AD17" s="71" t="str">
        <f t="shared" si="25"/>
        <v>0105-03</v>
      </c>
      <c r="AE17" s="131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7" s="128" t="str">
        <f t="shared" si="27"/>
        <v>"C:\Program Files (x86)\AstroGrep\AstroGrep.exe" /spath="%USERPROFILE%\AppData\Local\Temp\OnboardLogs" /stypes="*4044*20160803*" /stext=" 10:.+((SYSTEM_STATE.+slice.+state.+changed )|(ment ac)|(system.+state.+changed )|(\|lc)|(penalty)|(\[timeout)|(PRM\|1\|D)|(kpr)|(kdp))" /e /r /s</v>
      </c>
      <c r="AG17" s="1" t="str">
        <f t="shared" si="28"/>
        <v>EC</v>
      </c>
      <c r="AH17" s="132" t="str">
        <f>refinertdcruntimes&amp;" --tripid "&amp;A17&amp;" --locoid "&amp;B17&amp;" --swversion "&amp;C17&amp;" --startMP "&amp;D17&amp;" --initTime "&amp;TEXT(E17,"yyyy-mm-ddTHH:MM:SS")&amp;" --startdatetime "&amp;TEXT(F17,"yyyy-mm-ddTHH:MM:SS")&amp;" --delay "&amp;G17&amp;" --endMP "&amp;H17&amp;" --enddatetime "&amp;TEXT(I17,"yyyy-mm-ddTHH:MM:SS")&amp;" --enforcementcount "&amp;J17&amp;" &gt;&gt; "&amp;TEXT(Variables!$A$2,"yyyy-mm-dd")&amp;"-refined-runtimes.txt"</f>
        <v>"%USERPROFILE%\Documents\GitHub\eaglep3\Utilities\RefineRTDCRunTimes.py" --tripid 105-03 --locoid 4044 --swversion DE.1.0.7.0 --startMP 204:774 --initTime 2016-08-03T04:06:53 --startdatetime 2016-08-03T04:08:37 --delay 1 --endMP 204:233282 --enddatetime 2016-08-03T04:55:53 --enforcementcount 0 &gt;&gt; 2016-08-03-refined-runtimes.txt</v>
      </c>
    </row>
    <row r="18" spans="1:34" s="1" customFormat="1" ht="16.5" customHeight="1" x14ac:dyDescent="0.25">
      <c r="A18" s="44" t="s">
        <v>467</v>
      </c>
      <c r="B18" s="7">
        <v>4039</v>
      </c>
      <c r="C18" s="25" t="s">
        <v>163</v>
      </c>
      <c r="D18" s="25" t="s">
        <v>548</v>
      </c>
      <c r="E18" s="16">
        <v>42585.209687499999</v>
      </c>
      <c r="F18" s="16">
        <v>42585.211319444446</v>
      </c>
      <c r="G18" s="7">
        <v>2</v>
      </c>
      <c r="H18" s="16" t="s">
        <v>549</v>
      </c>
      <c r="I18" s="16">
        <v>42585.245196759257</v>
      </c>
      <c r="J18" s="7">
        <v>1</v>
      </c>
      <c r="K18" s="121" t="str">
        <f t="shared" si="15"/>
        <v>4039/4040</v>
      </c>
      <c r="L18" s="25" t="str">
        <f>VLOOKUP(A18,'Trips&amp;Operators'!$C$1:$E$10000,3,FALSE)</f>
        <v>STRICKLAND</v>
      </c>
      <c r="M18" s="6">
        <f t="shared" si="16"/>
        <v>3.3877314810524695E-2</v>
      </c>
      <c r="N18" s="7">
        <f t="shared" si="2"/>
        <v>48.78333332715556</v>
      </c>
      <c r="O18" s="7"/>
      <c r="P18" s="7"/>
      <c r="Q18" s="26"/>
      <c r="R18" s="26"/>
      <c r="S18" s="40">
        <f t="shared" si="17"/>
        <v>1</v>
      </c>
      <c r="T18" s="57" t="str">
        <f t="shared" si="18"/>
        <v>Southbound</v>
      </c>
      <c r="U18" s="82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04:01:57-0600',mode:absolute,to:'2016-08-03 06:53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8" s="62" t="str">
        <f t="shared" si="20"/>
        <v>N</v>
      </c>
      <c r="X18" s="124">
        <f t="shared" si="21"/>
        <v>1</v>
      </c>
      <c r="Y18" s="77">
        <f t="shared" si="22"/>
        <v>23.265999999999998</v>
      </c>
      <c r="Z18" s="77">
        <f t="shared" si="23"/>
        <v>2.2700000000000001E-2</v>
      </c>
      <c r="AA18" s="77">
        <f t="shared" si="24"/>
        <v>23.243299999999998</v>
      </c>
      <c r="AB18" s="74" t="e">
        <f>VLOOKUP(A18,Enforcements!$C$7:$J$24,8,0)</f>
        <v>#N/A</v>
      </c>
      <c r="AC18" s="70" t="e">
        <f>VLOOKUP(A18,Enforcements!$C$7:$E$24,3,0)</f>
        <v>#N/A</v>
      </c>
      <c r="AD18" s="71" t="str">
        <f t="shared" si="25"/>
        <v>0106-03</v>
      </c>
      <c r="AE18" s="131" t="str">
        <f t="shared" si="26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8" s="128" t="str">
        <f t="shared" si="27"/>
        <v>"C:\Program Files (x86)\AstroGrep\AstroGrep.exe" /spath="%USERPROFILE%\AppData\Local\Temp\OnboardLogs" /stypes="*4039*20160803*" /stext=" 11:.+((SYSTEM_STATE.+slice.+state.+changed )|(ment ac)|(system.+state.+changed )|(\|lc)|(penalty)|(\[timeout)|(PRM\|1\|D)|(kpr)|(kdp))" /e /r /s</v>
      </c>
      <c r="AG18" s="1" t="str">
        <f t="shared" si="28"/>
        <v>EC</v>
      </c>
      <c r="AH18" s="132" t="str">
        <f>refinertdcruntimes&amp;" --tripid "&amp;A18&amp;" --locoid "&amp;B18&amp;" --swversion "&amp;C18&amp;" --startMP "&amp;D18&amp;" --initTime "&amp;TEXT(E18,"yyyy-mm-ddTHH:MM:SS")&amp;" --startdatetime "&amp;TEXT(F18,"yyyy-mm-ddTHH:MM:SS")&amp;" --delay "&amp;G18&amp;" --endMP "&amp;H18&amp;" --enddatetime "&amp;TEXT(I18,"yyyy-mm-ddTHH:MM:SS")&amp;" --enforcementcount "&amp;J18&amp;" &gt;&gt; "&amp;TEXT(Variables!$A$2,"yyyy-mm-dd")&amp;"-refined-runtimes.txt"</f>
        <v>"%USERPROFILE%\Documents\GitHub\eaglep3\Utilities\RefineRTDCRunTimes.py" --tripid 106-03 --locoid 4039 --swversion DE.1.0.7.0 --startMP 204:232660 --initTime 2016-08-03T05:01:57 --startdatetime 2016-08-03T05:04:18 --delay 2 --endMP 204:227 --enddatetime 2016-08-03T05:53:05 --enforcementcount 1 &gt;&gt; 2016-08-03-refined-runtimes.txt</v>
      </c>
    </row>
    <row r="19" spans="1:34" s="1" customFormat="1" x14ac:dyDescent="0.25">
      <c r="A19" s="44" t="s">
        <v>468</v>
      </c>
      <c r="B19" s="7">
        <v>4042</v>
      </c>
      <c r="C19" s="25" t="s">
        <v>163</v>
      </c>
      <c r="D19" s="25" t="s">
        <v>344</v>
      </c>
      <c r="E19" s="16">
        <v>42585.180312500001</v>
      </c>
      <c r="F19" s="16">
        <v>42585.181226851855</v>
      </c>
      <c r="G19" s="7">
        <v>1</v>
      </c>
      <c r="H19" s="16" t="s">
        <v>550</v>
      </c>
      <c r="I19" s="16">
        <v>42585.213020833333</v>
      </c>
      <c r="J19" s="7">
        <v>0</v>
      </c>
      <c r="K19" s="121" t="str">
        <f t="shared" si="15"/>
        <v>4041/4042</v>
      </c>
      <c r="L19" s="25" t="str">
        <f>VLOOKUP(A19,'Trips&amp;Operators'!$C$1:$E$10000,3,FALSE)</f>
        <v>SPECTOR</v>
      </c>
      <c r="M19" s="6">
        <f t="shared" si="16"/>
        <v>3.1793981477676425E-2</v>
      </c>
      <c r="N19" s="7">
        <f t="shared" si="2"/>
        <v>45.783333327854052</v>
      </c>
      <c r="O19" s="7"/>
      <c r="P19" s="7"/>
      <c r="Q19" s="26"/>
      <c r="R19" s="26"/>
      <c r="S19" s="40">
        <f t="shared" si="17"/>
        <v>1</v>
      </c>
      <c r="T19" s="57" t="str">
        <f t="shared" si="18"/>
        <v>NorthBound</v>
      </c>
      <c r="U19" s="82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03:19:39-0600',mode:absolute,to:'2016-08-03 06:06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" s="62" t="str">
        <f t="shared" si="20"/>
        <v>N</v>
      </c>
      <c r="X19" s="124">
        <f t="shared" si="21"/>
        <v>1</v>
      </c>
      <c r="Y19" s="77">
        <f t="shared" si="22"/>
        <v>4.4900000000000002E-2</v>
      </c>
      <c r="Z19" s="77">
        <f t="shared" si="23"/>
        <v>23.331199999999999</v>
      </c>
      <c r="AA19" s="77">
        <f t="shared" si="24"/>
        <v>23.286300000000001</v>
      </c>
      <c r="AB19" s="74" t="e">
        <f>VLOOKUP(A19,Enforcements!$C$7:$J$24,8,0)</f>
        <v>#N/A</v>
      </c>
      <c r="AC19" s="70" t="e">
        <f>VLOOKUP(A19,Enforcements!$C$7:$E$24,3,0)</f>
        <v>#N/A</v>
      </c>
      <c r="AD19" s="71" t="str">
        <f t="shared" si="25"/>
        <v>0107-03</v>
      </c>
      <c r="AE19" s="131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9" s="128" t="str">
        <f t="shared" si="27"/>
        <v>"C:\Program Files (x86)\AstroGrep\AstroGrep.exe" /spath="%USERPROFILE%\AppData\Local\Temp\OnboardLogs" /stypes="*4042*20160803*" /stext=" 11:.+((SYSTEM_STATE.+slice.+state.+changed )|(ment ac)|(system.+state.+changed )|(\|lc)|(penalty)|(\[timeout)|(PRM\|1\|D)|(kpr)|(kdp))" /e /r /s</v>
      </c>
      <c r="AG19" s="1" t="str">
        <f t="shared" si="28"/>
        <v>EC</v>
      </c>
      <c r="AH19" s="132" t="str">
        <f>refinertdcruntimes&amp;" --tripid "&amp;A19&amp;" --locoid "&amp;B19&amp;" --swversion "&amp;C19&amp;" --startMP "&amp;D19&amp;" --initTime "&amp;TEXT(E19,"yyyy-mm-ddTHH:MM:SS")&amp;" --startdatetime "&amp;TEXT(F19,"yyyy-mm-ddTHH:MM:SS")&amp;" --delay "&amp;G19&amp;" --endMP "&amp;H19&amp;" --enddatetime "&amp;TEXT(I19,"yyyy-mm-ddTHH:MM:SS")&amp;" --enforcementcount "&amp;J19&amp;" &gt;&gt; "&amp;TEXT(Variables!$A$2,"yyyy-mm-dd")&amp;"-refined-runtimes.txt"</f>
        <v>"%USERPROFILE%\Documents\GitHub\eaglep3\Utilities\RefineRTDCRunTimes.py" --tripid 107-03 --locoid 4042 --swversion DE.1.0.7.0 --startMP 204:449 --initTime 2016-08-03T04:19:39 --startdatetime 2016-08-03T04:20:58 --delay 1 --endMP 204:233312 --enddatetime 2016-08-03T05:06:45 --enforcementcount 0 &gt;&gt; 2016-08-03-refined-runtimes.txt</v>
      </c>
    </row>
    <row r="20" spans="1:34" s="34" customFormat="1" x14ac:dyDescent="0.25">
      <c r="A20" s="44" t="s">
        <v>480</v>
      </c>
      <c r="B20" s="7">
        <v>4041</v>
      </c>
      <c r="C20" s="25" t="s">
        <v>163</v>
      </c>
      <c r="D20" s="25" t="s">
        <v>388</v>
      </c>
      <c r="E20" s="16">
        <v>42585.226458333331</v>
      </c>
      <c r="F20" s="16">
        <v>42585.227581018517</v>
      </c>
      <c r="G20" s="7">
        <v>1</v>
      </c>
      <c r="H20" s="16" t="s">
        <v>160</v>
      </c>
      <c r="I20" s="16">
        <v>42585.253298611111</v>
      </c>
      <c r="J20" s="7">
        <v>0</v>
      </c>
      <c r="K20" s="121" t="str">
        <f t="shared" si="15"/>
        <v>4041/4042</v>
      </c>
      <c r="L20" s="25" t="str">
        <f>VLOOKUP(A20,'Trips&amp;Operators'!$C$1:$E$10000,3,FALSE)</f>
        <v>SPECTOR</v>
      </c>
      <c r="M20" s="6">
        <f t="shared" si="16"/>
        <v>2.5717592594446614E-2</v>
      </c>
      <c r="N20" s="7">
        <f t="shared" si="2"/>
        <v>37.033333336003125</v>
      </c>
      <c r="O20" s="7"/>
      <c r="P20" s="7"/>
      <c r="Q20" s="26"/>
      <c r="R20" s="26"/>
      <c r="S20" s="40">
        <f t="shared" si="17"/>
        <v>1</v>
      </c>
      <c r="T20" s="57" t="str">
        <f t="shared" si="18"/>
        <v>Southbound</v>
      </c>
      <c r="U20" s="82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04:26:06-0600',mode:absolute,to:'2016-08-03 07:04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" s="62" t="str">
        <f t="shared" si="20"/>
        <v>N</v>
      </c>
      <c r="X20" s="124">
        <f t="shared" si="21"/>
        <v>1</v>
      </c>
      <c r="Y20" s="77">
        <f t="shared" si="22"/>
        <v>23.3002</v>
      </c>
      <c r="Z20" s="77">
        <f t="shared" si="23"/>
        <v>1.49E-2</v>
      </c>
      <c r="AA20" s="77">
        <f t="shared" si="24"/>
        <v>23.285299999999999</v>
      </c>
      <c r="AB20" s="74" t="e">
        <f>VLOOKUP(A20,Enforcements!$C$7:$J$24,8,0)</f>
        <v>#N/A</v>
      </c>
      <c r="AC20" s="70" t="e">
        <f>VLOOKUP(A20,Enforcements!$C$7:$E$24,3,0)</f>
        <v>#N/A</v>
      </c>
      <c r="AD20" s="71" t="str">
        <f t="shared" si="25"/>
        <v>0108-03</v>
      </c>
      <c r="AE20" s="131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20" s="128" t="str">
        <f t="shared" si="27"/>
        <v>"C:\Program Files (x86)\AstroGrep\AstroGrep.exe" /spath="%USERPROFILE%\AppData\Local\Temp\OnboardLogs" /stypes="*4041*20160803*" /stext=" 12:.+((SYSTEM_STATE.+slice.+state.+changed )|(ment ac)|(system.+state.+changed )|(\|lc)|(penalty)|(\[timeout)|(PRM\|1\|D)|(kpr)|(kdp))" /e /r /s</v>
      </c>
      <c r="AG20" s="1" t="str">
        <f t="shared" si="28"/>
        <v>EC</v>
      </c>
      <c r="AH20" s="132" t="str">
        <f>refinertdcruntimes&amp;" --tripid "&amp;A20&amp;" --locoid "&amp;B20&amp;" --swversion "&amp;C20&amp;" --startMP "&amp;D20&amp;" --initTime "&amp;TEXT(E20,"yyyy-mm-ddTHH:MM:SS")&amp;" --startdatetime "&amp;TEXT(F20,"yyyy-mm-ddTHH:MM:SS")&amp;" --delay "&amp;G20&amp;" --endMP "&amp;H20&amp;" --enddatetime "&amp;TEXT(I20,"yyyy-mm-ddTHH:MM:SS")&amp;" --enforcementcount "&amp;J20&amp;" &gt;&gt; "&amp;TEXT(Variables!$A$2,"yyyy-mm-dd")&amp;"-refined-runtimes.txt"</f>
        <v>"%USERPROFILE%\Documents\GitHub\eaglep3\Utilities\RefineRTDCRunTimes.py" --tripid 108-03 --locoid 4041 --swversion DE.1.0.7.0 --startMP 204:233002 --initTime 2016-08-03T05:26:06 --startdatetime 2016-08-03T05:27:43 --delay 1 --endMP 204:149 --enddatetime 2016-08-03T06:04:45 --enforcementcount 0 &gt;&gt; 2016-08-03-refined-runtimes.txt</v>
      </c>
    </row>
    <row r="21" spans="1:34" s="1" customFormat="1" x14ac:dyDescent="0.25">
      <c r="A21" s="44" t="s">
        <v>482</v>
      </c>
      <c r="B21" s="7">
        <v>4025</v>
      </c>
      <c r="C21" s="25" t="s">
        <v>163</v>
      </c>
      <c r="D21" s="25" t="s">
        <v>116</v>
      </c>
      <c r="E21" s="16">
        <v>42585.192604166667</v>
      </c>
      <c r="F21" s="16">
        <v>42585.194085648145</v>
      </c>
      <c r="G21" s="7">
        <v>2</v>
      </c>
      <c r="H21" s="16" t="s">
        <v>323</v>
      </c>
      <c r="I21" s="16">
        <v>42585.223912037036</v>
      </c>
      <c r="J21" s="7">
        <v>1</v>
      </c>
      <c r="K21" s="121" t="str">
        <f t="shared" si="15"/>
        <v>4025/4026</v>
      </c>
      <c r="L21" s="25" t="str">
        <f>VLOOKUP(A21,'Trips&amp;Operators'!$C$1:$E$10000,3,FALSE)</f>
        <v>HELVIE</v>
      </c>
      <c r="M21" s="6">
        <f t="shared" si="16"/>
        <v>2.9826388890796807E-2</v>
      </c>
      <c r="N21" s="7">
        <f t="shared" si="2"/>
        <v>42.950000002747402</v>
      </c>
      <c r="O21" s="7"/>
      <c r="P21" s="7"/>
      <c r="Q21" s="26"/>
      <c r="R21" s="26"/>
      <c r="S21" s="40">
        <f t="shared" si="17"/>
        <v>1</v>
      </c>
      <c r="T21" s="57" t="str">
        <f t="shared" si="18"/>
        <v>NorthBound</v>
      </c>
      <c r="U21" s="82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03:37:21-0600',mode:absolute,to:'2016-08-03 06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" s="62" t="str">
        <f t="shared" si="20"/>
        <v>N</v>
      </c>
      <c r="X21" s="124">
        <f t="shared" si="21"/>
        <v>1</v>
      </c>
      <c r="Y21" s="77">
        <f t="shared" si="22"/>
        <v>4.58E-2</v>
      </c>
      <c r="Z21" s="77">
        <f t="shared" si="23"/>
        <v>23.3309</v>
      </c>
      <c r="AA21" s="77">
        <f t="shared" si="24"/>
        <v>23.2851</v>
      </c>
      <c r="AB21" s="74" t="e">
        <f>VLOOKUP(A21,Enforcements!$C$7:$J$24,8,0)</f>
        <v>#N/A</v>
      </c>
      <c r="AC21" s="70" t="e">
        <f>VLOOKUP(A21,Enforcements!$C$7:$E$24,3,0)</f>
        <v>#N/A</v>
      </c>
      <c r="AD21" s="71" t="str">
        <f t="shared" si="25"/>
        <v>0109-03</v>
      </c>
      <c r="AE21" s="131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21" s="128" t="str">
        <f t="shared" si="27"/>
        <v>"C:\Program Files (x86)\AstroGrep\AstroGrep.exe" /spath="%USERPROFILE%\AppData\Local\Temp\OnboardLogs" /stypes="*4025*20160803*" /stext=" 11:.+((SYSTEM_STATE.+slice.+state.+changed )|(ment ac)|(system.+state.+changed )|(\|lc)|(penalty)|(\[timeout)|(PRM\|1\|D)|(kpr)|(kdp))" /e /r /s</v>
      </c>
      <c r="AG21" s="1" t="str">
        <f t="shared" si="28"/>
        <v>EC</v>
      </c>
      <c r="AH21" s="132" t="str">
        <f>refinertdcruntimes&amp;" --tripid "&amp;A21&amp;" --locoid "&amp;B21&amp;" --swversion "&amp;C21&amp;" --startMP "&amp;D21&amp;" --initTime "&amp;TEXT(E21,"yyyy-mm-ddTHH:MM:SS")&amp;" --startdatetime "&amp;TEXT(F21,"yyyy-mm-ddTHH:MM:SS")&amp;" --delay "&amp;G21&amp;" --endMP "&amp;H21&amp;" --enddatetime "&amp;TEXT(I21,"yyyy-mm-ddTHH:MM:SS")&amp;" --enforcementcount "&amp;J21&amp;" &gt;&gt; "&amp;TEXT(Variables!$A$2,"yyyy-mm-dd")&amp;"-refined-runtimes.txt"</f>
        <v>"%USERPROFILE%\Documents\GitHub\eaglep3\Utilities\RefineRTDCRunTimes.py" --tripid 109-03 --locoid 4025 --swversion DE.1.0.7.0 --startMP 204:458 --initTime 2016-08-03T04:37:21 --startdatetime 2016-08-03T04:39:29 --delay 2 --endMP 204:233309 --enddatetime 2016-08-03T05:22:26 --enforcementcount 1 &gt;&gt; 2016-08-03-refined-runtimes.txt</v>
      </c>
    </row>
    <row r="22" spans="1:34" s="1" customFormat="1" ht="14.25" customHeight="1" x14ac:dyDescent="0.25">
      <c r="A22" s="44" t="s">
        <v>473</v>
      </c>
      <c r="B22" s="7">
        <v>4026</v>
      </c>
      <c r="C22" s="25" t="s">
        <v>163</v>
      </c>
      <c r="D22" s="25" t="s">
        <v>392</v>
      </c>
      <c r="E22" s="16">
        <v>42585.231631944444</v>
      </c>
      <c r="F22" s="16">
        <v>42585.232465277775</v>
      </c>
      <c r="G22" s="7">
        <v>1</v>
      </c>
      <c r="H22" s="16" t="s">
        <v>137</v>
      </c>
      <c r="I22" s="16">
        <v>42585.263726851852</v>
      </c>
      <c r="J22" s="7">
        <v>0</v>
      </c>
      <c r="K22" s="121" t="str">
        <f t="shared" si="15"/>
        <v>4025/4026</v>
      </c>
      <c r="L22" s="25" t="str">
        <f>VLOOKUP(A22,'Trips&amp;Operators'!$C$1:$E$10000,3,FALSE)</f>
        <v>HELVIE</v>
      </c>
      <c r="M22" s="6">
        <f t="shared" si="16"/>
        <v>3.1261574076779652E-2</v>
      </c>
      <c r="N22" s="7">
        <f t="shared" si="2"/>
        <v>45.016666670562699</v>
      </c>
      <c r="O22" s="7"/>
      <c r="P22" s="7"/>
      <c r="Q22" s="26"/>
      <c r="R22" s="26"/>
      <c r="S22" s="40">
        <f t="shared" si="17"/>
        <v>1</v>
      </c>
      <c r="T22" s="57" t="str">
        <f t="shared" si="18"/>
        <v>Southbound</v>
      </c>
      <c r="U22" s="82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04:33:33-0600',mode:absolute,to:'2016-08-03 07:19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" s="62" t="str">
        <f t="shared" si="20"/>
        <v>N</v>
      </c>
      <c r="X22" s="124">
        <f t="shared" si="21"/>
        <v>1</v>
      </c>
      <c r="Y22" s="77">
        <f t="shared" si="22"/>
        <v>23.297799999999999</v>
      </c>
      <c r="Z22" s="77">
        <f t="shared" si="23"/>
        <v>1.4999999999999999E-2</v>
      </c>
      <c r="AA22" s="77">
        <f t="shared" si="24"/>
        <v>23.282799999999998</v>
      </c>
      <c r="AB22" s="74" t="e">
        <f>VLOOKUP(A22,Enforcements!$C$7:$J$24,8,0)</f>
        <v>#N/A</v>
      </c>
      <c r="AC22" s="70" t="e">
        <f>VLOOKUP(A22,Enforcements!$C$7:$E$24,3,0)</f>
        <v>#N/A</v>
      </c>
      <c r="AD22" s="71" t="str">
        <f t="shared" si="25"/>
        <v>0110-03</v>
      </c>
      <c r="AE22" s="131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22" s="128" t="str">
        <f t="shared" si="27"/>
        <v>"C:\Program Files (x86)\AstroGrep\AstroGrep.exe" /spath="%USERPROFILE%\AppData\Local\Temp\OnboardLogs" /stypes="*4026*20160803*" /stext=" 12:.+((SYSTEM_STATE.+slice.+state.+changed )|(ment ac)|(system.+state.+changed )|(\|lc)|(penalty)|(\[timeout)|(PRM\|1\|D)|(kpr)|(kdp))" /e /r /s</v>
      </c>
      <c r="AG22" s="1" t="str">
        <f t="shared" si="28"/>
        <v>EC</v>
      </c>
      <c r="AH22" s="132" t="str">
        <f>refinertdcruntimes&amp;" --tripid "&amp;A22&amp;" --locoid "&amp;B22&amp;" --swversion "&amp;C22&amp;" --startMP "&amp;D22&amp;" --initTime "&amp;TEXT(E22,"yyyy-mm-ddTHH:MM:SS")&amp;" --startdatetime "&amp;TEXT(F22,"yyyy-mm-ddTHH:MM:SS")&amp;" --delay "&amp;G22&amp;" --endMP "&amp;H22&amp;" --enddatetime "&amp;TEXT(I22,"yyyy-mm-ddTHH:MM:SS")&amp;" --enforcementcount "&amp;J22&amp;" &gt;&gt; "&amp;TEXT(Variables!$A$2,"yyyy-mm-dd")&amp;"-refined-runtimes.txt"</f>
        <v>"%USERPROFILE%\Documents\GitHub\eaglep3\Utilities\RefineRTDCRunTimes.py" --tripid 110-03 --locoid 4026 --swversion DE.1.0.7.0 --startMP 204:232978 --initTime 2016-08-03T05:33:33 --startdatetime 2016-08-03T05:34:45 --delay 1 --endMP 204:150 --enddatetime 2016-08-03T06:19:46 --enforcementcount 0 &gt;&gt; 2016-08-03-refined-runtimes.txt</v>
      </c>
    </row>
    <row r="23" spans="1:34" s="1" customFormat="1" x14ac:dyDescent="0.25">
      <c r="A23" s="44" t="s">
        <v>481</v>
      </c>
      <c r="B23" s="7">
        <v>4038</v>
      </c>
      <c r="C23" s="25" t="s">
        <v>163</v>
      </c>
      <c r="D23" s="25" t="s">
        <v>551</v>
      </c>
      <c r="E23" s="16">
        <v>42585.205972222226</v>
      </c>
      <c r="F23" s="16">
        <v>42585.207245370373</v>
      </c>
      <c r="G23" s="7">
        <v>1</v>
      </c>
      <c r="H23" s="16" t="s">
        <v>245</v>
      </c>
      <c r="I23" s="16">
        <v>42585.233541666668</v>
      </c>
      <c r="J23" s="7">
        <v>0</v>
      </c>
      <c r="K23" s="121" t="str">
        <f t="shared" si="15"/>
        <v>4037/4038</v>
      </c>
      <c r="L23" s="25" t="str">
        <f>VLOOKUP(A23,'Trips&amp;Operators'!$C$1:$E$10000,3,FALSE)</f>
        <v>ROCHA</v>
      </c>
      <c r="M23" s="6">
        <f t="shared" si="16"/>
        <v>2.6296296295186039E-2</v>
      </c>
      <c r="N23" s="7">
        <f t="shared" si="2"/>
        <v>37.866666665067896</v>
      </c>
      <c r="O23" s="7"/>
      <c r="P23" s="7"/>
      <c r="Q23" s="26"/>
      <c r="R23" s="26"/>
      <c r="S23" s="40">
        <f t="shared" si="17"/>
        <v>1</v>
      </c>
      <c r="T23" s="57" t="str">
        <f t="shared" si="18"/>
        <v>NorthBound</v>
      </c>
      <c r="U23" s="82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03:56:36-0600',mode:absolute,to:'2016-08-03 06:36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" s="62" t="str">
        <f t="shared" si="20"/>
        <v>N</v>
      </c>
      <c r="X23" s="124">
        <f t="shared" si="21"/>
        <v>1</v>
      </c>
      <c r="Y23" s="77">
        <f t="shared" si="22"/>
        <v>6.9699999999999998E-2</v>
      </c>
      <c r="Z23" s="77">
        <f t="shared" si="23"/>
        <v>23.331</v>
      </c>
      <c r="AA23" s="77">
        <f t="shared" si="24"/>
        <v>23.261299999999999</v>
      </c>
      <c r="AB23" s="74" t="e">
        <f>VLOOKUP(A23,Enforcements!$C$7:$J$24,8,0)</f>
        <v>#N/A</v>
      </c>
      <c r="AC23" s="70" t="e">
        <f>VLOOKUP(A23,Enforcements!$C$7:$E$24,3,0)</f>
        <v>#N/A</v>
      </c>
      <c r="AD23" s="71" t="str">
        <f t="shared" si="25"/>
        <v>0111-03</v>
      </c>
      <c r="AE23" s="131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23" s="128" t="str">
        <f t="shared" si="27"/>
        <v>"C:\Program Files (x86)\AstroGrep\AstroGrep.exe" /spath="%USERPROFILE%\AppData\Local\Temp\OnboardLogs" /stypes="*4038*20160803*" /stext=" 11:.+((SYSTEM_STATE.+slice.+state.+changed )|(ment ac)|(system.+state.+changed )|(\|lc)|(penalty)|(\[timeout)|(PRM\|1\|D)|(kpr)|(kdp))" /e /r /s</v>
      </c>
      <c r="AG23" s="1" t="str">
        <f t="shared" si="28"/>
        <v>EC</v>
      </c>
      <c r="AH23" s="132" t="str">
        <f>refinertdcruntimes&amp;" --tripid "&amp;A23&amp;" --locoid "&amp;B23&amp;" --swversion "&amp;C23&amp;" --startMP "&amp;D23&amp;" --initTime "&amp;TEXT(E23,"yyyy-mm-ddTHH:MM:SS")&amp;" --startdatetime "&amp;TEXT(F23,"yyyy-mm-ddTHH:MM:SS")&amp;" --delay "&amp;G23&amp;" --endMP "&amp;H23&amp;" --enddatetime "&amp;TEXT(I23,"yyyy-mm-ddTHH:MM:SS")&amp;" --enforcementcount "&amp;J23&amp;" &gt;&gt; "&amp;TEXT(Variables!$A$2,"yyyy-mm-dd")&amp;"-refined-runtimes.txt"</f>
        <v>"%USERPROFILE%\Documents\GitHub\eaglep3\Utilities\RefineRTDCRunTimes.py" --tripid 111-03 --locoid 4038 --swversion DE.1.0.7.0 --startMP 204:697 --initTime 2016-08-03T04:56:36 --startdatetime 2016-08-03T04:58:26 --delay 1 --endMP 204:233310 --enddatetime 2016-08-03T05:36:18 --enforcementcount 0 &gt;&gt; 2016-08-03-refined-runtimes.txt</v>
      </c>
    </row>
    <row r="24" spans="1:34" s="1" customFormat="1" x14ac:dyDescent="0.25">
      <c r="A24" s="44" t="s">
        <v>466</v>
      </c>
      <c r="B24" s="7">
        <v>4037</v>
      </c>
      <c r="C24" s="25" t="s">
        <v>163</v>
      </c>
      <c r="D24" s="25" t="s">
        <v>165</v>
      </c>
      <c r="E24" s="16">
        <v>42585.243344907409</v>
      </c>
      <c r="F24" s="16">
        <v>42585.244375000002</v>
      </c>
      <c r="G24" s="7">
        <v>1</v>
      </c>
      <c r="H24" s="16" t="s">
        <v>59</v>
      </c>
      <c r="I24" s="16">
        <v>42585.2731712963</v>
      </c>
      <c r="J24" s="7">
        <v>0</v>
      </c>
      <c r="K24" s="121" t="str">
        <f t="shared" si="15"/>
        <v>4037/4038</v>
      </c>
      <c r="L24" s="25" t="str">
        <f>VLOOKUP(A24,'Trips&amp;Operators'!$C$1:$E$10000,3,FALSE)</f>
        <v>ROCHA</v>
      </c>
      <c r="M24" s="6">
        <f t="shared" si="16"/>
        <v>2.8796296297514345E-2</v>
      </c>
      <c r="N24" s="7">
        <f t="shared" si="2"/>
        <v>41.466666668420658</v>
      </c>
      <c r="O24" s="7"/>
      <c r="P24" s="7"/>
      <c r="Q24" s="26"/>
      <c r="R24" s="26"/>
      <c r="S24" s="40">
        <f t="shared" si="17"/>
        <v>1</v>
      </c>
      <c r="T24" s="57" t="str">
        <f t="shared" si="18"/>
        <v>Southbound</v>
      </c>
      <c r="U24" s="82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04:50:25-0600',mode:absolute,to:'2016-08-03 07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4" s="62" t="str">
        <f t="shared" si="20"/>
        <v>N</v>
      </c>
      <c r="X24" s="124">
        <f t="shared" si="21"/>
        <v>1</v>
      </c>
      <c r="Y24" s="77">
        <f t="shared" si="22"/>
        <v>23.2989</v>
      </c>
      <c r="Z24" s="77">
        <f t="shared" si="23"/>
        <v>1.52E-2</v>
      </c>
      <c r="AA24" s="77">
        <f t="shared" si="24"/>
        <v>23.2837</v>
      </c>
      <c r="AB24" s="74" t="e">
        <f>VLOOKUP(A24,Enforcements!$C$7:$J$24,8,0)</f>
        <v>#N/A</v>
      </c>
      <c r="AC24" s="70" t="e">
        <f>VLOOKUP(A24,Enforcements!$C$7:$E$24,3,0)</f>
        <v>#N/A</v>
      </c>
      <c r="AD24" s="71" t="str">
        <f t="shared" si="25"/>
        <v>0112-03</v>
      </c>
      <c r="AE24" s="131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24" s="128" t="str">
        <f t="shared" si="27"/>
        <v>"C:\Program Files (x86)\AstroGrep\AstroGrep.exe" /spath="%USERPROFILE%\AppData\Local\Temp\OnboardLogs" /stypes="*4037*20160803*" /stext=" 12:.+((SYSTEM_STATE.+slice.+state.+changed )|(ment ac)|(system.+state.+changed )|(\|lc)|(penalty)|(\[timeout)|(PRM\|1\|D)|(kpr)|(kdp))" /e /r /s</v>
      </c>
      <c r="AG24" s="1" t="str">
        <f t="shared" si="28"/>
        <v>EC</v>
      </c>
      <c r="AH24" s="132" t="str">
        <f>refinertdcruntimes&amp;" --tripid "&amp;A24&amp;" --locoid "&amp;B24&amp;" --swversion "&amp;C24&amp;" --startMP "&amp;D24&amp;" --initTime "&amp;TEXT(E24,"yyyy-mm-ddTHH:MM:SS")&amp;" --startdatetime "&amp;TEXT(F24,"yyyy-mm-ddTHH:MM:SS")&amp;" --delay "&amp;G24&amp;" --endMP "&amp;H24&amp;" --enddatetime "&amp;TEXT(I24,"yyyy-mm-ddTHH:MM:SS")&amp;" --enforcementcount "&amp;J24&amp;" &gt;&gt; "&amp;TEXT(Variables!$A$2,"yyyy-mm-dd")&amp;"-refined-runtimes.txt"</f>
        <v>"%USERPROFILE%\Documents\GitHub\eaglep3\Utilities\RefineRTDCRunTimes.py" --tripid 112-03 --locoid 4037 --swversion DE.1.0.7.0 --startMP 204:232989 --initTime 2016-08-03T05:50:25 --startdatetime 2016-08-03T05:51:54 --delay 1 --endMP 204:152 --enddatetime 2016-08-03T06:33:22 --enforcementcount 0 &gt;&gt; 2016-08-03-refined-runtimes.txt</v>
      </c>
    </row>
    <row r="25" spans="1:34" s="1" customFormat="1" x14ac:dyDescent="0.25">
      <c r="A25" s="44" t="s">
        <v>471</v>
      </c>
      <c r="B25" s="7">
        <v>4018</v>
      </c>
      <c r="C25" s="25" t="s">
        <v>163</v>
      </c>
      <c r="D25" s="25" t="s">
        <v>552</v>
      </c>
      <c r="E25" s="16">
        <v>42585.214780092596</v>
      </c>
      <c r="F25" s="16">
        <v>42585.216354166667</v>
      </c>
      <c r="G25" s="7">
        <v>2</v>
      </c>
      <c r="H25" s="16" t="s">
        <v>329</v>
      </c>
      <c r="I25" s="16">
        <v>42585.245173611111</v>
      </c>
      <c r="J25" s="7">
        <v>0</v>
      </c>
      <c r="K25" s="121" t="str">
        <f t="shared" si="15"/>
        <v>4017/4018</v>
      </c>
      <c r="L25" s="25" t="str">
        <f>VLOOKUP(A25,'Trips&amp;Operators'!$C$1:$E$10000,3,FALSE)</f>
        <v>MAELZER</v>
      </c>
      <c r="M25" s="6">
        <f t="shared" si="16"/>
        <v>2.8819444443797693E-2</v>
      </c>
      <c r="N25" s="7">
        <f t="shared" si="2"/>
        <v>41.499999999068677</v>
      </c>
      <c r="O25" s="7"/>
      <c r="P25" s="7"/>
      <c r="Q25" s="26"/>
      <c r="R25" s="26"/>
      <c r="S25" s="40">
        <f t="shared" si="17"/>
        <v>1</v>
      </c>
      <c r="T25" s="57" t="str">
        <f t="shared" si="18"/>
        <v>NorthBound</v>
      </c>
      <c r="U25" s="82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04:09:17-0600',mode:absolute,to:'2016-08-03 06:53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5" s="62" t="str">
        <f t="shared" si="20"/>
        <v>N</v>
      </c>
      <c r="X25" s="124">
        <f t="shared" si="21"/>
        <v>1</v>
      </c>
      <c r="Y25" s="77">
        <f t="shared" si="22"/>
        <v>4.0899999999999999E-2</v>
      </c>
      <c r="Z25" s="77">
        <f t="shared" si="23"/>
        <v>23.331099999999999</v>
      </c>
      <c r="AA25" s="77">
        <f t="shared" si="24"/>
        <v>23.290199999999999</v>
      </c>
      <c r="AB25" s="74" t="e">
        <f>VLOOKUP(A25,Enforcements!$C$7:$J$24,8,0)</f>
        <v>#N/A</v>
      </c>
      <c r="AC25" s="70" t="e">
        <f>VLOOKUP(A25,Enforcements!$C$7:$E$24,3,0)</f>
        <v>#N/A</v>
      </c>
      <c r="AD25" s="71" t="str">
        <f t="shared" si="25"/>
        <v>0113-03</v>
      </c>
      <c r="AE25" s="131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25" s="128" t="str">
        <f t="shared" si="27"/>
        <v>"C:\Program Files (x86)\AstroGrep\AstroGrep.exe" /spath="%USERPROFILE%\AppData\Local\Temp\OnboardLogs" /stypes="*4018*20160803*" /stext=" 11:.+((SYSTEM_STATE.+slice.+state.+changed )|(ment ac)|(system.+state.+changed )|(\|lc)|(penalty)|(\[timeout)|(PRM\|1\|D)|(kpr)|(kdp))" /e /r /s</v>
      </c>
      <c r="AG25" s="1" t="str">
        <f t="shared" si="28"/>
        <v>EC</v>
      </c>
      <c r="AH25" s="132" t="str">
        <f>refinertdcruntimes&amp;" --tripid "&amp;A25&amp;" --locoid "&amp;B25&amp;" --swversion "&amp;C25&amp;" --startMP "&amp;D25&amp;" --initTime "&amp;TEXT(E25,"yyyy-mm-ddTHH:MM:SS")&amp;" --startdatetime "&amp;TEXT(F25,"yyyy-mm-ddTHH:MM:SS")&amp;" --delay "&amp;G25&amp;" --endMP "&amp;H25&amp;" --enddatetime "&amp;TEXT(I25,"yyyy-mm-ddTHH:MM:SS")&amp;" --enforcementcount "&amp;J25&amp;" &gt;&gt; "&amp;TEXT(Variables!$A$2,"yyyy-mm-dd")&amp;"-refined-runtimes.txt"</f>
        <v>"%USERPROFILE%\Documents\GitHub\eaglep3\Utilities\RefineRTDCRunTimes.py" --tripid 113-03 --locoid 4018 --swversion DE.1.0.7.0 --startMP 204:409 --initTime 2016-08-03T05:09:17 --startdatetime 2016-08-03T05:11:33 --delay 2 --endMP 204:233311 --enddatetime 2016-08-03T05:53:03 --enforcementcount 0 &gt;&gt; 2016-08-03-refined-runtimes.txt</v>
      </c>
    </row>
    <row r="26" spans="1:34" s="1" customFormat="1" x14ac:dyDescent="0.25">
      <c r="A26" s="44" t="s">
        <v>488</v>
      </c>
      <c r="B26" s="7">
        <v>4017</v>
      </c>
      <c r="C26" s="25" t="s">
        <v>163</v>
      </c>
      <c r="D26" s="25" t="s">
        <v>339</v>
      </c>
      <c r="E26" s="16">
        <v>42585.249479166669</v>
      </c>
      <c r="F26" s="16">
        <v>42585.250289351854</v>
      </c>
      <c r="G26" s="7">
        <v>1</v>
      </c>
      <c r="H26" s="16" t="s">
        <v>404</v>
      </c>
      <c r="I26" s="16">
        <v>42585.286006944443</v>
      </c>
      <c r="J26" s="7">
        <v>0</v>
      </c>
      <c r="K26" s="121" t="str">
        <f t="shared" si="15"/>
        <v>4017/4018</v>
      </c>
      <c r="L26" s="25" t="str">
        <f>VLOOKUP(A26,'Trips&amp;Operators'!$C$1:$E$10000,3,FALSE)</f>
        <v>MAELZER</v>
      </c>
      <c r="M26" s="6">
        <f t="shared" si="16"/>
        <v>3.5717592589207925E-2</v>
      </c>
      <c r="N26" s="7">
        <f t="shared" si="2"/>
        <v>51.433333328459412</v>
      </c>
      <c r="O26" s="7"/>
      <c r="P26" s="7"/>
      <c r="Q26" s="26"/>
      <c r="R26" s="26"/>
      <c r="S26" s="40">
        <f t="shared" si="17"/>
        <v>1</v>
      </c>
      <c r="T26" s="57" t="str">
        <f t="shared" si="18"/>
        <v>Southbound</v>
      </c>
      <c r="U26" s="82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04:59:15-0600',mode:absolute,to:'2016-08-03 07:51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6" s="62" t="str">
        <f t="shared" si="20"/>
        <v>N</v>
      </c>
      <c r="X26" s="124">
        <f t="shared" si="21"/>
        <v>1</v>
      </c>
      <c r="Y26" s="77">
        <f t="shared" si="22"/>
        <v>23.299399999999999</v>
      </c>
      <c r="Z26" s="77">
        <f t="shared" si="23"/>
        <v>1.32E-2</v>
      </c>
      <c r="AA26" s="77">
        <f t="shared" si="24"/>
        <v>23.286199999999997</v>
      </c>
      <c r="AB26" s="74" t="e">
        <f>VLOOKUP(A26,Enforcements!$C$7:$J$24,8,0)</f>
        <v>#N/A</v>
      </c>
      <c r="AC26" s="70" t="e">
        <f>VLOOKUP(A26,Enforcements!$C$7:$E$24,3,0)</f>
        <v>#N/A</v>
      </c>
      <c r="AD26" s="71" t="str">
        <f t="shared" si="25"/>
        <v>0114-03</v>
      </c>
      <c r="AE26" s="131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26" s="128" t="str">
        <f t="shared" si="27"/>
        <v>"C:\Program Files (x86)\AstroGrep\AstroGrep.exe" /spath="%USERPROFILE%\AppData\Local\Temp\OnboardLogs" /stypes="*4017*20160803*" /stext=" 12:.+((SYSTEM_STATE.+slice.+state.+changed )|(ment ac)|(system.+state.+changed )|(\|lc)|(penalty)|(\[timeout)|(PRM\|1\|D)|(kpr)|(kdp))" /e /r /s</v>
      </c>
      <c r="AG26" s="1" t="str">
        <f t="shared" si="28"/>
        <v>EC</v>
      </c>
      <c r="AH26" s="132" t="str">
        <f>refinertdcruntimes&amp;" --tripid "&amp;A26&amp;" --locoid "&amp;B26&amp;" --swversion "&amp;C26&amp;" --startMP "&amp;D26&amp;" --initTime "&amp;TEXT(E26,"yyyy-mm-ddTHH:MM:SS")&amp;" --startdatetime "&amp;TEXT(F26,"yyyy-mm-ddTHH:MM:SS")&amp;" --delay "&amp;G26&amp;" --endMP "&amp;H26&amp;" --enddatetime "&amp;TEXT(I26,"yyyy-mm-ddTHH:MM:SS")&amp;" --enforcementcount "&amp;J26&amp;" &gt;&gt; "&amp;TEXT(Variables!$A$2,"yyyy-mm-dd")&amp;"-refined-runtimes.txt"</f>
        <v>"%USERPROFILE%\Documents\GitHub\eaglep3\Utilities\RefineRTDCRunTimes.py" --tripid 114-03 --locoid 4017 --swversion DE.1.0.7.0 --startMP 204:232994 --initTime 2016-08-03T05:59:15 --startdatetime 2016-08-03T06:00:25 --delay 1 --endMP 204:132 --enddatetime 2016-08-03T06:51:51 --enforcementcount 0 &gt;&gt; 2016-08-03-refined-runtimes.txt</v>
      </c>
    </row>
    <row r="27" spans="1:34" s="1" customFormat="1" x14ac:dyDescent="0.25">
      <c r="A27" s="44" t="s">
        <v>472</v>
      </c>
      <c r="B27" s="7">
        <v>4014</v>
      </c>
      <c r="C27" s="25" t="s">
        <v>163</v>
      </c>
      <c r="D27" s="25" t="s">
        <v>444</v>
      </c>
      <c r="E27" s="16">
        <v>42585.226851851854</v>
      </c>
      <c r="F27" s="16">
        <v>42585.227939814817</v>
      </c>
      <c r="G27" s="7">
        <v>1</v>
      </c>
      <c r="H27" s="16" t="s">
        <v>553</v>
      </c>
      <c r="I27" s="16">
        <v>42585.25509259259</v>
      </c>
      <c r="J27" s="7">
        <v>0</v>
      </c>
      <c r="K27" s="121" t="str">
        <f t="shared" si="15"/>
        <v>4013/4014</v>
      </c>
      <c r="L27" s="25" t="str">
        <f>VLOOKUP(A27,'Trips&amp;Operators'!$C$1:$E$10000,3,FALSE)</f>
        <v>BRANNON</v>
      </c>
      <c r="M27" s="6">
        <f t="shared" si="16"/>
        <v>2.7152777773153502E-2</v>
      </c>
      <c r="N27" s="7">
        <f t="shared" si="2"/>
        <v>39.099999993341044</v>
      </c>
      <c r="O27" s="7"/>
      <c r="P27" s="7"/>
      <c r="Q27" s="26"/>
      <c r="R27" s="26"/>
      <c r="S27" s="40">
        <f t="shared" si="17"/>
        <v>1</v>
      </c>
      <c r="T27" s="57" t="str">
        <f t="shared" si="18"/>
        <v>NorthBound</v>
      </c>
      <c r="U27" s="82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04:26:40-0600',mode:absolute,to:'2016-08-03 07:07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7" s="62" t="str">
        <f t="shared" si="20"/>
        <v>N</v>
      </c>
      <c r="X27" s="124">
        <f t="shared" si="21"/>
        <v>1</v>
      </c>
      <c r="Y27" s="77">
        <f t="shared" si="22"/>
        <v>7.2400000000000006E-2</v>
      </c>
      <c r="Z27" s="77">
        <f t="shared" si="23"/>
        <v>23.329799999999999</v>
      </c>
      <c r="AA27" s="77">
        <f t="shared" si="24"/>
        <v>23.257400000000001</v>
      </c>
      <c r="AB27" s="74" t="e">
        <f>VLOOKUP(A27,Enforcements!$C$7:$J$24,8,0)</f>
        <v>#N/A</v>
      </c>
      <c r="AC27" s="70" t="e">
        <f>VLOOKUP(A27,Enforcements!$C$7:$E$24,3,0)</f>
        <v>#N/A</v>
      </c>
      <c r="AD27" s="71" t="str">
        <f t="shared" si="25"/>
        <v>0115-03</v>
      </c>
      <c r="AE27" s="131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27" s="128" t="str">
        <f t="shared" si="27"/>
        <v>"C:\Program Files (x86)\AstroGrep\AstroGrep.exe" /spath="%USERPROFILE%\AppData\Local\Temp\OnboardLogs" /stypes="*4014*20160803*" /stext=" 12:.+((SYSTEM_STATE.+slice.+state.+changed )|(ment ac)|(system.+state.+changed )|(\|lc)|(penalty)|(\[timeout)|(PRM\|1\|D)|(kpr)|(kdp))" /e /r /s</v>
      </c>
      <c r="AG27" s="1" t="str">
        <f t="shared" si="28"/>
        <v>EC</v>
      </c>
      <c r="AH27" s="132" t="str">
        <f>refinertdcruntimes&amp;" --tripid "&amp;A27&amp;" --locoid "&amp;B27&amp;" --swversion "&amp;C27&amp;" --startMP "&amp;D27&amp;" --initTime "&amp;TEXT(E27,"yyyy-mm-ddTHH:MM:SS")&amp;" --startdatetime "&amp;TEXT(F27,"yyyy-mm-ddTHH:MM:SS")&amp;" --delay "&amp;G27&amp;" --endMP "&amp;H27&amp;" --enddatetime "&amp;TEXT(I27,"yyyy-mm-ddTHH:MM:SS")&amp;" --enforcementcount "&amp;J27&amp;" &gt;&gt; "&amp;TEXT(Variables!$A$2,"yyyy-mm-dd")&amp;"-refined-runtimes.txt"</f>
        <v>"%USERPROFILE%\Documents\GitHub\eaglep3\Utilities\RefineRTDCRunTimes.py" --tripid 115-03 --locoid 4014 --swversion DE.1.0.7.0 --startMP 204:724 --initTime 2016-08-03T05:26:40 --startdatetime 2016-08-03T05:28:14 --delay 1 --endMP 204:233298 --enddatetime 2016-08-03T06:07:20 --enforcementcount 0 &gt;&gt; 2016-08-03-refined-runtimes.txt</v>
      </c>
    </row>
    <row r="28" spans="1:34" s="1" customFormat="1" x14ac:dyDescent="0.25">
      <c r="A28" s="44" t="s">
        <v>476</v>
      </c>
      <c r="B28" s="7">
        <v>4013</v>
      </c>
      <c r="C28" s="25" t="s">
        <v>163</v>
      </c>
      <c r="D28" s="25" t="s">
        <v>65</v>
      </c>
      <c r="E28" s="16">
        <v>42585.262326388889</v>
      </c>
      <c r="F28" s="16">
        <v>42585.26321759259</v>
      </c>
      <c r="G28" s="7">
        <v>1</v>
      </c>
      <c r="H28" s="16" t="s">
        <v>393</v>
      </c>
      <c r="I28" s="16">
        <v>42585.296805555554</v>
      </c>
      <c r="J28" s="7">
        <v>0</v>
      </c>
      <c r="K28" s="121" t="str">
        <f t="shared" si="15"/>
        <v>4013/4014</v>
      </c>
      <c r="L28" s="25" t="str">
        <f>VLOOKUP(A28,'Trips&amp;Operators'!$C$1:$E$10000,3,FALSE)</f>
        <v>BRANNON</v>
      </c>
      <c r="M28" s="6">
        <f t="shared" si="16"/>
        <v>3.3587962963792961E-2</v>
      </c>
      <c r="N28" s="7">
        <f t="shared" si="2"/>
        <v>48.366666667861864</v>
      </c>
      <c r="O28" s="7"/>
      <c r="P28" s="7"/>
      <c r="Q28" s="26"/>
      <c r="R28" s="26"/>
      <c r="S28" s="40">
        <f t="shared" si="17"/>
        <v>1</v>
      </c>
      <c r="T28" s="57" t="str">
        <f t="shared" si="18"/>
        <v>Southbound</v>
      </c>
      <c r="U28" s="82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05:17:45-0600',mode:absolute,to:'2016-08-03 08:07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8" s="62" t="str">
        <f t="shared" si="20"/>
        <v>N</v>
      </c>
      <c r="X28" s="124">
        <f t="shared" si="21"/>
        <v>1</v>
      </c>
      <c r="Y28" s="77">
        <f t="shared" si="22"/>
        <v>23.297699999999999</v>
      </c>
      <c r="Z28" s="77">
        <f t="shared" si="23"/>
        <v>1.3599999999999999E-2</v>
      </c>
      <c r="AA28" s="77">
        <f t="shared" si="24"/>
        <v>23.284099999999999</v>
      </c>
      <c r="AB28" s="74" t="e">
        <f>VLOOKUP(A28,Enforcements!$C$7:$J$24,8,0)</f>
        <v>#N/A</v>
      </c>
      <c r="AC28" s="70" t="e">
        <f>VLOOKUP(A28,Enforcements!$C$7:$E$24,3,0)</f>
        <v>#N/A</v>
      </c>
      <c r="AD28" s="71" t="str">
        <f t="shared" si="25"/>
        <v>0116-03</v>
      </c>
      <c r="AE28" s="131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28" s="128" t="str">
        <f t="shared" si="27"/>
        <v>"C:\Program Files (x86)\AstroGrep\AstroGrep.exe" /spath="%USERPROFILE%\AppData\Local\Temp\OnboardLogs" /stypes="*4013*20160803*" /stext=" 13:.+((SYSTEM_STATE.+slice.+state.+changed )|(ment ac)|(system.+state.+changed )|(\|lc)|(penalty)|(\[timeout)|(PRM\|1\|D)|(kpr)|(kdp))" /e /r /s</v>
      </c>
      <c r="AG28" s="1" t="str">
        <f t="shared" si="28"/>
        <v>EC</v>
      </c>
      <c r="AH28" s="132" t="str">
        <f>refinertdcruntimes&amp;" --tripid "&amp;A28&amp;" --locoid "&amp;B28&amp;" --swversion "&amp;C28&amp;" --startMP "&amp;D28&amp;" --initTime "&amp;TEXT(E28,"yyyy-mm-ddTHH:MM:SS")&amp;" --startdatetime "&amp;TEXT(F28,"yyyy-mm-ddTHH:MM:SS")&amp;" --delay "&amp;G28&amp;" --endMP "&amp;H28&amp;" --enddatetime "&amp;TEXT(I28,"yyyy-mm-ddTHH:MM:SS")&amp;" --enforcementcount "&amp;J28&amp;" &gt;&gt; "&amp;TEXT(Variables!$A$2,"yyyy-mm-dd")&amp;"-refined-runtimes.txt"</f>
        <v>"%USERPROFILE%\Documents\GitHub\eaglep3\Utilities\RefineRTDCRunTimes.py" --tripid 116-03 --locoid 4013 --swversion DE.1.0.7.0 --startMP 204:232977 --initTime 2016-08-03T06:17:45 --startdatetime 2016-08-03T06:19:02 --delay 1 --endMP 204:136 --enddatetime 2016-08-03T07:07:24 --enforcementcount 0 &gt;&gt; 2016-08-03-refined-runtimes.txt</v>
      </c>
    </row>
    <row r="29" spans="1:34" s="1" customFormat="1" x14ac:dyDescent="0.25">
      <c r="A29" s="44" t="s">
        <v>474</v>
      </c>
      <c r="B29" s="7">
        <v>4011</v>
      </c>
      <c r="C29" s="25" t="s">
        <v>163</v>
      </c>
      <c r="D29" s="25" t="s">
        <v>554</v>
      </c>
      <c r="E29" s="16">
        <v>42585.233530092592</v>
      </c>
      <c r="F29" s="16">
        <v>42585.234710648147</v>
      </c>
      <c r="G29" s="7">
        <v>1</v>
      </c>
      <c r="H29" s="16" t="s">
        <v>386</v>
      </c>
      <c r="I29" s="16">
        <v>42585.265451388892</v>
      </c>
      <c r="J29" s="7">
        <v>0</v>
      </c>
      <c r="K29" s="121" t="str">
        <f t="shared" si="15"/>
        <v>4011/4012</v>
      </c>
      <c r="L29" s="25" t="str">
        <f>VLOOKUP(A29,'Trips&amp;Operators'!$C$1:$E$10000,3,FALSE)</f>
        <v>ACKERMAN</v>
      </c>
      <c r="M29" s="6">
        <f t="shared" si="16"/>
        <v>3.0740740745386574E-2</v>
      </c>
      <c r="N29" s="7">
        <f t="shared" si="2"/>
        <v>44.266666673356667</v>
      </c>
      <c r="O29" s="7"/>
      <c r="P29" s="7"/>
      <c r="Q29" s="26"/>
      <c r="R29" s="26"/>
      <c r="S29" s="40">
        <f t="shared" si="17"/>
        <v>1</v>
      </c>
      <c r="T29" s="57" t="str">
        <f t="shared" si="18"/>
        <v>NorthBound</v>
      </c>
      <c r="U29" s="82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04:36:17-0600',mode:absolute,to:'2016-08-03 07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9" s="62" t="str">
        <f t="shared" si="20"/>
        <v>N</v>
      </c>
      <c r="X29" s="124">
        <f t="shared" si="21"/>
        <v>1</v>
      </c>
      <c r="Y29" s="77">
        <f t="shared" si="22"/>
        <v>4.02E-2</v>
      </c>
      <c r="Z29" s="77">
        <f t="shared" si="23"/>
        <v>23.3324</v>
      </c>
      <c r="AA29" s="77">
        <f t="shared" si="24"/>
        <v>23.292200000000001</v>
      </c>
      <c r="AB29" s="74" t="e">
        <f>VLOOKUP(A29,Enforcements!$C$7:$J$24,8,0)</f>
        <v>#N/A</v>
      </c>
      <c r="AC29" s="70" t="e">
        <f>VLOOKUP(A29,Enforcements!$C$7:$E$24,3,0)</f>
        <v>#N/A</v>
      </c>
      <c r="AD29" s="71" t="str">
        <f t="shared" si="25"/>
        <v>0117-03</v>
      </c>
      <c r="AE29" s="131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29" s="128" t="str">
        <f t="shared" si="27"/>
        <v>"C:\Program Files (x86)\AstroGrep\AstroGrep.exe" /spath="%USERPROFILE%\AppData\Local\Temp\OnboardLogs" /stypes="*4011*20160803*" /stext=" 12:.+((SYSTEM_STATE.+slice.+state.+changed )|(ment ac)|(system.+state.+changed )|(\|lc)|(penalty)|(\[timeout)|(PRM\|1\|D)|(kpr)|(kdp))" /e /r /s</v>
      </c>
      <c r="AG29" s="1" t="str">
        <f t="shared" si="28"/>
        <v>EC</v>
      </c>
      <c r="AH29" s="132" t="str">
        <f>refinertdcruntimes&amp;" --tripid "&amp;A29&amp;" --locoid "&amp;B29&amp;" --swversion "&amp;C29&amp;" --startMP "&amp;D29&amp;" --initTime "&amp;TEXT(E29,"yyyy-mm-ddTHH:MM:SS")&amp;" --startdatetime "&amp;TEXT(F29,"yyyy-mm-ddTHH:MM:SS")&amp;" --delay "&amp;G29&amp;" --endMP "&amp;H29&amp;" --enddatetime "&amp;TEXT(I29,"yyyy-mm-ddTHH:MM:SS")&amp;" --enforcementcount "&amp;J29&amp;" &gt;&gt; "&amp;TEXT(Variables!$A$2,"yyyy-mm-dd")&amp;"-refined-runtimes.txt"</f>
        <v>"%USERPROFILE%\Documents\GitHub\eaglep3\Utilities\RefineRTDCRunTimes.py" --tripid 117-03 --locoid 4011 --swversion DE.1.0.7.0 --startMP 204:402 --initTime 2016-08-03T05:36:17 --startdatetime 2016-08-03T05:37:59 --delay 1 --endMP 204:233324 --enddatetime 2016-08-03T06:22:15 --enforcementcount 0 &gt;&gt; 2016-08-03-refined-runtimes.txt</v>
      </c>
    </row>
    <row r="30" spans="1:34" s="1" customFormat="1" x14ac:dyDescent="0.25">
      <c r="A30" s="44" t="s">
        <v>477</v>
      </c>
      <c r="B30" s="7">
        <v>4012</v>
      </c>
      <c r="C30" s="25" t="s">
        <v>163</v>
      </c>
      <c r="D30" s="25" t="s">
        <v>339</v>
      </c>
      <c r="E30" s="16">
        <v>42585.272523148145</v>
      </c>
      <c r="F30" s="16">
        <v>42585.273518518516</v>
      </c>
      <c r="G30" s="7">
        <v>1</v>
      </c>
      <c r="H30" s="16" t="s">
        <v>359</v>
      </c>
      <c r="I30" s="16">
        <v>42585.305231481485</v>
      </c>
      <c r="J30" s="7">
        <v>0</v>
      </c>
      <c r="K30" s="121" t="str">
        <f t="shared" si="15"/>
        <v>4011/4012</v>
      </c>
      <c r="L30" s="25" t="str">
        <f>VLOOKUP(A30,'Trips&amp;Operators'!$C$1:$E$10000,3,FALSE)</f>
        <v>ACKERMAN</v>
      </c>
      <c r="M30" s="6">
        <f t="shared" si="16"/>
        <v>3.1712962969322689E-2</v>
      </c>
      <c r="N30" s="7">
        <f t="shared" si="2"/>
        <v>45.666666675824672</v>
      </c>
      <c r="O30" s="7"/>
      <c r="P30" s="7"/>
      <c r="Q30" s="26"/>
      <c r="R30" s="26"/>
      <c r="S30" s="40">
        <f t="shared" si="17"/>
        <v>1</v>
      </c>
      <c r="T30" s="57" t="str">
        <f t="shared" si="18"/>
        <v>Southbound</v>
      </c>
      <c r="U30" s="82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05:32:26-0600',mode:absolute,to:'2016-08-03 08:19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30" s="62" t="str">
        <f t="shared" si="20"/>
        <v>N</v>
      </c>
      <c r="X30" s="124">
        <f t="shared" si="21"/>
        <v>1</v>
      </c>
      <c r="Y30" s="77">
        <f t="shared" si="22"/>
        <v>23.299399999999999</v>
      </c>
      <c r="Z30" s="77">
        <f t="shared" si="23"/>
        <v>1.2699999999999999E-2</v>
      </c>
      <c r="AA30" s="77">
        <f t="shared" si="24"/>
        <v>23.2867</v>
      </c>
      <c r="AB30" s="74" t="e">
        <f>VLOOKUP(A30,Enforcements!$C$7:$J$24,8,0)</f>
        <v>#N/A</v>
      </c>
      <c r="AC30" s="70" t="e">
        <f>VLOOKUP(A30,Enforcements!$C$7:$E$24,3,0)</f>
        <v>#N/A</v>
      </c>
      <c r="AD30" s="71" t="str">
        <f t="shared" si="25"/>
        <v>0118-03</v>
      </c>
      <c r="AE30" s="131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30" s="128" t="str">
        <f t="shared" si="27"/>
        <v>"C:\Program Files (x86)\AstroGrep\AstroGrep.exe" /spath="%USERPROFILE%\AppData\Local\Temp\OnboardLogs" /stypes="*4012*20160803*" /stext=" 13:.+((SYSTEM_STATE.+slice.+state.+changed )|(ment ac)|(system.+state.+changed )|(\|lc)|(penalty)|(\[timeout)|(PRM\|1\|D)|(kpr)|(kdp))" /e /r /s</v>
      </c>
      <c r="AG30" s="1" t="str">
        <f t="shared" si="28"/>
        <v>EC</v>
      </c>
      <c r="AH30" s="132" t="str">
        <f>refinertdcruntimes&amp;" --tripid "&amp;A30&amp;" --locoid "&amp;B30&amp;" --swversion "&amp;C30&amp;" --startMP "&amp;D30&amp;" --initTime "&amp;TEXT(E30,"yyyy-mm-ddTHH:MM:SS")&amp;" --startdatetime "&amp;TEXT(F30,"yyyy-mm-ddTHH:MM:SS")&amp;" --delay "&amp;G30&amp;" --endMP "&amp;H30&amp;" --enddatetime "&amp;TEXT(I30,"yyyy-mm-ddTHH:MM:SS")&amp;" --enforcementcount "&amp;J30&amp;" &gt;&gt; "&amp;TEXT(Variables!$A$2,"yyyy-mm-dd")&amp;"-refined-runtimes.txt"</f>
        <v>"%USERPROFILE%\Documents\GitHub\eaglep3\Utilities\RefineRTDCRunTimes.py" --tripid 118-03 --locoid 4012 --swversion DE.1.0.7.0 --startMP 204:232994 --initTime 2016-08-03T06:32:26 --startdatetime 2016-08-03T06:33:52 --delay 1 --endMP 204:127 --enddatetime 2016-08-03T07:19:32 --enforcementcount 0 &gt;&gt; 2016-08-03-refined-runtimes.txt</v>
      </c>
    </row>
    <row r="31" spans="1:34" s="1" customFormat="1" x14ac:dyDescent="0.25">
      <c r="A31" s="44" t="s">
        <v>465</v>
      </c>
      <c r="B31" s="7">
        <v>4044</v>
      </c>
      <c r="C31" s="25" t="s">
        <v>163</v>
      </c>
      <c r="D31" s="25" t="s">
        <v>555</v>
      </c>
      <c r="E31" s="16">
        <v>42585.24832175926</v>
      </c>
      <c r="F31" s="16">
        <v>42585.249398148146</v>
      </c>
      <c r="G31" s="7">
        <v>1</v>
      </c>
      <c r="H31" s="16" t="s">
        <v>403</v>
      </c>
      <c r="I31" s="16">
        <v>42585.285740740743</v>
      </c>
      <c r="J31" s="7">
        <v>1</v>
      </c>
      <c r="K31" s="121" t="str">
        <f t="shared" si="15"/>
        <v>4043/4044</v>
      </c>
      <c r="L31" s="25" t="str">
        <f>VLOOKUP(A31,'Trips&amp;Operators'!$C$1:$E$10000,3,FALSE)</f>
        <v>STRICKLAND</v>
      </c>
      <c r="M31" s="6">
        <f t="shared" si="16"/>
        <v>3.6342592597065959E-2</v>
      </c>
      <c r="N31" s="7">
        <f t="shared" si="2"/>
        <v>52.333333339774981</v>
      </c>
      <c r="O31" s="7"/>
      <c r="P31" s="7"/>
      <c r="Q31" s="26"/>
      <c r="R31" s="26"/>
      <c r="S31" s="40">
        <f t="shared" si="17"/>
        <v>1</v>
      </c>
      <c r="T31" s="57" t="str">
        <f t="shared" si="18"/>
        <v>NorthBound</v>
      </c>
      <c r="U31" s="82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04:57:35-0600',mode:absolute,to:'2016-08-03 07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31" s="62" t="str">
        <f t="shared" si="20"/>
        <v>N</v>
      </c>
      <c r="X31" s="124">
        <f t="shared" si="21"/>
        <v>1</v>
      </c>
      <c r="Y31" s="77">
        <f t="shared" si="22"/>
        <v>8.8700000000000001E-2</v>
      </c>
      <c r="Z31" s="77">
        <f t="shared" si="23"/>
        <v>23.332699999999999</v>
      </c>
      <c r="AA31" s="77">
        <f t="shared" si="24"/>
        <v>23.244</v>
      </c>
      <c r="AB31" s="74" t="e">
        <f>VLOOKUP(A31,Enforcements!$C$7:$J$24,8,0)</f>
        <v>#N/A</v>
      </c>
      <c r="AC31" s="70" t="e">
        <f>VLOOKUP(A31,Enforcements!$C$7:$E$24,3,0)</f>
        <v>#N/A</v>
      </c>
      <c r="AD31" s="71" t="str">
        <f t="shared" si="25"/>
        <v>0119-03</v>
      </c>
      <c r="AE31" s="131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31" s="128" t="str">
        <f t="shared" si="27"/>
        <v>"C:\Program Files (x86)\AstroGrep\AstroGrep.exe" /spath="%USERPROFILE%\AppData\Local\Temp\OnboardLogs" /stypes="*4044*20160803*" /stext=" 12:.+((SYSTEM_STATE.+slice.+state.+changed )|(ment ac)|(system.+state.+changed )|(\|lc)|(penalty)|(\[timeout)|(PRM\|1\|D)|(kpr)|(kdp))" /e /r /s</v>
      </c>
      <c r="AG31" s="1" t="str">
        <f t="shared" si="28"/>
        <v>EC</v>
      </c>
      <c r="AH31" s="132" t="str">
        <f>refinertdcruntimes&amp;" --tripid "&amp;A31&amp;" --locoid "&amp;B31&amp;" --swversion "&amp;C31&amp;" --startMP "&amp;D31&amp;" --initTime "&amp;TEXT(E31,"yyyy-mm-ddTHH:MM:SS")&amp;" --startdatetime "&amp;TEXT(F31,"yyyy-mm-ddTHH:MM:SS")&amp;" --delay "&amp;G31&amp;" --endMP "&amp;H31&amp;" --enddatetime "&amp;TEXT(I31,"yyyy-mm-ddTHH:MM:SS")&amp;" --enforcementcount "&amp;J31&amp;" &gt;&gt; "&amp;TEXT(Variables!$A$2,"yyyy-mm-dd")&amp;"-refined-runtimes.txt"</f>
        <v>"%USERPROFILE%\Documents\GitHub\eaglep3\Utilities\RefineRTDCRunTimes.py" --tripid 119-03 --locoid 4044 --swversion DE.1.0.7.0 --startMP 204:887 --initTime 2016-08-03T05:57:35 --startdatetime 2016-08-03T05:59:08 --delay 1 --endMP 204:233327 --enddatetime 2016-08-03T06:51:28 --enforcementcount 1 &gt;&gt; 2016-08-03-refined-runtimes.txt</v>
      </c>
    </row>
    <row r="32" spans="1:34" s="1" customFormat="1" x14ac:dyDescent="0.25">
      <c r="A32" s="44" t="s">
        <v>462</v>
      </c>
      <c r="B32" s="7">
        <v>4043</v>
      </c>
      <c r="C32" s="25" t="s">
        <v>163</v>
      </c>
      <c r="D32" s="25" t="s">
        <v>333</v>
      </c>
      <c r="E32" s="16">
        <v>42585.285428240742</v>
      </c>
      <c r="F32" s="16">
        <v>42585.286736111113</v>
      </c>
      <c r="G32" s="7">
        <v>1</v>
      </c>
      <c r="H32" s="16" t="s">
        <v>318</v>
      </c>
      <c r="I32" s="16">
        <v>42585.318101851852</v>
      </c>
      <c r="J32" s="7">
        <v>0</v>
      </c>
      <c r="K32" s="121" t="str">
        <f t="shared" si="15"/>
        <v>4043/4044</v>
      </c>
      <c r="L32" s="25" t="str">
        <f>VLOOKUP(A32,'Trips&amp;Operators'!$C$1:$E$10000,3,FALSE)</f>
        <v>STRICKLAND</v>
      </c>
      <c r="M32" s="6">
        <f t="shared" si="16"/>
        <v>3.1365740738692693E-2</v>
      </c>
      <c r="N32" s="7">
        <f t="shared" si="2"/>
        <v>45.166666663717479</v>
      </c>
      <c r="O32" s="7"/>
      <c r="P32" s="7"/>
      <c r="Q32" s="26"/>
      <c r="R32" s="26"/>
      <c r="S32" s="40">
        <f t="shared" si="17"/>
        <v>1</v>
      </c>
      <c r="T32" s="57" t="str">
        <f t="shared" si="18"/>
        <v>Southbound</v>
      </c>
      <c r="U32" s="82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05:51:01-0600',mode:absolute,to:'2016-08-03 08:38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32" s="62" t="str">
        <f t="shared" si="20"/>
        <v>N</v>
      </c>
      <c r="X32" s="124">
        <f t="shared" si="21"/>
        <v>1</v>
      </c>
      <c r="Y32" s="77">
        <f t="shared" si="22"/>
        <v>23.3004</v>
      </c>
      <c r="Z32" s="77">
        <f t="shared" si="23"/>
        <v>1.7000000000000001E-2</v>
      </c>
      <c r="AA32" s="77">
        <f t="shared" si="24"/>
        <v>23.2834</v>
      </c>
      <c r="AB32" s="74" t="e">
        <f>VLOOKUP(A32,Enforcements!$C$7:$J$24,8,0)</f>
        <v>#N/A</v>
      </c>
      <c r="AC32" s="70" t="e">
        <f>VLOOKUP(A32,Enforcements!$C$7:$E$24,3,0)</f>
        <v>#N/A</v>
      </c>
      <c r="AD32" s="71" t="str">
        <f t="shared" si="25"/>
        <v>0120-03</v>
      </c>
      <c r="AE32" s="131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32" s="128" t="str">
        <f t="shared" si="27"/>
        <v>"C:\Program Files (x86)\AstroGrep\AstroGrep.exe" /spath="%USERPROFILE%\AppData\Local\Temp\OnboardLogs" /stypes="*4043*20160803*" /stext=" 13:.+((SYSTEM_STATE.+slice.+state.+changed )|(ment ac)|(system.+state.+changed )|(\|lc)|(penalty)|(\[timeout)|(PRM\|1\|D)|(kpr)|(kdp))" /e /r /s</v>
      </c>
      <c r="AG32" s="1" t="str">
        <f t="shared" si="28"/>
        <v>EC</v>
      </c>
      <c r="AH32" s="132" t="str">
        <f>refinertdcruntimes&amp;" --tripid "&amp;A32&amp;" --locoid "&amp;B32&amp;" --swversion "&amp;C32&amp;" --startMP "&amp;D32&amp;" --initTime "&amp;TEXT(E32,"yyyy-mm-ddTHH:MM:SS")&amp;" --startdatetime "&amp;TEXT(F32,"yyyy-mm-ddTHH:MM:SS")&amp;" --delay "&amp;G32&amp;" --endMP "&amp;H32&amp;" --enddatetime "&amp;TEXT(I32,"yyyy-mm-ddTHH:MM:SS")&amp;" --enforcementcount "&amp;J32&amp;" &gt;&gt; "&amp;TEXT(Variables!$A$2,"yyyy-mm-dd")&amp;"-refined-runtimes.txt"</f>
        <v>"%USERPROFILE%\Documents\GitHub\eaglep3\Utilities\RefineRTDCRunTimes.py" --tripid 120-03 --locoid 4043 --swversion DE.1.0.7.0 --startMP 204:233004 --initTime 2016-08-03T06:51:01 --startdatetime 2016-08-03T06:52:54 --delay 1 --endMP 204:170 --enddatetime 2016-08-03T07:38:04 --enforcementcount 0 &gt;&gt; 2016-08-03-refined-runtimes.txt</v>
      </c>
    </row>
    <row r="33" spans="1:34" s="1" customFormat="1" x14ac:dyDescent="0.25">
      <c r="A33" s="44" t="s">
        <v>489</v>
      </c>
      <c r="B33" s="7">
        <v>4042</v>
      </c>
      <c r="C33" s="25" t="s">
        <v>163</v>
      </c>
      <c r="D33" s="25" t="s">
        <v>345</v>
      </c>
      <c r="E33" s="16">
        <v>42585.256180555552</v>
      </c>
      <c r="F33" s="16">
        <v>42585.257256944446</v>
      </c>
      <c r="G33" s="7">
        <v>1</v>
      </c>
      <c r="H33" s="16" t="s">
        <v>386</v>
      </c>
      <c r="I33" s="16">
        <v>42585.285405092596</v>
      </c>
      <c r="J33" s="7">
        <v>0</v>
      </c>
      <c r="K33" s="121" t="str">
        <f t="shared" si="15"/>
        <v>4041/4042</v>
      </c>
      <c r="L33" s="25" t="str">
        <f>VLOOKUP(A33,'Trips&amp;Operators'!$C$1:$E$10000,3,FALSE)</f>
        <v>SPECTOR</v>
      </c>
      <c r="M33" s="6">
        <f t="shared" si="16"/>
        <v>2.8148148150648922E-2</v>
      </c>
      <c r="N33" s="7">
        <f t="shared" si="2"/>
        <v>40.533333336934447</v>
      </c>
      <c r="O33" s="7"/>
      <c r="P33" s="7"/>
      <c r="Q33" s="26"/>
      <c r="R33" s="26"/>
      <c r="S33" s="40">
        <f t="shared" si="17"/>
        <v>1</v>
      </c>
      <c r="T33" s="57" t="str">
        <f t="shared" si="18"/>
        <v>NorthBound</v>
      </c>
      <c r="U33" s="82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05:08:54-0600',mode:absolute,to:'2016-08-03 07:50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3" s="62" t="str">
        <f t="shared" si="20"/>
        <v>N</v>
      </c>
      <c r="X33" s="124">
        <f t="shared" si="21"/>
        <v>1</v>
      </c>
      <c r="Y33" s="77">
        <f t="shared" si="22"/>
        <v>4.4600000000000001E-2</v>
      </c>
      <c r="Z33" s="77">
        <f t="shared" si="23"/>
        <v>23.3324</v>
      </c>
      <c r="AA33" s="77">
        <f t="shared" si="24"/>
        <v>23.287800000000001</v>
      </c>
      <c r="AB33" s="74" t="e">
        <f>VLOOKUP(A33,Enforcements!$C$7:$J$24,8,0)</f>
        <v>#N/A</v>
      </c>
      <c r="AC33" s="70" t="e">
        <f>VLOOKUP(A33,Enforcements!$C$7:$E$24,3,0)</f>
        <v>#N/A</v>
      </c>
      <c r="AD33" s="71" t="str">
        <f t="shared" si="25"/>
        <v>0121-03</v>
      </c>
      <c r="AE33" s="131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33" s="128" t="str">
        <f t="shared" si="27"/>
        <v>"C:\Program Files (x86)\AstroGrep\AstroGrep.exe" /spath="%USERPROFILE%\AppData\Local\Temp\OnboardLogs" /stypes="*4042*20160803*" /stext=" 12:.+((SYSTEM_STATE.+slice.+state.+changed )|(ment ac)|(system.+state.+changed )|(\|lc)|(penalty)|(\[timeout)|(PRM\|1\|D)|(kpr)|(kdp))" /e /r /s</v>
      </c>
      <c r="AG33" s="1" t="str">
        <f t="shared" si="28"/>
        <v>EC</v>
      </c>
      <c r="AH33" s="132" t="str">
        <f>refinertdcruntimes&amp;" --tripid "&amp;A33&amp;" --locoid "&amp;B33&amp;" --swversion "&amp;C33&amp;" --startMP "&amp;D33&amp;" --initTime "&amp;TEXT(E33,"yyyy-mm-ddTHH:MM:SS")&amp;" --startdatetime "&amp;TEXT(F33,"yyyy-mm-ddTHH:MM:SS")&amp;" --delay "&amp;G33&amp;" --endMP "&amp;H33&amp;" --enddatetime "&amp;TEXT(I33,"yyyy-mm-ddTHH:MM:SS")&amp;" --enforcementcount "&amp;J33&amp;" &gt;&gt; "&amp;TEXT(Variables!$A$2,"yyyy-mm-dd")&amp;"-refined-runtimes.txt"</f>
        <v>"%USERPROFILE%\Documents\GitHub\eaglep3\Utilities\RefineRTDCRunTimes.py" --tripid 121-03 --locoid 4042 --swversion DE.1.0.7.0 --startMP 204:446 --initTime 2016-08-03T06:08:54 --startdatetime 2016-08-03T06:10:27 --delay 1 --endMP 204:233324 --enddatetime 2016-08-03T06:50:59 --enforcementcount 0 &gt;&gt; 2016-08-03-refined-runtimes.txt</v>
      </c>
    </row>
    <row r="34" spans="1:34" s="1" customFormat="1" x14ac:dyDescent="0.25">
      <c r="A34" s="44" t="s">
        <v>490</v>
      </c>
      <c r="B34" s="7">
        <v>4041</v>
      </c>
      <c r="C34" s="25" t="s">
        <v>163</v>
      </c>
      <c r="D34" s="25" t="s">
        <v>397</v>
      </c>
      <c r="E34" s="16">
        <v>42585.291192129633</v>
      </c>
      <c r="F34" s="16">
        <v>42585.292314814818</v>
      </c>
      <c r="G34" s="7">
        <v>1</v>
      </c>
      <c r="H34" s="16" t="s">
        <v>136</v>
      </c>
      <c r="I34" s="16">
        <v>42585.325694444444</v>
      </c>
      <c r="J34" s="7">
        <v>0</v>
      </c>
      <c r="K34" s="121" t="str">
        <f t="shared" si="15"/>
        <v>4041/4042</v>
      </c>
      <c r="L34" s="25" t="str">
        <f>VLOOKUP(A34,'Trips&amp;Operators'!$C$1:$E$10000,3,FALSE)</f>
        <v>SPECTOR</v>
      </c>
      <c r="M34" s="6">
        <f t="shared" si="16"/>
        <v>3.3379629625414964E-2</v>
      </c>
      <c r="N34" s="7">
        <f t="shared" si="2"/>
        <v>48.066666660597548</v>
      </c>
      <c r="O34" s="7"/>
      <c r="P34" s="7"/>
      <c r="Q34" s="26"/>
      <c r="R34" s="26"/>
      <c r="S34" s="40">
        <f t="shared" si="17"/>
        <v>1</v>
      </c>
      <c r="T34" s="57" t="str">
        <f t="shared" si="18"/>
        <v>Southbound</v>
      </c>
      <c r="U34" s="82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05:59:19-0600',mode:absolute,to:'2016-08-03 08:49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4" s="62" t="str">
        <f t="shared" si="20"/>
        <v>N</v>
      </c>
      <c r="X34" s="124">
        <f t="shared" si="21"/>
        <v>1</v>
      </c>
      <c r="Y34" s="77">
        <f t="shared" si="22"/>
        <v>23.300699999999999</v>
      </c>
      <c r="Z34" s="77">
        <f t="shared" si="23"/>
        <v>1.54E-2</v>
      </c>
      <c r="AA34" s="77">
        <f t="shared" si="24"/>
        <v>23.285299999999999</v>
      </c>
      <c r="AB34" s="74" t="e">
        <f>VLOOKUP(A34,Enforcements!$C$7:$J$24,8,0)</f>
        <v>#N/A</v>
      </c>
      <c r="AC34" s="70" t="e">
        <f>VLOOKUP(A34,Enforcements!$C$7:$E$24,3,0)</f>
        <v>#N/A</v>
      </c>
      <c r="AD34" s="71" t="str">
        <f t="shared" si="25"/>
        <v>0122-03</v>
      </c>
      <c r="AE34" s="131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34" s="128" t="str">
        <f t="shared" si="27"/>
        <v>"C:\Program Files (x86)\AstroGrep\AstroGrep.exe" /spath="%USERPROFILE%\AppData\Local\Temp\OnboardLogs" /stypes="*4041*20160803*" /stext=" 13:.+((SYSTEM_STATE.+slice.+state.+changed )|(ment ac)|(system.+state.+changed )|(\|lc)|(penalty)|(\[timeout)|(PRM\|1\|D)|(kpr)|(kdp))" /e /r /s</v>
      </c>
      <c r="AG34" s="1" t="str">
        <f t="shared" si="28"/>
        <v>EC</v>
      </c>
      <c r="AH34" s="132" t="str">
        <f>refinertdcruntimes&amp;" --tripid "&amp;A34&amp;" --locoid "&amp;B34&amp;" --swversion "&amp;C34&amp;" --startMP "&amp;D34&amp;" --initTime "&amp;TEXT(E34,"yyyy-mm-ddTHH:MM:SS")&amp;" --startdatetime "&amp;TEXT(F34,"yyyy-mm-ddTHH:MM:SS")&amp;" --delay "&amp;G34&amp;" --endMP "&amp;H34&amp;" --enddatetime "&amp;TEXT(I34,"yyyy-mm-ddTHH:MM:SS")&amp;" --enforcementcount "&amp;J34&amp;" &gt;&gt; "&amp;TEXT(Variables!$A$2,"yyyy-mm-dd")&amp;"-refined-runtimes.txt"</f>
        <v>"%USERPROFILE%\Documents\GitHub\eaglep3\Utilities\RefineRTDCRunTimes.py" --tripid 122-03 --locoid 4041 --swversion DE.1.0.7.0 --startMP 204:233007 --initTime 2016-08-03T06:59:19 --startdatetime 2016-08-03T07:00:56 --delay 1 --endMP 204:154 --enddatetime 2016-08-03T07:49:00 --enforcementcount 0 &gt;&gt; 2016-08-03-refined-runtimes.txt</v>
      </c>
    </row>
    <row r="35" spans="1:34" s="1" customFormat="1" x14ac:dyDescent="0.25">
      <c r="A35" s="44" t="s">
        <v>479</v>
      </c>
      <c r="B35" s="7">
        <v>4025</v>
      </c>
      <c r="C35" s="25" t="s">
        <v>163</v>
      </c>
      <c r="D35" s="25" t="s">
        <v>346</v>
      </c>
      <c r="E35" s="16">
        <v>42585.268391203703</v>
      </c>
      <c r="F35" s="16">
        <v>42585.269502314812</v>
      </c>
      <c r="G35" s="7">
        <v>1</v>
      </c>
      <c r="H35" s="16" t="s">
        <v>407</v>
      </c>
      <c r="I35" s="16">
        <v>42585.295740740738</v>
      </c>
      <c r="J35" s="7">
        <v>0</v>
      </c>
      <c r="K35" s="121" t="str">
        <f t="shared" si="15"/>
        <v>4025/4026</v>
      </c>
      <c r="L35" s="25" t="str">
        <f>VLOOKUP(A35,'Trips&amp;Operators'!$C$1:$E$10000,3,FALSE)</f>
        <v>HELVIE</v>
      </c>
      <c r="M35" s="6">
        <f t="shared" si="16"/>
        <v>2.6238425925839692E-2</v>
      </c>
      <c r="N35" s="7">
        <f t="shared" si="2"/>
        <v>37.783333333209157</v>
      </c>
      <c r="O35" s="7"/>
      <c r="P35" s="7"/>
      <c r="Q35" s="26"/>
      <c r="R35" s="26"/>
      <c r="S35" s="40">
        <f t="shared" si="17"/>
        <v>1</v>
      </c>
      <c r="T35" s="57" t="str">
        <f t="shared" si="18"/>
        <v>NorthBound</v>
      </c>
      <c r="U35" s="82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05:26:29-0600',mode:absolute,to:'2016-08-03 08:05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5" s="62" t="str">
        <f t="shared" si="20"/>
        <v>N</v>
      </c>
      <c r="X35" s="124">
        <f t="shared" si="21"/>
        <v>1</v>
      </c>
      <c r="Y35" s="77">
        <f t="shared" si="22"/>
        <v>4.5499999999999999E-2</v>
      </c>
      <c r="Z35" s="77">
        <f t="shared" si="23"/>
        <v>23.330400000000001</v>
      </c>
      <c r="AA35" s="77">
        <f t="shared" si="24"/>
        <v>23.2849</v>
      </c>
      <c r="AB35" s="74" t="e">
        <f>VLOOKUP(A35,Enforcements!$C$7:$J$24,8,0)</f>
        <v>#N/A</v>
      </c>
      <c r="AC35" s="70" t="e">
        <f>VLOOKUP(A35,Enforcements!$C$7:$E$24,3,0)</f>
        <v>#N/A</v>
      </c>
      <c r="AD35" s="71" t="str">
        <f t="shared" si="25"/>
        <v>0123-03</v>
      </c>
      <c r="AE35" s="131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35" s="128" t="str">
        <f t="shared" si="27"/>
        <v>"C:\Program Files (x86)\AstroGrep\AstroGrep.exe" /spath="%USERPROFILE%\AppData\Local\Temp\OnboardLogs" /stypes="*4025*20160803*" /stext=" 13:.+((SYSTEM_STATE.+slice.+state.+changed )|(ment ac)|(system.+state.+changed )|(\|lc)|(penalty)|(\[timeout)|(PRM\|1\|D)|(kpr)|(kdp))" /e /r /s</v>
      </c>
      <c r="AG35" s="1" t="str">
        <f t="shared" si="28"/>
        <v>EC</v>
      </c>
      <c r="AH35" s="132" t="str">
        <f>refinertdcruntimes&amp;" --tripid "&amp;A35&amp;" --locoid "&amp;B35&amp;" --swversion "&amp;C35&amp;" --startMP "&amp;D35&amp;" --initTime "&amp;TEXT(E35,"yyyy-mm-ddTHH:MM:SS")&amp;" --startdatetime "&amp;TEXT(F35,"yyyy-mm-ddTHH:MM:SS")&amp;" --delay "&amp;G35&amp;" --endMP "&amp;H35&amp;" --enddatetime "&amp;TEXT(I35,"yyyy-mm-ddTHH:MM:SS")&amp;" --enforcementcount "&amp;J35&amp;" &gt;&gt; "&amp;TEXT(Variables!$A$2,"yyyy-mm-dd")&amp;"-refined-runtimes.txt"</f>
        <v>"%USERPROFILE%\Documents\GitHub\eaglep3\Utilities\RefineRTDCRunTimes.py" --tripid 123-03 --locoid 4025 --swversion DE.1.0.7.0 --startMP 204:455 --initTime 2016-08-03T06:26:29 --startdatetime 2016-08-03T06:28:05 --delay 1 --endMP 204:233304 --enddatetime 2016-08-03T07:05:52 --enforcementcount 0 &gt;&gt; 2016-08-03-refined-runtimes.txt</v>
      </c>
    </row>
    <row r="36" spans="1:34" s="1" customFormat="1" x14ac:dyDescent="0.25">
      <c r="A36" s="44" t="s">
        <v>556</v>
      </c>
      <c r="B36" s="7">
        <v>4026</v>
      </c>
      <c r="C36" s="25" t="s">
        <v>163</v>
      </c>
      <c r="D36" s="25" t="s">
        <v>351</v>
      </c>
      <c r="E36" s="16">
        <v>42585.305844907409</v>
      </c>
      <c r="F36" s="16">
        <v>42585.306550925925</v>
      </c>
      <c r="G36" s="7">
        <v>1</v>
      </c>
      <c r="H36" s="16" t="s">
        <v>160</v>
      </c>
      <c r="I36" s="16">
        <v>42585.336574074077</v>
      </c>
      <c r="J36" s="7">
        <v>0</v>
      </c>
      <c r="K36" s="121" t="str">
        <f t="shared" si="15"/>
        <v>4025/4026</v>
      </c>
      <c r="L36" s="25" t="str">
        <f>VLOOKUP(A36,'Trips&amp;Operators'!$C$1:$E$10000,3,FALSE)</f>
        <v>HELVIE</v>
      </c>
      <c r="M36" s="6">
        <f t="shared" si="16"/>
        <v>3.0023148152395152E-2</v>
      </c>
      <c r="N36" s="7">
        <f t="shared" si="2"/>
        <v>43.233333339449018</v>
      </c>
      <c r="O36" s="7"/>
      <c r="P36" s="7"/>
      <c r="Q36" s="26"/>
      <c r="R36" s="26"/>
      <c r="S36" s="40">
        <f t="shared" si="17"/>
        <v>1</v>
      </c>
      <c r="T36" s="57" t="str">
        <f t="shared" si="18"/>
        <v>Southbound</v>
      </c>
      <c r="U36" s="82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06:20:25-0600',mode:absolute,to:'2016-08-03 09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6" s="62" t="str">
        <f t="shared" si="20"/>
        <v>N</v>
      </c>
      <c r="X36" s="124">
        <f t="shared" si="21"/>
        <v>1</v>
      </c>
      <c r="Y36" s="77">
        <f t="shared" si="22"/>
        <v>23.300599999999999</v>
      </c>
      <c r="Z36" s="77">
        <f t="shared" si="23"/>
        <v>1.49E-2</v>
      </c>
      <c r="AA36" s="77">
        <f t="shared" si="24"/>
        <v>23.285699999999999</v>
      </c>
      <c r="AB36" s="74" t="e">
        <f>VLOOKUP(A36,Enforcements!$C$7:$J$24,8,0)</f>
        <v>#N/A</v>
      </c>
      <c r="AC36" s="70" t="e">
        <f>VLOOKUP(A36,Enforcements!$C$7:$E$24,3,0)</f>
        <v>#N/A</v>
      </c>
      <c r="AD36" s="71" t="str">
        <f t="shared" si="25"/>
        <v>0124-03</v>
      </c>
      <c r="AE36" s="131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36" s="128" t="str">
        <f t="shared" si="27"/>
        <v>"C:\Program Files (x86)\AstroGrep\AstroGrep.exe" /spath="%USERPROFILE%\AppData\Local\Temp\OnboardLogs" /stypes="*4026*20160803*" /stext=" 14:.+((SYSTEM_STATE.+slice.+state.+changed )|(ment ac)|(system.+state.+changed )|(\|lc)|(penalty)|(\[timeout)|(PRM\|1\|D)|(kpr)|(kdp))" /e /r /s</v>
      </c>
      <c r="AG36" s="1" t="str">
        <f t="shared" si="28"/>
        <v>EC</v>
      </c>
      <c r="AH36" s="132" t="str">
        <f>refinertdcruntimes&amp;" --tripid "&amp;A36&amp;" --locoid "&amp;B36&amp;" --swversion "&amp;C36&amp;" --startMP "&amp;D36&amp;" --initTime "&amp;TEXT(E36,"yyyy-mm-ddTHH:MM:SS")&amp;" --startdatetime "&amp;TEXT(F36,"yyyy-mm-ddTHH:MM:SS")&amp;" --delay "&amp;G36&amp;" --endMP "&amp;H36&amp;" --enddatetime "&amp;TEXT(I36,"yyyy-mm-ddTHH:MM:SS")&amp;" --enforcementcount "&amp;J36&amp;" &gt;&gt; "&amp;TEXT(Variables!$A$2,"yyyy-mm-dd")&amp;"-refined-runtimes.txt"</f>
        <v>"%USERPROFILE%\Documents\GitHub\eaglep3\Utilities\RefineRTDCRunTimes.py" --tripid 124-03 --locoid 4026 --swversion DE.1.0.7.0 --startMP 204:233006 --initTime 2016-08-03T07:20:25 --startdatetime 2016-08-03T07:21:26 --delay 1 --endMP 204:149 --enddatetime 2016-08-03T08:04:40 --enforcementcount 0 &gt;&gt; 2016-08-03-refined-runtimes.txt</v>
      </c>
    </row>
    <row r="37" spans="1:34" s="1" customFormat="1" x14ac:dyDescent="0.25">
      <c r="A37" s="44" t="s">
        <v>460</v>
      </c>
      <c r="B37" s="7">
        <v>4038</v>
      </c>
      <c r="C37" s="25" t="s">
        <v>163</v>
      </c>
      <c r="D37" s="25" t="s">
        <v>361</v>
      </c>
      <c r="E37" s="16">
        <v>42585.277395833335</v>
      </c>
      <c r="F37" s="16">
        <v>42585.278437499997</v>
      </c>
      <c r="G37" s="7">
        <v>1</v>
      </c>
      <c r="H37" s="16" t="s">
        <v>335</v>
      </c>
      <c r="I37" s="16">
        <v>42585.305763888886</v>
      </c>
      <c r="J37" s="7">
        <v>0</v>
      </c>
      <c r="K37" s="121" t="str">
        <f t="shared" si="15"/>
        <v>4037/4038</v>
      </c>
      <c r="L37" s="25" t="str">
        <f>VLOOKUP(A37,'Trips&amp;Operators'!$C$1:$E$10000,3,FALSE)</f>
        <v>ROCHA</v>
      </c>
      <c r="M37" s="6">
        <f t="shared" si="16"/>
        <v>2.73263888884685E-2</v>
      </c>
      <c r="N37" s="7">
        <f t="shared" si="2"/>
        <v>39.34999999939464</v>
      </c>
      <c r="O37" s="7"/>
      <c r="P37" s="7"/>
      <c r="Q37" s="26"/>
      <c r="R37" s="26"/>
      <c r="S37" s="40">
        <f t="shared" si="17"/>
        <v>1</v>
      </c>
      <c r="T37" s="57" t="str">
        <f t="shared" si="18"/>
        <v>NorthBound</v>
      </c>
      <c r="U37" s="82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05:39:27-0600',mode:absolute,to:'2016-08-03 08:20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7" s="62" t="str">
        <f t="shared" si="20"/>
        <v>N</v>
      </c>
      <c r="X37" s="124">
        <f t="shared" si="21"/>
        <v>1</v>
      </c>
      <c r="Y37" s="77">
        <f t="shared" si="22"/>
        <v>4.4400000000000002E-2</v>
      </c>
      <c r="Z37" s="77">
        <f t="shared" si="23"/>
        <v>23.330100000000002</v>
      </c>
      <c r="AA37" s="77">
        <f t="shared" si="24"/>
        <v>23.285700000000002</v>
      </c>
      <c r="AB37" s="74" t="e">
        <f>VLOOKUP(A37,Enforcements!$C$7:$J$24,8,0)</f>
        <v>#N/A</v>
      </c>
      <c r="AC37" s="70" t="e">
        <f>VLOOKUP(A37,Enforcements!$C$7:$E$24,3,0)</f>
        <v>#N/A</v>
      </c>
      <c r="AD37" s="71" t="str">
        <f t="shared" si="25"/>
        <v>0125-03</v>
      </c>
      <c r="AE37" s="131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37" s="128" t="str">
        <f t="shared" si="27"/>
        <v>"C:\Program Files (x86)\AstroGrep\AstroGrep.exe" /spath="%USERPROFILE%\AppData\Local\Temp\OnboardLogs" /stypes="*4038*20160803*" /stext=" 13:.+((SYSTEM_STATE.+slice.+state.+changed )|(ment ac)|(system.+state.+changed )|(\|lc)|(penalty)|(\[timeout)|(PRM\|1\|D)|(kpr)|(kdp))" /e /r /s</v>
      </c>
      <c r="AG37" s="1" t="str">
        <f t="shared" si="28"/>
        <v>EC</v>
      </c>
      <c r="AH37" s="132" t="str">
        <f>refinertdcruntimes&amp;" --tripid "&amp;A37&amp;" --locoid "&amp;B37&amp;" --swversion "&amp;C37&amp;" --startMP "&amp;D37&amp;" --initTime "&amp;TEXT(E37,"yyyy-mm-ddTHH:MM:SS")&amp;" --startdatetime "&amp;TEXT(F37,"yyyy-mm-ddTHH:MM:SS")&amp;" --delay "&amp;G37&amp;" --endMP "&amp;H37&amp;" --enddatetime "&amp;TEXT(I37,"yyyy-mm-ddTHH:MM:SS")&amp;" --enforcementcount "&amp;J37&amp;" &gt;&gt; "&amp;TEXT(Variables!$A$2,"yyyy-mm-dd")&amp;"-refined-runtimes.txt"</f>
        <v>"%USERPROFILE%\Documents\GitHub\eaglep3\Utilities\RefineRTDCRunTimes.py" --tripid 125-03 --locoid 4038 --swversion DE.1.0.7.0 --startMP 204:444 --initTime 2016-08-03T06:39:27 --startdatetime 2016-08-03T06:40:57 --delay 1 --endMP 204:233301 --enddatetime 2016-08-03T07:20:18 --enforcementcount 0 &gt;&gt; 2016-08-03-refined-runtimes.txt</v>
      </c>
    </row>
    <row r="38" spans="1:34" s="1" customFormat="1" x14ac:dyDescent="0.25">
      <c r="A38" s="44" t="s">
        <v>497</v>
      </c>
      <c r="B38" s="7">
        <v>4037</v>
      </c>
      <c r="C38" s="25" t="s">
        <v>163</v>
      </c>
      <c r="D38" s="25" t="s">
        <v>347</v>
      </c>
      <c r="E38" s="16">
        <v>42585.319039351853</v>
      </c>
      <c r="F38" s="16">
        <v>42585.319988425923</v>
      </c>
      <c r="G38" s="7">
        <v>1</v>
      </c>
      <c r="H38" s="16" t="s">
        <v>110</v>
      </c>
      <c r="I38" s="16">
        <v>42585.350162037037</v>
      </c>
      <c r="J38" s="7">
        <v>1</v>
      </c>
      <c r="K38" s="121" t="str">
        <f t="shared" si="15"/>
        <v>4037/4038</v>
      </c>
      <c r="L38" s="25" t="str">
        <f>VLOOKUP(A38,'Trips&amp;Operators'!$C$1:$E$10000,3,FALSE)</f>
        <v>ROCHA</v>
      </c>
      <c r="M38" s="6">
        <f t="shared" si="16"/>
        <v>3.0173611114150845E-2</v>
      </c>
      <c r="N38" s="7">
        <f t="shared" si="2"/>
        <v>43.450000004377216</v>
      </c>
      <c r="O38" s="7"/>
      <c r="P38" s="7"/>
      <c r="Q38" s="26"/>
      <c r="R38" s="26"/>
      <c r="S38" s="40">
        <f t="shared" si="17"/>
        <v>1</v>
      </c>
      <c r="T38" s="57" t="str">
        <f t="shared" si="18"/>
        <v>Southbound</v>
      </c>
      <c r="U38" s="82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06:39:25-0600',mode:absolute,to:'2016-08-03 09:24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8" s="62" t="str">
        <f t="shared" si="20"/>
        <v>N</v>
      </c>
      <c r="X38" s="124">
        <f t="shared" si="21"/>
        <v>1</v>
      </c>
      <c r="Y38" s="77">
        <f t="shared" si="22"/>
        <v>23.2973</v>
      </c>
      <c r="Z38" s="77">
        <f t="shared" si="23"/>
        <v>1.5599999999999999E-2</v>
      </c>
      <c r="AA38" s="77">
        <f t="shared" si="24"/>
        <v>23.281700000000001</v>
      </c>
      <c r="AB38" s="74" t="e">
        <f>VLOOKUP(A38,Enforcements!$C$7:$J$24,8,0)</f>
        <v>#N/A</v>
      </c>
      <c r="AC38" s="70" t="e">
        <f>VLOOKUP(A38,Enforcements!$C$7:$E$24,3,0)</f>
        <v>#N/A</v>
      </c>
      <c r="AD38" s="71" t="str">
        <f t="shared" si="25"/>
        <v>0126-03</v>
      </c>
      <c r="AE38" s="131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38" s="128" t="str">
        <f t="shared" si="27"/>
        <v>"C:\Program Files (x86)\AstroGrep\AstroGrep.exe" /spath="%USERPROFILE%\AppData\Local\Temp\OnboardLogs" /stypes="*4037*20160803*" /stext=" 14:.+((SYSTEM_STATE.+slice.+state.+changed )|(ment ac)|(system.+state.+changed )|(\|lc)|(penalty)|(\[timeout)|(PRM\|1\|D)|(kpr)|(kdp))" /e /r /s</v>
      </c>
      <c r="AG38" s="1" t="str">
        <f t="shared" si="28"/>
        <v>EC</v>
      </c>
      <c r="AH38" s="132" t="str">
        <f>refinertdcruntimes&amp;" --tripid "&amp;A38&amp;" --locoid "&amp;B38&amp;" --swversion "&amp;C38&amp;" --startMP "&amp;D38&amp;" --initTime "&amp;TEXT(E38,"yyyy-mm-ddTHH:MM:SS")&amp;" --startdatetime "&amp;TEXT(F38,"yyyy-mm-ddTHH:MM:SS")&amp;" --delay "&amp;G38&amp;" --endMP "&amp;H38&amp;" --enddatetime "&amp;TEXT(I38,"yyyy-mm-ddTHH:MM:SS")&amp;" --enforcementcount "&amp;J38&amp;" &gt;&gt; "&amp;TEXT(Variables!$A$2,"yyyy-mm-dd")&amp;"-refined-runtimes.txt"</f>
        <v>"%USERPROFILE%\Documents\GitHub\eaglep3\Utilities\RefineRTDCRunTimes.py" --tripid 126-03 --locoid 4037 --swversion DE.1.0.7.0 --startMP 204:232973 --initTime 2016-08-03T07:39:25 --startdatetime 2016-08-03T07:40:47 --delay 1 --endMP 204:156 --enddatetime 2016-08-03T08:24:14 --enforcementcount 1 &gt;&gt; 2016-08-03-refined-runtimes.txt</v>
      </c>
    </row>
    <row r="39" spans="1:34" s="1" customFormat="1" x14ac:dyDescent="0.25">
      <c r="A39" s="44" t="s">
        <v>464</v>
      </c>
      <c r="B39" s="7">
        <v>4018</v>
      </c>
      <c r="C39" s="25" t="s">
        <v>163</v>
      </c>
      <c r="D39" s="25" t="s">
        <v>557</v>
      </c>
      <c r="E39" s="16">
        <v>42585.288090277776</v>
      </c>
      <c r="F39" s="16">
        <v>42585.289039351854</v>
      </c>
      <c r="G39" s="7">
        <v>1</v>
      </c>
      <c r="H39" s="16" t="s">
        <v>405</v>
      </c>
      <c r="I39" s="16">
        <v>42585.318032407406</v>
      </c>
      <c r="J39" s="7">
        <v>0</v>
      </c>
      <c r="K39" s="121" t="str">
        <f t="shared" si="15"/>
        <v>4017/4018</v>
      </c>
      <c r="L39" s="25" t="str">
        <f>VLOOKUP(A39,'Trips&amp;Operators'!$C$1:$E$10000,3,FALSE)</f>
        <v>MAELZER</v>
      </c>
      <c r="M39" s="6">
        <f t="shared" si="16"/>
        <v>2.8993055551836733E-2</v>
      </c>
      <c r="N39" s="7">
        <f t="shared" si="2"/>
        <v>41.749999994644895</v>
      </c>
      <c r="O39" s="7"/>
      <c r="P39" s="7"/>
      <c r="Q39" s="26"/>
      <c r="R39" s="26"/>
      <c r="S39" s="40">
        <f t="shared" si="17"/>
        <v>1</v>
      </c>
      <c r="T39" s="57" t="str">
        <f t="shared" si="18"/>
        <v>NorthBound</v>
      </c>
      <c r="U39" s="82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05:54:51-0600',mode:absolute,to:'2016-08-03 08:37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39" s="62" t="str">
        <f t="shared" si="20"/>
        <v>N</v>
      </c>
      <c r="X39" s="124">
        <f t="shared" si="21"/>
        <v>1</v>
      </c>
      <c r="Y39" s="77">
        <f t="shared" si="22"/>
        <v>4.2900000000000001E-2</v>
      </c>
      <c r="Z39" s="77">
        <f t="shared" si="23"/>
        <v>23.33</v>
      </c>
      <c r="AA39" s="77">
        <f t="shared" si="24"/>
        <v>23.287099999999999</v>
      </c>
      <c r="AB39" s="74" t="e">
        <f>VLOOKUP(A39,Enforcements!$C$7:$J$24,8,0)</f>
        <v>#N/A</v>
      </c>
      <c r="AC39" s="70" t="e">
        <f>VLOOKUP(A39,Enforcements!$C$7:$E$24,3,0)</f>
        <v>#N/A</v>
      </c>
      <c r="AD39" s="71" t="str">
        <f t="shared" si="25"/>
        <v>0127-03</v>
      </c>
      <c r="AE39" s="131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39" s="128" t="str">
        <f t="shared" si="27"/>
        <v>"C:\Program Files (x86)\AstroGrep\AstroGrep.exe" /spath="%USERPROFILE%\AppData\Local\Temp\OnboardLogs" /stypes="*4018*20160803*" /stext=" 13:.+((SYSTEM_STATE.+slice.+state.+changed )|(ment ac)|(system.+state.+changed )|(\|lc)|(penalty)|(\[timeout)|(PRM\|1\|D)|(kpr)|(kdp))" /e /r /s</v>
      </c>
      <c r="AG39" s="1" t="str">
        <f t="shared" si="28"/>
        <v>EC</v>
      </c>
      <c r="AH39" s="132" t="str">
        <f>refinertdcruntimes&amp;" --tripid "&amp;A39&amp;" --locoid "&amp;B39&amp;" --swversion "&amp;C39&amp;" --startMP "&amp;D39&amp;" --initTime "&amp;TEXT(E39,"yyyy-mm-ddTHH:MM:SS")&amp;" --startdatetime "&amp;TEXT(F39,"yyyy-mm-ddTHH:MM:SS")&amp;" --delay "&amp;G39&amp;" --endMP "&amp;H39&amp;" --enddatetime "&amp;TEXT(I39,"yyyy-mm-ddTHH:MM:SS")&amp;" --enforcementcount "&amp;J39&amp;" &gt;&gt; "&amp;TEXT(Variables!$A$2,"yyyy-mm-dd")&amp;"-refined-runtimes.txt"</f>
        <v>"%USERPROFILE%\Documents\GitHub\eaglep3\Utilities\RefineRTDCRunTimes.py" --tripid 127-03 --locoid 4018 --swversion DE.1.0.7.0 --startMP 204:429 --initTime 2016-08-03T06:54:51 --startdatetime 2016-08-03T06:56:13 --delay 1 --endMP 204:233300 --enddatetime 2016-08-03T07:37:58 --enforcementcount 0 &gt;&gt; 2016-08-03-refined-runtimes.txt</v>
      </c>
    </row>
    <row r="40" spans="1:34" s="1" customFormat="1" x14ac:dyDescent="0.25">
      <c r="A40" s="44" t="s">
        <v>558</v>
      </c>
      <c r="B40" s="7">
        <v>4017</v>
      </c>
      <c r="C40" s="25" t="s">
        <v>163</v>
      </c>
      <c r="D40" s="25" t="s">
        <v>394</v>
      </c>
      <c r="E40" s="16">
        <v>42585.322743055556</v>
      </c>
      <c r="F40" s="16">
        <v>42585.323472222219</v>
      </c>
      <c r="G40" s="7">
        <v>1</v>
      </c>
      <c r="H40" s="16" t="s">
        <v>188</v>
      </c>
      <c r="I40" s="16">
        <v>42585.357465277775</v>
      </c>
      <c r="J40" s="7">
        <v>0</v>
      </c>
      <c r="K40" s="121" t="str">
        <f t="shared" si="15"/>
        <v>4017/4018</v>
      </c>
      <c r="L40" s="25" t="str">
        <f>VLOOKUP(A40,'Trips&amp;Operators'!$C$1:$E$10000,3,FALSE)</f>
        <v>MAELZER</v>
      </c>
      <c r="M40" s="6">
        <f t="shared" si="16"/>
        <v>3.3993055556493346E-2</v>
      </c>
      <c r="N40" s="7">
        <f t="shared" si="2"/>
        <v>48.950000001350418</v>
      </c>
      <c r="O40" s="7"/>
      <c r="P40" s="7"/>
      <c r="Q40" s="26"/>
      <c r="R40" s="26"/>
      <c r="S40" s="40">
        <f t="shared" si="17"/>
        <v>1</v>
      </c>
      <c r="T40" s="57" t="str">
        <f t="shared" si="18"/>
        <v>Southbound</v>
      </c>
      <c r="U40" s="82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06:44:45-0600',mode:absolute,to:'2016-08-03 09:34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0" s="62" t="str">
        <f t="shared" si="20"/>
        <v>N</v>
      </c>
      <c r="X40" s="124">
        <f t="shared" si="21"/>
        <v>1</v>
      </c>
      <c r="Y40" s="77">
        <f t="shared" si="22"/>
        <v>23.299099999999999</v>
      </c>
      <c r="Z40" s="77">
        <f t="shared" si="23"/>
        <v>1.34E-2</v>
      </c>
      <c r="AA40" s="77">
        <f t="shared" si="24"/>
        <v>23.285699999999999</v>
      </c>
      <c r="AB40" s="74" t="e">
        <f>VLOOKUP(A40,Enforcements!$C$7:$J$24,8,0)</f>
        <v>#N/A</v>
      </c>
      <c r="AC40" s="70" t="e">
        <f>VLOOKUP(A40,Enforcements!$C$7:$E$24,3,0)</f>
        <v>#N/A</v>
      </c>
      <c r="AD40" s="71" t="str">
        <f t="shared" si="25"/>
        <v>0128-03</v>
      </c>
      <c r="AE40" s="131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40" s="128" t="str">
        <f t="shared" si="27"/>
        <v>"C:\Program Files (x86)\AstroGrep\AstroGrep.exe" /spath="%USERPROFILE%\AppData\Local\Temp\OnboardLogs" /stypes="*4017*20160803*" /stext=" 14:.+((SYSTEM_STATE.+slice.+state.+changed )|(ment ac)|(system.+state.+changed )|(\|lc)|(penalty)|(\[timeout)|(PRM\|1\|D)|(kpr)|(kdp))" /e /r /s</v>
      </c>
      <c r="AG40" s="1" t="str">
        <f t="shared" si="28"/>
        <v>EC</v>
      </c>
      <c r="AH40" s="132" t="str">
        <f>refinertdcruntimes&amp;" --tripid "&amp;A40&amp;" --locoid "&amp;B40&amp;" --swversion "&amp;C40&amp;" --startMP "&amp;D40&amp;" --initTime "&amp;TEXT(E40,"yyyy-mm-ddTHH:MM:SS")&amp;" --startdatetime "&amp;TEXT(F40,"yyyy-mm-ddTHH:MM:SS")&amp;" --delay "&amp;G40&amp;" --endMP "&amp;H40&amp;" --enddatetime "&amp;TEXT(I40,"yyyy-mm-ddTHH:MM:SS")&amp;" --enforcementcount "&amp;J40&amp;" &gt;&gt; "&amp;TEXT(Variables!$A$2,"yyyy-mm-dd")&amp;"-refined-runtimes.txt"</f>
        <v>"%USERPROFILE%\Documents\GitHub\eaglep3\Utilities\RefineRTDCRunTimes.py" --tripid 128-03 --locoid 4017 --swversion DE.1.0.7.0 --startMP 204:232991 --initTime 2016-08-03T07:44:45 --startdatetime 2016-08-03T07:45:48 --delay 1 --endMP 204:134 --enddatetime 2016-08-03T08:34:45 --enforcementcount 0 &gt;&gt; 2016-08-03-refined-runtimes.txt</v>
      </c>
    </row>
    <row r="41" spans="1:34" s="1" customFormat="1" x14ac:dyDescent="0.25">
      <c r="A41" s="44" t="s">
        <v>559</v>
      </c>
      <c r="B41" s="7">
        <v>4014</v>
      </c>
      <c r="C41" s="25" t="s">
        <v>163</v>
      </c>
      <c r="D41" s="25" t="s">
        <v>324</v>
      </c>
      <c r="E41" s="16">
        <v>42585.297962962963</v>
      </c>
      <c r="F41" s="16">
        <v>42585.298935185187</v>
      </c>
      <c r="G41" s="7">
        <v>1</v>
      </c>
      <c r="H41" s="16" t="s">
        <v>329</v>
      </c>
      <c r="I41" s="16">
        <v>42585.32744212963</v>
      </c>
      <c r="J41" s="7">
        <v>0</v>
      </c>
      <c r="K41" s="121" t="str">
        <f t="shared" si="15"/>
        <v>4013/4014</v>
      </c>
      <c r="L41" s="25" t="str">
        <f>VLOOKUP(A41,'Trips&amp;Operators'!$C$1:$E$10000,3,FALSE)</f>
        <v>BRANNON</v>
      </c>
      <c r="M41" s="6">
        <f t="shared" si="16"/>
        <v>2.8506944443506654E-2</v>
      </c>
      <c r="N41" s="7">
        <f t="shared" si="2"/>
        <v>41.049999998649582</v>
      </c>
      <c r="O41" s="7"/>
      <c r="P41" s="7"/>
      <c r="Q41" s="26"/>
      <c r="R41" s="26"/>
      <c r="S41" s="40">
        <f t="shared" si="17"/>
        <v>1</v>
      </c>
      <c r="T41" s="57" t="str">
        <f t="shared" si="18"/>
        <v>NorthBound</v>
      </c>
      <c r="U41" s="82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06:09:04-0600',mode:absolute,to:'2016-08-03 08:51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1" s="62" t="str">
        <f t="shared" si="20"/>
        <v>N</v>
      </c>
      <c r="X41" s="124">
        <f t="shared" si="21"/>
        <v>1</v>
      </c>
      <c r="Y41" s="77">
        <f t="shared" si="22"/>
        <v>4.3499999999999997E-2</v>
      </c>
      <c r="Z41" s="77">
        <f t="shared" si="23"/>
        <v>23.331099999999999</v>
      </c>
      <c r="AA41" s="77">
        <f t="shared" si="24"/>
        <v>23.287599999999998</v>
      </c>
      <c r="AB41" s="74" t="e">
        <f>VLOOKUP(A41,Enforcements!$C$7:$J$24,8,0)</f>
        <v>#N/A</v>
      </c>
      <c r="AC41" s="70" t="e">
        <f>VLOOKUP(A41,Enforcements!$C$7:$E$24,3,0)</f>
        <v>#N/A</v>
      </c>
      <c r="AD41" s="71" t="str">
        <f t="shared" si="25"/>
        <v>0129-03</v>
      </c>
      <c r="AE41" s="131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41" s="128" t="str">
        <f t="shared" si="27"/>
        <v>"C:\Program Files (x86)\AstroGrep\AstroGrep.exe" /spath="%USERPROFILE%\AppData\Local\Temp\OnboardLogs" /stypes="*4014*20160803*" /stext=" 13:.+((SYSTEM_STATE.+slice.+state.+changed )|(ment ac)|(system.+state.+changed )|(\|lc)|(penalty)|(\[timeout)|(PRM\|1\|D)|(kpr)|(kdp))" /e /r /s</v>
      </c>
      <c r="AG41" s="1" t="str">
        <f t="shared" si="28"/>
        <v>EC</v>
      </c>
      <c r="AH41" s="132" t="str">
        <f>refinertdcruntimes&amp;" --tripid "&amp;A41&amp;" --locoid "&amp;B41&amp;" --swversion "&amp;C41&amp;" --startMP "&amp;D41&amp;" --initTime "&amp;TEXT(E41,"yyyy-mm-ddTHH:MM:SS")&amp;" --startdatetime "&amp;TEXT(F41,"yyyy-mm-ddTHH:MM:SS")&amp;" --delay "&amp;G41&amp;" --endMP "&amp;H41&amp;" --enddatetime "&amp;TEXT(I41,"yyyy-mm-ddTHH:MM:SS")&amp;" --enforcementcount "&amp;J41&amp;" &gt;&gt; "&amp;TEXT(Variables!$A$2,"yyyy-mm-dd")&amp;"-refined-runtimes.txt"</f>
        <v>"%USERPROFILE%\Documents\GitHub\eaglep3\Utilities\RefineRTDCRunTimes.py" --tripid 129-03 --locoid 4014 --swversion DE.1.0.7.0 --startMP 204:435 --initTime 2016-08-03T07:09:04 --startdatetime 2016-08-03T07:10:28 --delay 1 --endMP 204:233311 --enddatetime 2016-08-03T07:51:31 --enforcementcount 0 &gt;&gt; 2016-08-03-refined-runtimes.txt</v>
      </c>
    </row>
    <row r="42" spans="1:34" s="1" customFormat="1" x14ac:dyDescent="0.25">
      <c r="A42" s="44" t="s">
        <v>498</v>
      </c>
      <c r="B42" s="7">
        <v>4013</v>
      </c>
      <c r="C42" s="25" t="s">
        <v>163</v>
      </c>
      <c r="D42" s="25" t="s">
        <v>392</v>
      </c>
      <c r="E42" s="16">
        <v>42585.333379629628</v>
      </c>
      <c r="F42" s="16">
        <v>42585.334699074076</v>
      </c>
      <c r="G42" s="7">
        <v>1</v>
      </c>
      <c r="H42" s="16" t="s">
        <v>560</v>
      </c>
      <c r="I42" s="16">
        <v>42585.368935185186</v>
      </c>
      <c r="J42" s="7">
        <v>1</v>
      </c>
      <c r="K42" s="121" t="str">
        <f t="shared" si="15"/>
        <v>4013/4014</v>
      </c>
      <c r="L42" s="25" t="str">
        <f>VLOOKUP(A42,'Trips&amp;Operators'!$C$1:$E$10000,3,FALSE)</f>
        <v>BRANNON</v>
      </c>
      <c r="M42" s="6">
        <f t="shared" si="16"/>
        <v>3.4236111110658385E-2</v>
      </c>
      <c r="N42" s="7">
        <f t="shared" si="2"/>
        <v>49.299999999348074</v>
      </c>
      <c r="O42" s="7"/>
      <c r="P42" s="7"/>
      <c r="Q42" s="26"/>
      <c r="R42" s="26"/>
      <c r="S42" s="40">
        <f t="shared" si="17"/>
        <v>1</v>
      </c>
      <c r="T42" s="57" t="str">
        <f t="shared" si="18"/>
        <v>Southbound</v>
      </c>
      <c r="U42" s="82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07:00:04-0600',mode:absolute,to:'2016-08-03 09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42" s="62" t="str">
        <f t="shared" si="20"/>
        <v>N</v>
      </c>
      <c r="X42" s="124">
        <f t="shared" si="21"/>
        <v>1</v>
      </c>
      <c r="Y42" s="77">
        <f t="shared" si="22"/>
        <v>23.297799999999999</v>
      </c>
      <c r="Z42" s="77">
        <f t="shared" si="23"/>
        <v>2.07E-2</v>
      </c>
      <c r="AA42" s="77">
        <f t="shared" si="24"/>
        <v>23.277099999999997</v>
      </c>
      <c r="AB42" s="74" t="e">
        <f>VLOOKUP(A42,Enforcements!$C$7:$J$24,8,0)</f>
        <v>#N/A</v>
      </c>
      <c r="AC42" s="70" t="e">
        <f>VLOOKUP(A42,Enforcements!$C$7:$E$24,3,0)</f>
        <v>#N/A</v>
      </c>
      <c r="AD42" s="71" t="str">
        <f t="shared" si="25"/>
        <v>0130-03</v>
      </c>
      <c r="AE42" s="131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42" s="128" t="str">
        <f t="shared" si="27"/>
        <v>"C:\Program Files (x86)\AstroGrep\AstroGrep.exe" /spath="%USERPROFILE%\AppData\Local\Temp\OnboardLogs" /stypes="*4013*20160803*" /stext=" 14:.+((SYSTEM_STATE.+slice.+state.+changed )|(ment ac)|(system.+state.+changed )|(\|lc)|(penalty)|(\[timeout)|(PRM\|1\|D)|(kpr)|(kdp))" /e /r /s</v>
      </c>
      <c r="AG42" s="1" t="str">
        <f t="shared" si="28"/>
        <v>EC</v>
      </c>
      <c r="AH42" s="132" t="str">
        <f>refinertdcruntimes&amp;" --tripid "&amp;A42&amp;" --locoid "&amp;B42&amp;" --swversion "&amp;C42&amp;" --startMP "&amp;D42&amp;" --initTime "&amp;TEXT(E42,"yyyy-mm-ddTHH:MM:SS")&amp;" --startdatetime "&amp;TEXT(F42,"yyyy-mm-ddTHH:MM:SS")&amp;" --delay "&amp;G42&amp;" --endMP "&amp;H42&amp;" --enddatetime "&amp;TEXT(I42,"yyyy-mm-ddTHH:MM:SS")&amp;" --enforcementcount "&amp;J42&amp;" &gt;&gt; "&amp;TEXT(Variables!$A$2,"yyyy-mm-dd")&amp;"-refined-runtimes.txt"</f>
        <v>"%USERPROFILE%\Documents\GitHub\eaglep3\Utilities\RefineRTDCRunTimes.py" --tripid 130-03 --locoid 4013 --swversion DE.1.0.7.0 --startMP 204:232978 --initTime 2016-08-03T08:00:04 --startdatetime 2016-08-03T08:01:58 --delay 1 --endMP 204:207 --enddatetime 2016-08-03T08:51:16 --enforcementcount 1 &gt;&gt; 2016-08-03-refined-runtimes.txt</v>
      </c>
    </row>
    <row r="43" spans="1:34" s="1" customFormat="1" x14ac:dyDescent="0.25">
      <c r="A43" s="44" t="s">
        <v>561</v>
      </c>
      <c r="B43" s="7">
        <v>4011</v>
      </c>
      <c r="C43" s="25" t="s">
        <v>163</v>
      </c>
      <c r="D43" s="25" t="s">
        <v>562</v>
      </c>
      <c r="E43" s="16">
        <v>42585.307743055557</v>
      </c>
      <c r="F43" s="16">
        <v>42585.308831018519</v>
      </c>
      <c r="G43" s="7">
        <v>1</v>
      </c>
      <c r="H43" s="16" t="s">
        <v>356</v>
      </c>
      <c r="I43" s="16">
        <v>42585.337916666664</v>
      </c>
      <c r="J43" s="7">
        <v>0</v>
      </c>
      <c r="K43" s="121" t="str">
        <f t="shared" si="15"/>
        <v>4011/4012</v>
      </c>
      <c r="L43" s="25" t="str">
        <f>VLOOKUP(A43,'Trips&amp;Operators'!$C$1:$E$10000,3,FALSE)</f>
        <v>ACKERMAN</v>
      </c>
      <c r="M43" s="6">
        <f t="shared" si="16"/>
        <v>2.9085648144246079E-2</v>
      </c>
      <c r="N43" s="7">
        <f t="shared" si="2"/>
        <v>41.883333327714354</v>
      </c>
      <c r="O43" s="7"/>
      <c r="P43" s="7"/>
      <c r="Q43" s="26"/>
      <c r="R43" s="26"/>
      <c r="S43" s="40">
        <f t="shared" si="17"/>
        <v>1</v>
      </c>
      <c r="T43" s="57" t="str">
        <f t="shared" si="18"/>
        <v>NorthBound</v>
      </c>
      <c r="U43" s="82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06:23:09-0600',mode:absolute,to:'2016-08-03 09:06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3" s="62" t="str">
        <f t="shared" si="20"/>
        <v>N</v>
      </c>
      <c r="X43" s="124">
        <f t="shared" si="21"/>
        <v>1</v>
      </c>
      <c r="Y43" s="77">
        <f t="shared" si="22"/>
        <v>4.3299999999999998E-2</v>
      </c>
      <c r="Z43" s="77">
        <f t="shared" si="23"/>
        <v>23.327999999999999</v>
      </c>
      <c r="AA43" s="77">
        <f t="shared" si="24"/>
        <v>23.284700000000001</v>
      </c>
      <c r="AB43" s="74" t="e">
        <f>VLOOKUP(A43,Enforcements!$C$7:$J$24,8,0)</f>
        <v>#N/A</v>
      </c>
      <c r="AC43" s="70" t="e">
        <f>VLOOKUP(A43,Enforcements!$C$7:$E$24,3,0)</f>
        <v>#N/A</v>
      </c>
      <c r="AD43" s="71" t="str">
        <f t="shared" si="25"/>
        <v>0131-03</v>
      </c>
      <c r="AE43" s="131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43" s="128" t="str">
        <f t="shared" si="27"/>
        <v>"C:\Program Files (x86)\AstroGrep\AstroGrep.exe" /spath="%USERPROFILE%\AppData\Local\Temp\OnboardLogs" /stypes="*4011*20160803*" /stext=" 14:.+((SYSTEM_STATE.+slice.+state.+changed )|(ment ac)|(system.+state.+changed )|(\|lc)|(penalty)|(\[timeout)|(PRM\|1\|D)|(kpr)|(kdp))" /e /r /s</v>
      </c>
      <c r="AG43" s="1" t="str">
        <f t="shared" si="28"/>
        <v>EC</v>
      </c>
      <c r="AH43" s="132" t="str">
        <f>refinertdcruntimes&amp;" --tripid "&amp;A43&amp;" --locoid "&amp;B43&amp;" --swversion "&amp;C43&amp;" --startMP "&amp;D43&amp;" --initTime "&amp;TEXT(E43,"yyyy-mm-ddTHH:MM:SS")&amp;" --startdatetime "&amp;TEXT(F43,"yyyy-mm-ddTHH:MM:SS")&amp;" --delay "&amp;G43&amp;" --endMP "&amp;H43&amp;" --enddatetime "&amp;TEXT(I43,"yyyy-mm-ddTHH:MM:SS")&amp;" --enforcementcount "&amp;J43&amp;" &gt;&gt; "&amp;TEXT(Variables!$A$2,"yyyy-mm-dd")&amp;"-refined-runtimes.txt"</f>
        <v>"%USERPROFILE%\Documents\GitHub\eaglep3\Utilities\RefineRTDCRunTimes.py" --tripid 131-03 --locoid 4011 --swversion DE.1.0.7.0 --startMP 204:433 --initTime 2016-08-03T07:23:09 --startdatetime 2016-08-03T07:24:43 --delay 1 --endMP 204:233280 --enddatetime 2016-08-03T08:06:36 --enforcementcount 0 &gt;&gt; 2016-08-03-refined-runtimes.txt</v>
      </c>
    </row>
    <row r="44" spans="1:34" s="1" customFormat="1" x14ac:dyDescent="0.25">
      <c r="A44" s="44" t="s">
        <v>563</v>
      </c>
      <c r="B44" s="7">
        <v>4012</v>
      </c>
      <c r="C44" s="25" t="s">
        <v>163</v>
      </c>
      <c r="D44" s="25" t="s">
        <v>353</v>
      </c>
      <c r="E44" s="16">
        <v>42585.344085648147</v>
      </c>
      <c r="F44" s="16">
        <v>42585.345243055555</v>
      </c>
      <c r="G44" s="7">
        <v>1</v>
      </c>
      <c r="H44" s="16" t="s">
        <v>564</v>
      </c>
      <c r="I44" s="16">
        <v>42585.378923611112</v>
      </c>
      <c r="J44" s="7">
        <v>0</v>
      </c>
      <c r="K44" s="121" t="str">
        <f t="shared" si="15"/>
        <v>4011/4012</v>
      </c>
      <c r="L44" s="25" t="str">
        <f>VLOOKUP(A44,'Trips&amp;Operators'!$C$1:$E$10000,3,FALSE)</f>
        <v>ACKERMAN</v>
      </c>
      <c r="M44" s="6">
        <f t="shared" si="16"/>
        <v>3.3680555556202307E-2</v>
      </c>
      <c r="N44" s="7">
        <f t="shared" si="2"/>
        <v>48.500000000931323</v>
      </c>
      <c r="O44" s="7"/>
      <c r="P44" s="7"/>
      <c r="Q44" s="26"/>
      <c r="R44" s="26"/>
      <c r="S44" s="40">
        <f t="shared" si="17"/>
        <v>1</v>
      </c>
      <c r="T44" s="57" t="str">
        <f t="shared" si="18"/>
        <v>Southbound</v>
      </c>
      <c r="U44" s="82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07:15:29-0600',mode:absolute,to:'2016-08-03 10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4" s="62" t="str">
        <f t="shared" si="20"/>
        <v>N</v>
      </c>
      <c r="X44" s="124">
        <f t="shared" si="21"/>
        <v>1</v>
      </c>
      <c r="Y44" s="77">
        <f t="shared" si="22"/>
        <v>23.299600000000002</v>
      </c>
      <c r="Z44" s="77">
        <f t="shared" si="23"/>
        <v>1.2999999999999999E-2</v>
      </c>
      <c r="AA44" s="77">
        <f t="shared" si="24"/>
        <v>23.2866</v>
      </c>
      <c r="AB44" s="74" t="e">
        <f>VLOOKUP(A44,Enforcements!$C$7:$J$24,8,0)</f>
        <v>#N/A</v>
      </c>
      <c r="AC44" s="70" t="e">
        <f>VLOOKUP(A44,Enforcements!$C$7:$E$24,3,0)</f>
        <v>#N/A</v>
      </c>
      <c r="AD44" s="71" t="str">
        <f t="shared" si="25"/>
        <v>0132-03</v>
      </c>
      <c r="AE44" s="131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44" s="128" t="str">
        <f t="shared" si="27"/>
        <v>"C:\Program Files (x86)\AstroGrep\AstroGrep.exe" /spath="%USERPROFILE%\AppData\Local\Temp\OnboardLogs" /stypes="*4012*20160803*" /stext=" 15:.+((SYSTEM_STATE.+slice.+state.+changed )|(ment ac)|(system.+state.+changed )|(\|lc)|(penalty)|(\[timeout)|(PRM\|1\|D)|(kpr)|(kdp))" /e /r /s</v>
      </c>
      <c r="AG44" s="1" t="str">
        <f t="shared" si="28"/>
        <v>EC</v>
      </c>
      <c r="AH44" s="132" t="str">
        <f>refinertdcruntimes&amp;" --tripid "&amp;A44&amp;" --locoid "&amp;B44&amp;" --swversion "&amp;C44&amp;" --startMP "&amp;D44&amp;" --initTime "&amp;TEXT(E44,"yyyy-mm-ddTHH:MM:SS")&amp;" --startdatetime "&amp;TEXT(F44,"yyyy-mm-ddTHH:MM:SS")&amp;" --delay "&amp;G44&amp;" --endMP "&amp;H44&amp;" --enddatetime "&amp;TEXT(I44,"yyyy-mm-ddTHH:MM:SS")&amp;" --enforcementcount "&amp;J44&amp;" &gt;&gt; "&amp;TEXT(Variables!$A$2,"yyyy-mm-dd")&amp;"-refined-runtimes.txt"</f>
        <v>"%USERPROFILE%\Documents\GitHub\eaglep3\Utilities\RefineRTDCRunTimes.py" --tripid 132-03 --locoid 4012 --swversion DE.1.0.7.0 --startMP 204:232996 --initTime 2016-08-03T08:15:29 --startdatetime 2016-08-03T08:17:09 --delay 1 --endMP 204:130 --enddatetime 2016-08-03T09:05:39 --enforcementcount 0 &gt;&gt; 2016-08-03-refined-runtimes.txt</v>
      </c>
    </row>
    <row r="45" spans="1:34" s="1" customFormat="1" x14ac:dyDescent="0.25">
      <c r="A45" s="44" t="s">
        <v>565</v>
      </c>
      <c r="B45" s="7">
        <v>4044</v>
      </c>
      <c r="C45" s="25" t="s">
        <v>163</v>
      </c>
      <c r="D45" s="25" t="s">
        <v>159</v>
      </c>
      <c r="E45" s="16">
        <v>42585.319363425922</v>
      </c>
      <c r="F45" s="16">
        <v>42585.323275462964</v>
      </c>
      <c r="G45" s="7">
        <v>5</v>
      </c>
      <c r="H45" s="16" t="s">
        <v>384</v>
      </c>
      <c r="I45" s="16">
        <v>42585.351087962961</v>
      </c>
      <c r="J45" s="7">
        <v>0</v>
      </c>
      <c r="K45" s="121" t="str">
        <f t="shared" si="15"/>
        <v>4043/4044</v>
      </c>
      <c r="L45" s="25" t="str">
        <f>VLOOKUP(A45,'Trips&amp;Operators'!$C$1:$E$10000,3,FALSE)</f>
        <v>STRICKLAND</v>
      </c>
      <c r="M45" s="6">
        <f t="shared" si="16"/>
        <v>2.7812499996798579E-2</v>
      </c>
      <c r="N45" s="7">
        <f t="shared" si="2"/>
        <v>40.049999995389953</v>
      </c>
      <c r="O45" s="7"/>
      <c r="P45" s="7"/>
      <c r="Q45" s="26"/>
      <c r="R45" s="26"/>
      <c r="S45" s="40">
        <f t="shared" si="17"/>
        <v>1</v>
      </c>
      <c r="T45" s="57" t="str">
        <f t="shared" si="18"/>
        <v>NorthBound</v>
      </c>
      <c r="U45" s="82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06:39:53-0600',mode:absolute,to:'2016-08-03 09:25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45" s="62" t="str">
        <f t="shared" si="20"/>
        <v>N</v>
      </c>
      <c r="X45" s="124">
        <f t="shared" si="21"/>
        <v>1</v>
      </c>
      <c r="Y45" s="77">
        <f t="shared" si="22"/>
        <v>4.53E-2</v>
      </c>
      <c r="Z45" s="77">
        <f t="shared" si="23"/>
        <v>23.328900000000001</v>
      </c>
      <c r="AA45" s="77">
        <f t="shared" si="24"/>
        <v>23.2836</v>
      </c>
      <c r="AB45" s="74" t="e">
        <f>VLOOKUP(A45,Enforcements!$C$7:$J$24,8,0)</f>
        <v>#N/A</v>
      </c>
      <c r="AC45" s="70" t="e">
        <f>VLOOKUP(A45,Enforcements!$C$7:$E$24,3,0)</f>
        <v>#N/A</v>
      </c>
      <c r="AD45" s="71" t="str">
        <f t="shared" si="25"/>
        <v>0133-03</v>
      </c>
      <c r="AE45" s="131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45" s="128" t="str">
        <f t="shared" si="27"/>
        <v>"C:\Program Files (x86)\AstroGrep\AstroGrep.exe" /spath="%USERPROFILE%\AppData\Local\Temp\OnboardLogs" /stypes="*4044*20160803*" /stext=" 14:.+((SYSTEM_STATE.+slice.+state.+changed )|(ment ac)|(system.+state.+changed )|(\|lc)|(penalty)|(\[timeout)|(PRM\|1\|D)|(kpr)|(kdp))" /e /r /s</v>
      </c>
      <c r="AG45" s="1" t="str">
        <f t="shared" si="28"/>
        <v>EC</v>
      </c>
      <c r="AH45" s="132" t="str">
        <f>refinertdcruntimes&amp;" --tripid "&amp;A45&amp;" --locoid "&amp;B45&amp;" --swversion "&amp;C45&amp;" --startMP "&amp;D45&amp;" --initTime "&amp;TEXT(E45,"yyyy-mm-ddTHH:MM:SS")&amp;" --startdatetime "&amp;TEXT(F45,"yyyy-mm-ddTHH:MM:SS")&amp;" --delay "&amp;G45&amp;" --endMP "&amp;H45&amp;" --enddatetime "&amp;TEXT(I45,"yyyy-mm-ddTHH:MM:SS")&amp;" --enforcementcount "&amp;J45&amp;" &gt;&gt; "&amp;TEXT(Variables!$A$2,"yyyy-mm-dd")&amp;"-refined-runtimes.txt"</f>
        <v>"%USERPROFILE%\Documents\GitHub\eaglep3\Utilities\RefineRTDCRunTimes.py" --tripid 133-03 --locoid 4044 --swversion DE.1.0.7.0 --startMP 204:453 --initTime 2016-08-03T07:39:53 --startdatetime 2016-08-03T07:45:31 --delay 5 --endMP 204:233289 --enddatetime 2016-08-03T08:25:34 --enforcementcount 0 &gt;&gt; 2016-08-03-refined-runtimes.txt</v>
      </c>
    </row>
    <row r="46" spans="1:34" s="1" customFormat="1" x14ac:dyDescent="0.25">
      <c r="A46" s="44" t="s">
        <v>499</v>
      </c>
      <c r="B46" s="7">
        <v>4043</v>
      </c>
      <c r="C46" s="25" t="s">
        <v>163</v>
      </c>
      <c r="D46" s="25" t="s">
        <v>319</v>
      </c>
      <c r="E46" s="16">
        <v>42585.359872685185</v>
      </c>
      <c r="F46" s="16">
        <v>42585.36078703704</v>
      </c>
      <c r="G46" s="7">
        <v>1</v>
      </c>
      <c r="H46" s="16" t="s">
        <v>398</v>
      </c>
      <c r="I46" s="16">
        <v>42585.394074074073</v>
      </c>
      <c r="J46" s="7">
        <v>1</v>
      </c>
      <c r="K46" s="121" t="str">
        <f t="shared" si="15"/>
        <v>4043/4044</v>
      </c>
      <c r="L46" s="25" t="str">
        <f>VLOOKUP(A46,'Trips&amp;Operators'!$C$1:$E$10000,3,FALSE)</f>
        <v>STRICKLAND</v>
      </c>
      <c r="M46" s="6">
        <f t="shared" si="16"/>
        <v>3.3287037033005618E-2</v>
      </c>
      <c r="N46" s="7">
        <f t="shared" si="2"/>
        <v>47.933333327528089</v>
      </c>
      <c r="O46" s="7"/>
      <c r="P46" s="7"/>
      <c r="Q46" s="26"/>
      <c r="R46" s="26"/>
      <c r="S46" s="40">
        <f t="shared" si="17"/>
        <v>1</v>
      </c>
      <c r="T46" s="57" t="str">
        <f t="shared" si="18"/>
        <v>Southbound</v>
      </c>
      <c r="U46" s="82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07:38:13-0600',mode:absolute,to:'2016-08-03 10:27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6" s="62" t="str">
        <f t="shared" si="20"/>
        <v>N</v>
      </c>
      <c r="X46" s="124">
        <f t="shared" si="21"/>
        <v>1</v>
      </c>
      <c r="Y46" s="77">
        <f t="shared" si="22"/>
        <v>23.298200000000001</v>
      </c>
      <c r="Z46" s="77">
        <f t="shared" si="23"/>
        <v>1.8700000000000001E-2</v>
      </c>
      <c r="AA46" s="77">
        <f t="shared" si="24"/>
        <v>23.279500000000002</v>
      </c>
      <c r="AB46" s="74" t="e">
        <f>VLOOKUP(A46,Enforcements!$C$7:$J$24,8,0)</f>
        <v>#N/A</v>
      </c>
      <c r="AC46" s="70" t="e">
        <f>VLOOKUP(A46,Enforcements!$C$7:$E$24,3,0)</f>
        <v>#N/A</v>
      </c>
      <c r="AD46" s="71" t="str">
        <f t="shared" si="25"/>
        <v>0134-03</v>
      </c>
      <c r="AE46" s="131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46" s="128" t="str">
        <f t="shared" si="27"/>
        <v>"C:\Program Files (x86)\AstroGrep\AstroGrep.exe" /spath="%USERPROFILE%\AppData\Local\Temp\OnboardLogs" /stypes="*4043*20160803*" /stext=" 15:.+((SYSTEM_STATE.+slice.+state.+changed )|(ment ac)|(system.+state.+changed )|(\|lc)|(penalty)|(\[timeout)|(PRM\|1\|D)|(kpr)|(kdp))" /e /r /s</v>
      </c>
      <c r="AG46" s="1" t="str">
        <f t="shared" si="28"/>
        <v>EC</v>
      </c>
      <c r="AH46" s="132" t="str">
        <f>refinertdcruntimes&amp;" --tripid "&amp;A46&amp;" --locoid "&amp;B46&amp;" --swversion "&amp;C46&amp;" --startMP "&amp;D46&amp;" --initTime "&amp;TEXT(E46,"yyyy-mm-ddTHH:MM:SS")&amp;" --startdatetime "&amp;TEXT(F46,"yyyy-mm-ddTHH:MM:SS")&amp;" --delay "&amp;G46&amp;" --endMP "&amp;H46&amp;" --enddatetime "&amp;TEXT(I46,"yyyy-mm-ddTHH:MM:SS")&amp;" --enforcementcount "&amp;J46&amp;" &gt;&gt; "&amp;TEXT(Variables!$A$2,"yyyy-mm-dd")&amp;"-refined-runtimes.txt"</f>
        <v>"%USERPROFILE%\Documents\GitHub\eaglep3\Utilities\RefineRTDCRunTimes.py" --tripid 134-03 --locoid 4043 --swversion DE.1.0.7.0 --startMP 204:232982 --initTime 2016-08-03T08:38:13 --startdatetime 2016-08-03T08:39:32 --delay 1 --endMP 204:187 --enddatetime 2016-08-03T09:27:28 --enforcementcount 1 &gt;&gt; 2016-08-03-refined-runtimes.txt</v>
      </c>
    </row>
    <row r="47" spans="1:34" s="1" customFormat="1" x14ac:dyDescent="0.25">
      <c r="A47" s="44" t="s">
        <v>566</v>
      </c>
      <c r="B47" s="7">
        <v>4042</v>
      </c>
      <c r="C47" s="25" t="s">
        <v>163</v>
      </c>
      <c r="D47" s="25" t="s">
        <v>567</v>
      </c>
      <c r="E47" s="16">
        <v>42585.328611111108</v>
      </c>
      <c r="F47" s="16">
        <v>42585.329826388886</v>
      </c>
      <c r="G47" s="7">
        <v>1</v>
      </c>
      <c r="H47" s="16" t="s">
        <v>405</v>
      </c>
      <c r="I47" s="16">
        <v>42585.359120370369</v>
      </c>
      <c r="J47" s="7">
        <v>0</v>
      </c>
      <c r="K47" s="121" t="str">
        <f t="shared" si="15"/>
        <v>4041/4042</v>
      </c>
      <c r="L47" s="25" t="str">
        <f>VLOOKUP(A47,'Trips&amp;Operators'!$C$1:$E$10000,3,FALSE)</f>
        <v>SPECTOR</v>
      </c>
      <c r="M47" s="6">
        <f t="shared" si="16"/>
        <v>2.9293981482624076E-2</v>
      </c>
      <c r="N47" s="7">
        <f t="shared" si="2"/>
        <v>42.18333333497867</v>
      </c>
      <c r="O47" s="7"/>
      <c r="P47" s="7"/>
      <c r="Q47" s="26"/>
      <c r="R47" s="26"/>
      <c r="S47" s="40">
        <f t="shared" si="17"/>
        <v>1</v>
      </c>
      <c r="T47" s="57" t="str">
        <f t="shared" si="18"/>
        <v>NorthBound</v>
      </c>
      <c r="U47" s="82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06:53:12-0600',mode:absolute,to:'2016-08-03 09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47" s="62" t="str">
        <f t="shared" si="20"/>
        <v>N</v>
      </c>
      <c r="X47" s="124">
        <f t="shared" si="21"/>
        <v>1</v>
      </c>
      <c r="Y47" s="77">
        <f t="shared" si="22"/>
        <v>4.8000000000000001E-2</v>
      </c>
      <c r="Z47" s="77">
        <f t="shared" si="23"/>
        <v>23.33</v>
      </c>
      <c r="AA47" s="77">
        <f t="shared" si="24"/>
        <v>23.282</v>
      </c>
      <c r="AB47" s="74" t="e">
        <f>VLOOKUP(A47,Enforcements!$C$7:$J$24,8,0)</f>
        <v>#N/A</v>
      </c>
      <c r="AC47" s="70" t="e">
        <f>VLOOKUP(A47,Enforcements!$C$7:$E$24,3,0)</f>
        <v>#N/A</v>
      </c>
      <c r="AD47" s="71" t="str">
        <f t="shared" si="25"/>
        <v>0135-03</v>
      </c>
      <c r="AE47" s="131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47" s="128" t="str">
        <f t="shared" si="27"/>
        <v>"C:\Program Files (x86)\AstroGrep\AstroGrep.exe" /spath="%USERPROFILE%\AppData\Local\Temp\OnboardLogs" /stypes="*4042*20160803*" /stext=" 14:.+((SYSTEM_STATE.+slice.+state.+changed )|(ment ac)|(system.+state.+changed )|(\|lc)|(penalty)|(\[timeout)|(PRM\|1\|D)|(kpr)|(kdp))" /e /r /s</v>
      </c>
      <c r="AG47" s="1" t="str">
        <f t="shared" si="28"/>
        <v>EC</v>
      </c>
      <c r="AH47" s="132" t="str">
        <f>refinertdcruntimes&amp;" --tripid "&amp;A47&amp;" --locoid "&amp;B47&amp;" --swversion "&amp;C47&amp;" --startMP "&amp;D47&amp;" --initTime "&amp;TEXT(E47,"yyyy-mm-ddTHH:MM:SS")&amp;" --startdatetime "&amp;TEXT(F47,"yyyy-mm-ddTHH:MM:SS")&amp;" --delay "&amp;G47&amp;" --endMP "&amp;H47&amp;" --enddatetime "&amp;TEXT(I47,"yyyy-mm-ddTHH:MM:SS")&amp;" --enforcementcount "&amp;J47&amp;" &gt;&gt; "&amp;TEXT(Variables!$A$2,"yyyy-mm-dd")&amp;"-refined-runtimes.txt"</f>
        <v>"%USERPROFILE%\Documents\GitHub\eaglep3\Utilities\RefineRTDCRunTimes.py" --tripid 135-03 --locoid 4042 --swversion DE.1.0.7.0 --startMP 204:480 --initTime 2016-08-03T07:53:12 --startdatetime 2016-08-03T07:54:57 --delay 1 --endMP 204:233300 --enddatetime 2016-08-03T08:37:08 --enforcementcount 0 &gt;&gt; 2016-08-03-refined-runtimes.txt</v>
      </c>
    </row>
    <row r="48" spans="1:34" s="1" customFormat="1" x14ac:dyDescent="0.25">
      <c r="A48" s="44" t="s">
        <v>501</v>
      </c>
      <c r="B48" s="7">
        <v>4041</v>
      </c>
      <c r="C48" s="25" t="s">
        <v>163</v>
      </c>
      <c r="D48" s="25" t="s">
        <v>339</v>
      </c>
      <c r="E48" s="16">
        <v>42585.365752314814</v>
      </c>
      <c r="F48" s="16">
        <v>42585.366608796299</v>
      </c>
      <c r="G48" s="7">
        <v>1</v>
      </c>
      <c r="H48" s="16" t="s">
        <v>568</v>
      </c>
      <c r="I48" s="16">
        <v>42585.400312500002</v>
      </c>
      <c r="J48" s="7">
        <v>1</v>
      </c>
      <c r="K48" s="121" t="str">
        <f t="shared" si="15"/>
        <v>4041/4042</v>
      </c>
      <c r="L48" s="25" t="str">
        <f>VLOOKUP(A48,'Trips&amp;Operators'!$C$1:$E$10000,3,FALSE)</f>
        <v>SPECTOR</v>
      </c>
      <c r="M48" s="6">
        <f t="shared" si="16"/>
        <v>3.3703703702485655E-2</v>
      </c>
      <c r="N48" s="7">
        <f t="shared" si="2"/>
        <v>48.533333331579342</v>
      </c>
      <c r="O48" s="7"/>
      <c r="P48" s="7"/>
      <c r="Q48" s="26"/>
      <c r="R48" s="26"/>
      <c r="S48" s="40">
        <f t="shared" si="17"/>
        <v>1</v>
      </c>
      <c r="T48" s="57" t="str">
        <f t="shared" si="18"/>
        <v>Southbound</v>
      </c>
      <c r="U48" s="82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07:46:41-0600',mode:absolute,to:'2016-08-03 10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48" s="62" t="str">
        <f t="shared" si="20"/>
        <v>N</v>
      </c>
      <c r="X48" s="124">
        <f t="shared" si="21"/>
        <v>1</v>
      </c>
      <c r="Y48" s="77">
        <f t="shared" si="22"/>
        <v>23.299399999999999</v>
      </c>
      <c r="Z48" s="77">
        <f t="shared" si="23"/>
        <v>1.9800000000000002E-2</v>
      </c>
      <c r="AA48" s="77">
        <f t="shared" si="24"/>
        <v>23.279599999999999</v>
      </c>
      <c r="AB48" s="74" t="e">
        <f>VLOOKUP(A48,Enforcements!$C$7:$J$24,8,0)</f>
        <v>#N/A</v>
      </c>
      <c r="AC48" s="70" t="e">
        <f>VLOOKUP(A48,Enforcements!$C$7:$E$24,3,0)</f>
        <v>#N/A</v>
      </c>
      <c r="AD48" s="71" t="str">
        <f t="shared" si="25"/>
        <v>0136-03</v>
      </c>
      <c r="AE48" s="131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48" s="128" t="str">
        <f t="shared" si="27"/>
        <v>"C:\Program Files (x86)\AstroGrep\AstroGrep.exe" /spath="%USERPROFILE%\AppData\Local\Temp\OnboardLogs" /stypes="*4041*20160803*" /stext=" 15:.+((SYSTEM_STATE.+slice.+state.+changed )|(ment ac)|(system.+state.+changed )|(\|lc)|(penalty)|(\[timeout)|(PRM\|1\|D)|(kpr)|(kdp))" /e /r /s</v>
      </c>
      <c r="AG48" s="1" t="str">
        <f t="shared" si="28"/>
        <v>EC</v>
      </c>
      <c r="AH48" s="132" t="str">
        <f>refinertdcruntimes&amp;" --tripid "&amp;A48&amp;" --locoid "&amp;B48&amp;" --swversion "&amp;C48&amp;" --startMP "&amp;D48&amp;" --initTime "&amp;TEXT(E48,"yyyy-mm-ddTHH:MM:SS")&amp;" --startdatetime "&amp;TEXT(F48,"yyyy-mm-ddTHH:MM:SS")&amp;" --delay "&amp;G48&amp;" --endMP "&amp;H48&amp;" --enddatetime "&amp;TEXT(I48,"yyyy-mm-ddTHH:MM:SS")&amp;" --enforcementcount "&amp;J48&amp;" &gt;&gt; "&amp;TEXT(Variables!$A$2,"yyyy-mm-dd")&amp;"-refined-runtimes.txt"</f>
        <v>"%USERPROFILE%\Documents\GitHub\eaglep3\Utilities\RefineRTDCRunTimes.py" --tripid 136-03 --locoid 4041 --swversion DE.1.0.7.0 --startMP 204:232994 --initTime 2016-08-03T08:46:41 --startdatetime 2016-08-03T08:47:55 --delay 1 --endMP 204:198 --enddatetime 2016-08-03T09:36:27 --enforcementcount 1 &gt;&gt; 2016-08-03-refined-runtimes.txt</v>
      </c>
    </row>
    <row r="49" spans="1:34" s="1" customFormat="1" x14ac:dyDescent="0.25">
      <c r="A49" s="44" t="s">
        <v>569</v>
      </c>
      <c r="B49" s="7">
        <v>4025</v>
      </c>
      <c r="C49" s="25" t="s">
        <v>163</v>
      </c>
      <c r="D49" s="25" t="s">
        <v>570</v>
      </c>
      <c r="E49" s="16">
        <v>42585.348263888889</v>
      </c>
      <c r="F49" s="16">
        <v>42585.348946759259</v>
      </c>
      <c r="G49" s="7">
        <v>0</v>
      </c>
      <c r="H49" s="16" t="s">
        <v>355</v>
      </c>
      <c r="I49" s="16">
        <v>42585.370393518519</v>
      </c>
      <c r="J49" s="7">
        <v>0</v>
      </c>
      <c r="K49" s="121" t="str">
        <f t="shared" si="15"/>
        <v>4025/4026</v>
      </c>
      <c r="L49" s="25" t="str">
        <f>VLOOKUP(A49,'Trips&amp;Operators'!$C$1:$E$10000,3,FALSE)</f>
        <v>HELVIE</v>
      </c>
      <c r="M49" s="6">
        <f t="shared" si="16"/>
        <v>2.1446759259561077E-2</v>
      </c>
      <c r="N49" s="7"/>
      <c r="O49" s="7"/>
      <c r="P49" s="7">
        <f t="shared" si="2"/>
        <v>30.883333333767951</v>
      </c>
      <c r="Q49" s="26"/>
      <c r="R49" s="26" t="s">
        <v>491</v>
      </c>
      <c r="S49" s="40">
        <f t="shared" si="17"/>
        <v>1</v>
      </c>
      <c r="T49" s="57" t="str">
        <f t="shared" si="18"/>
        <v>NorthBound</v>
      </c>
      <c r="U49" s="82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07:21:30-0600',mode:absolute,to:'2016-08-03 09:53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62" t="str">
        <f t="shared" si="20"/>
        <v>Y</v>
      </c>
      <c r="X49" s="124">
        <f t="shared" si="21"/>
        <v>1</v>
      </c>
      <c r="Y49" s="77">
        <f t="shared" si="22"/>
        <v>1.9125000000000001</v>
      </c>
      <c r="Z49" s="77">
        <f t="shared" si="23"/>
        <v>23.328600000000002</v>
      </c>
      <c r="AA49" s="77">
        <f t="shared" si="24"/>
        <v>21.4161</v>
      </c>
      <c r="AB49" s="74" t="e">
        <f>VLOOKUP(A49,Enforcements!$C$7:$J$24,8,0)</f>
        <v>#N/A</v>
      </c>
      <c r="AC49" s="70" t="e">
        <f>VLOOKUP(A49,Enforcements!$C$7:$E$24,3,0)</f>
        <v>#N/A</v>
      </c>
      <c r="AD49" s="71" t="str">
        <f t="shared" si="25"/>
        <v>0137-03</v>
      </c>
      <c r="AE49" s="131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49" s="128" t="str">
        <f t="shared" si="27"/>
        <v>"C:\Program Files (x86)\AstroGrep\AstroGrep.exe" /spath="%USERPROFILE%\AppData\Local\Temp\OnboardLogs" /stypes="*4025*20160803*" /stext=" 14:.+((SYSTEM_STATE.+slice.+state.+changed )|(ment ac)|(system.+state.+changed )|(\|lc)|(penalty)|(\[timeout)|(PRM\|1\|D)|(kpr)|(kdp))" /e /r /s</v>
      </c>
      <c r="AG49" s="1" t="str">
        <f t="shared" si="28"/>
        <v>EC</v>
      </c>
      <c r="AH49" s="132" t="str">
        <f>refinertdcruntimes&amp;" --tripid "&amp;A49&amp;" --locoid "&amp;B49&amp;" --swversion "&amp;C49&amp;" --startMP "&amp;D49&amp;" --initTime "&amp;TEXT(E49,"yyyy-mm-ddTHH:MM:SS")&amp;" --startdatetime "&amp;TEXT(F49,"yyyy-mm-ddTHH:MM:SS")&amp;" --delay "&amp;G49&amp;" --endMP "&amp;H49&amp;" --enddatetime "&amp;TEXT(I49,"yyyy-mm-ddTHH:MM:SS")&amp;" --enforcementcount "&amp;J49&amp;" &gt;&gt; "&amp;TEXT(Variables!$A$2,"yyyy-mm-dd")&amp;"-refined-runtimes.txt"</f>
        <v>"%USERPROFILE%\Documents\GitHub\eaglep3\Utilities\RefineRTDCRunTimes.py" --tripid 137-03 --locoid 4025 --swversion DE.1.0.7.0 --startMP 204:19125 --initTime 2016-08-03T08:21:30 --startdatetime 2016-08-03T08:22:29 --delay 0 --endMP 204:233286 --enddatetime 2016-08-03T08:53:22 --enforcementcount 0 &gt;&gt; 2016-08-03-refined-runtimes.txt</v>
      </c>
    </row>
    <row r="50" spans="1:34" x14ac:dyDescent="0.25">
      <c r="A50" s="44" t="s">
        <v>571</v>
      </c>
      <c r="B50" s="7">
        <v>4026</v>
      </c>
      <c r="C50" s="25" t="s">
        <v>163</v>
      </c>
      <c r="D50" s="25" t="s">
        <v>402</v>
      </c>
      <c r="E50" s="16">
        <v>42585.377997685187</v>
      </c>
      <c r="F50" s="16">
        <v>42585.379120370373</v>
      </c>
      <c r="G50" s="7">
        <v>1</v>
      </c>
      <c r="H50" s="16" t="s">
        <v>100</v>
      </c>
      <c r="I50" s="16">
        <v>42585.412581018521</v>
      </c>
      <c r="J50" s="7">
        <v>0</v>
      </c>
      <c r="K50" s="121" t="str">
        <f t="shared" si="15"/>
        <v>4025/4026</v>
      </c>
      <c r="L50" s="25" t="str">
        <f>VLOOKUP(A50,'Trips&amp;Operators'!$C$1:$E$10000,3,FALSE)</f>
        <v>HELVIE</v>
      </c>
      <c r="M50" s="6">
        <f t="shared" si="16"/>
        <v>3.3460648148320615E-2</v>
      </c>
      <c r="N50" s="7">
        <f t="shared" si="2"/>
        <v>48.183333333581686</v>
      </c>
      <c r="O50" s="7"/>
      <c r="P50" s="7"/>
      <c r="Q50" s="26"/>
      <c r="R50" s="26"/>
      <c r="S50" s="40">
        <f t="shared" si="17"/>
        <v>1</v>
      </c>
      <c r="T50" s="57" t="str">
        <f t="shared" si="18"/>
        <v>Southbound</v>
      </c>
      <c r="U50" s="82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08:04:19-0600',mode:absolute,to:'2016-08-03 10:54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62" t="str">
        <f t="shared" si="20"/>
        <v>N</v>
      </c>
      <c r="X50" s="124">
        <f t="shared" si="21"/>
        <v>1</v>
      </c>
      <c r="Y50" s="77">
        <f t="shared" si="22"/>
        <v>23.2986</v>
      </c>
      <c r="Z50" s="77">
        <f t="shared" si="23"/>
        <v>1.43E-2</v>
      </c>
      <c r="AA50" s="77">
        <f t="shared" si="24"/>
        <v>23.284300000000002</v>
      </c>
      <c r="AB50" s="74" t="e">
        <f>VLOOKUP(A50,Enforcements!$C$7:$J$24,8,0)</f>
        <v>#N/A</v>
      </c>
      <c r="AC50" s="70" t="e">
        <f>VLOOKUP(A50,Enforcements!$C$7:$E$24,3,0)</f>
        <v>#N/A</v>
      </c>
      <c r="AD50" s="71" t="str">
        <f t="shared" si="25"/>
        <v>0138-03</v>
      </c>
      <c r="AE50" s="131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50" s="128" t="str">
        <f t="shared" si="27"/>
        <v>"C:\Program Files (x86)\AstroGrep\AstroGrep.exe" /spath="%USERPROFILE%\AppData\Local\Temp\OnboardLogs" /stypes="*4026*20160803*" /stext=" 15:.+((SYSTEM_STATE.+slice.+state.+changed )|(ment ac)|(system.+state.+changed )|(\|lc)|(penalty)|(\[timeout)|(PRM\|1\|D)|(kpr)|(kdp))" /e /r /s</v>
      </c>
      <c r="AG50" s="1" t="str">
        <f t="shared" si="28"/>
        <v>EC</v>
      </c>
      <c r="AH50" s="132" t="str">
        <f>refinertdcruntimes&amp;" --tripid "&amp;A50&amp;" --locoid "&amp;B50&amp;" --swversion "&amp;C50&amp;" --startMP "&amp;D50&amp;" --initTime "&amp;TEXT(E50,"yyyy-mm-ddTHH:MM:SS")&amp;" --startdatetime "&amp;TEXT(F50,"yyyy-mm-ddTHH:MM:SS")&amp;" --delay "&amp;G50&amp;" --endMP "&amp;H50&amp;" --enddatetime "&amp;TEXT(I50,"yyyy-mm-ddTHH:MM:SS")&amp;" --enforcementcount "&amp;J50&amp;" &gt;&gt; "&amp;TEXT(Variables!$A$2,"yyyy-mm-dd")&amp;"-refined-runtimes.txt"</f>
        <v>"%USERPROFILE%\Documents\GitHub\eaglep3\Utilities\RefineRTDCRunTimes.py" --tripid 138-03 --locoid 4026 --swversion DE.1.0.7.0 --startMP 204:232986 --initTime 2016-08-03T09:04:19 --startdatetime 2016-08-03T09:05:56 --delay 1 --endMP 204:143 --enddatetime 2016-08-03T09:54:07 --enforcementcount 0 &gt;&gt; 2016-08-03-refined-runtimes.txt</v>
      </c>
    </row>
    <row r="51" spans="1:34" x14ac:dyDescent="0.25">
      <c r="A51" s="44" t="s">
        <v>572</v>
      </c>
      <c r="B51" s="7">
        <v>4038</v>
      </c>
      <c r="C51" s="25" t="s">
        <v>163</v>
      </c>
      <c r="D51" s="25" t="s">
        <v>159</v>
      </c>
      <c r="E51" s="16">
        <v>42585.351990740739</v>
      </c>
      <c r="F51" s="16">
        <v>42585.352986111109</v>
      </c>
      <c r="G51" s="7">
        <v>1</v>
      </c>
      <c r="H51" s="16" t="s">
        <v>245</v>
      </c>
      <c r="I51" s="16">
        <v>42585.381643518522</v>
      </c>
      <c r="J51" s="7">
        <v>0</v>
      </c>
      <c r="K51" s="121" t="str">
        <f t="shared" si="15"/>
        <v>4037/4038</v>
      </c>
      <c r="L51" s="25" t="str">
        <f>VLOOKUP(A51,'Trips&amp;Operators'!$C$1:$E$10000,3,FALSE)</f>
        <v>ROCHA</v>
      </c>
      <c r="M51" s="6">
        <f t="shared" si="16"/>
        <v>2.8657407412538305E-2</v>
      </c>
      <c r="N51" s="7">
        <f t="shared" si="2"/>
        <v>41.266666674055159</v>
      </c>
      <c r="O51" s="7"/>
      <c r="P51" s="7"/>
      <c r="Q51" s="26"/>
      <c r="R51" s="26"/>
      <c r="S51" s="40">
        <f t="shared" si="17"/>
        <v>1</v>
      </c>
      <c r="T51" s="57" t="str">
        <f t="shared" si="18"/>
        <v>NorthBound</v>
      </c>
      <c r="U51" s="82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07:26:52-0600',mode:absolute,to:'2016-08-03 10:09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1" s="62" t="str">
        <f t="shared" si="20"/>
        <v>N</v>
      </c>
      <c r="X51" s="124">
        <f t="shared" si="21"/>
        <v>1</v>
      </c>
      <c r="Y51" s="77">
        <f t="shared" si="22"/>
        <v>4.53E-2</v>
      </c>
      <c r="Z51" s="77">
        <f t="shared" si="23"/>
        <v>23.331</v>
      </c>
      <c r="AA51" s="77">
        <f t="shared" si="24"/>
        <v>23.285699999999999</v>
      </c>
      <c r="AB51" s="74" t="e">
        <f>VLOOKUP(A51,Enforcements!$C$7:$J$24,8,0)</f>
        <v>#N/A</v>
      </c>
      <c r="AC51" s="70" t="e">
        <f>VLOOKUP(A51,Enforcements!$C$7:$E$24,3,0)</f>
        <v>#N/A</v>
      </c>
      <c r="AD51" s="71" t="str">
        <f t="shared" si="25"/>
        <v>0139-03</v>
      </c>
      <c r="AE51" s="131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51" s="128" t="str">
        <f t="shared" si="27"/>
        <v>"C:\Program Files (x86)\AstroGrep\AstroGrep.exe" /spath="%USERPROFILE%\AppData\Local\Temp\OnboardLogs" /stypes="*4038*20160803*" /stext=" 15:.+((SYSTEM_STATE.+slice.+state.+changed )|(ment ac)|(system.+state.+changed )|(\|lc)|(penalty)|(\[timeout)|(PRM\|1\|D)|(kpr)|(kdp))" /e /r /s</v>
      </c>
      <c r="AG51" s="1" t="str">
        <f t="shared" si="28"/>
        <v>EC</v>
      </c>
      <c r="AH51" s="132" t="str">
        <f>refinertdcruntimes&amp;" --tripid "&amp;A51&amp;" --locoid "&amp;B51&amp;" --swversion "&amp;C51&amp;" --startMP "&amp;D51&amp;" --initTime "&amp;TEXT(E51,"yyyy-mm-ddTHH:MM:SS")&amp;" --startdatetime "&amp;TEXT(F51,"yyyy-mm-ddTHH:MM:SS")&amp;" --delay "&amp;G51&amp;" --endMP "&amp;H51&amp;" --enddatetime "&amp;TEXT(I51,"yyyy-mm-ddTHH:MM:SS")&amp;" --enforcementcount "&amp;J51&amp;" &gt;&gt; "&amp;TEXT(Variables!$A$2,"yyyy-mm-dd")&amp;"-refined-runtimes.txt"</f>
        <v>"%USERPROFILE%\Documents\GitHub\eaglep3\Utilities\RefineRTDCRunTimes.py" --tripid 139-03 --locoid 4038 --swversion DE.1.0.7.0 --startMP 204:453 --initTime 2016-08-03T08:26:52 --startdatetime 2016-08-03T08:28:18 --delay 1 --endMP 204:233310 --enddatetime 2016-08-03T09:09:34 --enforcementcount 0 &gt;&gt; 2016-08-03-refined-runtimes.txt</v>
      </c>
    </row>
    <row r="52" spans="1:34" s="1" customFormat="1" x14ac:dyDescent="0.25">
      <c r="A52" s="25" t="s">
        <v>573</v>
      </c>
      <c r="B52" s="94">
        <v>4037</v>
      </c>
      <c r="C52" s="95" t="s">
        <v>163</v>
      </c>
      <c r="D52" s="95" t="s">
        <v>241</v>
      </c>
      <c r="E52" s="96">
        <v>42585.391562500001</v>
      </c>
      <c r="F52" s="96">
        <v>42585.392453703702</v>
      </c>
      <c r="G52" s="94">
        <v>1</v>
      </c>
      <c r="H52" s="96" t="s">
        <v>160</v>
      </c>
      <c r="I52" s="96">
        <v>42585.420405092591</v>
      </c>
      <c r="J52" s="94">
        <v>0</v>
      </c>
      <c r="K52" s="121" t="str">
        <f t="shared" si="15"/>
        <v>4037/4038</v>
      </c>
      <c r="L52" s="25" t="str">
        <f>VLOOKUP(A52,'Trips&amp;Operators'!$C$1:$E$10000,3,FALSE)</f>
        <v>ROCHA</v>
      </c>
      <c r="M52" s="6">
        <f t="shared" si="16"/>
        <v>2.7951388889050577E-2</v>
      </c>
      <c r="N52" s="7">
        <f t="shared" si="2"/>
        <v>40.250000000232831</v>
      </c>
      <c r="O52" s="7"/>
      <c r="P52" s="7"/>
      <c r="Q52" s="26"/>
      <c r="R52" s="26"/>
      <c r="S52" s="40">
        <f t="shared" si="17"/>
        <v>1</v>
      </c>
      <c r="T52" s="57" t="str">
        <f t="shared" si="18"/>
        <v>Southbound</v>
      </c>
      <c r="U52" s="82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08:23:51-0600',mode:absolute,to:'2016-08-03 11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62" t="str">
        <f t="shared" si="20"/>
        <v>N</v>
      </c>
      <c r="X52" s="124">
        <f t="shared" si="21"/>
        <v>1</v>
      </c>
      <c r="Y52" s="77">
        <f t="shared" si="22"/>
        <v>23.2987</v>
      </c>
      <c r="Z52" s="77">
        <f t="shared" si="23"/>
        <v>1.49E-2</v>
      </c>
      <c r="AA52" s="77">
        <f t="shared" si="24"/>
        <v>23.283799999999999</v>
      </c>
      <c r="AB52" s="74" t="e">
        <f>VLOOKUP(A52,Enforcements!$C$7:$J$24,8,0)</f>
        <v>#N/A</v>
      </c>
      <c r="AC52" s="70" t="e">
        <f>VLOOKUP(A52,Enforcements!$C$7:$E$24,3,0)</f>
        <v>#N/A</v>
      </c>
      <c r="AD52" s="71" t="str">
        <f t="shared" si="25"/>
        <v>0140-03</v>
      </c>
      <c r="AE52" s="131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52" s="128" t="str">
        <f t="shared" si="27"/>
        <v>"C:\Program Files (x86)\AstroGrep\AstroGrep.exe" /spath="%USERPROFILE%\AppData\Local\Temp\OnboardLogs" /stypes="*4037*20160803*" /stext=" 16:.+((SYSTEM_STATE.+slice.+state.+changed )|(ment ac)|(system.+state.+changed )|(\|lc)|(penalty)|(\[timeout)|(PRM\|1\|D)|(kpr)|(kdp))" /e /r /s</v>
      </c>
      <c r="AG52" s="1" t="str">
        <f t="shared" si="28"/>
        <v>EC</v>
      </c>
      <c r="AH52" s="132" t="str">
        <f>refinertdcruntimes&amp;" --tripid "&amp;A52&amp;" --locoid "&amp;B52&amp;" --swversion "&amp;C52&amp;" --startMP "&amp;D52&amp;" --initTime "&amp;TEXT(E52,"yyyy-mm-ddTHH:MM:SS")&amp;" --startdatetime "&amp;TEXT(F52,"yyyy-mm-ddTHH:MM:SS")&amp;" --delay "&amp;G52&amp;" --endMP "&amp;H52&amp;" --enddatetime "&amp;TEXT(I52,"yyyy-mm-ddTHH:MM:SS")&amp;" --enforcementcount "&amp;J52&amp;" &gt;&gt; "&amp;TEXT(Variables!$A$2,"yyyy-mm-dd")&amp;"-refined-runtimes.txt"</f>
        <v>"%USERPROFILE%\Documents\GitHub\eaglep3\Utilities\RefineRTDCRunTimes.py" --tripid 140-03 --locoid 4037 --swversion DE.1.0.7.0 --startMP 204:232987 --initTime 2016-08-03T09:23:51 --startdatetime 2016-08-03T09:25:08 --delay 1 --endMP 204:149 --enddatetime 2016-08-03T10:05:23 --enforcementcount 0 &gt;&gt; 2016-08-03-refined-runtimes.txt</v>
      </c>
    </row>
    <row r="53" spans="1:34" s="1" customFormat="1" x14ac:dyDescent="0.25">
      <c r="A53" s="25" t="s">
        <v>574</v>
      </c>
      <c r="B53" s="94">
        <v>4018</v>
      </c>
      <c r="C53" s="95" t="s">
        <v>163</v>
      </c>
      <c r="D53" s="95" t="s">
        <v>140</v>
      </c>
      <c r="E53" s="96">
        <v>42585.361770833333</v>
      </c>
      <c r="F53" s="96">
        <v>42585.362766203703</v>
      </c>
      <c r="G53" s="94">
        <v>1</v>
      </c>
      <c r="H53" s="96" t="s">
        <v>335</v>
      </c>
      <c r="I53" s="96">
        <v>42585.389189814814</v>
      </c>
      <c r="J53" s="125">
        <v>0</v>
      </c>
      <c r="K53" s="121" t="str">
        <f t="shared" si="15"/>
        <v>4017/4018</v>
      </c>
      <c r="L53" s="25" t="str">
        <f>VLOOKUP(A53,'Trips&amp;Operators'!$C$1:$E$10000,3,FALSE)</f>
        <v>MAELZER</v>
      </c>
      <c r="M53" s="6">
        <f t="shared" si="16"/>
        <v>2.6423611110658385E-2</v>
      </c>
      <c r="N53" s="7">
        <f t="shared" si="2"/>
        <v>38.049999999348074</v>
      </c>
      <c r="O53" s="7"/>
      <c r="P53" s="7"/>
      <c r="Q53" s="26"/>
      <c r="R53" s="26"/>
      <c r="S53" s="40">
        <f t="shared" si="17"/>
        <v>1</v>
      </c>
      <c r="T53" s="57" t="str">
        <f t="shared" si="18"/>
        <v>NorthBound</v>
      </c>
      <c r="U53" s="82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07:40:57-0600',mode:absolute,to:'2016-08-03 10:20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3" s="62" t="str">
        <f t="shared" si="20"/>
        <v>N</v>
      </c>
      <c r="X53" s="124">
        <f t="shared" si="21"/>
        <v>1</v>
      </c>
      <c r="Y53" s="77">
        <f t="shared" si="22"/>
        <v>4.6199999999999998E-2</v>
      </c>
      <c r="Z53" s="77">
        <f t="shared" si="23"/>
        <v>23.330100000000002</v>
      </c>
      <c r="AA53" s="77">
        <f t="shared" si="24"/>
        <v>23.283900000000003</v>
      </c>
      <c r="AB53" s="74" t="e">
        <f>VLOOKUP(A53,Enforcements!$C$7:$J$24,8,0)</f>
        <v>#N/A</v>
      </c>
      <c r="AC53" s="70" t="e">
        <f>VLOOKUP(A53,Enforcements!$C$7:$E$24,3,0)</f>
        <v>#N/A</v>
      </c>
      <c r="AD53" s="71" t="str">
        <f t="shared" si="25"/>
        <v>0141-03</v>
      </c>
      <c r="AE53" s="131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53" s="128" t="str">
        <f t="shared" si="27"/>
        <v>"C:\Program Files (x86)\AstroGrep\AstroGrep.exe" /spath="%USERPROFILE%\AppData\Local\Temp\OnboardLogs" /stypes="*4018*20160803*" /stext=" 15:.+((SYSTEM_STATE.+slice.+state.+changed )|(ment ac)|(system.+state.+changed )|(\|lc)|(penalty)|(\[timeout)|(PRM\|1\|D)|(kpr)|(kdp))" /e /r /s</v>
      </c>
      <c r="AG53" s="1" t="str">
        <f t="shared" si="28"/>
        <v>EC</v>
      </c>
      <c r="AH53" s="132" t="str">
        <f>refinertdcruntimes&amp;" --tripid "&amp;A53&amp;" --locoid "&amp;B53&amp;" --swversion "&amp;C53&amp;" --startMP "&amp;D53&amp;" --initTime "&amp;TEXT(E53,"yyyy-mm-ddTHH:MM:SS")&amp;" --startdatetime "&amp;TEXT(F53,"yyyy-mm-ddTHH:MM:SS")&amp;" --delay "&amp;G53&amp;" --endMP "&amp;H53&amp;" --enddatetime "&amp;TEXT(I53,"yyyy-mm-ddTHH:MM:SS")&amp;" --enforcementcount "&amp;J53&amp;" &gt;&gt; "&amp;TEXT(Variables!$A$2,"yyyy-mm-dd")&amp;"-refined-runtimes.txt"</f>
        <v>"%USERPROFILE%\Documents\GitHub\eaglep3\Utilities\RefineRTDCRunTimes.py" --tripid 141-03 --locoid 4018 --swversion DE.1.0.7.0 --startMP 204:462 --initTime 2016-08-03T08:40:57 --startdatetime 2016-08-03T08:42:23 --delay 1 --endMP 204:233301 --enddatetime 2016-08-03T09:20:26 --enforcementcount 0 &gt;&gt; 2016-08-03-refined-runtimes.txt</v>
      </c>
    </row>
    <row r="54" spans="1:34" x14ac:dyDescent="0.25">
      <c r="A54" s="25" t="s">
        <v>575</v>
      </c>
      <c r="B54" s="94">
        <v>4017</v>
      </c>
      <c r="C54" s="95" t="s">
        <v>163</v>
      </c>
      <c r="D54" s="95" t="s">
        <v>320</v>
      </c>
      <c r="E54" s="96">
        <v>42585.399259259262</v>
      </c>
      <c r="F54" s="96">
        <v>42585.400682870371</v>
      </c>
      <c r="G54" s="94">
        <v>2</v>
      </c>
      <c r="H54" s="96" t="s">
        <v>100</v>
      </c>
      <c r="I54" s="96">
        <v>42585.433807870373</v>
      </c>
      <c r="J54" s="94">
        <v>0</v>
      </c>
      <c r="K54" s="121" t="str">
        <f t="shared" si="15"/>
        <v>4017/4018</v>
      </c>
      <c r="L54" s="25" t="str">
        <f>VLOOKUP(A54,'Trips&amp;Operators'!$C$1:$E$10000,3,FALSE)</f>
        <v>MAELZER</v>
      </c>
      <c r="M54" s="6">
        <f t="shared" si="16"/>
        <v>3.312500000174623E-2</v>
      </c>
      <c r="N54" s="7">
        <f t="shared" si="2"/>
        <v>47.700000002514571</v>
      </c>
      <c r="O54" s="7"/>
      <c r="P54" s="7"/>
      <c r="Q54" s="26"/>
      <c r="R54" s="26"/>
      <c r="S54" s="40">
        <f t="shared" si="17"/>
        <v>1</v>
      </c>
      <c r="T54" s="57" t="str">
        <f t="shared" si="18"/>
        <v>Southbound</v>
      </c>
      <c r="U54" s="82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08:34:56-0600',mode:absolute,to:'2016-08-03 11:24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4" s="62" t="str">
        <f t="shared" si="20"/>
        <v>N</v>
      </c>
      <c r="X54" s="124">
        <f t="shared" si="21"/>
        <v>1</v>
      </c>
      <c r="Y54" s="77">
        <f t="shared" si="22"/>
        <v>23.297499999999999</v>
      </c>
      <c r="Z54" s="77">
        <f t="shared" si="23"/>
        <v>1.43E-2</v>
      </c>
      <c r="AA54" s="77">
        <f t="shared" si="24"/>
        <v>23.283200000000001</v>
      </c>
      <c r="AB54" s="74" t="e">
        <f>VLOOKUP(A54,Enforcements!$C$7:$J$24,8,0)</f>
        <v>#N/A</v>
      </c>
      <c r="AC54" s="70" t="e">
        <f>VLOOKUP(A54,Enforcements!$C$7:$E$24,3,0)</f>
        <v>#N/A</v>
      </c>
      <c r="AD54" s="71" t="str">
        <f t="shared" si="25"/>
        <v>0142-03</v>
      </c>
      <c r="AE54" s="131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54" s="128" t="str">
        <f t="shared" si="27"/>
        <v>"C:\Program Files (x86)\AstroGrep\AstroGrep.exe" /spath="%USERPROFILE%\AppData\Local\Temp\OnboardLogs" /stypes="*4017*20160803*" /stext=" 16:.+((SYSTEM_STATE.+slice.+state.+changed )|(ment ac)|(system.+state.+changed )|(\|lc)|(penalty)|(\[timeout)|(PRM\|1\|D)|(kpr)|(kdp))" /e /r /s</v>
      </c>
      <c r="AG54" s="1" t="str">
        <f t="shared" si="28"/>
        <v>EC</v>
      </c>
      <c r="AH54" s="132" t="str">
        <f>refinertdcruntimes&amp;" --tripid "&amp;A54&amp;" --locoid "&amp;B54&amp;" --swversion "&amp;C54&amp;" --startMP "&amp;D54&amp;" --initTime "&amp;TEXT(E54,"yyyy-mm-ddTHH:MM:SS")&amp;" --startdatetime "&amp;TEXT(F54,"yyyy-mm-ddTHH:MM:SS")&amp;" --delay "&amp;G54&amp;" --endMP "&amp;H54&amp;" --enddatetime "&amp;TEXT(I54,"yyyy-mm-ddTHH:MM:SS")&amp;" --enforcementcount "&amp;J54&amp;" &gt;&gt; "&amp;TEXT(Variables!$A$2,"yyyy-mm-dd")&amp;"-refined-runtimes.txt"</f>
        <v>"%USERPROFILE%\Documents\GitHub\eaglep3\Utilities\RefineRTDCRunTimes.py" --tripid 142-03 --locoid 4017 --swversion DE.1.0.7.0 --startMP 204:232975 --initTime 2016-08-03T09:34:56 --startdatetime 2016-08-03T09:36:59 --delay 2 --endMP 204:143 --enddatetime 2016-08-03T10:24:41 --enforcementcount 0 &gt;&gt; 2016-08-03-refined-runtimes.txt</v>
      </c>
    </row>
    <row r="55" spans="1:34" x14ac:dyDescent="0.25">
      <c r="A55" s="25" t="s">
        <v>576</v>
      </c>
      <c r="B55" s="94">
        <v>4014</v>
      </c>
      <c r="C55" s="95" t="s">
        <v>163</v>
      </c>
      <c r="D55" s="95" t="s">
        <v>577</v>
      </c>
      <c r="E55" s="96">
        <v>42585.371990740743</v>
      </c>
      <c r="F55" s="96">
        <v>42585.372812499998</v>
      </c>
      <c r="G55" s="94">
        <v>1</v>
      </c>
      <c r="H55" s="96" t="s">
        <v>550</v>
      </c>
      <c r="I55" s="96">
        <v>42585.39984953704</v>
      </c>
      <c r="J55" s="94">
        <v>0</v>
      </c>
      <c r="K55" s="121" t="str">
        <f t="shared" si="15"/>
        <v>4013/4014</v>
      </c>
      <c r="L55" s="25" t="str">
        <f>VLOOKUP(A55,'Trips&amp;Operators'!$C$1:$E$10000,3,FALSE)</f>
        <v>BRANNON</v>
      </c>
      <c r="M55" s="6">
        <f t="shared" si="16"/>
        <v>2.7037037041736767E-2</v>
      </c>
      <c r="N55" s="7">
        <f t="shared" si="2"/>
        <v>38.933333340100944</v>
      </c>
      <c r="O55" s="7"/>
      <c r="P55" s="7"/>
      <c r="Q55" s="26"/>
      <c r="R55" s="26"/>
      <c r="S55" s="40">
        <f t="shared" si="17"/>
        <v>1</v>
      </c>
      <c r="T55" s="57" t="str">
        <f t="shared" si="18"/>
        <v>NorthBound</v>
      </c>
      <c r="U55" s="82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07:55:40-0600',mode:absolute,to:'2016-08-03 10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5" s="62" t="str">
        <f t="shared" si="20"/>
        <v>N</v>
      </c>
      <c r="X55" s="124">
        <f t="shared" si="21"/>
        <v>1</v>
      </c>
      <c r="Y55" s="77">
        <f t="shared" si="22"/>
        <v>0.05</v>
      </c>
      <c r="Z55" s="77">
        <f t="shared" si="23"/>
        <v>23.331199999999999</v>
      </c>
      <c r="AA55" s="77">
        <f t="shared" si="24"/>
        <v>23.281199999999998</v>
      </c>
      <c r="AB55" s="74" t="e">
        <f>VLOOKUP(A55,Enforcements!$C$7:$J$24,8,0)</f>
        <v>#N/A</v>
      </c>
      <c r="AC55" s="70" t="e">
        <f>VLOOKUP(A55,Enforcements!$C$7:$E$24,3,0)</f>
        <v>#N/A</v>
      </c>
      <c r="AD55" s="71" t="str">
        <f t="shared" si="25"/>
        <v>0143-03</v>
      </c>
      <c r="AE55" s="131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55" s="128" t="str">
        <f t="shared" si="27"/>
        <v>"C:\Program Files (x86)\AstroGrep\AstroGrep.exe" /spath="%USERPROFILE%\AppData\Local\Temp\OnboardLogs" /stypes="*4014*20160803*" /stext=" 15:.+((SYSTEM_STATE.+slice.+state.+changed )|(ment ac)|(system.+state.+changed )|(\|lc)|(penalty)|(\[timeout)|(PRM\|1\|D)|(kpr)|(kdp))" /e /r /s</v>
      </c>
      <c r="AG55" s="1" t="str">
        <f t="shared" si="28"/>
        <v>EC</v>
      </c>
      <c r="AH55" s="132" t="str">
        <f>refinertdcruntimes&amp;" --tripid "&amp;A55&amp;" --locoid "&amp;B55&amp;" --swversion "&amp;C55&amp;" --startMP "&amp;D55&amp;" --initTime "&amp;TEXT(E55,"yyyy-mm-ddTHH:MM:SS")&amp;" --startdatetime "&amp;TEXT(F55,"yyyy-mm-ddTHH:MM:SS")&amp;" --delay "&amp;G55&amp;" --endMP "&amp;H55&amp;" --enddatetime "&amp;TEXT(I55,"yyyy-mm-ddTHH:MM:SS")&amp;" --enforcementcount "&amp;J55&amp;" &gt;&gt; "&amp;TEXT(Variables!$A$2,"yyyy-mm-dd")&amp;"-refined-runtimes.txt"</f>
        <v>"%USERPROFILE%\Documents\GitHub\eaglep3\Utilities\RefineRTDCRunTimes.py" --tripid 143-03 --locoid 4014 --swversion DE.1.0.7.0 --startMP 204:500 --initTime 2016-08-03T08:55:40 --startdatetime 2016-08-03T08:56:51 --delay 1 --endMP 204:233312 --enddatetime 2016-08-03T09:35:47 --enforcementcount 0 &gt;&gt; 2016-08-03-refined-runtimes.txt</v>
      </c>
    </row>
    <row r="56" spans="1:34" x14ac:dyDescent="0.25">
      <c r="A56" s="25" t="s">
        <v>503</v>
      </c>
      <c r="B56" s="94">
        <v>4013</v>
      </c>
      <c r="C56" s="95" t="s">
        <v>163</v>
      </c>
      <c r="D56" s="95" t="s">
        <v>307</v>
      </c>
      <c r="E56" s="96">
        <v>42585.408912037034</v>
      </c>
      <c r="F56" s="96">
        <v>42585.410312499997</v>
      </c>
      <c r="G56" s="94">
        <v>2</v>
      </c>
      <c r="H56" s="96" t="s">
        <v>578</v>
      </c>
      <c r="I56" s="96">
        <v>42585.423217592594</v>
      </c>
      <c r="J56" s="94">
        <v>1</v>
      </c>
      <c r="K56" s="121" t="str">
        <f t="shared" si="15"/>
        <v>4013/4014</v>
      </c>
      <c r="L56" s="25" t="str">
        <f>VLOOKUP(A56,'Trips&amp;Operators'!$C$1:$E$10000,3,FALSE)</f>
        <v>BRANNON</v>
      </c>
      <c r="M56" s="6">
        <f t="shared" si="16"/>
        <v>1.2905092597065959E-2</v>
      </c>
      <c r="N56" s="7">
        <f t="shared" si="2"/>
        <v>18.583333339774981</v>
      </c>
      <c r="O56" s="7"/>
      <c r="P56" s="7"/>
      <c r="Q56" s="26"/>
      <c r="R56" s="26"/>
      <c r="S56" s="40">
        <f t="shared" si="17"/>
        <v>1</v>
      </c>
      <c r="T56" s="57" t="str">
        <f t="shared" si="18"/>
        <v>Southbound</v>
      </c>
      <c r="U56" s="82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08:48:50-0600',mode:absolute,to:'2016-08-03 11:09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6" s="62" t="str">
        <f t="shared" si="20"/>
        <v>N</v>
      </c>
      <c r="X56" s="124">
        <f t="shared" si="21"/>
        <v>1</v>
      </c>
      <c r="Y56" s="77">
        <f t="shared" si="22"/>
        <v>23.298500000000001</v>
      </c>
      <c r="Z56" s="77">
        <v>0.01</v>
      </c>
      <c r="AA56" s="77">
        <f t="shared" si="24"/>
        <v>23.288499999999999</v>
      </c>
      <c r="AB56" s="74" t="e">
        <f>VLOOKUP(A56,Enforcements!$C$7:$J$24,8,0)</f>
        <v>#N/A</v>
      </c>
      <c r="AC56" s="70" t="e">
        <f>VLOOKUP(A56,Enforcements!$C$7:$E$24,3,0)</f>
        <v>#N/A</v>
      </c>
      <c r="AD56" s="71" t="str">
        <f t="shared" si="25"/>
        <v>0144-03</v>
      </c>
      <c r="AE56" s="131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56" s="128" t="str">
        <f t="shared" si="27"/>
        <v>"C:\Program Files (x86)\AstroGrep\AstroGrep.exe" /spath="%USERPROFILE%\AppData\Local\Temp\OnboardLogs" /stypes="*4013*20160803*" /stext=" 16:.+((SYSTEM_STATE.+slice.+state.+changed )|(ment ac)|(system.+state.+changed )|(\|lc)|(penalty)|(\[timeout)|(PRM\|1\|D)|(kpr)|(kdp))" /e /r /s</v>
      </c>
      <c r="AG56" s="1" t="str">
        <f t="shared" si="28"/>
        <v>EC</v>
      </c>
      <c r="AH56" s="132" t="str">
        <f>refinertdcruntimes&amp;" --tripid "&amp;A56&amp;" --locoid "&amp;B56&amp;" --swversion "&amp;C56&amp;" --startMP "&amp;D56&amp;" --initTime "&amp;TEXT(E56,"yyyy-mm-ddTHH:MM:SS")&amp;" --startdatetime "&amp;TEXT(F56,"yyyy-mm-ddTHH:MM:SS")&amp;" --delay "&amp;G56&amp;" --endMP "&amp;H56&amp;" --enddatetime "&amp;TEXT(I56,"yyyy-mm-ddTHH:MM:SS")&amp;" --enforcementcount "&amp;J56&amp;" &gt;&gt; "&amp;TEXT(Variables!$A$2,"yyyy-mm-dd")&amp;"-refined-runtimes.txt"</f>
        <v>"%USERPROFILE%\Documents\GitHub\eaglep3\Utilities\RefineRTDCRunTimes.py" --tripid 144-03 --locoid 4013 --swversion DE.1.0.7.0 --startMP 204:232985 --initTime 2016-08-03T09:48:50 --startdatetime 2016-08-03T09:50:51 --delay 2 --endMP 204:128444 --enddatetime 2016-08-03T10:09:26 --enforcementcount 1 &gt;&gt; 2016-08-03-refined-runtimes.txt</v>
      </c>
    </row>
    <row r="57" spans="1:34" x14ac:dyDescent="0.25">
      <c r="A57" s="25" t="s">
        <v>579</v>
      </c>
      <c r="B57" s="94">
        <v>4011</v>
      </c>
      <c r="C57" s="95" t="s">
        <v>163</v>
      </c>
      <c r="D57" s="95" t="s">
        <v>361</v>
      </c>
      <c r="E57" s="96">
        <v>42585.381111111114</v>
      </c>
      <c r="F57" s="96">
        <v>42585.382337962961</v>
      </c>
      <c r="G57" s="94">
        <v>1</v>
      </c>
      <c r="H57" s="96" t="s">
        <v>550</v>
      </c>
      <c r="I57" s="96">
        <v>42585.410381944443</v>
      </c>
      <c r="J57" s="94">
        <v>0</v>
      </c>
      <c r="K57" s="121" t="str">
        <f t="shared" si="15"/>
        <v>4011/4012</v>
      </c>
      <c r="L57" s="25" t="str">
        <f>VLOOKUP(A57,'Trips&amp;Operators'!$C$1:$E$10000,3,FALSE)</f>
        <v>ACKERMAN</v>
      </c>
      <c r="M57" s="6">
        <f t="shared" si="16"/>
        <v>2.8043981481459923E-2</v>
      </c>
      <c r="N57" s="7">
        <f t="shared" si="2"/>
        <v>40.383333333302289</v>
      </c>
      <c r="O57" s="7"/>
      <c r="P57" s="7"/>
      <c r="Q57" s="26"/>
      <c r="R57" s="26"/>
      <c r="S57" s="40">
        <f t="shared" si="17"/>
        <v>1</v>
      </c>
      <c r="T57" s="57" t="str">
        <f t="shared" si="18"/>
        <v>NorthBound</v>
      </c>
      <c r="U57" s="82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08:08:48-0600',mode:absolute,to:'2016-08-03 10:50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7" s="62" t="str">
        <f t="shared" si="20"/>
        <v>N</v>
      </c>
      <c r="X57" s="124">
        <f t="shared" si="21"/>
        <v>1</v>
      </c>
      <c r="Y57" s="77">
        <f t="shared" si="22"/>
        <v>4.4400000000000002E-2</v>
      </c>
      <c r="Z57" s="77">
        <f t="shared" si="23"/>
        <v>23.331199999999999</v>
      </c>
      <c r="AA57" s="77">
        <f t="shared" si="24"/>
        <v>23.286799999999999</v>
      </c>
      <c r="AB57" s="74" t="e">
        <f>VLOOKUP(A57,Enforcements!$C$7:$J$24,8,0)</f>
        <v>#N/A</v>
      </c>
      <c r="AC57" s="70" t="e">
        <f>VLOOKUP(A57,Enforcements!$C$7:$E$24,3,0)</f>
        <v>#N/A</v>
      </c>
      <c r="AD57" s="71" t="str">
        <f t="shared" si="25"/>
        <v>0145-03</v>
      </c>
      <c r="AE57" s="131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57" s="128" t="str">
        <f t="shared" si="27"/>
        <v>"C:\Program Files (x86)\AstroGrep\AstroGrep.exe" /spath="%USERPROFILE%\AppData\Local\Temp\OnboardLogs" /stypes="*4011*20160803*" /stext=" 15:.+((SYSTEM_STATE.+slice.+state.+changed )|(ment ac)|(system.+state.+changed )|(\|lc)|(penalty)|(\[timeout)|(PRM\|1\|D)|(kpr)|(kdp))" /e /r /s</v>
      </c>
      <c r="AG57" s="1" t="str">
        <f t="shared" si="28"/>
        <v>EC</v>
      </c>
      <c r="AH57" s="132" t="str">
        <f>refinertdcruntimes&amp;" --tripid "&amp;A57&amp;" --locoid "&amp;B57&amp;" --swversion "&amp;C57&amp;" --startMP "&amp;D57&amp;" --initTime "&amp;TEXT(E57,"yyyy-mm-ddTHH:MM:SS")&amp;" --startdatetime "&amp;TEXT(F57,"yyyy-mm-ddTHH:MM:SS")&amp;" --delay "&amp;G57&amp;" --endMP "&amp;H57&amp;" --enddatetime "&amp;TEXT(I57,"yyyy-mm-ddTHH:MM:SS")&amp;" --enforcementcount "&amp;J57&amp;" &gt;&gt; "&amp;TEXT(Variables!$A$2,"yyyy-mm-dd")&amp;"-refined-runtimes.txt"</f>
        <v>"%USERPROFILE%\Documents\GitHub\eaglep3\Utilities\RefineRTDCRunTimes.py" --tripid 145-03 --locoid 4011 --swversion DE.1.0.7.0 --startMP 204:444 --initTime 2016-08-03T09:08:48 --startdatetime 2016-08-03T09:10:34 --delay 1 --endMP 204:233312 --enddatetime 2016-08-03T09:50:57 --enforcementcount 0 &gt;&gt; 2016-08-03-refined-runtimes.txt</v>
      </c>
    </row>
    <row r="58" spans="1:34" x14ac:dyDescent="0.25">
      <c r="A58" s="25" t="s">
        <v>580</v>
      </c>
      <c r="B58" s="94">
        <v>4012</v>
      </c>
      <c r="C58" s="95" t="s">
        <v>163</v>
      </c>
      <c r="D58" s="95" t="s">
        <v>319</v>
      </c>
      <c r="E58" s="96">
        <v>42585.417013888888</v>
      </c>
      <c r="F58" s="96">
        <v>42585.418078703704</v>
      </c>
      <c r="G58" s="94">
        <v>1</v>
      </c>
      <c r="H58" s="96" t="s">
        <v>188</v>
      </c>
      <c r="I58" s="96">
        <v>42585.454340277778</v>
      </c>
      <c r="J58" s="94">
        <v>0</v>
      </c>
      <c r="K58" s="121" t="str">
        <f t="shared" si="15"/>
        <v>4011/4012</v>
      </c>
      <c r="L58" s="25" t="str">
        <f>VLOOKUP(A58,'Trips&amp;Operators'!$C$1:$E$10000,3,FALSE)</f>
        <v>ACKERMAN</v>
      </c>
      <c r="M58" s="6">
        <f t="shared" si="16"/>
        <v>3.6261574074160308E-2</v>
      </c>
      <c r="N58" s="7">
        <f t="shared" si="2"/>
        <v>52.216666666790843</v>
      </c>
      <c r="O58" s="7"/>
      <c r="P58" s="7"/>
      <c r="Q58" s="26"/>
      <c r="R58" s="26"/>
      <c r="S58" s="40">
        <f t="shared" si="17"/>
        <v>1</v>
      </c>
      <c r="T58" s="57" t="str">
        <f t="shared" si="18"/>
        <v>Southbound</v>
      </c>
      <c r="U58" s="82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09:00:30-0600',mode:absolute,to:'2016-08-03 11:54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8" s="62" t="str">
        <f t="shared" si="20"/>
        <v>N</v>
      </c>
      <c r="X58" s="124">
        <f t="shared" si="21"/>
        <v>1</v>
      </c>
      <c r="Y58" s="77">
        <f t="shared" si="22"/>
        <v>23.298200000000001</v>
      </c>
      <c r="Z58" s="77">
        <f t="shared" si="23"/>
        <v>1.34E-2</v>
      </c>
      <c r="AA58" s="77">
        <f t="shared" si="24"/>
        <v>23.284800000000001</v>
      </c>
      <c r="AB58" s="74" t="e">
        <f>VLOOKUP(A58,Enforcements!$C$7:$J$24,8,0)</f>
        <v>#N/A</v>
      </c>
      <c r="AC58" s="70" t="e">
        <f>VLOOKUP(A58,Enforcements!$C$7:$E$24,3,0)</f>
        <v>#N/A</v>
      </c>
      <c r="AD58" s="71" t="str">
        <f t="shared" si="25"/>
        <v>0146-03</v>
      </c>
      <c r="AE58" s="131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58" s="128" t="str">
        <f t="shared" si="27"/>
        <v>"C:\Program Files (x86)\AstroGrep\AstroGrep.exe" /spath="%USERPROFILE%\AppData\Local\Temp\OnboardLogs" /stypes="*4012*20160803*" /stext=" 16:.+((SYSTEM_STATE.+slice.+state.+changed )|(ment ac)|(system.+state.+changed )|(\|lc)|(penalty)|(\[timeout)|(PRM\|1\|D)|(kpr)|(kdp))" /e /r /s</v>
      </c>
      <c r="AG58" s="1" t="str">
        <f t="shared" si="28"/>
        <v>EC</v>
      </c>
      <c r="AH58" s="132" t="str">
        <f>refinertdcruntimes&amp;" --tripid "&amp;A58&amp;" --locoid "&amp;B58&amp;" --swversion "&amp;C58&amp;" --startMP "&amp;D58&amp;" --initTime "&amp;TEXT(E58,"yyyy-mm-ddTHH:MM:SS")&amp;" --startdatetime "&amp;TEXT(F58,"yyyy-mm-ddTHH:MM:SS")&amp;" --delay "&amp;G58&amp;" --endMP "&amp;H58&amp;" --enddatetime "&amp;TEXT(I58,"yyyy-mm-ddTHH:MM:SS")&amp;" --enforcementcount "&amp;J58&amp;" &gt;&gt; "&amp;TEXT(Variables!$A$2,"yyyy-mm-dd")&amp;"-refined-runtimes.txt"</f>
        <v>"%USERPROFILE%\Documents\GitHub\eaglep3\Utilities\RefineRTDCRunTimes.py" --tripid 146-03 --locoid 4012 --swversion DE.1.0.7.0 --startMP 204:232982 --initTime 2016-08-03T10:00:30 --startdatetime 2016-08-03T10:02:02 --delay 1 --endMP 204:134 --enddatetime 2016-08-03T10:54:15 --enforcementcount 0 &gt;&gt; 2016-08-03-refined-runtimes.txt</v>
      </c>
    </row>
    <row r="59" spans="1:34" x14ac:dyDescent="0.25">
      <c r="A59" s="25" t="s">
        <v>581</v>
      </c>
      <c r="B59" s="94">
        <v>4044</v>
      </c>
      <c r="C59" s="95" t="s">
        <v>163</v>
      </c>
      <c r="D59" s="95" t="s">
        <v>306</v>
      </c>
      <c r="E59" s="96">
        <v>42585.393460648149</v>
      </c>
      <c r="F59" s="96">
        <v>42585.394375000003</v>
      </c>
      <c r="G59" s="94">
        <v>1</v>
      </c>
      <c r="H59" s="96" t="s">
        <v>149</v>
      </c>
      <c r="I59" s="96">
        <v>42585.428703703707</v>
      </c>
      <c r="J59" s="94">
        <v>0</v>
      </c>
      <c r="K59" s="121" t="str">
        <f t="shared" si="15"/>
        <v>4043/4044</v>
      </c>
      <c r="L59" s="25" t="str">
        <f>VLOOKUP(A59,'Trips&amp;Operators'!$C$1:$E$10000,3,FALSE)</f>
        <v>STRICKLAND</v>
      </c>
      <c r="M59" s="6">
        <f t="shared" si="16"/>
        <v>3.4328703703067731E-2</v>
      </c>
      <c r="N59" s="7">
        <f t="shared" si="2"/>
        <v>49.433333332417533</v>
      </c>
      <c r="O59" s="7"/>
      <c r="P59" s="7"/>
      <c r="Q59" s="26"/>
      <c r="R59" s="26"/>
      <c r="S59" s="40">
        <f t="shared" si="17"/>
        <v>1</v>
      </c>
      <c r="T59" s="57" t="str">
        <f t="shared" si="18"/>
        <v>NorthBound</v>
      </c>
      <c r="U59" s="82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08:26:35-0600',mode:absolute,to:'2016-08-03 11:17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59" s="62" t="str">
        <f t="shared" si="20"/>
        <v>N</v>
      </c>
      <c r="X59" s="124">
        <f t="shared" si="21"/>
        <v>1</v>
      </c>
      <c r="Y59" s="77">
        <f t="shared" si="22"/>
        <v>4.7800000000000002E-2</v>
      </c>
      <c r="Z59" s="77">
        <f t="shared" si="23"/>
        <v>23.3293</v>
      </c>
      <c r="AA59" s="77">
        <f t="shared" si="24"/>
        <v>23.281500000000001</v>
      </c>
      <c r="AB59" s="74" t="e">
        <f>VLOOKUP(A59,Enforcements!$C$7:$J$24,8,0)</f>
        <v>#N/A</v>
      </c>
      <c r="AC59" s="70" t="e">
        <f>VLOOKUP(A59,Enforcements!$C$7:$E$24,3,0)</f>
        <v>#N/A</v>
      </c>
      <c r="AD59" s="71" t="str">
        <f t="shared" si="25"/>
        <v>0147-03</v>
      </c>
      <c r="AE59" s="131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59" s="128" t="str">
        <f t="shared" si="27"/>
        <v>"C:\Program Files (x86)\AstroGrep\AstroGrep.exe" /spath="%USERPROFILE%\AppData\Local\Temp\OnboardLogs" /stypes="*4044*20160803*" /stext=" 16:.+((SYSTEM_STATE.+slice.+state.+changed )|(ment ac)|(system.+state.+changed )|(\|lc)|(penalty)|(\[timeout)|(PRM\|1\|D)|(kpr)|(kdp))" /e /r /s</v>
      </c>
      <c r="AG59" s="1" t="str">
        <f t="shared" si="28"/>
        <v>EC</v>
      </c>
      <c r="AH59" s="132" t="str">
        <f>refinertdcruntimes&amp;" --tripid "&amp;A59&amp;" --locoid "&amp;B59&amp;" --swversion "&amp;C59&amp;" --startMP "&amp;D59&amp;" --initTime "&amp;TEXT(E59,"yyyy-mm-ddTHH:MM:SS")&amp;" --startdatetime "&amp;TEXT(F59,"yyyy-mm-ddTHH:MM:SS")&amp;" --delay "&amp;G59&amp;" --endMP "&amp;H59&amp;" --enddatetime "&amp;TEXT(I59,"yyyy-mm-ddTHH:MM:SS")&amp;" --enforcementcount "&amp;J59&amp;" &gt;&gt; "&amp;TEXT(Variables!$A$2,"yyyy-mm-dd")&amp;"-refined-runtimes.txt"</f>
        <v>"%USERPROFILE%\Documents\GitHub\eaglep3\Utilities\RefineRTDCRunTimes.py" --tripid 147-03 --locoid 4044 --swversion DE.1.0.7.0 --startMP 204:478 --initTime 2016-08-03T09:26:35 --startdatetime 2016-08-03T09:27:54 --delay 1 --endMP 204:233293 --enddatetime 2016-08-03T10:17:20 --enforcementcount 0 &gt;&gt; 2016-08-03-refined-runtimes.txt</v>
      </c>
    </row>
    <row r="60" spans="1:34" x14ac:dyDescent="0.25">
      <c r="A60" s="25" t="s">
        <v>504</v>
      </c>
      <c r="B60" s="94">
        <v>4043</v>
      </c>
      <c r="C60" s="95" t="s">
        <v>163</v>
      </c>
      <c r="D60" s="95" t="s">
        <v>400</v>
      </c>
      <c r="E60" s="96">
        <v>42585.432129629633</v>
      </c>
      <c r="F60" s="96">
        <v>42585.433298611111</v>
      </c>
      <c r="G60" s="94">
        <v>1</v>
      </c>
      <c r="H60" s="96" t="s">
        <v>404</v>
      </c>
      <c r="I60" s="96">
        <v>42585.464305555557</v>
      </c>
      <c r="J60" s="94">
        <v>2</v>
      </c>
      <c r="K60" s="121" t="str">
        <f t="shared" si="15"/>
        <v>4043/4044</v>
      </c>
      <c r="L60" s="25" t="str">
        <f>VLOOKUP(A60,'Trips&amp;Operators'!$C$1:$E$10000,3,FALSE)</f>
        <v>STRICKLAND</v>
      </c>
      <c r="M60" s="6">
        <f t="shared" si="16"/>
        <v>3.1006944445834961E-2</v>
      </c>
      <c r="N60" s="7">
        <f t="shared" si="2"/>
        <v>44.650000002002344</v>
      </c>
      <c r="O60" s="7"/>
      <c r="P60" s="7"/>
      <c r="Q60" s="26"/>
      <c r="R60" s="26"/>
      <c r="S60" s="40">
        <f t="shared" si="17"/>
        <v>1</v>
      </c>
      <c r="T60" s="57" t="str">
        <f t="shared" si="18"/>
        <v>Southbound</v>
      </c>
      <c r="U60" s="82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0" s="62" t="str">
        <f t="shared" si="20"/>
        <v>N</v>
      </c>
      <c r="X60" s="124">
        <f t="shared" si="21"/>
        <v>1</v>
      </c>
      <c r="Y60" s="77">
        <f t="shared" si="22"/>
        <v>23.297899999999998</v>
      </c>
      <c r="Z60" s="77">
        <f t="shared" si="23"/>
        <v>1.32E-2</v>
      </c>
      <c r="AA60" s="77">
        <f t="shared" si="24"/>
        <v>23.284699999999997</v>
      </c>
      <c r="AB60" s="74" t="e">
        <f>VLOOKUP(A60,Enforcements!$C$7:$J$24,8,0)</f>
        <v>#N/A</v>
      </c>
      <c r="AC60" s="70" t="e">
        <f>VLOOKUP(A60,Enforcements!$C$7:$E$24,3,0)</f>
        <v>#N/A</v>
      </c>
      <c r="AD60" s="71" t="str">
        <f t="shared" si="25"/>
        <v>0148-03</v>
      </c>
      <c r="AE60" s="131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60" s="128" t="str">
        <f t="shared" si="27"/>
        <v>"C:\Program Files (x86)\AstroGrep\AstroGrep.exe" /spath="%USERPROFILE%\AppData\Local\Temp\OnboardLogs" /stypes="*4043*20160803*" /stext=" 17:.+((SYSTEM_STATE.+slice.+state.+changed )|(ment ac)|(system.+state.+changed )|(\|lc)|(penalty)|(\[timeout)|(PRM\|1\|D)|(kpr)|(kdp))" /e /r /s</v>
      </c>
      <c r="AG60" s="1" t="str">
        <f t="shared" si="28"/>
        <v>EC</v>
      </c>
      <c r="AH60" s="132" t="str">
        <f>refinertdcruntimes&amp;" --tripid "&amp;A60&amp;" --locoid "&amp;B60&amp;" --swversion "&amp;C60&amp;" --startMP "&amp;D60&amp;" --initTime "&amp;TEXT(E60,"yyyy-mm-ddTHH:MM:SS")&amp;" --startdatetime "&amp;TEXT(F60,"yyyy-mm-ddTHH:MM:SS")&amp;" --delay "&amp;G60&amp;" --endMP "&amp;H60&amp;" --enddatetime "&amp;TEXT(I60,"yyyy-mm-ddTHH:MM:SS")&amp;" --enforcementcount "&amp;J60&amp;" &gt;&gt; "&amp;TEXT(Variables!$A$2,"yyyy-mm-dd")&amp;"-refined-runtimes.txt"</f>
        <v>"%USERPROFILE%\Documents\GitHub\eaglep3\Utilities\RefineRTDCRunTimes.py" --tripid 148-03 --locoid 4043 --swversion DE.1.0.7.0 --startMP 204:232979 --initTime 2016-08-03T10:22:16 --startdatetime 2016-08-03T10:23:57 --delay 1 --endMP 204:132 --enddatetime 2016-08-03T11:08:36 --enforcementcount 2 &gt;&gt; 2016-08-03-refined-runtimes.txt</v>
      </c>
    </row>
    <row r="61" spans="1:34" x14ac:dyDescent="0.25">
      <c r="A61" s="25" t="s">
        <v>582</v>
      </c>
      <c r="B61" s="94">
        <v>4042</v>
      </c>
      <c r="C61" s="95" t="s">
        <v>163</v>
      </c>
      <c r="D61" s="95" t="s">
        <v>583</v>
      </c>
      <c r="E61" s="96">
        <v>42585.403090277781</v>
      </c>
      <c r="F61" s="96">
        <v>42585.404236111113</v>
      </c>
      <c r="G61" s="94">
        <v>1</v>
      </c>
      <c r="H61" s="96" t="s">
        <v>584</v>
      </c>
      <c r="I61" s="96">
        <v>42585.433854166666</v>
      </c>
      <c r="J61" s="94">
        <v>0</v>
      </c>
      <c r="K61" s="121" t="str">
        <f t="shared" si="15"/>
        <v>4041/4042</v>
      </c>
      <c r="L61" s="25" t="str">
        <f>VLOOKUP(A61,'Trips&amp;Operators'!$C$1:$E$10000,3,FALSE)</f>
        <v>SPECTOR</v>
      </c>
      <c r="M61" s="6">
        <f t="shared" si="16"/>
        <v>2.9618055552418809E-2</v>
      </c>
      <c r="N61" s="7">
        <f t="shared" si="2"/>
        <v>42.649999995483086</v>
      </c>
      <c r="O61" s="7"/>
      <c r="P61" s="7"/>
      <c r="Q61" s="26"/>
      <c r="R61" s="26"/>
      <c r="S61" s="40">
        <f t="shared" si="17"/>
        <v>1</v>
      </c>
      <c r="T61" s="57" t="str">
        <f t="shared" si="18"/>
        <v>NorthBound</v>
      </c>
      <c r="U61" s="82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08:40:27-0600',mode:absolute,to:'2016-08-03 11:24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1" s="62" t="str">
        <f t="shared" si="20"/>
        <v>N</v>
      </c>
      <c r="X61" s="124">
        <f t="shared" si="21"/>
        <v>1</v>
      </c>
      <c r="Y61" s="77">
        <f t="shared" si="22"/>
        <v>4.9700000000000001E-2</v>
      </c>
      <c r="Z61" s="77">
        <f t="shared" si="23"/>
        <v>23.332000000000001</v>
      </c>
      <c r="AA61" s="77">
        <f t="shared" si="24"/>
        <v>23.282299999999999</v>
      </c>
      <c r="AB61" s="74" t="e">
        <f>VLOOKUP(A61,Enforcements!$C$7:$J$24,8,0)</f>
        <v>#N/A</v>
      </c>
      <c r="AC61" s="70" t="e">
        <f>VLOOKUP(A61,Enforcements!$C$7:$E$24,3,0)</f>
        <v>#N/A</v>
      </c>
      <c r="AD61" s="71" t="str">
        <f t="shared" si="25"/>
        <v>0149-03</v>
      </c>
      <c r="AE61" s="131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61" s="128" t="str">
        <f t="shared" si="27"/>
        <v>"C:\Program Files (x86)\AstroGrep\AstroGrep.exe" /spath="%USERPROFILE%\AppData\Local\Temp\OnboardLogs" /stypes="*4042*20160803*" /stext=" 16:.+((SYSTEM_STATE.+slice.+state.+changed )|(ment ac)|(system.+state.+changed )|(\|lc)|(penalty)|(\[timeout)|(PRM\|1\|D)|(kpr)|(kdp))" /e /r /s</v>
      </c>
      <c r="AG61" s="1" t="str">
        <f t="shared" si="28"/>
        <v>EC</v>
      </c>
      <c r="AH61" s="132" t="str">
        <f>refinertdcruntimes&amp;" --tripid "&amp;A61&amp;" --locoid "&amp;B61&amp;" --swversion "&amp;C61&amp;" --startMP "&amp;D61&amp;" --initTime "&amp;TEXT(E61,"yyyy-mm-ddTHH:MM:SS")&amp;" --startdatetime "&amp;TEXT(F61,"yyyy-mm-ddTHH:MM:SS")&amp;" --delay "&amp;G61&amp;" --endMP "&amp;H61&amp;" --enddatetime "&amp;TEXT(I61,"yyyy-mm-ddTHH:MM:SS")&amp;" --enforcementcount "&amp;J61&amp;" &gt;&gt; "&amp;TEXT(Variables!$A$2,"yyyy-mm-dd")&amp;"-refined-runtimes.txt"</f>
        <v>"%USERPROFILE%\Documents\GitHub\eaglep3\Utilities\RefineRTDCRunTimes.py" --tripid 149-03 --locoid 4042 --swversion DE.1.0.7.0 --startMP 204:497 --initTime 2016-08-03T09:40:27 --startdatetime 2016-08-03T09:42:06 --delay 1 --endMP 204:233320 --enddatetime 2016-08-03T10:24:45 --enforcementcount 0 &gt;&gt; 2016-08-03-refined-runtimes.txt</v>
      </c>
    </row>
    <row r="62" spans="1:34" x14ac:dyDescent="0.25">
      <c r="A62" s="25" t="s">
        <v>585</v>
      </c>
      <c r="B62" s="94">
        <v>4041</v>
      </c>
      <c r="C62" s="95" t="s">
        <v>163</v>
      </c>
      <c r="D62" s="95" t="s">
        <v>586</v>
      </c>
      <c r="E62" s="96">
        <v>42585.442893518521</v>
      </c>
      <c r="F62" s="96">
        <v>42585.443877314814</v>
      </c>
      <c r="G62" s="94">
        <v>1</v>
      </c>
      <c r="H62" s="96" t="s">
        <v>110</v>
      </c>
      <c r="I62" s="96">
        <v>42585.472650462965</v>
      </c>
      <c r="J62" s="94">
        <v>0</v>
      </c>
      <c r="K62" s="121" t="str">
        <f t="shared" si="15"/>
        <v>4041/4042</v>
      </c>
      <c r="L62" s="25" t="str">
        <f>VLOOKUP(A62,'Trips&amp;Operators'!$C$1:$E$10000,3,FALSE)</f>
        <v>SPECTOR</v>
      </c>
      <c r="M62" s="6">
        <f t="shared" si="16"/>
        <v>2.8773148151230998E-2</v>
      </c>
      <c r="N62" s="7">
        <f t="shared" si="2"/>
        <v>41.433333337772638</v>
      </c>
      <c r="O62" s="7"/>
      <c r="P62" s="7"/>
      <c r="Q62" s="26"/>
      <c r="R62" s="26"/>
      <c r="S62" s="40">
        <f t="shared" si="17"/>
        <v>1</v>
      </c>
      <c r="T62" s="57" t="str">
        <f t="shared" si="18"/>
        <v>Southbound</v>
      </c>
      <c r="U62" s="82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09:37:46-0600',mode:absolute,to:'2016-08-03 12:20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2" s="62" t="str">
        <f t="shared" si="20"/>
        <v>N</v>
      </c>
      <c r="X62" s="124">
        <f t="shared" si="21"/>
        <v>1</v>
      </c>
      <c r="Y62" s="77">
        <f t="shared" si="22"/>
        <v>23.298400000000001</v>
      </c>
      <c r="Z62" s="77">
        <f t="shared" si="23"/>
        <v>1.5599999999999999E-2</v>
      </c>
      <c r="AA62" s="77">
        <f t="shared" si="24"/>
        <v>23.282800000000002</v>
      </c>
      <c r="AB62" s="74" t="e">
        <f>VLOOKUP(A62,Enforcements!$C$7:$J$24,8,0)</f>
        <v>#N/A</v>
      </c>
      <c r="AC62" s="70" t="e">
        <f>VLOOKUP(A62,Enforcements!$C$7:$E$24,3,0)</f>
        <v>#N/A</v>
      </c>
      <c r="AD62" s="71" t="str">
        <f t="shared" si="25"/>
        <v>0150-03</v>
      </c>
      <c r="AE62" s="131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62" s="128" t="str">
        <f t="shared" si="27"/>
        <v>"C:\Program Files (x86)\AstroGrep\AstroGrep.exe" /spath="%USERPROFILE%\AppData\Local\Temp\OnboardLogs" /stypes="*4041*20160803*" /stext=" 17:.+((SYSTEM_STATE.+slice.+state.+changed )|(ment ac)|(system.+state.+changed )|(\|lc)|(penalty)|(\[timeout)|(PRM\|1\|D)|(kpr)|(kdp))" /e /r /s</v>
      </c>
      <c r="AG62" s="1" t="str">
        <f t="shared" si="28"/>
        <v>EC</v>
      </c>
      <c r="AH62" s="132" t="str">
        <f>refinertdcruntimes&amp;" --tripid "&amp;A62&amp;" --locoid "&amp;B62&amp;" --swversion "&amp;C62&amp;" --startMP "&amp;D62&amp;" --initTime "&amp;TEXT(E62,"yyyy-mm-ddTHH:MM:SS")&amp;" --startdatetime "&amp;TEXT(F62,"yyyy-mm-ddTHH:MM:SS")&amp;" --delay "&amp;G62&amp;" --endMP "&amp;H62&amp;" --enddatetime "&amp;TEXT(I62,"yyyy-mm-ddTHH:MM:SS")&amp;" --enforcementcount "&amp;J62&amp;" &gt;&gt; "&amp;TEXT(Variables!$A$2,"yyyy-mm-dd")&amp;"-refined-runtimes.txt"</f>
        <v>"%USERPROFILE%\Documents\GitHub\eaglep3\Utilities\RefineRTDCRunTimes.py" --tripid 150-03 --locoid 4041 --swversion DE.1.0.7.0 --startMP 204:232984 --initTime 2016-08-03T10:37:46 --startdatetime 2016-08-03T10:39:11 --delay 1 --endMP 204:156 --enddatetime 2016-08-03T11:20:37 --enforcementcount 0 &gt;&gt; 2016-08-03-refined-runtimes.txt</v>
      </c>
    </row>
    <row r="63" spans="1:34" x14ac:dyDescent="0.25">
      <c r="A63" s="25" t="s">
        <v>587</v>
      </c>
      <c r="B63" s="94">
        <v>4025</v>
      </c>
      <c r="C63" s="95" t="s">
        <v>163</v>
      </c>
      <c r="D63" s="95" t="s">
        <v>317</v>
      </c>
      <c r="E63" s="96">
        <v>42585.41369212963</v>
      </c>
      <c r="F63" s="96">
        <v>42585.414895833332</v>
      </c>
      <c r="G63" s="94">
        <v>1</v>
      </c>
      <c r="H63" s="96" t="s">
        <v>401</v>
      </c>
      <c r="I63" s="96">
        <v>42585.442835648151</v>
      </c>
      <c r="J63" s="94">
        <v>0</v>
      </c>
      <c r="K63" s="121" t="str">
        <f t="shared" si="15"/>
        <v>4025/4026</v>
      </c>
      <c r="L63" s="25" t="str">
        <f>VLOOKUP(A63,'Trips&amp;Operators'!$C$1:$E$10000,3,FALSE)</f>
        <v>HELVIE</v>
      </c>
      <c r="M63" s="6">
        <f t="shared" si="16"/>
        <v>2.7939814819546882E-2</v>
      </c>
      <c r="N63" s="7">
        <f t="shared" si="2"/>
        <v>40.23333334014751</v>
      </c>
      <c r="O63" s="7"/>
      <c r="P63" s="7"/>
      <c r="Q63" s="26"/>
      <c r="R63" s="26"/>
      <c r="S63" s="40">
        <f t="shared" si="17"/>
        <v>1</v>
      </c>
      <c r="T63" s="57" t="str">
        <f t="shared" si="18"/>
        <v>NorthBound</v>
      </c>
      <c r="U63" s="82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08:55:43-0600',mode:absolute,to:'2016-08-03 11:37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3" s="62" t="str">
        <f t="shared" si="20"/>
        <v>N</v>
      </c>
      <c r="X63" s="124">
        <f t="shared" si="21"/>
        <v>1</v>
      </c>
      <c r="Y63" s="77">
        <f t="shared" si="22"/>
        <v>4.4699999999999997E-2</v>
      </c>
      <c r="Z63" s="77">
        <f t="shared" si="23"/>
        <v>23.333200000000001</v>
      </c>
      <c r="AA63" s="77">
        <f t="shared" si="24"/>
        <v>23.288500000000003</v>
      </c>
      <c r="AB63" s="74" t="e">
        <f>VLOOKUP(A63,Enforcements!$C$7:$J$24,8,0)</f>
        <v>#N/A</v>
      </c>
      <c r="AC63" s="70" t="e">
        <f>VLOOKUP(A63,Enforcements!$C$7:$E$24,3,0)</f>
        <v>#N/A</v>
      </c>
      <c r="AD63" s="71" t="str">
        <f t="shared" si="25"/>
        <v>0151-03</v>
      </c>
      <c r="AE63" s="131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63" s="128" t="str">
        <f t="shared" si="27"/>
        <v>"C:\Program Files (x86)\AstroGrep\AstroGrep.exe" /spath="%USERPROFILE%\AppData\Local\Temp\OnboardLogs" /stypes="*4025*20160803*" /stext=" 16:.+((SYSTEM_STATE.+slice.+state.+changed )|(ment ac)|(system.+state.+changed )|(\|lc)|(penalty)|(\[timeout)|(PRM\|1\|D)|(kpr)|(kdp))" /e /r /s</v>
      </c>
      <c r="AG63" s="1" t="str">
        <f t="shared" si="28"/>
        <v>EC</v>
      </c>
      <c r="AH63" s="132" t="str">
        <f>refinertdcruntimes&amp;" --tripid "&amp;A63&amp;" --locoid "&amp;B63&amp;" --swversion "&amp;C63&amp;" --startMP "&amp;D63&amp;" --initTime "&amp;TEXT(E63,"yyyy-mm-ddTHH:MM:SS")&amp;" --startdatetime "&amp;TEXT(F63,"yyyy-mm-ddTHH:MM:SS")&amp;" --delay "&amp;G63&amp;" --endMP "&amp;H63&amp;" --enddatetime "&amp;TEXT(I63,"yyyy-mm-ddTHH:MM:SS")&amp;" --enforcementcount "&amp;J63&amp;" &gt;&gt; "&amp;TEXT(Variables!$A$2,"yyyy-mm-dd")&amp;"-refined-runtimes.txt"</f>
        <v>"%USERPROFILE%\Documents\GitHub\eaglep3\Utilities\RefineRTDCRunTimes.py" --tripid 151-03 --locoid 4025 --swversion DE.1.0.7.0 --startMP 204:447 --initTime 2016-08-03T09:55:43 --startdatetime 2016-08-03T09:57:27 --delay 1 --endMP 204:233332 --enddatetime 2016-08-03T10:37:41 --enforcementcount 0 &gt;&gt; 2016-08-03-refined-runtimes.txt</v>
      </c>
    </row>
    <row r="64" spans="1:34" x14ac:dyDescent="0.25">
      <c r="A64" s="25" t="s">
        <v>588</v>
      </c>
      <c r="B64" s="94">
        <v>4026</v>
      </c>
      <c r="C64" s="95" t="s">
        <v>163</v>
      </c>
      <c r="D64" s="95" t="s">
        <v>589</v>
      </c>
      <c r="E64" s="96">
        <v>42585.449143518519</v>
      </c>
      <c r="F64" s="96">
        <v>42585.449988425928</v>
      </c>
      <c r="G64" s="94">
        <v>1</v>
      </c>
      <c r="H64" s="96" t="s">
        <v>590</v>
      </c>
      <c r="I64" s="96">
        <v>42585.481550925928</v>
      </c>
      <c r="J64" s="94">
        <v>0</v>
      </c>
      <c r="K64" s="121" t="str">
        <f t="shared" si="15"/>
        <v>4025/4026</v>
      </c>
      <c r="L64" s="25" t="str">
        <f>VLOOKUP(A64,'Trips&amp;Operators'!$C$1:$E$10000,3,FALSE)</f>
        <v>HELVIE</v>
      </c>
      <c r="M64" s="6">
        <f t="shared" si="16"/>
        <v>3.1562500000291038E-2</v>
      </c>
      <c r="N64" s="7">
        <f t="shared" si="2"/>
        <v>45.450000000419095</v>
      </c>
      <c r="O64" s="7"/>
      <c r="P64" s="7"/>
      <c r="Q64" s="26"/>
      <c r="R64" s="26"/>
      <c r="S64" s="40">
        <f t="shared" si="17"/>
        <v>1</v>
      </c>
      <c r="T64" s="57" t="str">
        <f t="shared" si="18"/>
        <v>Southbound</v>
      </c>
      <c r="U64" s="82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09:46:46-0600',mode:absolute,to:'2016-08-03 12:33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4" s="62" t="str">
        <f t="shared" si="20"/>
        <v>N</v>
      </c>
      <c r="X64" s="124">
        <f t="shared" si="21"/>
        <v>1</v>
      </c>
      <c r="Y64" s="77">
        <f t="shared" si="22"/>
        <v>23.3</v>
      </c>
      <c r="Z64" s="77">
        <f t="shared" si="23"/>
        <v>1.5800000000000002E-2</v>
      </c>
      <c r="AA64" s="77">
        <f t="shared" si="24"/>
        <v>23.284200000000002</v>
      </c>
      <c r="AB64" s="74" t="e">
        <f>VLOOKUP(A64,Enforcements!$C$7:$J$24,8,0)</f>
        <v>#N/A</v>
      </c>
      <c r="AC64" s="70" t="e">
        <f>VLOOKUP(A64,Enforcements!$C$7:$E$24,3,0)</f>
        <v>#N/A</v>
      </c>
      <c r="AD64" s="71" t="str">
        <f t="shared" si="25"/>
        <v>0152-03</v>
      </c>
      <c r="AE64" s="131" t="str">
        <f t="shared" si="26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64" s="128" t="str">
        <f t="shared" si="27"/>
        <v>"C:\Program Files (x86)\AstroGrep\AstroGrep.exe" /spath="%USERPROFILE%\AppData\Local\Temp\OnboardLogs" /stypes="*4026*20160803*" /stext=" 17:.+((SYSTEM_STATE.+slice.+state.+changed )|(ment ac)|(system.+state.+changed )|(\|lc)|(penalty)|(\[timeout)|(PRM\|1\|D)|(kpr)|(kdp))" /e /r /s</v>
      </c>
      <c r="AG64" s="1" t="str">
        <f t="shared" si="28"/>
        <v>EC</v>
      </c>
      <c r="AH64" s="132" t="str">
        <f>refinertdcruntimes&amp;" --tripid "&amp;A64&amp;" --locoid "&amp;B64&amp;" --swversion "&amp;C64&amp;" --startMP "&amp;D64&amp;" --initTime "&amp;TEXT(E64,"yyyy-mm-ddTHH:MM:SS")&amp;" --startdatetime "&amp;TEXT(F64,"yyyy-mm-ddTHH:MM:SS")&amp;" --delay "&amp;G64&amp;" --endMP "&amp;H64&amp;" --enddatetime "&amp;TEXT(I64,"yyyy-mm-ddTHH:MM:SS")&amp;" --enforcementcount "&amp;J64&amp;" &gt;&gt; "&amp;TEXT(Variables!$A$2,"yyyy-mm-dd")&amp;"-refined-runtimes.txt"</f>
        <v>"%USERPROFILE%\Documents\GitHub\eaglep3\Utilities\RefineRTDCRunTimes.py" --tripid 152-03 --locoid 4026 --swversion DE.1.0.7.0 --startMP 204:233000 --initTime 2016-08-03T10:46:46 --startdatetime 2016-08-03T10:47:59 --delay 1 --endMP 204:158 --enddatetime 2016-08-03T11:33:26 --enforcementcount 0 &gt;&gt; 2016-08-03-refined-runtimes.txt</v>
      </c>
    </row>
    <row r="65" spans="1:34" s="24" customFormat="1" x14ac:dyDescent="0.25">
      <c r="A65" s="25" t="s">
        <v>591</v>
      </c>
      <c r="B65" s="94">
        <v>4038</v>
      </c>
      <c r="C65" s="95" t="s">
        <v>163</v>
      </c>
      <c r="D65" s="95" t="s">
        <v>116</v>
      </c>
      <c r="E65" s="96">
        <v>42585.42560185185</v>
      </c>
      <c r="F65" s="96">
        <v>42585.426469907405</v>
      </c>
      <c r="G65" s="94">
        <v>1</v>
      </c>
      <c r="H65" s="96" t="s">
        <v>152</v>
      </c>
      <c r="I65" s="96">
        <v>42585.451932870368</v>
      </c>
      <c r="J65" s="94">
        <v>0</v>
      </c>
      <c r="K65" s="121" t="str">
        <f t="shared" si="15"/>
        <v>4037/4038</v>
      </c>
      <c r="L65" s="25" t="str">
        <f>VLOOKUP(A65,'Trips&amp;Operators'!$C$1:$E$10000,3,FALSE)</f>
        <v>ROCHA</v>
      </c>
      <c r="M65" s="6">
        <f t="shared" si="16"/>
        <v>2.5462962963501923E-2</v>
      </c>
      <c r="N65" s="7">
        <f t="shared" si="2"/>
        <v>36.666666667442769</v>
      </c>
      <c r="O65" s="7"/>
      <c r="P65" s="7"/>
      <c r="Q65" s="26"/>
      <c r="R65" s="26"/>
      <c r="S65" s="40">
        <f t="shared" si="17"/>
        <v>1</v>
      </c>
      <c r="T65" s="57" t="str">
        <f t="shared" si="18"/>
        <v>NorthBound</v>
      </c>
      <c r="U65" s="82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09:12:52-0600',mode:absolute,to:'2016-08-03 11:50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5" s="62" t="str">
        <f t="shared" si="20"/>
        <v>N</v>
      </c>
      <c r="X65" s="124">
        <f t="shared" si="21"/>
        <v>1</v>
      </c>
      <c r="Y65" s="77">
        <f t="shared" si="22"/>
        <v>4.58E-2</v>
      </c>
      <c r="Z65" s="77">
        <f t="shared" si="23"/>
        <v>23.330300000000001</v>
      </c>
      <c r="AA65" s="77">
        <f t="shared" si="24"/>
        <v>23.284500000000001</v>
      </c>
      <c r="AB65" s="74" t="e">
        <f>VLOOKUP(A65,Enforcements!$C$7:$J$24,8,0)</f>
        <v>#N/A</v>
      </c>
      <c r="AC65" s="70" t="e">
        <f>VLOOKUP(A65,Enforcements!$C$7:$E$24,3,0)</f>
        <v>#N/A</v>
      </c>
      <c r="AD65" s="71" t="str">
        <f t="shared" si="25"/>
        <v>0153-03</v>
      </c>
      <c r="AE65" s="131" t="str">
        <f t="shared" si="26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65" s="128" t="str">
        <f t="shared" si="27"/>
        <v>"C:\Program Files (x86)\AstroGrep\AstroGrep.exe" /spath="%USERPROFILE%\AppData\Local\Temp\OnboardLogs" /stypes="*4038*20160803*" /stext=" 16:.+((SYSTEM_STATE.+slice.+state.+changed )|(ment ac)|(system.+state.+changed )|(\|lc)|(penalty)|(\[timeout)|(PRM\|1\|D)|(kpr)|(kdp))" /e /r /s</v>
      </c>
      <c r="AG65" s="1" t="str">
        <f t="shared" si="28"/>
        <v>EC</v>
      </c>
      <c r="AH65" s="132" t="str">
        <f>refinertdcruntimes&amp;" --tripid "&amp;A65&amp;" --locoid "&amp;B65&amp;" --swversion "&amp;C65&amp;" --startMP "&amp;D65&amp;" --initTime "&amp;TEXT(E65,"yyyy-mm-ddTHH:MM:SS")&amp;" --startdatetime "&amp;TEXT(F65,"yyyy-mm-ddTHH:MM:SS")&amp;" --delay "&amp;G65&amp;" --endMP "&amp;H65&amp;" --enddatetime "&amp;TEXT(I65,"yyyy-mm-ddTHH:MM:SS")&amp;" --enforcementcount "&amp;J65&amp;" &gt;&gt; "&amp;TEXT(Variables!$A$2,"yyyy-mm-dd")&amp;"-refined-runtimes.txt"</f>
        <v>"%USERPROFILE%\Documents\GitHub\eaglep3\Utilities\RefineRTDCRunTimes.py" --tripid 153-03 --locoid 4038 --swversion DE.1.0.7.0 --startMP 204:458 --initTime 2016-08-03T10:12:52 --startdatetime 2016-08-03T10:14:07 --delay 1 --endMP 204:233303 --enddatetime 2016-08-03T10:50:47 --enforcementcount 0 &gt;&gt; 2016-08-03-refined-runtimes.txt</v>
      </c>
    </row>
    <row r="66" spans="1:34" x14ac:dyDescent="0.25">
      <c r="A66" s="25" t="s">
        <v>592</v>
      </c>
      <c r="B66" s="94">
        <v>4037</v>
      </c>
      <c r="C66" s="95" t="s">
        <v>163</v>
      </c>
      <c r="D66" s="95" t="s">
        <v>392</v>
      </c>
      <c r="E66" s="96">
        <v>42585.463379629633</v>
      </c>
      <c r="F66" s="96">
        <v>42585.464641203704</v>
      </c>
      <c r="G66" s="94">
        <v>1</v>
      </c>
      <c r="H66" s="96" t="s">
        <v>136</v>
      </c>
      <c r="I66" s="96">
        <v>42585.4921875</v>
      </c>
      <c r="J66" s="94">
        <v>0</v>
      </c>
      <c r="K66" s="121" t="str">
        <f t="shared" si="15"/>
        <v>4037/4038</v>
      </c>
      <c r="L66" s="25" t="str">
        <f>VLOOKUP(A66,'Trips&amp;Operators'!$C$1:$E$10000,3,FALSE)</f>
        <v>ROCHA</v>
      </c>
      <c r="M66" s="6">
        <f t="shared" si="16"/>
        <v>2.7546296296350192E-2</v>
      </c>
      <c r="N66" s="7">
        <f t="shared" si="2"/>
        <v>39.666666666744277</v>
      </c>
      <c r="O66" s="7"/>
      <c r="P66" s="7"/>
      <c r="Q66" s="26"/>
      <c r="R66" s="26"/>
      <c r="S66" s="40">
        <f t="shared" si="17"/>
        <v>1</v>
      </c>
      <c r="T66" s="57" t="str">
        <f t="shared" si="18"/>
        <v>Southbound</v>
      </c>
      <c r="U66" s="82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10:07:16-0600',mode:absolute,to:'2016-08-03 12:48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6" s="62" t="str">
        <f t="shared" si="20"/>
        <v>N</v>
      </c>
      <c r="X66" s="124">
        <f t="shared" si="21"/>
        <v>1</v>
      </c>
      <c r="Y66" s="77">
        <f t="shared" si="22"/>
        <v>23.297799999999999</v>
      </c>
      <c r="Z66" s="77">
        <f t="shared" si="23"/>
        <v>1.54E-2</v>
      </c>
      <c r="AA66" s="77">
        <f t="shared" si="24"/>
        <v>23.282399999999999</v>
      </c>
      <c r="AB66" s="74" t="e">
        <f>VLOOKUP(A66,Enforcements!$C$7:$J$24,8,0)</f>
        <v>#N/A</v>
      </c>
      <c r="AC66" s="70" t="e">
        <f>VLOOKUP(A66,Enforcements!$C$7:$E$24,3,0)</f>
        <v>#N/A</v>
      </c>
      <c r="AD66" s="71" t="str">
        <f t="shared" si="25"/>
        <v>0154-03</v>
      </c>
      <c r="AE66" s="131" t="str">
        <f t="shared" si="26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66" s="128" t="str">
        <f t="shared" si="27"/>
        <v>"C:\Program Files (x86)\AstroGrep\AstroGrep.exe" /spath="%USERPROFILE%\AppData\Local\Temp\OnboardLogs" /stypes="*4037*20160803*" /stext=" 17:.+((SYSTEM_STATE.+slice.+state.+changed )|(ment ac)|(system.+state.+changed )|(\|lc)|(penalty)|(\[timeout)|(PRM\|1\|D)|(kpr)|(kdp))" /e /r /s</v>
      </c>
      <c r="AG66" s="1" t="str">
        <f t="shared" si="28"/>
        <v>EC</v>
      </c>
      <c r="AH66" s="132" t="str">
        <f>refinertdcruntimes&amp;" --tripid "&amp;A66&amp;" --locoid "&amp;B66&amp;" --swversion "&amp;C66&amp;" --startMP "&amp;D66&amp;" --initTime "&amp;TEXT(E66,"yyyy-mm-ddTHH:MM:SS")&amp;" --startdatetime "&amp;TEXT(F66,"yyyy-mm-ddTHH:MM:SS")&amp;" --delay "&amp;G66&amp;" --endMP "&amp;H66&amp;" --enddatetime "&amp;TEXT(I66,"yyyy-mm-ddTHH:MM:SS")&amp;" --enforcementcount "&amp;J66&amp;" &gt;&gt; "&amp;TEXT(Variables!$A$2,"yyyy-mm-dd")&amp;"-refined-runtimes.txt"</f>
        <v>"%USERPROFILE%\Documents\GitHub\eaglep3\Utilities\RefineRTDCRunTimes.py" --tripid 154-03 --locoid 4037 --swversion DE.1.0.7.0 --startMP 204:232978 --initTime 2016-08-03T11:07:16 --startdatetime 2016-08-03T11:09:05 --delay 1 --endMP 204:154 --enddatetime 2016-08-03T11:48:45 --enforcementcount 0 &gt;&gt; 2016-08-03-refined-runtimes.txt</v>
      </c>
    </row>
    <row r="67" spans="1:34" s="24" customFormat="1" x14ac:dyDescent="0.25">
      <c r="A67" s="25" t="s">
        <v>593</v>
      </c>
      <c r="B67" s="94">
        <v>4018</v>
      </c>
      <c r="C67" s="95" t="s">
        <v>163</v>
      </c>
      <c r="D67" s="95" t="s">
        <v>64</v>
      </c>
      <c r="E67" s="96">
        <v>42585.436712962961</v>
      </c>
      <c r="F67" s="96">
        <v>42585.438449074078</v>
      </c>
      <c r="G67" s="94">
        <v>2</v>
      </c>
      <c r="H67" s="96" t="s">
        <v>407</v>
      </c>
      <c r="I67" s="96">
        <v>42585.463333333333</v>
      </c>
      <c r="J67" s="94">
        <v>0</v>
      </c>
      <c r="K67" s="121" t="str">
        <f t="shared" si="15"/>
        <v>4017/4018</v>
      </c>
      <c r="L67" s="25" t="str">
        <f>VLOOKUP(A67,'Trips&amp;Operators'!$C$1:$E$10000,3,FALSE)</f>
        <v>STARKS</v>
      </c>
      <c r="M67" s="6">
        <f t="shared" si="16"/>
        <v>2.488425925548654E-2</v>
      </c>
      <c r="N67" s="7">
        <f t="shared" si="2"/>
        <v>35.833333327900618</v>
      </c>
      <c r="O67" s="7"/>
      <c r="P67" s="7"/>
      <c r="Q67" s="26"/>
      <c r="R67" s="26"/>
      <c r="S67" s="40">
        <f t="shared" si="17"/>
        <v>1</v>
      </c>
      <c r="T67" s="57" t="str">
        <f t="shared" si="18"/>
        <v>NorthBound</v>
      </c>
      <c r="U67" s="82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09:28:52-0600',mode:absolute,to:'2016-08-03 12:07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7" s="62" t="str">
        <f t="shared" si="20"/>
        <v>N</v>
      </c>
      <c r="X67" s="124">
        <f t="shared" si="21"/>
        <v>1</v>
      </c>
      <c r="Y67" s="77">
        <f t="shared" si="22"/>
        <v>4.5999999999999999E-2</v>
      </c>
      <c r="Z67" s="77">
        <f t="shared" si="23"/>
        <v>23.330400000000001</v>
      </c>
      <c r="AA67" s="77">
        <f t="shared" si="24"/>
        <v>23.284400000000002</v>
      </c>
      <c r="AB67" s="74" t="e">
        <f>VLOOKUP(A67,Enforcements!$C$7:$J$24,8,0)</f>
        <v>#N/A</v>
      </c>
      <c r="AC67" s="70" t="e">
        <f>VLOOKUP(A67,Enforcements!$C$7:$E$24,3,0)</f>
        <v>#N/A</v>
      </c>
      <c r="AD67" s="71" t="str">
        <f t="shared" si="25"/>
        <v>0155-03</v>
      </c>
      <c r="AE67" s="131" t="str">
        <f t="shared" si="26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67" s="128" t="str">
        <f t="shared" si="27"/>
        <v>"C:\Program Files (x86)\AstroGrep\AstroGrep.exe" /spath="%USERPROFILE%\AppData\Local\Temp\OnboardLogs" /stypes="*4018*20160803*" /stext=" 17:.+((SYSTEM_STATE.+slice.+state.+changed )|(ment ac)|(system.+state.+changed )|(\|lc)|(penalty)|(\[timeout)|(PRM\|1\|D)|(kpr)|(kdp))" /e /r /s</v>
      </c>
      <c r="AG67" s="1" t="str">
        <f t="shared" si="28"/>
        <v>EC</v>
      </c>
      <c r="AH67" s="132" t="str">
        <f>refinertdcruntimes&amp;" --tripid "&amp;A67&amp;" --locoid "&amp;B67&amp;" --swversion "&amp;C67&amp;" --startMP "&amp;D67&amp;" --initTime "&amp;TEXT(E67,"yyyy-mm-ddTHH:MM:SS")&amp;" --startdatetime "&amp;TEXT(F67,"yyyy-mm-ddTHH:MM:SS")&amp;" --delay "&amp;G67&amp;" --endMP "&amp;H67&amp;" --enddatetime "&amp;TEXT(I67,"yyyy-mm-ddTHH:MM:SS")&amp;" --enforcementcount "&amp;J67&amp;" &gt;&gt; "&amp;TEXT(Variables!$A$2,"yyyy-mm-dd")&amp;"-refined-runtimes.txt"</f>
        <v>"%USERPROFILE%\Documents\GitHub\eaglep3\Utilities\RefineRTDCRunTimes.py" --tripid 155-03 --locoid 4018 --swversion DE.1.0.7.0 --startMP 204:460 --initTime 2016-08-03T10:28:52 --startdatetime 2016-08-03T10:31:22 --delay 2 --endMP 204:233304 --enddatetime 2016-08-03T11:07:12 --enforcementcount 0 &gt;&gt; 2016-08-03-refined-runtimes.txt</v>
      </c>
    </row>
    <row r="68" spans="1:34" x14ac:dyDescent="0.25">
      <c r="A68" s="25" t="s">
        <v>594</v>
      </c>
      <c r="B68" s="94">
        <v>4017</v>
      </c>
      <c r="C68" s="95" t="s">
        <v>163</v>
      </c>
      <c r="D68" s="95" t="s">
        <v>65</v>
      </c>
      <c r="E68" s="96">
        <v>42585.474861111114</v>
      </c>
      <c r="F68" s="96">
        <v>42585.476041666669</v>
      </c>
      <c r="G68" s="94">
        <v>1</v>
      </c>
      <c r="H68" s="96" t="s">
        <v>136</v>
      </c>
      <c r="I68" s="96">
        <v>42585.503159722219</v>
      </c>
      <c r="J68" s="94">
        <v>0</v>
      </c>
      <c r="K68" s="121" t="str">
        <f t="shared" si="15"/>
        <v>4017/4018</v>
      </c>
      <c r="L68" s="25" t="str">
        <f>VLOOKUP(A68,'Trips&amp;Operators'!$C$1:$E$10000,3,FALSE)</f>
        <v>STARKS</v>
      </c>
      <c r="M68" s="6">
        <f t="shared" si="16"/>
        <v>2.7118055550090503E-2</v>
      </c>
      <c r="N68" s="7">
        <f t="shared" si="2"/>
        <v>39.049999992130324</v>
      </c>
      <c r="O68" s="7"/>
      <c r="P68" s="7"/>
      <c r="Q68" s="26"/>
      <c r="R68" s="26"/>
      <c r="S68" s="40">
        <f t="shared" si="17"/>
        <v>1</v>
      </c>
      <c r="T68" s="57" t="str">
        <f t="shared" si="18"/>
        <v>Southbound</v>
      </c>
      <c r="U68" s="82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10:23:48-0600',mode:absolute,to:'2016-08-03 13:04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68" s="62" t="str">
        <f t="shared" si="20"/>
        <v>N</v>
      </c>
      <c r="X68" s="124">
        <f t="shared" si="21"/>
        <v>1</v>
      </c>
      <c r="Y68" s="77">
        <f t="shared" si="22"/>
        <v>23.297699999999999</v>
      </c>
      <c r="Z68" s="77">
        <f t="shared" si="23"/>
        <v>1.54E-2</v>
      </c>
      <c r="AA68" s="77">
        <f t="shared" si="24"/>
        <v>23.282299999999999</v>
      </c>
      <c r="AB68" s="74" t="e">
        <f>VLOOKUP(A68,Enforcements!$C$7:$J$24,8,0)</f>
        <v>#N/A</v>
      </c>
      <c r="AC68" s="70" t="e">
        <f>VLOOKUP(A68,Enforcements!$C$7:$E$24,3,0)</f>
        <v>#N/A</v>
      </c>
      <c r="AD68" s="71" t="str">
        <f t="shared" si="25"/>
        <v>0156-03</v>
      </c>
      <c r="AE68" s="131" t="str">
        <f t="shared" si="26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68" s="128" t="str">
        <f t="shared" si="27"/>
        <v>"C:\Program Files (x86)\AstroGrep\AstroGrep.exe" /spath="%USERPROFILE%\AppData\Local\Temp\OnboardLogs" /stypes="*4017*20160803*" /stext=" 18:.+((SYSTEM_STATE.+slice.+state.+changed )|(ment ac)|(system.+state.+changed )|(\|lc)|(penalty)|(\[timeout)|(PRM\|1\|D)|(kpr)|(kdp))" /e /r /s</v>
      </c>
      <c r="AG68" s="1" t="str">
        <f t="shared" si="28"/>
        <v>EC</v>
      </c>
      <c r="AH68" s="132" t="str">
        <f>refinertdcruntimes&amp;" --tripid "&amp;A68&amp;" --locoid "&amp;B68&amp;" --swversion "&amp;C68&amp;" --startMP "&amp;D68&amp;" --initTime "&amp;TEXT(E68,"yyyy-mm-ddTHH:MM:SS")&amp;" --startdatetime "&amp;TEXT(F68,"yyyy-mm-ddTHH:MM:SS")&amp;" --delay "&amp;G68&amp;" --endMP "&amp;H68&amp;" --enddatetime "&amp;TEXT(I68,"yyyy-mm-ddTHH:MM:SS")&amp;" --enforcementcount "&amp;J68&amp;" &gt;&gt; "&amp;TEXT(Variables!$A$2,"yyyy-mm-dd")&amp;"-refined-runtimes.txt"</f>
        <v>"%USERPROFILE%\Documents\GitHub\eaglep3\Utilities\RefineRTDCRunTimes.py" --tripid 156-03 --locoid 4017 --swversion DE.1.0.7.0 --startMP 204:232977 --initTime 2016-08-03T11:23:48 --startdatetime 2016-08-03T11:25:30 --delay 1 --endMP 204:154 --enddatetime 2016-08-03T12:04:33 --enforcementcount 0 &gt;&gt; 2016-08-03-refined-runtimes.txt</v>
      </c>
    </row>
    <row r="69" spans="1:34" x14ac:dyDescent="0.25">
      <c r="A69" s="25" t="s">
        <v>595</v>
      </c>
      <c r="B69" s="94">
        <v>4014</v>
      </c>
      <c r="C69" s="95" t="s">
        <v>163</v>
      </c>
      <c r="D69" s="95" t="s">
        <v>345</v>
      </c>
      <c r="E69" s="96">
        <v>42585.445034722223</v>
      </c>
      <c r="F69" s="96">
        <v>42585.446122685185</v>
      </c>
      <c r="G69" s="94">
        <v>1</v>
      </c>
      <c r="H69" s="96" t="s">
        <v>149</v>
      </c>
      <c r="I69" s="96">
        <v>42585.472685185188</v>
      </c>
      <c r="J69" s="94">
        <v>0</v>
      </c>
      <c r="K69" s="121" t="str">
        <f t="shared" si="15"/>
        <v>4013/4014</v>
      </c>
      <c r="L69" s="25" t="str">
        <f>VLOOKUP(A69,'Trips&amp;Operators'!$C$1:$E$10000,3,FALSE)</f>
        <v>BRANNON</v>
      </c>
      <c r="M69" s="6">
        <f t="shared" si="16"/>
        <v>2.6562500002910383E-2</v>
      </c>
      <c r="N69" s="7">
        <f t="shared" si="2"/>
        <v>38.250000004190952</v>
      </c>
      <c r="O69" s="7"/>
      <c r="P69" s="7"/>
      <c r="Q69" s="26"/>
      <c r="R69" s="26"/>
      <c r="S69" s="40">
        <f t="shared" si="17"/>
        <v>1</v>
      </c>
      <c r="T69" s="57" t="str">
        <f t="shared" si="18"/>
        <v>NorthBound</v>
      </c>
      <c r="U69" s="82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09:40:51-0600',mode:absolute,to:'2016-08-03 12:20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9" s="62" t="str">
        <f t="shared" si="20"/>
        <v>N</v>
      </c>
      <c r="X69" s="124">
        <f t="shared" si="21"/>
        <v>1</v>
      </c>
      <c r="Y69" s="77">
        <f t="shared" si="22"/>
        <v>4.4600000000000001E-2</v>
      </c>
      <c r="Z69" s="77">
        <f t="shared" si="23"/>
        <v>23.3293</v>
      </c>
      <c r="AA69" s="77">
        <f t="shared" si="24"/>
        <v>23.284700000000001</v>
      </c>
      <c r="AB69" s="74" t="e">
        <f>VLOOKUP(A69,Enforcements!$C$7:$J$24,8,0)</f>
        <v>#N/A</v>
      </c>
      <c r="AC69" s="70" t="e">
        <f>VLOOKUP(A69,Enforcements!$C$7:$E$24,3,0)</f>
        <v>#N/A</v>
      </c>
      <c r="AD69" s="71" t="str">
        <f t="shared" si="25"/>
        <v>0157-03</v>
      </c>
      <c r="AE69" s="131" t="str">
        <f t="shared" si="26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69" s="128" t="str">
        <f t="shared" si="27"/>
        <v>"C:\Program Files (x86)\AstroGrep\AstroGrep.exe" /spath="%USERPROFILE%\AppData\Local\Temp\OnboardLogs" /stypes="*4014*20160803*" /stext=" 17:.+((SYSTEM_STATE.+slice.+state.+changed )|(ment ac)|(system.+state.+changed )|(\|lc)|(penalty)|(\[timeout)|(PRM\|1\|D)|(kpr)|(kdp))" /e /r /s</v>
      </c>
      <c r="AG69" s="1" t="str">
        <f t="shared" si="28"/>
        <v>EC</v>
      </c>
      <c r="AH69" s="132" t="str">
        <f>refinertdcruntimes&amp;" --tripid "&amp;A69&amp;" --locoid "&amp;B69&amp;" --swversion "&amp;C69&amp;" --startMP "&amp;D69&amp;" --initTime "&amp;TEXT(E69,"yyyy-mm-ddTHH:MM:SS")&amp;" --startdatetime "&amp;TEXT(F69,"yyyy-mm-ddTHH:MM:SS")&amp;" --delay "&amp;G69&amp;" --endMP "&amp;H69&amp;" --enddatetime "&amp;TEXT(I69,"yyyy-mm-ddTHH:MM:SS")&amp;" --enforcementcount "&amp;J69&amp;" &gt;&gt; "&amp;TEXT(Variables!$A$2,"yyyy-mm-dd")&amp;"-refined-runtimes.txt"</f>
        <v>"%USERPROFILE%\Documents\GitHub\eaglep3\Utilities\RefineRTDCRunTimes.py" --tripid 157-03 --locoid 4014 --swversion DE.1.0.7.0 --startMP 204:446 --initTime 2016-08-03T10:40:51 --startdatetime 2016-08-03T10:42:25 --delay 1 --endMP 204:233293 --enddatetime 2016-08-03T11:20:40 --enforcementcount 0 &gt;&gt; 2016-08-03-refined-runtimes.txt</v>
      </c>
    </row>
    <row r="70" spans="1:34" x14ac:dyDescent="0.25">
      <c r="A70" s="25" t="s">
        <v>596</v>
      </c>
      <c r="B70" s="94">
        <v>4013</v>
      </c>
      <c r="C70" s="95" t="s">
        <v>163</v>
      </c>
      <c r="D70" s="95" t="s">
        <v>65</v>
      </c>
      <c r="E70" s="96">
        <v>42585.479560185187</v>
      </c>
      <c r="F70" s="96">
        <v>42585.480740740742</v>
      </c>
      <c r="G70" s="94">
        <v>1</v>
      </c>
      <c r="H70" s="96" t="s">
        <v>395</v>
      </c>
      <c r="I70" s="96">
        <v>42585.514999999999</v>
      </c>
      <c r="J70" s="94">
        <v>0</v>
      </c>
      <c r="K70" s="121" t="str">
        <f t="shared" si="15"/>
        <v>4013/4014</v>
      </c>
      <c r="L70" s="25" t="str">
        <f>VLOOKUP(A70,'Trips&amp;Operators'!$C$1:$E$10000,3,FALSE)</f>
        <v>BRANNON</v>
      </c>
      <c r="M70" s="6">
        <f t="shared" si="16"/>
        <v>3.4259259256941732E-2</v>
      </c>
      <c r="N70" s="7">
        <f t="shared" si="2"/>
        <v>49.333333329996094</v>
      </c>
      <c r="O70" s="7"/>
      <c r="P70" s="7"/>
      <c r="Q70" s="26"/>
      <c r="R70" s="26"/>
      <c r="S70" s="40">
        <f t="shared" si="17"/>
        <v>1</v>
      </c>
      <c r="T70" s="57" t="str">
        <f t="shared" si="18"/>
        <v>Southbound</v>
      </c>
      <c r="U70" s="82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10:30:34-0600',mode:absolute,to:'2016-08-03 13:21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0" s="62" t="str">
        <f t="shared" si="20"/>
        <v>N</v>
      </c>
      <c r="X70" s="124">
        <f t="shared" si="21"/>
        <v>1</v>
      </c>
      <c r="Y70" s="77">
        <f t="shared" si="22"/>
        <v>23.297699999999999</v>
      </c>
      <c r="Z70" s="77">
        <f t="shared" si="23"/>
        <v>1.67E-2</v>
      </c>
      <c r="AA70" s="77">
        <f t="shared" si="24"/>
        <v>23.280999999999999</v>
      </c>
      <c r="AB70" s="74" t="e">
        <f>VLOOKUP(A70,Enforcements!$C$7:$J$24,8,0)</f>
        <v>#N/A</v>
      </c>
      <c r="AC70" s="70" t="e">
        <f>VLOOKUP(A70,Enforcements!$C$7:$E$24,3,0)</f>
        <v>#N/A</v>
      </c>
      <c r="AD70" s="71" t="str">
        <f t="shared" si="25"/>
        <v>0158-03</v>
      </c>
      <c r="AE70" s="131" t="str">
        <f t="shared" si="26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70" s="128" t="str">
        <f t="shared" si="27"/>
        <v>"C:\Program Files (x86)\AstroGrep\AstroGrep.exe" /spath="%USERPROFILE%\AppData\Local\Temp\OnboardLogs" /stypes="*4013*20160803*" /stext=" 18:.+((SYSTEM_STATE.+slice.+state.+changed )|(ment ac)|(system.+state.+changed )|(\|lc)|(penalty)|(\[timeout)|(PRM\|1\|D)|(kpr)|(kdp))" /e /r /s</v>
      </c>
      <c r="AG70" s="1" t="str">
        <f t="shared" si="28"/>
        <v>EC</v>
      </c>
      <c r="AH70" s="132" t="str">
        <f>refinertdcruntimes&amp;" --tripid "&amp;A70&amp;" --locoid "&amp;B70&amp;" --swversion "&amp;C70&amp;" --startMP "&amp;D70&amp;" --initTime "&amp;TEXT(E70,"yyyy-mm-ddTHH:MM:SS")&amp;" --startdatetime "&amp;TEXT(F70,"yyyy-mm-ddTHH:MM:SS")&amp;" --delay "&amp;G70&amp;" --endMP "&amp;H70&amp;" --enddatetime "&amp;TEXT(I70,"yyyy-mm-ddTHH:MM:SS")&amp;" --enforcementcount "&amp;J70&amp;" &gt;&gt; "&amp;TEXT(Variables!$A$2,"yyyy-mm-dd")&amp;"-refined-runtimes.txt"</f>
        <v>"%USERPROFILE%\Documents\GitHub\eaglep3\Utilities\RefineRTDCRunTimes.py" --tripid 158-03 --locoid 4013 --swversion DE.1.0.7.0 --startMP 204:232977 --initTime 2016-08-03T11:30:34 --startdatetime 2016-08-03T11:32:16 --delay 1 --endMP 204:167 --enddatetime 2016-08-03T12:21:36 --enforcementcount 0 &gt;&gt; 2016-08-03-refined-runtimes.txt</v>
      </c>
    </row>
    <row r="71" spans="1:34" x14ac:dyDescent="0.25">
      <c r="A71" s="25" t="s">
        <v>597</v>
      </c>
      <c r="B71" s="94">
        <v>4011</v>
      </c>
      <c r="C71" s="95" t="s">
        <v>163</v>
      </c>
      <c r="D71" s="95" t="s">
        <v>340</v>
      </c>
      <c r="E71" s="96">
        <v>42585.455833333333</v>
      </c>
      <c r="F71" s="96">
        <v>42585.456932870373</v>
      </c>
      <c r="G71" s="94">
        <v>1</v>
      </c>
      <c r="H71" s="96" t="s">
        <v>422</v>
      </c>
      <c r="I71" s="96">
        <v>42585.484918981485</v>
      </c>
      <c r="J71" s="94">
        <v>0</v>
      </c>
      <c r="K71" s="121" t="str">
        <f t="shared" si="15"/>
        <v>4011/4012</v>
      </c>
      <c r="L71" s="25" t="str">
        <f>VLOOKUP(A71,'Trips&amp;Operators'!$C$1:$E$10000,3,FALSE)</f>
        <v>OUN</v>
      </c>
      <c r="M71" s="6">
        <f t="shared" si="16"/>
        <v>2.7986111112113576E-2</v>
      </c>
      <c r="N71" s="7">
        <f t="shared" si="2"/>
        <v>40.30000000144355</v>
      </c>
      <c r="O71" s="7"/>
      <c r="P71" s="7"/>
      <c r="Q71" s="26"/>
      <c r="R71" s="26"/>
      <c r="S71" s="40">
        <f t="shared" si="17"/>
        <v>1</v>
      </c>
      <c r="T71" s="57" t="str">
        <f t="shared" si="18"/>
        <v>NorthBound</v>
      </c>
      <c r="U71" s="82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09:56:24-0600',mode:absolute,to:'2016-08-03 12:38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71" s="62" t="str">
        <f t="shared" si="20"/>
        <v>N</v>
      </c>
      <c r="X71" s="124">
        <f t="shared" si="21"/>
        <v>1</v>
      </c>
      <c r="Y71" s="77">
        <f t="shared" si="22"/>
        <v>4.3700000000000003E-2</v>
      </c>
      <c r="Z71" s="77">
        <f t="shared" si="23"/>
        <v>23.327000000000002</v>
      </c>
      <c r="AA71" s="77">
        <f t="shared" si="24"/>
        <v>23.283300000000001</v>
      </c>
      <c r="AB71" s="74" t="e">
        <f>VLOOKUP(A71,Enforcements!$C$7:$J$24,8,0)</f>
        <v>#N/A</v>
      </c>
      <c r="AC71" s="70" t="e">
        <f>VLOOKUP(A71,Enforcements!$C$7:$E$24,3,0)</f>
        <v>#N/A</v>
      </c>
      <c r="AD71" s="71" t="str">
        <f t="shared" si="25"/>
        <v>0159-03</v>
      </c>
      <c r="AE71" s="131" t="str">
        <f t="shared" si="26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71" s="128" t="str">
        <f t="shared" si="27"/>
        <v>"C:\Program Files (x86)\AstroGrep\AstroGrep.exe" /spath="%USERPROFILE%\AppData\Local\Temp\OnboardLogs" /stypes="*4011*20160803*" /stext=" 17:.+((SYSTEM_STATE.+slice.+state.+changed )|(ment ac)|(system.+state.+changed )|(\|lc)|(penalty)|(\[timeout)|(PRM\|1\|D)|(kpr)|(kdp))" /e /r /s</v>
      </c>
      <c r="AG71" s="1" t="str">
        <f t="shared" si="28"/>
        <v>EC</v>
      </c>
      <c r="AH71" s="132" t="str">
        <f>refinertdcruntimes&amp;" --tripid "&amp;A71&amp;" --locoid "&amp;B71&amp;" --swversion "&amp;C71&amp;" --startMP "&amp;D71&amp;" --initTime "&amp;TEXT(E71,"yyyy-mm-ddTHH:MM:SS")&amp;" --startdatetime "&amp;TEXT(F71,"yyyy-mm-ddTHH:MM:SS")&amp;" --delay "&amp;G71&amp;" --endMP "&amp;H71&amp;" --enddatetime "&amp;TEXT(I71,"yyyy-mm-ddTHH:MM:SS")&amp;" --enforcementcount "&amp;J71&amp;" &gt;&gt; "&amp;TEXT(Variables!$A$2,"yyyy-mm-dd")&amp;"-refined-runtimes.txt"</f>
        <v>"%USERPROFILE%\Documents\GitHub\eaglep3\Utilities\RefineRTDCRunTimes.py" --tripid 159-03 --locoid 4011 --swversion DE.1.0.7.0 --startMP 204:437 --initTime 2016-08-03T10:56:24 --startdatetime 2016-08-03T10:57:59 --delay 1 --endMP 204:233270 --enddatetime 2016-08-03T11:38:17 --enforcementcount 0 &gt;&gt; 2016-08-03-refined-runtimes.txt</v>
      </c>
    </row>
    <row r="72" spans="1:34" x14ac:dyDescent="0.25">
      <c r="A72" s="25" t="s">
        <v>598</v>
      </c>
      <c r="B72" s="94">
        <v>4012</v>
      </c>
      <c r="C72" s="95" t="s">
        <v>163</v>
      </c>
      <c r="D72" s="95" t="s">
        <v>307</v>
      </c>
      <c r="E72" s="96">
        <v>42585.490416666667</v>
      </c>
      <c r="F72" s="96">
        <v>42585.491342592592</v>
      </c>
      <c r="G72" s="94">
        <v>1</v>
      </c>
      <c r="H72" s="96" t="s">
        <v>404</v>
      </c>
      <c r="I72" s="96">
        <v>42585.523958333331</v>
      </c>
      <c r="J72" s="94">
        <v>0</v>
      </c>
      <c r="K72" s="121" t="str">
        <f t="shared" si="15"/>
        <v>4011/4012</v>
      </c>
      <c r="L72" s="25" t="str">
        <f>VLOOKUP(A72,'Trips&amp;Operators'!$C$1:$E$10000,3,FALSE)</f>
        <v>OUN</v>
      </c>
      <c r="M72" s="6">
        <f t="shared" si="16"/>
        <v>3.2615740739856847E-2</v>
      </c>
      <c r="N72" s="7">
        <f t="shared" si="2"/>
        <v>46.966666665393859</v>
      </c>
      <c r="O72" s="7"/>
      <c r="P72" s="7"/>
      <c r="Q72" s="26"/>
      <c r="R72" s="26"/>
      <c r="S72" s="40">
        <f t="shared" si="17"/>
        <v>1</v>
      </c>
      <c r="T72" s="57" t="str">
        <f t="shared" si="18"/>
        <v>Southbound</v>
      </c>
      <c r="U72" s="82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10:46:12-0600',mode:absolute,to:'2016-08-03 13:34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72" s="62" t="str">
        <f t="shared" si="20"/>
        <v>N</v>
      </c>
      <c r="X72" s="124">
        <f t="shared" si="21"/>
        <v>1</v>
      </c>
      <c r="Y72" s="77">
        <f t="shared" si="22"/>
        <v>23.298500000000001</v>
      </c>
      <c r="Z72" s="77">
        <f t="shared" si="23"/>
        <v>1.32E-2</v>
      </c>
      <c r="AA72" s="77">
        <f t="shared" si="24"/>
        <v>23.285299999999999</v>
      </c>
      <c r="AB72" s="74" t="e">
        <f>VLOOKUP(A72,Enforcements!$C$7:$J$24,8,0)</f>
        <v>#N/A</v>
      </c>
      <c r="AC72" s="70" t="e">
        <f>VLOOKUP(A72,Enforcements!$C$7:$E$24,3,0)</f>
        <v>#N/A</v>
      </c>
      <c r="AD72" s="71" t="str">
        <f t="shared" si="25"/>
        <v>0160-03</v>
      </c>
      <c r="AE72" s="131" t="str">
        <f t="shared" si="26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72" s="128" t="str">
        <f t="shared" si="27"/>
        <v>"C:\Program Files (x86)\AstroGrep\AstroGrep.exe" /spath="%USERPROFILE%\AppData\Local\Temp\OnboardLogs" /stypes="*4012*20160803*" /stext=" 18:.+((SYSTEM_STATE.+slice.+state.+changed )|(ment ac)|(system.+state.+changed )|(\|lc)|(penalty)|(\[timeout)|(PRM\|1\|D)|(kpr)|(kdp))" /e /r /s</v>
      </c>
      <c r="AG72" s="1" t="str">
        <f t="shared" si="28"/>
        <v>EC</v>
      </c>
      <c r="AH72" s="132" t="str">
        <f>refinertdcruntimes&amp;" --tripid "&amp;A72&amp;" --locoid "&amp;B72&amp;" --swversion "&amp;C72&amp;" --startMP "&amp;D72&amp;" --initTime "&amp;TEXT(E72,"yyyy-mm-ddTHH:MM:SS")&amp;" --startdatetime "&amp;TEXT(F72,"yyyy-mm-ddTHH:MM:SS")&amp;" --delay "&amp;G72&amp;" --endMP "&amp;H72&amp;" --enddatetime "&amp;TEXT(I72,"yyyy-mm-ddTHH:MM:SS")&amp;" --enforcementcount "&amp;J72&amp;" &gt;&gt; "&amp;TEXT(Variables!$A$2,"yyyy-mm-dd")&amp;"-refined-runtimes.txt"</f>
        <v>"%USERPROFILE%\Documents\GitHub\eaglep3\Utilities\RefineRTDCRunTimes.py" --tripid 160-03 --locoid 4012 --swversion DE.1.0.7.0 --startMP 204:232985 --initTime 2016-08-03T11:46:12 --startdatetime 2016-08-03T11:47:32 --delay 1 --endMP 204:132 --enddatetime 2016-08-03T12:34:30 --enforcementcount 0 &gt;&gt; 2016-08-03-refined-runtimes.txt</v>
      </c>
    </row>
    <row r="73" spans="1:34" x14ac:dyDescent="0.25">
      <c r="A73" s="25" t="s">
        <v>599</v>
      </c>
      <c r="B73" s="94">
        <v>4044</v>
      </c>
      <c r="C73" s="95" t="s">
        <v>163</v>
      </c>
      <c r="D73" s="95" t="s">
        <v>346</v>
      </c>
      <c r="E73" s="96">
        <v>42585.465717592589</v>
      </c>
      <c r="F73" s="96">
        <v>42585.466585648152</v>
      </c>
      <c r="G73" s="94">
        <v>1</v>
      </c>
      <c r="H73" s="96" t="s">
        <v>152</v>
      </c>
      <c r="I73" s="96">
        <v>42585.494756944441</v>
      </c>
      <c r="J73" s="94">
        <v>0</v>
      </c>
      <c r="K73" s="121" t="str">
        <f t="shared" si="15"/>
        <v>4043/4044</v>
      </c>
      <c r="L73" s="25" t="str">
        <f>VLOOKUP(A73,'Trips&amp;Operators'!$C$1:$E$10000,3,FALSE)</f>
        <v>BARTLETT</v>
      </c>
      <c r="M73" s="6">
        <f t="shared" si="16"/>
        <v>2.8171296289656311E-2</v>
      </c>
      <c r="N73" s="7">
        <f t="shared" si="2"/>
        <v>40.566666657105088</v>
      </c>
      <c r="O73" s="7"/>
      <c r="P73" s="7"/>
      <c r="Q73" s="26"/>
      <c r="R73" s="26"/>
      <c r="S73" s="40">
        <f t="shared" si="17"/>
        <v>1</v>
      </c>
      <c r="T73" s="57" t="str">
        <f t="shared" si="18"/>
        <v>NorthBound</v>
      </c>
      <c r="U73" s="82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10:10:38-0600',mode:absolute,to:'2016-08-03 12:52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73" s="62" t="str">
        <f t="shared" si="20"/>
        <v>N</v>
      </c>
      <c r="X73" s="124">
        <f t="shared" si="21"/>
        <v>1</v>
      </c>
      <c r="Y73" s="77">
        <f t="shared" si="22"/>
        <v>4.5499999999999999E-2</v>
      </c>
      <c r="Z73" s="77">
        <f t="shared" si="23"/>
        <v>23.330300000000001</v>
      </c>
      <c r="AA73" s="77">
        <f t="shared" si="24"/>
        <v>23.284800000000001</v>
      </c>
      <c r="AB73" s="74" t="e">
        <f>VLOOKUP(A73,Enforcements!$C$7:$J$24,8,0)</f>
        <v>#N/A</v>
      </c>
      <c r="AC73" s="70" t="e">
        <f>VLOOKUP(A73,Enforcements!$C$7:$E$24,3,0)</f>
        <v>#N/A</v>
      </c>
      <c r="AD73" s="71" t="str">
        <f t="shared" si="25"/>
        <v>0161-03</v>
      </c>
      <c r="AE73" s="131" t="str">
        <f t="shared" si="26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73" s="128" t="str">
        <f t="shared" si="27"/>
        <v>"C:\Program Files (x86)\AstroGrep\AstroGrep.exe" /spath="%USERPROFILE%\AppData\Local\Temp\OnboardLogs" /stypes="*4044*20160803*" /stext=" 17:.+((SYSTEM_STATE.+slice.+state.+changed )|(ment ac)|(system.+state.+changed )|(\|lc)|(penalty)|(\[timeout)|(PRM\|1\|D)|(kpr)|(kdp))" /e /r /s</v>
      </c>
      <c r="AG73" s="1" t="str">
        <f t="shared" si="28"/>
        <v>EC</v>
      </c>
      <c r="AH73" s="132" t="str">
        <f>refinertdcruntimes&amp;" --tripid "&amp;A73&amp;" --locoid "&amp;B73&amp;" --swversion "&amp;C73&amp;" --startMP "&amp;D73&amp;" --initTime "&amp;TEXT(E73,"yyyy-mm-ddTHH:MM:SS")&amp;" --startdatetime "&amp;TEXT(F73,"yyyy-mm-ddTHH:MM:SS")&amp;" --delay "&amp;G73&amp;" --endMP "&amp;H73&amp;" --enddatetime "&amp;TEXT(I73,"yyyy-mm-ddTHH:MM:SS")&amp;" --enforcementcount "&amp;J73&amp;" &gt;&gt; "&amp;TEXT(Variables!$A$2,"yyyy-mm-dd")&amp;"-refined-runtimes.txt"</f>
        <v>"%USERPROFILE%\Documents\GitHub\eaglep3\Utilities\RefineRTDCRunTimes.py" --tripid 161-03 --locoid 4044 --swversion DE.1.0.7.0 --startMP 204:455 --initTime 2016-08-03T11:10:38 --startdatetime 2016-08-03T11:11:53 --delay 1 --endMP 204:233303 --enddatetime 2016-08-03T11:52:27 --enforcementcount 0 &gt;&gt; 2016-08-03-refined-runtimes.txt</v>
      </c>
    </row>
    <row r="74" spans="1:34" x14ac:dyDescent="0.25">
      <c r="A74" s="25" t="s">
        <v>600</v>
      </c>
      <c r="B74" s="94">
        <v>4043</v>
      </c>
      <c r="C74" s="95" t="s">
        <v>163</v>
      </c>
      <c r="D74" s="95" t="s">
        <v>65</v>
      </c>
      <c r="E74" s="96">
        <v>42585.501192129632</v>
      </c>
      <c r="F74" s="96">
        <v>42585.503391203703</v>
      </c>
      <c r="G74" s="94">
        <v>3</v>
      </c>
      <c r="H74" s="96" t="s">
        <v>147</v>
      </c>
      <c r="I74" s="96">
        <v>42585.535416666666</v>
      </c>
      <c r="J74" s="94">
        <v>0</v>
      </c>
      <c r="K74" s="121" t="str">
        <f t="shared" si="15"/>
        <v>4043/4044</v>
      </c>
      <c r="L74" s="25" t="str">
        <f>VLOOKUP(A74,'Trips&amp;Operators'!$C$1:$E$10000,3,FALSE)</f>
        <v>BARTLETT</v>
      </c>
      <c r="M74" s="6">
        <f t="shared" si="16"/>
        <v>3.202546296233777E-2</v>
      </c>
      <c r="N74" s="7">
        <f t="shared" si="2"/>
        <v>46.116666665766388</v>
      </c>
      <c r="O74" s="7"/>
      <c r="P74" s="7"/>
      <c r="Q74" s="26"/>
      <c r="R74" s="26"/>
      <c r="S74" s="40">
        <f t="shared" si="17"/>
        <v>1</v>
      </c>
      <c r="T74" s="57" t="str">
        <f t="shared" si="18"/>
        <v>Southbound</v>
      </c>
      <c r="U74" s="82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11:01:43-0600',mode:absolute,to:'2016-08-03 13:51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74" s="62" t="str">
        <f t="shared" si="20"/>
        <v>N</v>
      </c>
      <c r="X74" s="124">
        <f t="shared" si="21"/>
        <v>1</v>
      </c>
      <c r="Y74" s="77">
        <f t="shared" si="22"/>
        <v>23.297699999999999</v>
      </c>
      <c r="Z74" s="77">
        <f t="shared" si="23"/>
        <v>1.41E-2</v>
      </c>
      <c r="AA74" s="77">
        <f t="shared" si="24"/>
        <v>23.2836</v>
      </c>
      <c r="AB74" s="74" t="e">
        <f>VLOOKUP(A74,Enforcements!$C$7:$J$24,8,0)</f>
        <v>#N/A</v>
      </c>
      <c r="AC74" s="70" t="e">
        <f>VLOOKUP(A74,Enforcements!$C$7:$E$24,3,0)</f>
        <v>#N/A</v>
      </c>
      <c r="AD74" s="71" t="str">
        <f t="shared" si="25"/>
        <v>0162-03</v>
      </c>
      <c r="AE74" s="131" t="str">
        <f t="shared" si="26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74" s="128" t="str">
        <f t="shared" si="27"/>
        <v>"C:\Program Files (x86)\AstroGrep\AstroGrep.exe" /spath="%USERPROFILE%\AppData\Local\Temp\OnboardLogs" /stypes="*4043*20160803*" /stext=" 18:.+((SYSTEM_STATE.+slice.+state.+changed )|(ment ac)|(system.+state.+changed )|(\|lc)|(penalty)|(\[timeout)|(PRM\|1\|D)|(kpr)|(kdp))" /e /r /s</v>
      </c>
      <c r="AG74" s="1" t="str">
        <f t="shared" si="28"/>
        <v>EC</v>
      </c>
      <c r="AH74" s="132" t="str">
        <f>refinertdcruntimes&amp;" --tripid "&amp;A74&amp;" --locoid "&amp;B74&amp;" --swversion "&amp;C74&amp;" --startMP "&amp;D74&amp;" --initTime "&amp;TEXT(E74,"yyyy-mm-ddTHH:MM:SS")&amp;" --startdatetime "&amp;TEXT(F74,"yyyy-mm-ddTHH:MM:SS")&amp;" --delay "&amp;G74&amp;" --endMP "&amp;H74&amp;" --enddatetime "&amp;TEXT(I74,"yyyy-mm-ddTHH:MM:SS")&amp;" --enforcementcount "&amp;J74&amp;" &gt;&gt; "&amp;TEXT(Variables!$A$2,"yyyy-mm-dd")&amp;"-refined-runtimes.txt"</f>
        <v>"%USERPROFILE%\Documents\GitHub\eaglep3\Utilities\RefineRTDCRunTimes.py" --tripid 162-03 --locoid 4043 --swversion DE.1.0.7.0 --startMP 204:232977 --initTime 2016-08-03T12:01:43 --startdatetime 2016-08-03T12:04:53 --delay 3 --endMP 204:141 --enddatetime 2016-08-03T12:51:00 --enforcementcount 0 &gt;&gt; 2016-08-03-refined-runtimes.txt</v>
      </c>
    </row>
    <row r="75" spans="1:34" x14ac:dyDescent="0.25">
      <c r="A75" s="25" t="s">
        <v>505</v>
      </c>
      <c r="B75" s="94">
        <v>4042</v>
      </c>
      <c r="C75" s="95" t="s">
        <v>163</v>
      </c>
      <c r="D75" s="95" t="s">
        <v>399</v>
      </c>
      <c r="E75" s="96">
        <v>42585.474560185183</v>
      </c>
      <c r="F75" s="96">
        <v>42585.475787037038</v>
      </c>
      <c r="G75" s="94">
        <v>1</v>
      </c>
      <c r="H75" s="96" t="s">
        <v>158</v>
      </c>
      <c r="I75" s="96">
        <v>42585.504907407405</v>
      </c>
      <c r="J75" s="94">
        <v>1</v>
      </c>
      <c r="K75" s="121" t="str">
        <f t="shared" si="15"/>
        <v>4041/4042</v>
      </c>
      <c r="L75" s="25" t="str">
        <f>VLOOKUP(A75,'Trips&amp;Operators'!$C$1:$E$10000,3,FALSE)</f>
        <v>KILLION</v>
      </c>
      <c r="M75" s="6">
        <f t="shared" si="16"/>
        <v>2.9120370367309079E-2</v>
      </c>
      <c r="N75" s="7">
        <f t="shared" si="2"/>
        <v>41.933333328925073</v>
      </c>
      <c r="O75" s="7"/>
      <c r="P75" s="7"/>
      <c r="Q75" s="26"/>
      <c r="R75" s="26"/>
      <c r="S75" s="40">
        <f t="shared" si="17"/>
        <v>1</v>
      </c>
      <c r="T75" s="57" t="str">
        <f t="shared" si="18"/>
        <v>NorthBound</v>
      </c>
      <c r="U75" s="82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10:23:22-0600',mode:absolute,to:'2016-08-03 13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5" s="62" t="str">
        <f t="shared" si="20"/>
        <v>N</v>
      </c>
      <c r="X75" s="124">
        <f t="shared" si="21"/>
        <v>1</v>
      </c>
      <c r="Y75" s="77">
        <f t="shared" si="22"/>
        <v>4.3999999999999997E-2</v>
      </c>
      <c r="Z75" s="77">
        <f t="shared" si="23"/>
        <v>23.330200000000001</v>
      </c>
      <c r="AA75" s="77">
        <f t="shared" si="24"/>
        <v>23.286200000000001</v>
      </c>
      <c r="AB75" s="74" t="e">
        <f>VLOOKUP(A75,Enforcements!$C$7:$J$24,8,0)</f>
        <v>#N/A</v>
      </c>
      <c r="AC75" s="70" t="e">
        <f>VLOOKUP(A75,Enforcements!$C$7:$E$24,3,0)</f>
        <v>#N/A</v>
      </c>
      <c r="AD75" s="71" t="str">
        <f t="shared" si="25"/>
        <v>0163-03</v>
      </c>
      <c r="AE75" s="131" t="str">
        <f t="shared" si="26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75" s="128" t="str">
        <f t="shared" si="27"/>
        <v>"C:\Program Files (x86)\AstroGrep\AstroGrep.exe" /spath="%USERPROFILE%\AppData\Local\Temp\OnboardLogs" /stypes="*4042*20160803*" /stext=" 18:.+((SYSTEM_STATE.+slice.+state.+changed )|(ment ac)|(system.+state.+changed )|(\|lc)|(penalty)|(\[timeout)|(PRM\|1\|D)|(kpr)|(kdp))" /e /r /s</v>
      </c>
      <c r="AG75" s="1" t="str">
        <f t="shared" si="28"/>
        <v>EC</v>
      </c>
      <c r="AH75" s="132" t="str">
        <f>refinertdcruntimes&amp;" --tripid "&amp;A75&amp;" --locoid "&amp;B75&amp;" --swversion "&amp;C75&amp;" --startMP "&amp;D75&amp;" --initTime "&amp;TEXT(E75,"yyyy-mm-ddTHH:MM:SS")&amp;" --startdatetime "&amp;TEXT(F75,"yyyy-mm-ddTHH:MM:SS")&amp;" --delay "&amp;G75&amp;" --endMP "&amp;H75&amp;" --enddatetime "&amp;TEXT(I75,"yyyy-mm-ddTHH:MM:SS")&amp;" --enforcementcount "&amp;J75&amp;" &gt;&gt; "&amp;TEXT(Variables!$A$2,"yyyy-mm-dd")&amp;"-refined-runtimes.txt"</f>
        <v>"%USERPROFILE%\Documents\GitHub\eaglep3\Utilities\RefineRTDCRunTimes.py" --tripid 163-03 --locoid 4042 --swversion DE.1.0.7.0 --startMP 204:440 --initTime 2016-08-03T11:23:22 --startdatetime 2016-08-03T11:25:08 --delay 1 --endMP 204:233302 --enddatetime 2016-08-03T12:07:04 --enforcementcount 1 &gt;&gt; 2016-08-03-refined-runtimes.txt</v>
      </c>
    </row>
    <row r="76" spans="1:34" x14ac:dyDescent="0.25">
      <c r="A76" s="25" t="s">
        <v>507</v>
      </c>
      <c r="B76" s="94">
        <v>4041</v>
      </c>
      <c r="C76" s="95" t="s">
        <v>163</v>
      </c>
      <c r="D76" s="95" t="s">
        <v>400</v>
      </c>
      <c r="E76" s="96">
        <v>42585.511273148149</v>
      </c>
      <c r="F76" s="96">
        <v>42585.512615740743</v>
      </c>
      <c r="G76" s="94">
        <v>1</v>
      </c>
      <c r="H76" s="96" t="s">
        <v>601</v>
      </c>
      <c r="I76" s="96">
        <v>42585.545358796298</v>
      </c>
      <c r="J76" s="94">
        <v>3</v>
      </c>
      <c r="K76" s="121" t="str">
        <f t="shared" si="15"/>
        <v>4041/4042</v>
      </c>
      <c r="L76" s="25" t="str">
        <f>VLOOKUP(A76,'Trips&amp;Operators'!$C$1:$E$10000,3,FALSE)</f>
        <v>KILLION</v>
      </c>
      <c r="M76" s="6">
        <f t="shared" si="16"/>
        <v>3.2743055555329192E-2</v>
      </c>
      <c r="N76" s="7">
        <f t="shared" ref="N76:P135" si="29">24*60*SUM($M76:$M76)</f>
        <v>47.149999999674037</v>
      </c>
      <c r="O76" s="7"/>
      <c r="P76" s="7"/>
      <c r="Q76" s="26"/>
      <c r="R76" s="26"/>
      <c r="S76" s="40">
        <f t="shared" si="17"/>
        <v>1</v>
      </c>
      <c r="T76" s="57" t="str">
        <f t="shared" si="18"/>
        <v>Southbound</v>
      </c>
      <c r="U76" s="82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76" s="62" t="str">
        <f t="shared" si="20"/>
        <v>Y</v>
      </c>
      <c r="X76" s="124">
        <f t="shared" si="21"/>
        <v>1</v>
      </c>
      <c r="Y76" s="77">
        <f t="shared" si="22"/>
        <v>23.297899999999998</v>
      </c>
      <c r="Z76" s="77">
        <f t="shared" si="23"/>
        <v>0.46339999999999998</v>
      </c>
      <c r="AA76" s="77">
        <f t="shared" si="24"/>
        <v>22.834499999999998</v>
      </c>
      <c r="AB76" s="74" t="e">
        <f>VLOOKUP(A76,Enforcements!$C$7:$J$24,8,0)</f>
        <v>#N/A</v>
      </c>
      <c r="AC76" s="70" t="e">
        <f>VLOOKUP(A76,Enforcements!$C$7:$E$24,3,0)</f>
        <v>#N/A</v>
      </c>
      <c r="AD76" s="71" t="str">
        <f t="shared" si="25"/>
        <v>0164-03</v>
      </c>
      <c r="AE76" s="131" t="str">
        <f t="shared" si="26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76" s="128" t="str">
        <f t="shared" si="27"/>
        <v>"C:\Program Files (x86)\AstroGrep\AstroGrep.exe" /spath="%USERPROFILE%\AppData\Local\Temp\OnboardLogs" /stypes="*4041*20160803*" /stext=" 19:.+((SYSTEM_STATE.+slice.+state.+changed )|(ment ac)|(system.+state.+changed )|(\|lc)|(penalty)|(\[timeout)|(PRM\|1\|D)|(kpr)|(kdp))" /e /r /s</v>
      </c>
      <c r="AG76" s="1" t="str">
        <f t="shared" si="28"/>
        <v>EC</v>
      </c>
      <c r="AH76" s="132" t="str">
        <f>refinertdcruntimes&amp;" --tripid "&amp;A76&amp;" --locoid "&amp;B76&amp;" --swversion "&amp;C76&amp;" --startMP "&amp;D76&amp;" --initTime "&amp;TEXT(E76,"yyyy-mm-ddTHH:MM:SS")&amp;" --startdatetime "&amp;TEXT(F76,"yyyy-mm-ddTHH:MM:SS")&amp;" --delay "&amp;G76&amp;" --endMP "&amp;H76&amp;" --enddatetime "&amp;TEXT(I76,"yyyy-mm-ddTHH:MM:SS")&amp;" --enforcementcount "&amp;J76&amp;" &gt;&gt; "&amp;TEXT(Variables!$A$2,"yyyy-mm-dd")&amp;"-refined-runtimes.txt"</f>
        <v>"%USERPROFILE%\Documents\GitHub\eaglep3\Utilities\RefineRTDCRunTimes.py" --tripid 164-03 --locoid 4041 --swversion DE.1.0.7.0 --startMP 204:232979 --initTime 2016-08-03T12:16:14 --startdatetime 2016-08-03T12:18:10 --delay 1 --endMP 204:4634 --enddatetime 2016-08-03T13:05:19 --enforcementcount 3 &gt;&gt; 2016-08-03-refined-runtimes.txt</v>
      </c>
    </row>
    <row r="77" spans="1:34" x14ac:dyDescent="0.25">
      <c r="A77" s="25" t="s">
        <v>602</v>
      </c>
      <c r="B77" s="94">
        <v>4025</v>
      </c>
      <c r="C77" s="95" t="s">
        <v>163</v>
      </c>
      <c r="D77" s="95" t="s">
        <v>140</v>
      </c>
      <c r="E77" s="96">
        <v>42585.486157407409</v>
      </c>
      <c r="F77" s="96">
        <v>42585.487210648149</v>
      </c>
      <c r="G77" s="94">
        <v>1</v>
      </c>
      <c r="H77" s="96" t="s">
        <v>335</v>
      </c>
      <c r="I77" s="96">
        <v>42585.514525462961</v>
      </c>
      <c r="J77" s="94">
        <v>0</v>
      </c>
      <c r="K77" s="121" t="str">
        <f t="shared" si="15"/>
        <v>4025/4026</v>
      </c>
      <c r="L77" s="25" t="str">
        <f>VLOOKUP(A77,'Trips&amp;Operators'!$C$1:$E$10000,3,FALSE)</f>
        <v>REBOLETTI</v>
      </c>
      <c r="M77" s="6">
        <f t="shared" si="16"/>
        <v>2.7314814811688848E-2</v>
      </c>
      <c r="N77" s="7">
        <f t="shared" si="29"/>
        <v>39.333333328831941</v>
      </c>
      <c r="O77" s="7"/>
      <c r="P77" s="7"/>
      <c r="Q77" s="26"/>
      <c r="R77" s="26"/>
      <c r="S77" s="40">
        <f t="shared" si="17"/>
        <v>1</v>
      </c>
      <c r="T77" s="57" t="str">
        <f t="shared" si="18"/>
        <v>NorthBound</v>
      </c>
      <c r="U77" s="82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138" t="str">
        <f t="shared" si="19"/>
        <v>https://search-rtdc-monitor-bjffxe2xuh6vdkpspy63sjmuny.us-east-1.es.amazonaws.com/_plugin/kibana/#/discover/Steve-Slow-Train-Analysis-(2080s-and-2083s)?_g=(refreshInterval:(display:Off,section:0,value:0),time:(from:'2016-08-03 10:40:04-0600',mode:absolute,to:'2016-08-03 13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7" s="62" t="str">
        <f t="shared" si="20"/>
        <v>N</v>
      </c>
      <c r="X77" s="124">
        <f t="shared" si="21"/>
        <v>1</v>
      </c>
      <c r="Y77" s="77">
        <f t="shared" si="22"/>
        <v>4.6199999999999998E-2</v>
      </c>
      <c r="Z77" s="77">
        <f t="shared" si="23"/>
        <v>23.330100000000002</v>
      </c>
      <c r="AA77" s="77">
        <f t="shared" si="24"/>
        <v>23.283900000000003</v>
      </c>
      <c r="AB77" s="74" t="e">
        <f>VLOOKUP(A77,Enforcements!$C$7:$J$24,8,0)</f>
        <v>#N/A</v>
      </c>
      <c r="AC77" s="70" t="e">
        <f>VLOOKUP(A77,Enforcements!$C$7:$E$24,3,0)</f>
        <v>#N/A</v>
      </c>
      <c r="AD77" s="71" t="str">
        <f t="shared" si="25"/>
        <v>0165-03</v>
      </c>
      <c r="AE77" s="131" t="str">
        <f t="shared" si="26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77" s="128" t="str">
        <f t="shared" si="27"/>
        <v>"C:\Program Files (x86)\AstroGrep\AstroGrep.exe" /spath="%USERPROFILE%\AppData\Local\Temp\OnboardLogs" /stypes="*4025*20160803*" /stext=" 18:.+((SYSTEM_STATE.+slice.+state.+changed )|(ment ac)|(system.+state.+changed )|(\|lc)|(penalty)|(\[timeout)|(PRM\|1\|D)|(kpr)|(kdp))" /e /r /s</v>
      </c>
      <c r="AG77" s="1" t="str">
        <f t="shared" si="28"/>
        <v>EC</v>
      </c>
      <c r="AH77" s="132" t="str">
        <f>refinertdcruntimes&amp;" --tripid "&amp;A77&amp;" --locoid "&amp;B77&amp;" --swversion "&amp;C77&amp;" --startMP "&amp;D77&amp;" --initTime "&amp;TEXT(E77,"yyyy-mm-ddTHH:MM:SS")&amp;" --startdatetime "&amp;TEXT(F77,"yyyy-mm-ddTHH:MM:SS")&amp;" --delay "&amp;G77&amp;" --endMP "&amp;H77&amp;" --enddatetime "&amp;TEXT(I77,"yyyy-mm-ddTHH:MM:SS")&amp;" --enforcementcount "&amp;J77&amp;" &gt;&gt; "&amp;TEXT(Variables!$A$2,"yyyy-mm-dd")&amp;"-refined-runtimes.txt"</f>
        <v>"%USERPROFILE%\Documents\GitHub\eaglep3\Utilities\RefineRTDCRunTimes.py" --tripid 165-03 --locoid 4025 --swversion DE.1.0.7.0 --startMP 204:462 --initTime 2016-08-03T11:40:04 --startdatetime 2016-08-03T11:41:35 --delay 1 --endMP 204:233301 --enddatetime 2016-08-03T12:20:55 --enforcementcount 0 &gt;&gt; 2016-08-03-refined-runtimes.txt</v>
      </c>
    </row>
    <row r="78" spans="1:34" x14ac:dyDescent="0.25">
      <c r="A78" s="25" t="s">
        <v>508</v>
      </c>
      <c r="B78" s="94">
        <v>4026</v>
      </c>
      <c r="C78" s="95" t="s">
        <v>163</v>
      </c>
      <c r="D78" s="95" t="s">
        <v>603</v>
      </c>
      <c r="E78" s="96">
        <v>42585.523668981485</v>
      </c>
      <c r="F78" s="96">
        <v>42585.524606481478</v>
      </c>
      <c r="G78" s="94">
        <v>1</v>
      </c>
      <c r="H78" s="96" t="s">
        <v>604</v>
      </c>
      <c r="I78" s="96">
        <v>42585.555949074071</v>
      </c>
      <c r="J78" s="94">
        <v>1</v>
      </c>
      <c r="K78" s="121" t="str">
        <f t="shared" ref="K78:K137" si="30">IF(ISEVEN(B78),(B78-1)&amp;"/"&amp;B78,B78&amp;"/"&amp;(B78+1))</f>
        <v>4025/4026</v>
      </c>
      <c r="L78" s="25" t="str">
        <f>VLOOKUP(A78,'Trips&amp;Operators'!$C$1:$E$10000,3,FALSE)</f>
        <v>REBOLETTI</v>
      </c>
      <c r="M78" s="6">
        <f t="shared" ref="M78:M137" si="31">I78-F78</f>
        <v>3.1342592592409346E-2</v>
      </c>
      <c r="N78" s="7">
        <f t="shared" si="29"/>
        <v>45.133333333069459</v>
      </c>
      <c r="O78" s="7"/>
      <c r="P78" s="7"/>
      <c r="Q78" s="26"/>
      <c r="R78" s="26"/>
      <c r="S78" s="40">
        <f t="shared" ref="S78:S137" si="32">SUM(U78:U78)/IF(AG78="EC",12,1)</f>
        <v>1</v>
      </c>
      <c r="T78" s="57" t="str">
        <f t="shared" ref="T78:T137" si="33">IF(ISEVEN(LEFT(AD78,4)),"Southbound","NorthBound")</f>
        <v>Southbound</v>
      </c>
      <c r="U78" s="82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138" t="str">
        <f t="shared" ref="V78:V137" si="34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https://search-rtdc-monitor-bjffxe2xuh6vdkpspy63sjmuny.us-east-1.es.amazonaws.com/_plugin/kibana/#/discover/Steve-Slow-Train-Analysis-(2080s-and-2083s)?_g=(refreshInterval:(display:Off,section:0,value:0),time:(from:'2016-08-03 11:34:05-0600',mode:absolute,to:'2016-08-03 14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8" s="62" t="str">
        <f t="shared" ref="W78:W137" si="35">IF(AA78&lt;IF(AG78="EC",23,5.65),"Y","N")</f>
        <v>N</v>
      </c>
      <c r="X78" s="124">
        <f t="shared" ref="X78:X137" si="36">VALUE(LEFT(AD78,4))-VALUE(LEFT(AD77,4))</f>
        <v>1</v>
      </c>
      <c r="Y78" s="77">
        <f t="shared" ref="Y78:Y137" si="37">RIGHT(D78,LEN(D78)-4)/10000</f>
        <v>23.2988</v>
      </c>
      <c r="Z78" s="77">
        <f t="shared" ref="Z78:Z137" si="38">RIGHT(H78,LEN(H78)-4)/10000</f>
        <v>0.2969</v>
      </c>
      <c r="AA78" s="77">
        <f t="shared" ref="AA78:AA137" si="39">ABS(Z78-Y78)</f>
        <v>23.001899999999999</v>
      </c>
      <c r="AB78" s="74" t="e">
        <f>VLOOKUP(A78,Enforcements!$C$7:$J$24,8,0)</f>
        <v>#N/A</v>
      </c>
      <c r="AC78" s="70" t="e">
        <f>VLOOKUP(A78,Enforcements!$C$7:$E$24,3,0)</f>
        <v>#N/A</v>
      </c>
      <c r="AD78" s="71" t="str">
        <f t="shared" ref="AD78:AD137" si="40">IF(LEN(A78)=6,"0"&amp;A78,A78)</f>
        <v>0166-03</v>
      </c>
      <c r="AE78" s="131" t="str">
        <f t="shared" ref="AE78:AE137" si="41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78" s="128" t="str">
        <f t="shared" ref="AF78:AF137" si="42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/spath="%USERPROFILE%\AppData\Local\Temp\OnboardLogs" /stypes="*4026*20160803*" /stext=" 19:.+((SYSTEM_STATE.+slice.+state.+changed )|(ment ac)|(system.+state.+changed )|(\|lc)|(penalty)|(\[timeout)|(PRM\|1\|D)|(kpr)|(kdp))" /e /r /s</v>
      </c>
      <c r="AG78" s="1" t="str">
        <f t="shared" ref="AG78:AG137" si="43">IF(VALUE(LEFT(AD78,2))&lt;=2,"EC",IF(OR(VALUE(LEFT(AD78,2))=8,VALUE(LEFT(AD78,2))=18),"NW","GL"))</f>
        <v>EC</v>
      </c>
      <c r="AH78" s="132" t="str">
        <f>refinertdcruntimes&amp;" --tripid "&amp;A78&amp;" --locoid "&amp;B78&amp;" --swversion "&amp;C78&amp;" --startMP "&amp;D78&amp;" --initTime "&amp;TEXT(E78,"yyyy-mm-ddTHH:MM:SS")&amp;" --startdatetime "&amp;TEXT(F78,"yyyy-mm-ddTHH:MM:SS")&amp;" --delay "&amp;G78&amp;" --endMP "&amp;H78&amp;" --enddatetime "&amp;TEXT(I78,"yyyy-mm-ddTHH:MM:SS")&amp;" --enforcementcount "&amp;J78&amp;" &gt;&gt; "&amp;TEXT(Variables!$A$2,"yyyy-mm-dd")&amp;"-refined-runtimes.txt"</f>
        <v>"%USERPROFILE%\Documents\GitHub\eaglep3\Utilities\RefineRTDCRunTimes.py" --tripid 166-03 --locoid 4026 --swversion DE.1.0.7.0 --startMP 204:232988 --initTime 2016-08-03T12:34:05 --startdatetime 2016-08-03T12:35:26 --delay 1 --endMP 204:2969 --enddatetime 2016-08-03T13:20:34 --enforcementcount 1 &gt;&gt; 2016-08-03-refined-runtimes.txt</v>
      </c>
    </row>
    <row r="79" spans="1:34" x14ac:dyDescent="0.25">
      <c r="A79" s="25" t="s">
        <v>506</v>
      </c>
      <c r="B79" s="94">
        <v>4038</v>
      </c>
      <c r="C79" s="95" t="s">
        <v>163</v>
      </c>
      <c r="D79" s="95" t="s">
        <v>605</v>
      </c>
      <c r="E79" s="96">
        <v>42585.495243055557</v>
      </c>
      <c r="F79" s="96">
        <v>42585.496967592589</v>
      </c>
      <c r="G79" s="94">
        <v>2</v>
      </c>
      <c r="H79" s="96" t="s">
        <v>606</v>
      </c>
      <c r="I79" s="96">
        <v>42585.525787037041</v>
      </c>
      <c r="J79" s="94">
        <v>1</v>
      </c>
      <c r="K79" s="121" t="str">
        <f t="shared" si="30"/>
        <v>4037/4038</v>
      </c>
      <c r="L79" s="25" t="str">
        <f>VLOOKUP(A79,'Trips&amp;Operators'!$C$1:$E$10000,3,FALSE)</f>
        <v>STORY</v>
      </c>
      <c r="M79" s="6">
        <f t="shared" si="31"/>
        <v>2.881944445107365E-2</v>
      </c>
      <c r="N79" s="7">
        <f t="shared" si="29"/>
        <v>41.500000009546056</v>
      </c>
      <c r="O79" s="7"/>
      <c r="P79" s="7"/>
      <c r="Q79" s="26"/>
      <c r="R79" s="26"/>
      <c r="S79" s="40">
        <f t="shared" si="32"/>
        <v>1</v>
      </c>
      <c r="T79" s="57" t="str">
        <f t="shared" si="33"/>
        <v>NorthBound</v>
      </c>
      <c r="U79" s="82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10:53:09-0600',mode:absolute,to:'2016-08-03 13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9" s="62" t="str">
        <f t="shared" si="35"/>
        <v>N</v>
      </c>
      <c r="X79" s="124">
        <f t="shared" si="36"/>
        <v>1</v>
      </c>
      <c r="Y79" s="77">
        <f t="shared" si="37"/>
        <v>4.7699999999999999E-2</v>
      </c>
      <c r="Z79" s="77">
        <f t="shared" si="38"/>
        <v>23.336600000000001</v>
      </c>
      <c r="AA79" s="77">
        <f t="shared" si="39"/>
        <v>23.288900000000002</v>
      </c>
      <c r="AB79" s="74" t="e">
        <f>VLOOKUP(A79,Enforcements!$C$7:$J$24,8,0)</f>
        <v>#N/A</v>
      </c>
      <c r="AC79" s="70" t="e">
        <f>VLOOKUP(A79,Enforcements!$C$7:$E$24,3,0)</f>
        <v>#N/A</v>
      </c>
      <c r="AD79" s="71" t="str">
        <f t="shared" si="40"/>
        <v>0167-03</v>
      </c>
      <c r="AE79" s="131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79" s="128" t="str">
        <f t="shared" si="42"/>
        <v>"C:\Program Files (x86)\AstroGrep\AstroGrep.exe" /spath="%USERPROFILE%\AppData\Local\Temp\OnboardLogs" /stypes="*4038*20160803*" /stext=" 18:.+((SYSTEM_STATE.+slice.+state.+changed )|(ment ac)|(system.+state.+changed )|(\|lc)|(penalty)|(\[timeout)|(PRM\|1\|D)|(kpr)|(kdp))" /e /r /s</v>
      </c>
      <c r="AG79" s="1" t="str">
        <f t="shared" si="43"/>
        <v>EC</v>
      </c>
      <c r="AH79" s="132" t="str">
        <f>refinertdcruntimes&amp;" --tripid "&amp;A79&amp;" --locoid "&amp;B79&amp;" --swversion "&amp;C79&amp;" --startMP "&amp;D79&amp;" --initTime "&amp;TEXT(E79,"yyyy-mm-ddTHH:MM:SS")&amp;" --startdatetime "&amp;TEXT(F79,"yyyy-mm-ddTHH:MM:SS")&amp;" --delay "&amp;G79&amp;" --endMP "&amp;H79&amp;" --enddatetime "&amp;TEXT(I79,"yyyy-mm-ddTHH:MM:SS")&amp;" --enforcementcount "&amp;J79&amp;" &gt;&gt; "&amp;TEXT(Variables!$A$2,"yyyy-mm-dd")&amp;"-refined-runtimes.txt"</f>
        <v>"%USERPROFILE%\Documents\GitHub\eaglep3\Utilities\RefineRTDCRunTimes.py" --tripid 167-03 --locoid 4038 --swversion DE.1.0.7.0 --startMP 204:477 --initTime 2016-08-03T11:53:09 --startdatetime 2016-08-03T11:55:38 --delay 2 --endMP 204:233366 --enddatetime 2016-08-03T12:37:08 --enforcementcount 1 &gt;&gt; 2016-08-03-refined-runtimes.txt</v>
      </c>
    </row>
    <row r="80" spans="1:34" x14ac:dyDescent="0.25">
      <c r="A80" s="25" t="s">
        <v>510</v>
      </c>
      <c r="B80" s="94">
        <v>4037</v>
      </c>
      <c r="C80" s="95" t="s">
        <v>163</v>
      </c>
      <c r="D80" s="95" t="s">
        <v>607</v>
      </c>
      <c r="E80" s="96">
        <v>42585.5309837963</v>
      </c>
      <c r="F80" s="96">
        <v>42585.532418981478</v>
      </c>
      <c r="G80" s="94">
        <v>2</v>
      </c>
      <c r="H80" s="96" t="s">
        <v>608</v>
      </c>
      <c r="I80" s="96">
        <v>42585.566817129627</v>
      </c>
      <c r="J80" s="94">
        <v>2</v>
      </c>
      <c r="K80" s="121" t="str">
        <f t="shared" si="30"/>
        <v>4037/4038</v>
      </c>
      <c r="L80" s="25" t="str">
        <f>VLOOKUP(A80,'Trips&amp;Operators'!$C$1:$E$10000,3,FALSE)</f>
        <v>STORY</v>
      </c>
      <c r="M80" s="6">
        <f t="shared" si="31"/>
        <v>3.439814814919373E-2</v>
      </c>
      <c r="N80" s="7">
        <f t="shared" si="29"/>
        <v>49.533333334838971</v>
      </c>
      <c r="O80" s="7"/>
      <c r="P80" s="7"/>
      <c r="Q80" s="26"/>
      <c r="R80" s="26"/>
      <c r="S80" s="40">
        <f t="shared" si="32"/>
        <v>1</v>
      </c>
      <c r="T80" s="57" t="str">
        <f t="shared" si="33"/>
        <v>Southbound</v>
      </c>
      <c r="U80" s="82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0" s="62" t="str">
        <f t="shared" si="35"/>
        <v>N</v>
      </c>
      <c r="X80" s="124">
        <f t="shared" si="36"/>
        <v>1</v>
      </c>
      <c r="Y80" s="77">
        <f t="shared" si="37"/>
        <v>23.3047</v>
      </c>
      <c r="Z80" s="77">
        <f t="shared" si="38"/>
        <v>2.4199999999999999E-2</v>
      </c>
      <c r="AA80" s="77">
        <f t="shared" si="39"/>
        <v>23.2805</v>
      </c>
      <c r="AB80" s="74">
        <f>VLOOKUP(A80,Enforcements!$C$7:$J$24,8,0)</f>
        <v>63309</v>
      </c>
      <c r="AC80" s="70" t="str">
        <f>VLOOKUP(A80,Enforcements!$C$7:$E$24,3,0)</f>
        <v>GRADE CROSSING</v>
      </c>
      <c r="AD80" s="71" t="str">
        <f t="shared" si="40"/>
        <v>0168-03</v>
      </c>
      <c r="AE80" s="131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80" s="128" t="str">
        <f t="shared" si="42"/>
        <v>"C:\Program Files (x86)\AstroGrep\AstroGrep.exe" /spath="%USERPROFILE%\AppData\Local\Temp\OnboardLogs" /stypes="*4037*20160803*" /stext=" 19:.+((SYSTEM_STATE.+slice.+state.+changed )|(ment ac)|(system.+state.+changed )|(\|lc)|(penalty)|(\[timeout)|(PRM\|1\|D)|(kpr)|(kdp))" /e /r /s</v>
      </c>
      <c r="AG80" s="1" t="str">
        <f t="shared" si="43"/>
        <v>EC</v>
      </c>
      <c r="AH80" s="132" t="str">
        <f>refinertdcruntimes&amp;" --tripid "&amp;A80&amp;" --locoid "&amp;B80&amp;" --swversion "&amp;C80&amp;" --startMP "&amp;D80&amp;" --initTime "&amp;TEXT(E80,"yyyy-mm-ddTHH:MM:SS")&amp;" --startdatetime "&amp;TEXT(F80,"yyyy-mm-ddTHH:MM:SS")&amp;" --delay "&amp;G80&amp;" --endMP "&amp;H80&amp;" --enddatetime "&amp;TEXT(I80,"yyyy-mm-ddTHH:MM:SS")&amp;" --enforcementcount "&amp;J80&amp;" &gt;&gt; "&amp;TEXT(Variables!$A$2,"yyyy-mm-dd")&amp;"-refined-runtimes.txt"</f>
        <v>"%USERPROFILE%\Documents\GitHub\eaglep3\Utilities\RefineRTDCRunTimes.py" --tripid 168-03 --locoid 4037 --swversion DE.1.0.7.0 --startMP 204:233047 --initTime 2016-08-03T12:44:37 --startdatetime 2016-08-03T12:46:41 --delay 2 --endMP 204:242 --enddatetime 2016-08-03T13:36:13 --enforcementcount 2 &gt;&gt; 2016-08-03-refined-runtimes.txt</v>
      </c>
    </row>
    <row r="81" spans="1:34" x14ac:dyDescent="0.25">
      <c r="A81" s="25" t="s">
        <v>609</v>
      </c>
      <c r="B81" s="94">
        <v>4018</v>
      </c>
      <c r="C81" s="95" t="s">
        <v>163</v>
      </c>
      <c r="D81" s="95" t="s">
        <v>321</v>
      </c>
      <c r="E81" s="96">
        <v>42585.509837962964</v>
      </c>
      <c r="F81" s="96">
        <v>42585.510821759257</v>
      </c>
      <c r="G81" s="94">
        <v>1</v>
      </c>
      <c r="H81" s="96" t="s">
        <v>335</v>
      </c>
      <c r="I81" s="96">
        <v>42585.536238425928</v>
      </c>
      <c r="J81" s="94">
        <v>0</v>
      </c>
      <c r="K81" s="121" t="str">
        <f t="shared" si="30"/>
        <v>4017/4018</v>
      </c>
      <c r="L81" s="25" t="str">
        <f>VLOOKUP(A81,'Trips&amp;Operators'!$C$1:$E$10000,3,FALSE)</f>
        <v>BRUDER</v>
      </c>
      <c r="M81" s="6">
        <f t="shared" si="31"/>
        <v>2.5416666670935228E-2</v>
      </c>
      <c r="N81" s="7">
        <f t="shared" si="29"/>
        <v>36.600000006146729</v>
      </c>
      <c r="O81" s="7"/>
      <c r="P81" s="7"/>
      <c r="Q81" s="26"/>
      <c r="R81" s="26"/>
      <c r="S81" s="40">
        <f t="shared" si="32"/>
        <v>1</v>
      </c>
      <c r="T81" s="57" t="str">
        <f t="shared" si="33"/>
        <v>NorthBound</v>
      </c>
      <c r="U81" s="82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11:14:10-0600',mode:absolute,to:'2016-08-03 13:52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1" s="62" t="str">
        <f t="shared" si="35"/>
        <v>N</v>
      </c>
      <c r="X81" s="124">
        <f t="shared" si="36"/>
        <v>1</v>
      </c>
      <c r="Y81" s="77">
        <f t="shared" si="37"/>
        <v>4.5699999999999998E-2</v>
      </c>
      <c r="Z81" s="77">
        <f t="shared" si="38"/>
        <v>23.330100000000002</v>
      </c>
      <c r="AA81" s="77">
        <f t="shared" si="39"/>
        <v>23.284400000000002</v>
      </c>
      <c r="AB81" s="74" t="e">
        <f>VLOOKUP(A81,Enforcements!$C$7:$J$24,8,0)</f>
        <v>#N/A</v>
      </c>
      <c r="AC81" s="70" t="e">
        <f>VLOOKUP(A81,Enforcements!$C$7:$E$24,3,0)</f>
        <v>#N/A</v>
      </c>
      <c r="AD81" s="71" t="str">
        <f t="shared" si="40"/>
        <v>0169-03</v>
      </c>
      <c r="AE81" s="131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81" s="128" t="str">
        <f t="shared" si="42"/>
        <v>"C:\Program Files (x86)\AstroGrep\AstroGrep.exe" /spath="%USERPROFILE%\AppData\Local\Temp\OnboardLogs" /stypes="*4018*20160803*" /stext=" 18:.+((SYSTEM_STATE.+slice.+state.+changed )|(ment ac)|(system.+state.+changed )|(\|lc)|(penalty)|(\[timeout)|(PRM\|1\|D)|(kpr)|(kdp))" /e /r /s</v>
      </c>
      <c r="AG81" s="1" t="str">
        <f t="shared" si="43"/>
        <v>EC</v>
      </c>
      <c r="AH81" s="132" t="str">
        <f>refinertdcruntimes&amp;" --tripid "&amp;A81&amp;" --locoid "&amp;B81&amp;" --swversion "&amp;C81&amp;" --startMP "&amp;D81&amp;" --initTime "&amp;TEXT(E81,"yyyy-mm-ddTHH:MM:SS")&amp;" --startdatetime "&amp;TEXT(F81,"yyyy-mm-ddTHH:MM:SS")&amp;" --delay "&amp;G81&amp;" --endMP "&amp;H81&amp;" --enddatetime "&amp;TEXT(I81,"yyyy-mm-ddTHH:MM:SS")&amp;" --enforcementcount "&amp;J81&amp;" &gt;&gt; "&amp;TEXT(Variables!$A$2,"yyyy-mm-dd")&amp;"-refined-runtimes.txt"</f>
        <v>"%USERPROFILE%\Documents\GitHub\eaglep3\Utilities\RefineRTDCRunTimes.py" --tripid 169-03 --locoid 4018 --swversion DE.1.0.7.0 --startMP 204:457 --initTime 2016-08-03T12:14:10 --startdatetime 2016-08-03T12:15:35 --delay 1 --endMP 204:233301 --enddatetime 2016-08-03T12:52:11 --enforcementcount 0 &gt;&gt; 2016-08-03-refined-runtimes.txt</v>
      </c>
    </row>
    <row r="82" spans="1:34" x14ac:dyDescent="0.25">
      <c r="A82" s="25" t="s">
        <v>511</v>
      </c>
      <c r="B82" s="94">
        <v>4017</v>
      </c>
      <c r="C82" s="95" t="s">
        <v>163</v>
      </c>
      <c r="D82" s="95" t="s">
        <v>320</v>
      </c>
      <c r="E82" s="96">
        <v>42585.54420138889</v>
      </c>
      <c r="F82" s="96">
        <v>42585.545300925929</v>
      </c>
      <c r="G82" s="94">
        <v>1</v>
      </c>
      <c r="H82" s="96" t="s">
        <v>58</v>
      </c>
      <c r="I82" s="96">
        <v>42585.577708333331</v>
      </c>
      <c r="J82" s="94">
        <v>1</v>
      </c>
      <c r="K82" s="121" t="str">
        <f t="shared" si="30"/>
        <v>4017/4018</v>
      </c>
      <c r="L82" s="25" t="str">
        <f>VLOOKUP(A82,'Trips&amp;Operators'!$C$1:$E$10000,3,FALSE)</f>
        <v>BRUDER</v>
      </c>
      <c r="M82" s="6">
        <f t="shared" si="31"/>
        <v>3.2407407401478849E-2</v>
      </c>
      <c r="N82" s="7">
        <f t="shared" si="29"/>
        <v>46.666666658129543</v>
      </c>
      <c r="O82" s="7"/>
      <c r="P82" s="7"/>
      <c r="Q82" s="26"/>
      <c r="R82" s="26"/>
      <c r="S82" s="40">
        <f t="shared" si="32"/>
        <v>1</v>
      </c>
      <c r="T82" s="57" t="str">
        <f t="shared" si="33"/>
        <v>Southbound</v>
      </c>
      <c r="U82" s="82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12:03:39-0600',mode:absolute,to:'2016-08-03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2" s="62" t="str">
        <f t="shared" si="35"/>
        <v>N</v>
      </c>
      <c r="X82" s="124">
        <f t="shared" si="36"/>
        <v>1</v>
      </c>
      <c r="Y82" s="77">
        <f t="shared" si="37"/>
        <v>23.297499999999999</v>
      </c>
      <c r="Z82" s="77">
        <f t="shared" si="38"/>
        <v>1.4500000000000001E-2</v>
      </c>
      <c r="AA82" s="77">
        <f t="shared" si="39"/>
        <v>23.282999999999998</v>
      </c>
      <c r="AB82" s="74" t="e">
        <f>VLOOKUP(A82,Enforcements!$C$7:$J$24,8,0)</f>
        <v>#N/A</v>
      </c>
      <c r="AC82" s="70" t="e">
        <f>VLOOKUP(A82,Enforcements!$C$7:$E$24,3,0)</f>
        <v>#N/A</v>
      </c>
      <c r="AD82" s="71" t="str">
        <f t="shared" si="40"/>
        <v>0170-03</v>
      </c>
      <c r="AE82" s="131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82" s="128" t="str">
        <f t="shared" si="42"/>
        <v>"C:\Program Files (x86)\AstroGrep\AstroGrep.exe" /spath="%USERPROFILE%\AppData\Local\Temp\OnboardLogs" /stypes="*4017*20160803*" /stext=" 19:.+((SYSTEM_STATE.+slice.+state.+changed )|(ment ac)|(system.+state.+changed )|(\|lc)|(penalty)|(\[timeout)|(PRM\|1\|D)|(kpr)|(kdp))" /e /r /s</v>
      </c>
      <c r="AG82" s="1" t="str">
        <f t="shared" si="43"/>
        <v>EC</v>
      </c>
      <c r="AH82" s="132" t="str">
        <f>refinertdcruntimes&amp;" --tripid "&amp;A82&amp;" --locoid "&amp;B82&amp;" --swversion "&amp;C82&amp;" --startMP "&amp;D82&amp;" --initTime "&amp;TEXT(E82,"yyyy-mm-ddTHH:MM:SS")&amp;" --startdatetime "&amp;TEXT(F82,"yyyy-mm-ddTHH:MM:SS")&amp;" --delay "&amp;G82&amp;" --endMP "&amp;H82&amp;" --enddatetime "&amp;TEXT(I82,"yyyy-mm-ddTHH:MM:SS")&amp;" --enforcementcount "&amp;J82&amp;" &gt;&gt; "&amp;TEXT(Variables!$A$2,"yyyy-mm-dd")&amp;"-refined-runtimes.txt"</f>
        <v>"%USERPROFILE%\Documents\GitHub\eaglep3\Utilities\RefineRTDCRunTimes.py" --tripid 170-03 --locoid 4017 --swversion DE.1.0.7.0 --startMP 204:232975 --initTime 2016-08-03T13:03:39 --startdatetime 2016-08-03T13:05:14 --delay 1 --endMP 204:145 --enddatetime 2016-08-03T13:51:54 --enforcementcount 1 &gt;&gt; 2016-08-03-refined-runtimes.txt</v>
      </c>
    </row>
    <row r="83" spans="1:34" x14ac:dyDescent="0.25">
      <c r="A83" s="25" t="s">
        <v>610</v>
      </c>
      <c r="B83" s="94">
        <v>4014</v>
      </c>
      <c r="C83" s="95" t="s">
        <v>163</v>
      </c>
      <c r="D83" s="95" t="s">
        <v>140</v>
      </c>
      <c r="E83" s="96">
        <v>42585.519155092596</v>
      </c>
      <c r="F83" s="96">
        <v>42585.520289351851</v>
      </c>
      <c r="G83" s="94">
        <v>1</v>
      </c>
      <c r="H83" s="96" t="s">
        <v>384</v>
      </c>
      <c r="I83" s="96">
        <v>42585.547708333332</v>
      </c>
      <c r="J83" s="94">
        <v>0</v>
      </c>
      <c r="K83" s="121" t="str">
        <f t="shared" si="30"/>
        <v>4013/4014</v>
      </c>
      <c r="L83" s="25" t="str">
        <f>VLOOKUP(A83,'Trips&amp;Operators'!$C$1:$E$10000,3,FALSE)</f>
        <v>SWANSON</v>
      </c>
      <c r="M83" s="6">
        <f t="shared" si="31"/>
        <v>2.7418981480877846E-2</v>
      </c>
      <c r="N83" s="7">
        <f t="shared" si="29"/>
        <v>39.483333332464099</v>
      </c>
      <c r="O83" s="7"/>
      <c r="P83" s="7"/>
      <c r="Q83" s="26"/>
      <c r="R83" s="26"/>
      <c r="S83" s="40">
        <f t="shared" si="32"/>
        <v>1</v>
      </c>
      <c r="T83" s="57" t="str">
        <f t="shared" si="33"/>
        <v>NorthBound</v>
      </c>
      <c r="U83" s="82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11:27:35-0600',mode:absolute,to:'2016-08-03 14:08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3" s="62" t="str">
        <f t="shared" si="35"/>
        <v>N</v>
      </c>
      <c r="X83" s="124">
        <f t="shared" si="36"/>
        <v>1</v>
      </c>
      <c r="Y83" s="77">
        <f t="shared" si="37"/>
        <v>4.6199999999999998E-2</v>
      </c>
      <c r="Z83" s="77">
        <f t="shared" si="38"/>
        <v>23.328900000000001</v>
      </c>
      <c r="AA83" s="77">
        <f t="shared" si="39"/>
        <v>23.282700000000002</v>
      </c>
      <c r="AB83" s="74" t="e">
        <f>VLOOKUP(A83,Enforcements!$C$7:$J$24,8,0)</f>
        <v>#N/A</v>
      </c>
      <c r="AC83" s="70" t="e">
        <f>VLOOKUP(A83,Enforcements!$C$7:$E$24,3,0)</f>
        <v>#N/A</v>
      </c>
      <c r="AD83" s="71" t="str">
        <f t="shared" si="40"/>
        <v>0171-03</v>
      </c>
      <c r="AE83" s="131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83" s="128" t="str">
        <f t="shared" si="42"/>
        <v>"C:\Program Files (x86)\AstroGrep\AstroGrep.exe" /spath="%USERPROFILE%\AppData\Local\Temp\OnboardLogs" /stypes="*4014*20160803*" /stext=" 19:.+((SYSTEM_STATE.+slice.+state.+changed )|(ment ac)|(system.+state.+changed )|(\|lc)|(penalty)|(\[timeout)|(PRM\|1\|D)|(kpr)|(kdp))" /e /r /s</v>
      </c>
      <c r="AG83" s="1" t="str">
        <f t="shared" si="43"/>
        <v>EC</v>
      </c>
      <c r="AH83" s="132" t="str">
        <f>refinertdcruntimes&amp;" --tripid "&amp;A83&amp;" --locoid "&amp;B83&amp;" --swversion "&amp;C83&amp;" --startMP "&amp;D83&amp;" --initTime "&amp;TEXT(E83,"yyyy-mm-ddTHH:MM:SS")&amp;" --startdatetime "&amp;TEXT(F83,"yyyy-mm-ddTHH:MM:SS")&amp;" --delay "&amp;G83&amp;" --endMP "&amp;H83&amp;" --enddatetime "&amp;TEXT(I83,"yyyy-mm-ddTHH:MM:SS")&amp;" --enforcementcount "&amp;J83&amp;" &gt;&gt; "&amp;TEXT(Variables!$A$2,"yyyy-mm-dd")&amp;"-refined-runtimes.txt"</f>
        <v>"%USERPROFILE%\Documents\GitHub\eaglep3\Utilities\RefineRTDCRunTimes.py" --tripid 171-03 --locoid 4014 --swversion DE.1.0.7.0 --startMP 204:462 --initTime 2016-08-03T12:27:35 --startdatetime 2016-08-03T12:29:13 --delay 1 --endMP 204:233289 --enddatetime 2016-08-03T13:08:42 --enforcementcount 0 &gt;&gt; 2016-08-03-refined-runtimes.txt</v>
      </c>
    </row>
    <row r="84" spans="1:34" x14ac:dyDescent="0.25">
      <c r="A84" s="25" t="s">
        <v>611</v>
      </c>
      <c r="B84" s="94">
        <v>4013</v>
      </c>
      <c r="C84" s="95" t="s">
        <v>163</v>
      </c>
      <c r="D84" s="95" t="s">
        <v>352</v>
      </c>
      <c r="E84" s="96">
        <v>42585.549490740741</v>
      </c>
      <c r="F84" s="96">
        <v>42585.55064814815</v>
      </c>
      <c r="G84" s="94">
        <v>1</v>
      </c>
      <c r="H84" s="96" t="s">
        <v>160</v>
      </c>
      <c r="I84" s="96">
        <v>42585.593391203707</v>
      </c>
      <c r="J84" s="94">
        <v>0</v>
      </c>
      <c r="K84" s="121" t="str">
        <f t="shared" si="30"/>
        <v>4013/4014</v>
      </c>
      <c r="L84" s="25" t="str">
        <f>VLOOKUP(A84,'Trips&amp;Operators'!$C$1:$E$10000,3,FALSE)</f>
        <v>SWANSON</v>
      </c>
      <c r="M84" s="6">
        <f t="shared" si="31"/>
        <v>4.2743055557366461E-2</v>
      </c>
      <c r="N84" s="7">
        <f t="shared" si="29"/>
        <v>61.550000002607703</v>
      </c>
      <c r="O84" s="7"/>
      <c r="P84" s="7"/>
      <c r="Q84" s="26"/>
      <c r="R84" s="26"/>
      <c r="S84" s="40">
        <f t="shared" si="32"/>
        <v>1</v>
      </c>
      <c r="T84" s="57" t="str">
        <f t="shared" si="33"/>
        <v>Southbound</v>
      </c>
      <c r="U84" s="82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12:11:16-0600',mode:absolute,to:'2016-08-03 15:14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84" s="62" t="str">
        <f t="shared" si="35"/>
        <v>N</v>
      </c>
      <c r="X84" s="124">
        <f t="shared" si="36"/>
        <v>1</v>
      </c>
      <c r="Y84" s="77">
        <f t="shared" si="37"/>
        <v>23.2972</v>
      </c>
      <c r="Z84" s="77">
        <f t="shared" si="38"/>
        <v>1.49E-2</v>
      </c>
      <c r="AA84" s="77">
        <f t="shared" si="39"/>
        <v>23.282299999999999</v>
      </c>
      <c r="AB84" s="74" t="e">
        <f>VLOOKUP(A84,Enforcements!$C$7:$J$24,8,0)</f>
        <v>#N/A</v>
      </c>
      <c r="AC84" s="70" t="e">
        <f>VLOOKUP(A84,Enforcements!$C$7:$E$24,3,0)</f>
        <v>#N/A</v>
      </c>
      <c r="AD84" s="71" t="str">
        <f t="shared" si="40"/>
        <v>0172-03</v>
      </c>
      <c r="AE84" s="131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84" s="128" t="str">
        <f t="shared" si="42"/>
        <v>"C:\Program Files (x86)\AstroGrep\AstroGrep.exe" /spath="%USERPROFILE%\AppData\Local\Temp\OnboardLogs" /stypes="*4013*20160803*" /stext=" 20:.+((SYSTEM_STATE.+slice.+state.+changed )|(ment ac)|(system.+state.+changed )|(\|lc)|(penalty)|(\[timeout)|(PRM\|1\|D)|(kpr)|(kdp))" /e /r /s</v>
      </c>
      <c r="AG84" s="1" t="str">
        <f t="shared" si="43"/>
        <v>EC</v>
      </c>
      <c r="AH84" s="132" t="str">
        <f>refinertdcruntimes&amp;" --tripid "&amp;A84&amp;" --locoid "&amp;B84&amp;" --swversion "&amp;C84&amp;" --startMP "&amp;D84&amp;" --initTime "&amp;TEXT(E84,"yyyy-mm-ddTHH:MM:SS")&amp;" --startdatetime "&amp;TEXT(F84,"yyyy-mm-ddTHH:MM:SS")&amp;" --delay "&amp;G84&amp;" --endMP "&amp;H84&amp;" --enddatetime "&amp;TEXT(I84,"yyyy-mm-ddTHH:MM:SS")&amp;" --enforcementcount "&amp;J84&amp;" &gt;&gt; "&amp;TEXT(Variables!$A$2,"yyyy-mm-dd")&amp;"-refined-runtimes.txt"</f>
        <v>"%USERPROFILE%\Documents\GitHub\eaglep3\Utilities\RefineRTDCRunTimes.py" --tripid 172-03 --locoid 4013 --swversion DE.1.0.7.0 --startMP 204:232972 --initTime 2016-08-03T13:11:16 --startdatetime 2016-08-03T13:12:56 --delay 1 --endMP 204:149 --enddatetime 2016-08-03T14:14:29 --enforcementcount 0 &gt;&gt; 2016-08-03-refined-runtimes.txt</v>
      </c>
    </row>
    <row r="85" spans="1:34" x14ac:dyDescent="0.25">
      <c r="A85" s="25" t="s">
        <v>612</v>
      </c>
      <c r="B85" s="94">
        <v>4011</v>
      </c>
      <c r="C85" s="95" t="s">
        <v>163</v>
      </c>
      <c r="D85" s="95" t="s">
        <v>324</v>
      </c>
      <c r="E85" s="96">
        <v>42585.525509259256</v>
      </c>
      <c r="F85" s="96">
        <v>42585.526446759257</v>
      </c>
      <c r="G85" s="94">
        <v>1</v>
      </c>
      <c r="H85" s="96" t="s">
        <v>323</v>
      </c>
      <c r="I85" s="96">
        <v>42585.557650462964</v>
      </c>
      <c r="J85" s="94">
        <v>0</v>
      </c>
      <c r="K85" s="121" t="str">
        <f t="shared" si="30"/>
        <v>4011/4012</v>
      </c>
      <c r="L85" s="25" t="str">
        <f>VLOOKUP(A85,'Trips&amp;Operators'!$C$1:$E$10000,3,FALSE)</f>
        <v>OUN</v>
      </c>
      <c r="M85" s="6">
        <f t="shared" si="31"/>
        <v>3.1203703707433306E-2</v>
      </c>
      <c r="N85" s="7">
        <f t="shared" si="29"/>
        <v>44.93333333870396</v>
      </c>
      <c r="O85" s="7"/>
      <c r="P85" s="7"/>
      <c r="Q85" s="26"/>
      <c r="R85" s="26"/>
      <c r="S85" s="40">
        <f t="shared" si="32"/>
        <v>1</v>
      </c>
      <c r="T85" s="57" t="str">
        <f t="shared" si="33"/>
        <v>NorthBound</v>
      </c>
      <c r="U85" s="82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11:36:44-0600',mode:absolute,to:'2016-08-03 14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85" s="62" t="str">
        <f t="shared" si="35"/>
        <v>N</v>
      </c>
      <c r="X85" s="124">
        <f t="shared" si="36"/>
        <v>1</v>
      </c>
      <c r="Y85" s="77">
        <f t="shared" si="37"/>
        <v>4.3499999999999997E-2</v>
      </c>
      <c r="Z85" s="77">
        <f t="shared" si="38"/>
        <v>23.3309</v>
      </c>
      <c r="AA85" s="77">
        <f t="shared" si="39"/>
        <v>23.287399999999998</v>
      </c>
      <c r="AB85" s="74" t="e">
        <f>VLOOKUP(A85,Enforcements!$C$7:$J$24,8,0)</f>
        <v>#N/A</v>
      </c>
      <c r="AC85" s="70" t="e">
        <f>VLOOKUP(A85,Enforcements!$C$7:$E$24,3,0)</f>
        <v>#N/A</v>
      </c>
      <c r="AD85" s="71" t="str">
        <f t="shared" si="40"/>
        <v>0173-03</v>
      </c>
      <c r="AE85" s="131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85" s="128" t="str">
        <f t="shared" si="42"/>
        <v>"C:\Program Files (x86)\AstroGrep\AstroGrep.exe" /spath="%USERPROFILE%\AppData\Local\Temp\OnboardLogs" /stypes="*4011*20160803*" /stext=" 19:.+((SYSTEM_STATE.+slice.+state.+changed )|(ment ac)|(system.+state.+changed )|(\|lc)|(penalty)|(\[timeout)|(PRM\|1\|D)|(kpr)|(kdp))" /e /r /s</v>
      </c>
      <c r="AG85" s="1" t="str">
        <f t="shared" si="43"/>
        <v>EC</v>
      </c>
      <c r="AH85" s="132" t="str">
        <f>refinertdcruntimes&amp;" --tripid "&amp;A85&amp;" --locoid "&amp;B85&amp;" --swversion "&amp;C85&amp;" --startMP "&amp;D85&amp;" --initTime "&amp;TEXT(E85,"yyyy-mm-ddTHH:MM:SS")&amp;" --startdatetime "&amp;TEXT(F85,"yyyy-mm-ddTHH:MM:SS")&amp;" --delay "&amp;G85&amp;" --endMP "&amp;H85&amp;" --enddatetime "&amp;TEXT(I85,"yyyy-mm-ddTHH:MM:SS")&amp;" --enforcementcount "&amp;J85&amp;" &gt;&gt; "&amp;TEXT(Variables!$A$2,"yyyy-mm-dd")&amp;"-refined-runtimes.txt"</f>
        <v>"%USERPROFILE%\Documents\GitHub\eaglep3\Utilities\RefineRTDCRunTimes.py" --tripid 173-03 --locoid 4011 --swversion DE.1.0.7.0 --startMP 204:435 --initTime 2016-08-03T12:36:44 --startdatetime 2016-08-03T12:38:05 --delay 1 --endMP 204:233309 --enddatetime 2016-08-03T13:23:01 --enforcementcount 0 &gt;&gt; 2016-08-03-refined-runtimes.txt</v>
      </c>
    </row>
    <row r="86" spans="1:34" x14ac:dyDescent="0.25">
      <c r="A86" s="25" t="s">
        <v>613</v>
      </c>
      <c r="B86" s="94">
        <v>4012</v>
      </c>
      <c r="C86" s="95" t="s">
        <v>163</v>
      </c>
      <c r="D86" s="95" t="s">
        <v>603</v>
      </c>
      <c r="E86" s="96">
        <v>42585.562719907408</v>
      </c>
      <c r="F86" s="96">
        <v>42585.563680555555</v>
      </c>
      <c r="G86" s="94">
        <v>1</v>
      </c>
      <c r="H86" s="96" t="s">
        <v>58</v>
      </c>
      <c r="I86" s="96">
        <v>42585.602106481485</v>
      </c>
      <c r="J86" s="94">
        <v>0</v>
      </c>
      <c r="K86" s="121" t="str">
        <f t="shared" si="30"/>
        <v>4011/4012</v>
      </c>
      <c r="L86" s="25" t="str">
        <f>VLOOKUP(A86,'Trips&amp;Operators'!$C$1:$E$10000,3,FALSE)</f>
        <v>OUN</v>
      </c>
      <c r="M86" s="6">
        <f t="shared" si="31"/>
        <v>3.8425925929914229E-2</v>
      </c>
      <c r="N86" s="7">
        <f t="shared" si="29"/>
        <v>55.333333339076489</v>
      </c>
      <c r="O86" s="7"/>
      <c r="P86" s="7"/>
      <c r="Q86" s="26"/>
      <c r="R86" s="26"/>
      <c r="S86" s="40">
        <f t="shared" si="32"/>
        <v>1</v>
      </c>
      <c r="T86" s="57" t="str">
        <f t="shared" si="33"/>
        <v>Southbound</v>
      </c>
      <c r="U86" s="82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12:30:19-0600',mode:absolute,to:'2016-08-03 15:27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6" s="62" t="str">
        <f t="shared" si="35"/>
        <v>N</v>
      </c>
      <c r="X86" s="124">
        <f t="shared" si="36"/>
        <v>1</v>
      </c>
      <c r="Y86" s="77">
        <f t="shared" si="37"/>
        <v>23.2988</v>
      </c>
      <c r="Z86" s="77">
        <f t="shared" si="38"/>
        <v>1.4500000000000001E-2</v>
      </c>
      <c r="AA86" s="77">
        <f t="shared" si="39"/>
        <v>23.284299999999998</v>
      </c>
      <c r="AB86" s="74" t="e">
        <f>VLOOKUP(A86,Enforcements!$C$7:$J$24,8,0)</f>
        <v>#N/A</v>
      </c>
      <c r="AC86" s="70" t="e">
        <f>VLOOKUP(A86,Enforcements!$C$7:$E$24,3,0)</f>
        <v>#N/A</v>
      </c>
      <c r="AD86" s="71" t="str">
        <f t="shared" si="40"/>
        <v>0174-03</v>
      </c>
      <c r="AE86" s="131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86" s="128" t="str">
        <f t="shared" si="42"/>
        <v>"C:\Program Files (x86)\AstroGrep\AstroGrep.exe" /spath="%USERPROFILE%\AppData\Local\Temp\OnboardLogs" /stypes="*4012*20160803*" /stext=" 20:.+((SYSTEM_STATE.+slice.+state.+changed )|(ment ac)|(system.+state.+changed )|(\|lc)|(penalty)|(\[timeout)|(PRM\|1\|D)|(kpr)|(kdp))" /e /r /s</v>
      </c>
      <c r="AG86" s="1" t="str">
        <f t="shared" si="43"/>
        <v>EC</v>
      </c>
      <c r="AH86" s="132" t="str">
        <f>refinertdcruntimes&amp;" --tripid "&amp;A86&amp;" --locoid "&amp;B86&amp;" --swversion "&amp;C86&amp;" --startMP "&amp;D86&amp;" --initTime "&amp;TEXT(E86,"yyyy-mm-ddTHH:MM:SS")&amp;" --startdatetime "&amp;TEXT(F86,"yyyy-mm-ddTHH:MM:SS")&amp;" --delay "&amp;G86&amp;" --endMP "&amp;H86&amp;" --enddatetime "&amp;TEXT(I86,"yyyy-mm-ddTHH:MM:SS")&amp;" --enforcementcount "&amp;J86&amp;" &gt;&gt; "&amp;TEXT(Variables!$A$2,"yyyy-mm-dd")&amp;"-refined-runtimes.txt"</f>
        <v>"%USERPROFILE%\Documents\GitHub\eaglep3\Utilities\RefineRTDCRunTimes.py" --tripid 174-03 --locoid 4012 --swversion DE.1.0.7.0 --startMP 204:232988 --initTime 2016-08-03T13:30:19 --startdatetime 2016-08-03T13:31:42 --delay 1 --endMP 204:145 --enddatetime 2016-08-03T14:27:02 --enforcementcount 0 &gt;&gt; 2016-08-03-refined-runtimes.txt</v>
      </c>
    </row>
    <row r="87" spans="1:34" x14ac:dyDescent="0.25">
      <c r="A87" s="25" t="s">
        <v>614</v>
      </c>
      <c r="B87" s="94">
        <v>4044</v>
      </c>
      <c r="C87" s="95" t="s">
        <v>163</v>
      </c>
      <c r="D87" s="95" t="s">
        <v>305</v>
      </c>
      <c r="E87" s="96">
        <v>42585.536956018521</v>
      </c>
      <c r="F87" s="96">
        <v>42585.538101851853</v>
      </c>
      <c r="G87" s="94">
        <v>1</v>
      </c>
      <c r="H87" s="96" t="s">
        <v>407</v>
      </c>
      <c r="I87" s="96">
        <v>42585.568460648145</v>
      </c>
      <c r="J87" s="94">
        <v>0</v>
      </c>
      <c r="K87" s="121" t="str">
        <f t="shared" si="30"/>
        <v>4043/4044</v>
      </c>
      <c r="L87" s="25" t="str">
        <f>VLOOKUP(A87,'Trips&amp;Operators'!$C$1:$E$10000,3,FALSE)</f>
        <v>BARTLETT</v>
      </c>
      <c r="M87" s="6">
        <f t="shared" si="31"/>
        <v>3.0358796291693579E-2</v>
      </c>
      <c r="N87" s="7">
        <f t="shared" si="29"/>
        <v>43.716666660038754</v>
      </c>
      <c r="O87" s="7"/>
      <c r="P87" s="7"/>
      <c r="Q87" s="26"/>
      <c r="R87" s="26"/>
      <c r="S87" s="40">
        <f t="shared" si="32"/>
        <v>1</v>
      </c>
      <c r="T87" s="57" t="str">
        <f t="shared" si="33"/>
        <v>NorthBound</v>
      </c>
      <c r="U87" s="82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11:53:13-0600',mode:absolute,to:'2016-08-03 14:38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87" s="62" t="str">
        <f t="shared" si="35"/>
        <v>N</v>
      </c>
      <c r="X87" s="124">
        <f t="shared" si="36"/>
        <v>1</v>
      </c>
      <c r="Y87" s="77">
        <f t="shared" si="37"/>
        <v>4.5100000000000001E-2</v>
      </c>
      <c r="Z87" s="77">
        <f t="shared" si="38"/>
        <v>23.330400000000001</v>
      </c>
      <c r="AA87" s="77">
        <f t="shared" si="39"/>
        <v>23.285299999999999</v>
      </c>
      <c r="AB87" s="74" t="e">
        <f>VLOOKUP(A87,Enforcements!$C$7:$J$24,8,0)</f>
        <v>#N/A</v>
      </c>
      <c r="AC87" s="70" t="e">
        <f>VLOOKUP(A87,Enforcements!$C$7:$E$24,3,0)</f>
        <v>#N/A</v>
      </c>
      <c r="AD87" s="71" t="str">
        <f t="shared" si="40"/>
        <v>0175-03</v>
      </c>
      <c r="AE87" s="131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87" s="128" t="str">
        <f t="shared" si="42"/>
        <v>"C:\Program Files (x86)\AstroGrep\AstroGrep.exe" /spath="%USERPROFILE%\AppData\Local\Temp\OnboardLogs" /stypes="*4044*20160803*" /stext=" 19:.+((SYSTEM_STATE.+slice.+state.+changed )|(ment ac)|(system.+state.+changed )|(\|lc)|(penalty)|(\[timeout)|(PRM\|1\|D)|(kpr)|(kdp))" /e /r /s</v>
      </c>
      <c r="AG87" s="1" t="str">
        <f t="shared" si="43"/>
        <v>EC</v>
      </c>
      <c r="AH87" s="132" t="str">
        <f>refinertdcruntimes&amp;" --tripid "&amp;A87&amp;" --locoid "&amp;B87&amp;" --swversion "&amp;C87&amp;" --startMP "&amp;D87&amp;" --initTime "&amp;TEXT(E87,"yyyy-mm-ddTHH:MM:SS")&amp;" --startdatetime "&amp;TEXT(F87,"yyyy-mm-ddTHH:MM:SS")&amp;" --delay "&amp;G87&amp;" --endMP "&amp;H87&amp;" --enddatetime "&amp;TEXT(I87,"yyyy-mm-ddTHH:MM:SS")&amp;" --enforcementcount "&amp;J87&amp;" &gt;&gt; "&amp;TEXT(Variables!$A$2,"yyyy-mm-dd")&amp;"-refined-runtimes.txt"</f>
        <v>"%USERPROFILE%\Documents\GitHub\eaglep3\Utilities\RefineRTDCRunTimes.py" --tripid 175-03 --locoid 4044 --swversion DE.1.0.7.0 --startMP 204:451 --initTime 2016-08-03T12:53:13 --startdatetime 2016-08-03T12:54:52 --delay 1 --endMP 204:233304 --enddatetime 2016-08-03T13:38:35 --enforcementcount 0 &gt;&gt; 2016-08-03-refined-runtimes.txt</v>
      </c>
    </row>
    <row r="88" spans="1:34" x14ac:dyDescent="0.25">
      <c r="A88" s="25" t="s">
        <v>615</v>
      </c>
      <c r="B88" s="94">
        <v>4043</v>
      </c>
      <c r="C88" s="95" t="s">
        <v>163</v>
      </c>
      <c r="D88" s="95" t="s">
        <v>237</v>
      </c>
      <c r="E88" s="96">
        <v>42585.571747685186</v>
      </c>
      <c r="F88" s="96">
        <v>42585.572615740741</v>
      </c>
      <c r="G88" s="94">
        <v>1</v>
      </c>
      <c r="H88" s="96" t="s">
        <v>304</v>
      </c>
      <c r="I88" s="96">
        <v>42585.61136574074</v>
      </c>
      <c r="J88" s="94">
        <v>0</v>
      </c>
      <c r="K88" s="121" t="str">
        <f t="shared" si="30"/>
        <v>4043/4044</v>
      </c>
      <c r="L88" s="25" t="str">
        <f>VLOOKUP(A88,'Trips&amp;Operators'!$C$1:$E$10000,3,FALSE)</f>
        <v>BARTLETT</v>
      </c>
      <c r="M88" s="6">
        <f t="shared" si="31"/>
        <v>3.8749999999708962E-2</v>
      </c>
      <c r="N88" s="7">
        <f t="shared" si="29"/>
        <v>55.799999999580905</v>
      </c>
      <c r="O88" s="7"/>
      <c r="P88" s="7"/>
      <c r="Q88" s="26"/>
      <c r="R88" s="26"/>
      <c r="S88" s="40">
        <f t="shared" si="32"/>
        <v>1</v>
      </c>
      <c r="T88" s="57" t="str">
        <f t="shared" si="33"/>
        <v>Southbound</v>
      </c>
      <c r="U88" s="82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12:43:19-0600',mode:absolute,to:'2016-08-03 15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88" s="62" t="str">
        <f t="shared" si="35"/>
        <v>N</v>
      </c>
      <c r="X88" s="124">
        <f t="shared" si="36"/>
        <v>1</v>
      </c>
      <c r="Y88" s="77">
        <f t="shared" si="37"/>
        <v>23.299299999999999</v>
      </c>
      <c r="Z88" s="77">
        <f t="shared" si="38"/>
        <v>1.6500000000000001E-2</v>
      </c>
      <c r="AA88" s="77">
        <f t="shared" si="39"/>
        <v>23.282799999999998</v>
      </c>
      <c r="AB88" s="74" t="e">
        <f>VLOOKUP(A88,Enforcements!$C$7:$J$24,8,0)</f>
        <v>#N/A</v>
      </c>
      <c r="AC88" s="70" t="e">
        <f>VLOOKUP(A88,Enforcements!$C$7:$E$24,3,0)</f>
        <v>#N/A</v>
      </c>
      <c r="AD88" s="71" t="str">
        <f t="shared" si="40"/>
        <v>0176-03</v>
      </c>
      <c r="AE88" s="131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88" s="128" t="str">
        <f t="shared" si="42"/>
        <v>"C:\Program Files (x86)\AstroGrep\AstroGrep.exe" /spath="%USERPROFILE%\AppData\Local\Temp\OnboardLogs" /stypes="*4043*20160803*" /stext=" 20:.+((SYSTEM_STATE.+slice.+state.+changed )|(ment ac)|(system.+state.+changed )|(\|lc)|(penalty)|(\[timeout)|(PRM\|1\|D)|(kpr)|(kdp))" /e /r /s</v>
      </c>
      <c r="AG88" s="1" t="str">
        <f t="shared" si="43"/>
        <v>EC</v>
      </c>
      <c r="AH88" s="132" t="str">
        <f>refinertdcruntimes&amp;" --tripid "&amp;A88&amp;" --locoid "&amp;B88&amp;" --swversion "&amp;C88&amp;" --startMP "&amp;D88&amp;" --initTime "&amp;TEXT(E88,"yyyy-mm-ddTHH:MM:SS")&amp;" --startdatetime "&amp;TEXT(F88,"yyyy-mm-ddTHH:MM:SS")&amp;" --delay "&amp;G88&amp;" --endMP "&amp;H88&amp;" --enddatetime "&amp;TEXT(I88,"yyyy-mm-ddTHH:MM:SS")&amp;" --enforcementcount "&amp;J88&amp;" &gt;&gt; "&amp;TEXT(Variables!$A$2,"yyyy-mm-dd")&amp;"-refined-runtimes.txt"</f>
        <v>"%USERPROFILE%\Documents\GitHub\eaglep3\Utilities\RefineRTDCRunTimes.py" --tripid 176-03 --locoid 4043 --swversion DE.1.0.7.0 --startMP 204:232993 --initTime 2016-08-03T13:43:19 --startdatetime 2016-08-03T13:44:34 --delay 1 --endMP 204:165 --enddatetime 2016-08-03T14:40:22 --enforcementcount 0 &gt;&gt; 2016-08-03-refined-runtimes.txt</v>
      </c>
    </row>
    <row r="89" spans="1:34" x14ac:dyDescent="0.25">
      <c r="A89" s="25" t="s">
        <v>509</v>
      </c>
      <c r="B89" s="94">
        <v>4042</v>
      </c>
      <c r="C89" s="95" t="s">
        <v>163</v>
      </c>
      <c r="D89" s="95" t="s">
        <v>616</v>
      </c>
      <c r="E89" s="96">
        <v>42585.557511574072</v>
      </c>
      <c r="F89" s="96">
        <v>42585.558252314811</v>
      </c>
      <c r="G89" s="94">
        <v>1</v>
      </c>
      <c r="H89" s="96" t="s">
        <v>547</v>
      </c>
      <c r="I89" s="96">
        <v>42585.585092592592</v>
      </c>
      <c r="J89" s="94">
        <v>0</v>
      </c>
      <c r="K89" s="121" t="str">
        <f t="shared" si="30"/>
        <v>4041/4042</v>
      </c>
      <c r="L89" s="25" t="str">
        <f>VLOOKUP(A89,'Trips&amp;Operators'!$C$1:$E$10000,3,FALSE)</f>
        <v>KILLION</v>
      </c>
      <c r="M89" s="6">
        <f t="shared" si="31"/>
        <v>2.6840277780138422E-2</v>
      </c>
      <c r="N89" s="7"/>
      <c r="O89" s="7"/>
      <c r="P89" s="7">
        <f>24*60*SUM($M89:$M90)</f>
        <v>47.416666676290333</v>
      </c>
      <c r="Q89" s="26"/>
      <c r="R89" s="26" t="s">
        <v>493</v>
      </c>
      <c r="S89" s="40">
        <f t="shared" si="32"/>
        <v>1</v>
      </c>
      <c r="T89" s="57" t="str">
        <f t="shared" si="33"/>
        <v>NorthBound</v>
      </c>
      <c r="U89" s="82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89" s="62" t="str">
        <f t="shared" si="35"/>
        <v>Y</v>
      </c>
      <c r="X89" s="124">
        <f t="shared" si="36"/>
        <v>1</v>
      </c>
      <c r="Y89" s="77">
        <f t="shared" si="37"/>
        <v>1.9152</v>
      </c>
      <c r="Z89" s="77">
        <f t="shared" si="38"/>
        <v>23.328199999999999</v>
      </c>
      <c r="AA89" s="77">
        <f t="shared" si="39"/>
        <v>21.413</v>
      </c>
      <c r="AB89" s="74" t="e">
        <f>VLOOKUP(A89,Enforcements!$C$7:$J$24,8,0)</f>
        <v>#N/A</v>
      </c>
      <c r="AC89" s="70" t="e">
        <f>VLOOKUP(A89,Enforcements!$C$7:$E$24,3,0)</f>
        <v>#N/A</v>
      </c>
      <c r="AD89" s="71" t="str">
        <f t="shared" si="40"/>
        <v>0177-03</v>
      </c>
      <c r="AE89" s="131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89" s="128" t="str">
        <f t="shared" si="42"/>
        <v>"C:\Program Files (x86)\AstroGrep\AstroGrep.exe" /spath="%USERPROFILE%\AppData\Local\Temp\OnboardLogs" /stypes="*4042*20160803*" /stext=" 20:.+((SYSTEM_STATE.+slice.+state.+changed )|(ment ac)|(system.+state.+changed )|(\|lc)|(penalty)|(\[timeout)|(PRM\|1\|D)|(kpr)|(kdp))" /e /r /s</v>
      </c>
      <c r="AG89" s="1" t="str">
        <f t="shared" si="43"/>
        <v>EC</v>
      </c>
      <c r="AH89" s="132" t="str">
        <f>refinertdcruntimes&amp;" --tripid "&amp;A89&amp;" --locoid "&amp;B89&amp;" --swversion "&amp;C89&amp;" --startMP "&amp;D89&amp;" --initTime "&amp;TEXT(E89,"yyyy-mm-ddTHH:MM:SS")&amp;" --startdatetime "&amp;TEXT(F89,"yyyy-mm-ddTHH:MM:SS")&amp;" --delay "&amp;G89&amp;" --endMP "&amp;H89&amp;" --enddatetime "&amp;TEXT(I89,"yyyy-mm-ddTHH:MM:SS")&amp;" --enforcementcount "&amp;J89&amp;" &gt;&gt; "&amp;TEXT(Variables!$A$2,"yyyy-mm-dd")&amp;"-refined-runtimes.txt"</f>
        <v>"%USERPROFILE%\Documents\GitHub\eaglep3\Utilities\RefineRTDCRunTimes.py" --tripid 177-03 --locoid 4042 --swversion DE.1.0.7.0 --startMP 204:19152 --initTime 2016-08-03T13:22:49 --startdatetime 2016-08-03T13:23:53 --delay 1 --endMP 204:233282 --enddatetime 2016-08-03T14:02:32 --enforcementcount 0 &gt;&gt; 2016-08-03-refined-runtimes.txt</v>
      </c>
    </row>
    <row r="90" spans="1:34" x14ac:dyDescent="0.25">
      <c r="A90" s="44" t="s">
        <v>509</v>
      </c>
      <c r="B90" s="7">
        <v>4042</v>
      </c>
      <c r="C90" s="25" t="s">
        <v>163</v>
      </c>
      <c r="D90" s="25" t="s">
        <v>140</v>
      </c>
      <c r="E90" s="16">
        <v>42585.548576388886</v>
      </c>
      <c r="F90" s="16">
        <v>42585.54960648148</v>
      </c>
      <c r="G90" s="7">
        <v>1</v>
      </c>
      <c r="H90" s="16" t="s">
        <v>617</v>
      </c>
      <c r="I90" s="16">
        <v>42585.555694444447</v>
      </c>
      <c r="J90" s="7">
        <v>2</v>
      </c>
      <c r="K90" s="121" t="str">
        <f t="shared" si="30"/>
        <v>4041/4042</v>
      </c>
      <c r="L90" s="25" t="str">
        <f>VLOOKUP(A90,'Trips&amp;Operators'!$C$1:$E$10000,3,FALSE)</f>
        <v>KILLION</v>
      </c>
      <c r="M90" s="6">
        <f t="shared" si="31"/>
        <v>6.0879629672854207E-3</v>
      </c>
      <c r="N90" s="7"/>
      <c r="O90" s="7"/>
      <c r="P90" s="7"/>
      <c r="Q90" s="26"/>
      <c r="R90" s="26"/>
      <c r="S90" s="40"/>
      <c r="T90" s="57" t="str">
        <f t="shared" si="33"/>
        <v>NorthBound</v>
      </c>
      <c r="U90" s="82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0</v>
      </c>
      <c r="V90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12:09:57-0600',mode:absolute,to:'2016-08-03 14:20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0" s="62" t="str">
        <f t="shared" si="35"/>
        <v>Y</v>
      </c>
      <c r="X90" s="124">
        <f t="shared" si="36"/>
        <v>0</v>
      </c>
      <c r="Y90" s="77">
        <f t="shared" si="37"/>
        <v>4.6199999999999998E-2</v>
      </c>
      <c r="Z90" s="77">
        <f t="shared" si="38"/>
        <v>0.58169999999999999</v>
      </c>
      <c r="AA90" s="77">
        <f t="shared" si="39"/>
        <v>0.53549999999999998</v>
      </c>
      <c r="AB90" s="74" t="e">
        <f>VLOOKUP(A90,Enforcements!$C$7:$J$24,8,0)</f>
        <v>#N/A</v>
      </c>
      <c r="AC90" s="70" t="e">
        <f>VLOOKUP(A90,Enforcements!$C$7:$E$24,3,0)</f>
        <v>#N/A</v>
      </c>
      <c r="AD90" s="71" t="str">
        <f t="shared" si="40"/>
        <v>0177-03</v>
      </c>
      <c r="AE90" s="131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90" s="128" t="str">
        <f t="shared" si="42"/>
        <v>"C:\Program Files (x86)\AstroGrep\AstroGrep.exe" /spath="%USERPROFILE%\AppData\Local\Temp\OnboardLogs" /stypes="*4042*20160803*" /stext=" 19:.+((SYSTEM_STATE.+slice.+state.+changed )|(ment ac)|(system.+state.+changed )|(\|lc)|(penalty)|(\[timeout)|(PRM\|1\|D)|(kpr)|(kdp))" /e /r /s</v>
      </c>
      <c r="AG90" s="1" t="str">
        <f t="shared" si="43"/>
        <v>EC</v>
      </c>
      <c r="AH90" s="132" t="str">
        <f>refinertdcruntimes&amp;" --tripid "&amp;A90&amp;" --locoid "&amp;B90&amp;" --swversion "&amp;C90&amp;" --startMP "&amp;D90&amp;" --initTime "&amp;TEXT(E90,"yyyy-mm-ddTHH:MM:SS")&amp;" --startdatetime "&amp;TEXT(F90,"yyyy-mm-ddTHH:MM:SS")&amp;" --delay "&amp;G90&amp;" --endMP "&amp;H90&amp;" --enddatetime "&amp;TEXT(I90,"yyyy-mm-ddTHH:MM:SS")&amp;" --enforcementcount "&amp;J90&amp;" &gt;&gt; "&amp;TEXT(Variables!$A$2,"yyyy-mm-dd")&amp;"-refined-runtimes.txt"</f>
        <v>"%USERPROFILE%\Documents\GitHub\eaglep3\Utilities\RefineRTDCRunTimes.py" --tripid 177-03 --locoid 4042 --swversion DE.1.0.7.0 --startMP 204:462 --initTime 2016-08-03T13:09:57 --startdatetime 2016-08-03T13:11:26 --delay 1 --endMP 204:5817 --enddatetime 2016-08-03T13:20:12 --enforcementcount 2 &gt;&gt; 2016-08-03-refined-runtimes.txt</v>
      </c>
    </row>
    <row r="91" spans="1:34" x14ac:dyDescent="0.25">
      <c r="A91" s="44" t="s">
        <v>618</v>
      </c>
      <c r="B91" s="7">
        <v>4041</v>
      </c>
      <c r="C91" s="25" t="s">
        <v>163</v>
      </c>
      <c r="D91" s="25" t="s">
        <v>347</v>
      </c>
      <c r="E91" s="16">
        <v>42585.58871527778</v>
      </c>
      <c r="F91" s="16">
        <v>42585.589641203704</v>
      </c>
      <c r="G91" s="7">
        <v>1</v>
      </c>
      <c r="H91" s="16" t="s">
        <v>160</v>
      </c>
      <c r="I91" s="16">
        <v>42585.622141203705</v>
      </c>
      <c r="J91" s="7">
        <v>0</v>
      </c>
      <c r="K91" s="121" t="str">
        <f t="shared" si="30"/>
        <v>4041/4042</v>
      </c>
      <c r="L91" s="25" t="str">
        <f>VLOOKUP(A91,'Trips&amp;Operators'!$C$1:$E$10000,3,FALSE)</f>
        <v>KILLION</v>
      </c>
      <c r="M91" s="6">
        <f t="shared" si="31"/>
        <v>3.2500000001164153E-2</v>
      </c>
      <c r="N91" s="7">
        <f t="shared" si="29"/>
        <v>46.800000001676381</v>
      </c>
      <c r="O91" s="7"/>
      <c r="P91" s="7"/>
      <c r="Q91" s="26"/>
      <c r="R91" s="26"/>
      <c r="S91" s="40">
        <f t="shared" si="32"/>
        <v>1</v>
      </c>
      <c r="T91" s="57" t="str">
        <f t="shared" si="33"/>
        <v>Southbound</v>
      </c>
      <c r="U91" s="82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13:07:45-0600',mode:absolute,to:'2016-08-03 15:55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1" s="62" t="str">
        <f t="shared" si="35"/>
        <v>N</v>
      </c>
      <c r="X91" s="124">
        <f t="shared" si="36"/>
        <v>1</v>
      </c>
      <c r="Y91" s="77">
        <f t="shared" si="37"/>
        <v>23.2973</v>
      </c>
      <c r="Z91" s="77">
        <f t="shared" si="38"/>
        <v>1.49E-2</v>
      </c>
      <c r="AA91" s="77">
        <f t="shared" si="39"/>
        <v>23.282399999999999</v>
      </c>
      <c r="AB91" s="74" t="e">
        <f>VLOOKUP(A91,Enforcements!$C$7:$J$24,8,0)</f>
        <v>#N/A</v>
      </c>
      <c r="AC91" s="70" t="e">
        <f>VLOOKUP(A91,Enforcements!$C$7:$E$24,3,0)</f>
        <v>#N/A</v>
      </c>
      <c r="AD91" s="71" t="str">
        <f t="shared" si="40"/>
        <v>0178-03</v>
      </c>
      <c r="AE91" s="131" t="str">
        <f t="shared" si="41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91" s="128" t="str">
        <f t="shared" si="42"/>
        <v>"C:\Program Files (x86)\AstroGrep\AstroGrep.exe" /spath="%USERPROFILE%\AppData\Local\Temp\OnboardLogs" /stypes="*4041*20160803*" /stext=" 20:.+((SYSTEM_STATE.+slice.+state.+changed )|(ment ac)|(system.+state.+changed )|(\|lc)|(penalty)|(\[timeout)|(PRM\|1\|D)|(kpr)|(kdp))" /e /r /s</v>
      </c>
      <c r="AG91" s="1" t="str">
        <f t="shared" si="43"/>
        <v>EC</v>
      </c>
      <c r="AH91" s="132" t="str">
        <f>refinertdcruntimes&amp;" --tripid "&amp;A91&amp;" --locoid "&amp;B91&amp;" --swversion "&amp;C91&amp;" --startMP "&amp;D91&amp;" --initTime "&amp;TEXT(E91,"yyyy-mm-ddTHH:MM:SS")&amp;" --startdatetime "&amp;TEXT(F91,"yyyy-mm-ddTHH:MM:SS")&amp;" --delay "&amp;G91&amp;" --endMP "&amp;H91&amp;" --enddatetime "&amp;TEXT(I91,"yyyy-mm-ddTHH:MM:SS")&amp;" --enforcementcount "&amp;J91&amp;" &gt;&gt; "&amp;TEXT(Variables!$A$2,"yyyy-mm-dd")&amp;"-refined-runtimes.txt"</f>
        <v>"%USERPROFILE%\Documents\GitHub\eaglep3\Utilities\RefineRTDCRunTimes.py" --tripid 178-03 --locoid 4041 --swversion DE.1.0.7.0 --startMP 204:232973 --initTime 2016-08-03T14:07:45 --startdatetime 2016-08-03T14:09:05 --delay 1 --endMP 204:149 --enddatetime 2016-08-03T14:55:53 --enforcementcount 0 &gt;&gt; 2016-08-03-refined-runtimes.txt</v>
      </c>
    </row>
    <row r="92" spans="1:34" x14ac:dyDescent="0.25">
      <c r="A92" s="44" t="s">
        <v>512</v>
      </c>
      <c r="B92" s="7">
        <v>4025</v>
      </c>
      <c r="C92" s="25" t="s">
        <v>163</v>
      </c>
      <c r="D92" s="25" t="s">
        <v>619</v>
      </c>
      <c r="E92" s="16">
        <v>42585.566655092596</v>
      </c>
      <c r="F92" s="16">
        <v>42585.567615740743</v>
      </c>
      <c r="G92" s="7">
        <v>1</v>
      </c>
      <c r="H92" s="16" t="s">
        <v>407</v>
      </c>
      <c r="I92" s="16">
        <v>42585.595277777778</v>
      </c>
      <c r="J92" s="7">
        <v>1</v>
      </c>
      <c r="K92" s="121" t="str">
        <f t="shared" si="30"/>
        <v>4025/4026</v>
      </c>
      <c r="L92" s="25" t="str">
        <f>VLOOKUP(A92,'Trips&amp;Operators'!$C$1:$E$10000,3,FALSE)</f>
        <v>REBOLETTI</v>
      </c>
      <c r="M92" s="6">
        <f t="shared" si="31"/>
        <v>2.7662037035042886E-2</v>
      </c>
      <c r="N92" s="7"/>
      <c r="O92" s="7"/>
      <c r="P92" s="7">
        <f>24*60*SUM($M92:$M93)</f>
        <v>48.650000004563481</v>
      </c>
      <c r="Q92" s="26"/>
      <c r="R92" s="26" t="s">
        <v>493</v>
      </c>
      <c r="S92" s="40">
        <f t="shared" ref="S92" si="44">SUM(U92:U92)/IF(AG92="EC",12,1)</f>
        <v>1</v>
      </c>
      <c r="T92" s="57" t="str">
        <f t="shared" si="33"/>
        <v>NorthBound</v>
      </c>
      <c r="U92" s="82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12:35:59-0600',mode:absolute,to:'2016-08-03 15:17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2" s="62" t="str">
        <f t="shared" si="35"/>
        <v>Y</v>
      </c>
      <c r="X92" s="124">
        <f t="shared" si="36"/>
        <v>1</v>
      </c>
      <c r="Y92" s="77">
        <f t="shared" si="37"/>
        <v>1.9137</v>
      </c>
      <c r="Z92" s="77">
        <f t="shared" si="38"/>
        <v>23.330400000000001</v>
      </c>
      <c r="AA92" s="77">
        <f t="shared" si="39"/>
        <v>21.416700000000002</v>
      </c>
      <c r="AB92" s="74">
        <f>VLOOKUP(A92,Enforcements!$C$7:$J$24,8,0)</f>
        <v>127562</v>
      </c>
      <c r="AC92" s="70" t="str">
        <f>VLOOKUP(A92,Enforcements!$C$7:$E$24,3,0)</f>
        <v>GRADE CROSSING</v>
      </c>
      <c r="AD92" s="71" t="str">
        <f t="shared" si="40"/>
        <v>0179-03</v>
      </c>
      <c r="AE92" s="131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92" s="128" t="str">
        <f t="shared" si="42"/>
        <v>"C:\Program Files (x86)\AstroGrep\AstroGrep.exe" /spath="%USERPROFILE%\AppData\Local\Temp\OnboardLogs" /stypes="*4025*20160803*" /stext=" 20:.+((SYSTEM_STATE.+slice.+state.+changed )|(ment ac)|(system.+state.+changed )|(\|lc)|(penalty)|(\[timeout)|(PRM\|1\|D)|(kpr)|(kdp))" /e /r /s</v>
      </c>
      <c r="AG92" s="1" t="str">
        <f t="shared" si="43"/>
        <v>EC</v>
      </c>
      <c r="AH92" s="132" t="str">
        <f>refinertdcruntimes&amp;" --tripid "&amp;A92&amp;" --locoid "&amp;B92&amp;" --swversion "&amp;C92&amp;" --startMP "&amp;D92&amp;" --initTime "&amp;TEXT(E92,"yyyy-mm-ddTHH:MM:SS")&amp;" --startdatetime "&amp;TEXT(F92,"yyyy-mm-ddTHH:MM:SS")&amp;" --delay "&amp;G92&amp;" --endMP "&amp;H92&amp;" --enddatetime "&amp;TEXT(I92,"yyyy-mm-ddTHH:MM:SS")&amp;" --enforcementcount "&amp;J92&amp;" &gt;&gt; "&amp;TEXT(Variables!$A$2,"yyyy-mm-dd")&amp;"-refined-runtimes.txt"</f>
        <v>"%USERPROFILE%\Documents\GitHub\eaglep3\Utilities\RefineRTDCRunTimes.py" --tripid 179-03 --locoid 4025 --swversion DE.1.0.7.0 --startMP 204:19137 --initTime 2016-08-03T13:35:59 --startdatetime 2016-08-03T13:37:22 --delay 1 --endMP 204:233304 --enddatetime 2016-08-03T14:17:12 --enforcementcount 1 &gt;&gt; 2016-08-03-refined-runtimes.txt</v>
      </c>
    </row>
    <row r="93" spans="1:34" x14ac:dyDescent="0.25">
      <c r="A93" s="44" t="s">
        <v>512</v>
      </c>
      <c r="B93" s="7">
        <v>4025</v>
      </c>
      <c r="C93" s="25" t="s">
        <v>163</v>
      </c>
      <c r="D93" s="25" t="s">
        <v>345</v>
      </c>
      <c r="E93" s="16">
        <v>42585.558275462965</v>
      </c>
      <c r="F93" s="16">
        <v>42585.559189814812</v>
      </c>
      <c r="G93" s="7">
        <v>1</v>
      </c>
      <c r="H93" s="16" t="s">
        <v>620</v>
      </c>
      <c r="I93" s="16">
        <v>42585.565312500003</v>
      </c>
      <c r="J93" s="7">
        <v>0</v>
      </c>
      <c r="K93" s="121" t="str">
        <f t="shared" si="30"/>
        <v>4025/4026</v>
      </c>
      <c r="L93" s="25" t="str">
        <f>VLOOKUP(A93,'Trips&amp;Operators'!$C$1:$E$10000,3,FALSE)</f>
        <v>REBOLETTI</v>
      </c>
      <c r="M93" s="6">
        <f t="shared" si="31"/>
        <v>6.1226851903484203E-3</v>
      </c>
      <c r="N93" s="7"/>
      <c r="O93" s="7"/>
      <c r="P93" s="7"/>
      <c r="Q93" s="26"/>
      <c r="R93" s="26"/>
      <c r="S93" s="40"/>
      <c r="T93" s="57" t="str">
        <f t="shared" si="33"/>
        <v>NorthBound</v>
      </c>
      <c r="U93" s="82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0</v>
      </c>
      <c r="V93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12:23:55-0600',mode:absolute,to:'2016-08-03 14:34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3" s="62" t="str">
        <f t="shared" si="35"/>
        <v>Y</v>
      </c>
      <c r="X93" s="124">
        <f t="shared" si="36"/>
        <v>0</v>
      </c>
      <c r="Y93" s="77">
        <f t="shared" si="37"/>
        <v>4.4600000000000001E-2</v>
      </c>
      <c r="Z93" s="77">
        <f t="shared" si="38"/>
        <v>0.78069999999999995</v>
      </c>
      <c r="AA93" s="77">
        <f t="shared" si="39"/>
        <v>0.73609999999999998</v>
      </c>
      <c r="AB93" s="74">
        <f>VLOOKUP(A93,Enforcements!$C$7:$J$24,8,0)</f>
        <v>127562</v>
      </c>
      <c r="AC93" s="70" t="str">
        <f>VLOOKUP(A93,Enforcements!$C$7:$E$24,3,0)</f>
        <v>GRADE CROSSING</v>
      </c>
      <c r="AD93" s="71" t="str">
        <f t="shared" si="40"/>
        <v>0179-03</v>
      </c>
      <c r="AE93" s="131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93" s="128" t="str">
        <f t="shared" si="42"/>
        <v>"C:\Program Files (x86)\AstroGrep\AstroGrep.exe" /spath="%USERPROFILE%\AppData\Local\Temp\OnboardLogs" /stypes="*4025*20160803*" /stext=" 19:.+((SYSTEM_STATE.+slice.+state.+changed )|(ment ac)|(system.+state.+changed )|(\|lc)|(penalty)|(\[timeout)|(PRM\|1\|D)|(kpr)|(kdp))" /e /r /s</v>
      </c>
      <c r="AG93" s="1" t="str">
        <f t="shared" si="43"/>
        <v>EC</v>
      </c>
      <c r="AH93" s="132" t="str">
        <f>refinertdcruntimes&amp;" --tripid "&amp;A93&amp;" --locoid "&amp;B93&amp;" --swversion "&amp;C93&amp;" --startMP "&amp;D93&amp;" --initTime "&amp;TEXT(E93,"yyyy-mm-ddTHH:MM:SS")&amp;" --startdatetime "&amp;TEXT(F93,"yyyy-mm-ddTHH:MM:SS")&amp;" --delay "&amp;G93&amp;" --endMP "&amp;H93&amp;" --enddatetime "&amp;TEXT(I93,"yyyy-mm-ddTHH:MM:SS")&amp;" --enforcementcount "&amp;J93&amp;" &gt;&gt; "&amp;TEXT(Variables!$A$2,"yyyy-mm-dd")&amp;"-refined-runtimes.txt"</f>
        <v>"%USERPROFILE%\Documents\GitHub\eaglep3\Utilities\RefineRTDCRunTimes.py" --tripid 179-03 --locoid 4025 --swversion DE.1.0.7.0 --startMP 204:446 --initTime 2016-08-03T13:23:55 --startdatetime 2016-08-03T13:25:14 --delay 1 --endMP 204:7807 --enddatetime 2016-08-03T13:34:03 --enforcementcount 0 &gt;&gt; 2016-08-03-refined-runtimes.txt</v>
      </c>
    </row>
    <row r="94" spans="1:34" x14ac:dyDescent="0.25">
      <c r="A94" s="44" t="s">
        <v>514</v>
      </c>
      <c r="B94" s="7">
        <v>4026</v>
      </c>
      <c r="C94" s="25" t="s">
        <v>163</v>
      </c>
      <c r="D94" s="25" t="s">
        <v>165</v>
      </c>
      <c r="E94" s="16">
        <v>42585.59710648148</v>
      </c>
      <c r="F94" s="16">
        <v>42585.598402777781</v>
      </c>
      <c r="G94" s="7">
        <v>1</v>
      </c>
      <c r="H94" s="16" t="s">
        <v>188</v>
      </c>
      <c r="I94" s="16">
        <v>42585.6330787037</v>
      </c>
      <c r="J94" s="7">
        <v>1</v>
      </c>
      <c r="K94" s="121" t="str">
        <f t="shared" si="30"/>
        <v>4025/4026</v>
      </c>
      <c r="L94" s="25" t="str">
        <f>VLOOKUP(A94,'Trips&amp;Operators'!$C$1:$E$10000,3,FALSE)</f>
        <v>REBOLETTI</v>
      </c>
      <c r="M94" s="6">
        <f t="shared" si="31"/>
        <v>3.4675925919145811E-2</v>
      </c>
      <c r="N94" s="7">
        <f t="shared" si="29"/>
        <v>49.933333323569968</v>
      </c>
      <c r="O94" s="7"/>
      <c r="P94" s="7"/>
      <c r="Q94" s="26"/>
      <c r="R94" s="26"/>
      <c r="S94" s="40">
        <f t="shared" si="32"/>
        <v>1</v>
      </c>
      <c r="T94" s="57" t="str">
        <f t="shared" si="33"/>
        <v>Southbound</v>
      </c>
      <c r="U94" s="82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13:19:50-0600',mode:absolute,to:'2016-08-03 16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4" s="62" t="str">
        <f t="shared" si="35"/>
        <v>N</v>
      </c>
      <c r="X94" s="124">
        <f t="shared" si="36"/>
        <v>1</v>
      </c>
      <c r="Y94" s="77">
        <f t="shared" si="37"/>
        <v>23.2989</v>
      </c>
      <c r="Z94" s="77">
        <f t="shared" si="38"/>
        <v>1.34E-2</v>
      </c>
      <c r="AA94" s="77">
        <f t="shared" si="39"/>
        <v>23.285499999999999</v>
      </c>
      <c r="AB94" s="74" t="e">
        <f>VLOOKUP(A94,Enforcements!$C$7:$J$24,8,0)</f>
        <v>#N/A</v>
      </c>
      <c r="AC94" s="70" t="e">
        <f>VLOOKUP(A94,Enforcements!$C$7:$E$24,3,0)</f>
        <v>#N/A</v>
      </c>
      <c r="AD94" s="71" t="str">
        <f t="shared" si="40"/>
        <v>0180-03</v>
      </c>
      <c r="AE94" s="131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94" s="128" t="str">
        <f t="shared" si="42"/>
        <v>"C:\Program Files (x86)\AstroGrep\AstroGrep.exe" /spath="%USERPROFILE%\AppData\Local\Temp\OnboardLogs" /stypes="*4026*20160803*" /stext=" 21:.+((SYSTEM_STATE.+slice.+state.+changed )|(ment ac)|(system.+state.+changed )|(\|lc)|(penalty)|(\[timeout)|(PRM\|1\|D)|(kpr)|(kdp))" /e /r /s</v>
      </c>
      <c r="AG94" s="1" t="str">
        <f t="shared" si="43"/>
        <v>EC</v>
      </c>
      <c r="AH94" s="132" t="str">
        <f>refinertdcruntimes&amp;" --tripid "&amp;A94&amp;" --locoid "&amp;B94&amp;" --swversion "&amp;C94&amp;" --startMP "&amp;D94&amp;" --initTime "&amp;TEXT(E94,"yyyy-mm-ddTHH:MM:SS")&amp;" --startdatetime "&amp;TEXT(F94,"yyyy-mm-ddTHH:MM:SS")&amp;" --delay "&amp;G94&amp;" --endMP "&amp;H94&amp;" --enddatetime "&amp;TEXT(I94,"yyyy-mm-ddTHH:MM:SS")&amp;" --enforcementcount "&amp;J94&amp;" &gt;&gt; "&amp;TEXT(Variables!$A$2,"yyyy-mm-dd")&amp;"-refined-runtimes.txt"</f>
        <v>"%USERPROFILE%\Documents\GitHub\eaglep3\Utilities\RefineRTDCRunTimes.py" --tripid 180-03 --locoid 4026 --swversion DE.1.0.7.0 --startMP 204:232989 --initTime 2016-08-03T14:19:50 --startdatetime 2016-08-03T14:21:42 --delay 1 --endMP 204:134 --enddatetime 2016-08-03T15:11:38 --enforcementcount 1 &gt;&gt; 2016-08-03-refined-runtimes.txt</v>
      </c>
    </row>
    <row r="95" spans="1:34" x14ac:dyDescent="0.25">
      <c r="A95" s="44" t="s">
        <v>621</v>
      </c>
      <c r="B95" s="7">
        <v>4038</v>
      </c>
      <c r="C95" s="25" t="s">
        <v>163</v>
      </c>
      <c r="D95" s="25" t="s">
        <v>622</v>
      </c>
      <c r="E95" s="16">
        <v>42585.576828703706</v>
      </c>
      <c r="F95" s="16">
        <v>42585.577615740738</v>
      </c>
      <c r="G95" s="7">
        <v>1</v>
      </c>
      <c r="H95" s="16" t="s">
        <v>329</v>
      </c>
      <c r="I95" s="16">
        <v>42585.601053240738</v>
      </c>
      <c r="J95" s="7">
        <v>0</v>
      </c>
      <c r="K95" s="121" t="str">
        <f t="shared" si="30"/>
        <v>4037/4038</v>
      </c>
      <c r="L95" s="25" t="str">
        <f>VLOOKUP(A95,'Trips&amp;Operators'!$C$1:$E$10000,3,FALSE)</f>
        <v>STORY</v>
      </c>
      <c r="M95" s="6">
        <f t="shared" si="31"/>
        <v>2.34375E-2</v>
      </c>
      <c r="N95" s="7"/>
      <c r="O95" s="7"/>
      <c r="P95" s="7">
        <f t="shared" si="29"/>
        <v>33.75</v>
      </c>
      <c r="Q95" s="26"/>
      <c r="R95" s="26" t="s">
        <v>493</v>
      </c>
      <c r="S95" s="40">
        <f t="shared" si="32"/>
        <v>1</v>
      </c>
      <c r="T95" s="57" t="str">
        <f t="shared" si="33"/>
        <v>NorthBound</v>
      </c>
      <c r="U95" s="82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12:50:38-0600',mode:absolute,to:'2016-08-03 15:25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5" s="62" t="str">
        <f t="shared" si="35"/>
        <v>Y</v>
      </c>
      <c r="X95" s="124">
        <f t="shared" si="36"/>
        <v>1</v>
      </c>
      <c r="Y95" s="77">
        <f t="shared" si="37"/>
        <v>1.9118999999999999</v>
      </c>
      <c r="Z95" s="77">
        <f t="shared" si="38"/>
        <v>23.331099999999999</v>
      </c>
      <c r="AA95" s="77">
        <f t="shared" si="39"/>
        <v>21.4192</v>
      </c>
      <c r="AB95" s="74" t="e">
        <f>VLOOKUP(A95,Enforcements!$C$7:$J$24,8,0)</f>
        <v>#N/A</v>
      </c>
      <c r="AC95" s="70" t="e">
        <f>VLOOKUP(A95,Enforcements!$C$7:$E$24,3,0)</f>
        <v>#N/A</v>
      </c>
      <c r="AD95" s="71" t="str">
        <f t="shared" si="40"/>
        <v>0181-03</v>
      </c>
      <c r="AE95" s="131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95" s="128" t="str">
        <f t="shared" si="42"/>
        <v>"C:\Program Files (x86)\AstroGrep\AstroGrep.exe" /spath="%USERPROFILE%\AppData\Local\Temp\OnboardLogs" /stypes="*4038*20160803*" /stext=" 20:.+((SYSTEM_STATE.+slice.+state.+changed )|(ment ac)|(system.+state.+changed )|(\|lc)|(penalty)|(\[timeout)|(PRM\|1\|D)|(kpr)|(kdp))" /e /r /s</v>
      </c>
      <c r="AG95" s="1" t="str">
        <f t="shared" si="43"/>
        <v>EC</v>
      </c>
      <c r="AH95" s="132" t="str">
        <f>refinertdcruntimes&amp;" --tripid "&amp;A95&amp;" --locoid "&amp;B95&amp;" --swversion "&amp;C95&amp;" --startMP "&amp;D95&amp;" --initTime "&amp;TEXT(E95,"yyyy-mm-ddTHH:MM:SS")&amp;" --startdatetime "&amp;TEXT(F95,"yyyy-mm-ddTHH:MM:SS")&amp;" --delay "&amp;G95&amp;" --endMP "&amp;H95&amp;" --enddatetime "&amp;TEXT(I95,"yyyy-mm-ddTHH:MM:SS")&amp;" --enforcementcount "&amp;J95&amp;" &gt;&gt; "&amp;TEXT(Variables!$A$2,"yyyy-mm-dd")&amp;"-refined-runtimes.txt"</f>
        <v>"%USERPROFILE%\Documents\GitHub\eaglep3\Utilities\RefineRTDCRunTimes.py" --tripid 181-03 --locoid 4038 --swversion DE.1.0.7.0 --startMP 204:19119 --initTime 2016-08-03T13:50:38 --startdatetime 2016-08-03T13:51:46 --delay 1 --endMP 204:233311 --enddatetime 2016-08-03T14:25:31 --enforcementcount 0 &gt;&gt; 2016-08-03-refined-runtimes.txt</v>
      </c>
    </row>
    <row r="96" spans="1:34" x14ac:dyDescent="0.25">
      <c r="A96" s="44" t="s">
        <v>515</v>
      </c>
      <c r="B96" s="7">
        <v>4037</v>
      </c>
      <c r="C96" s="25" t="s">
        <v>163</v>
      </c>
      <c r="D96" s="25" t="s">
        <v>363</v>
      </c>
      <c r="E96" s="16">
        <v>42585.608113425929</v>
      </c>
      <c r="F96" s="16">
        <v>42585.608969907407</v>
      </c>
      <c r="G96" s="7">
        <v>1</v>
      </c>
      <c r="H96" s="16" t="s">
        <v>326</v>
      </c>
      <c r="I96" s="16">
        <v>42585.642685185187</v>
      </c>
      <c r="J96" s="7">
        <v>3</v>
      </c>
      <c r="K96" s="121" t="str">
        <f t="shared" si="30"/>
        <v>4037/4038</v>
      </c>
      <c r="L96" s="25" t="str">
        <f>VLOOKUP(A96,'Trips&amp;Operators'!$C$1:$E$10000,3,FALSE)</f>
        <v>STORY</v>
      </c>
      <c r="M96" s="6">
        <f t="shared" si="31"/>
        <v>3.3715277779265307E-2</v>
      </c>
      <c r="N96" s="7">
        <f t="shared" si="29"/>
        <v>48.550000002142042</v>
      </c>
      <c r="O96" s="7"/>
      <c r="P96" s="7"/>
      <c r="Q96" s="26"/>
      <c r="R96" s="26"/>
      <c r="S96" s="40">
        <f t="shared" si="32"/>
        <v>1</v>
      </c>
      <c r="T96" s="57" t="str">
        <f t="shared" si="33"/>
        <v>Southbound</v>
      </c>
      <c r="U96" s="82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6" s="62" t="str">
        <f t="shared" si="35"/>
        <v>N</v>
      </c>
      <c r="X96" s="124">
        <f t="shared" si="36"/>
        <v>1</v>
      </c>
      <c r="Y96" s="77">
        <f t="shared" si="37"/>
        <v>23.298999999999999</v>
      </c>
      <c r="Z96" s="77">
        <f t="shared" si="38"/>
        <v>1.6E-2</v>
      </c>
      <c r="AA96" s="77">
        <f t="shared" si="39"/>
        <v>23.283000000000001</v>
      </c>
      <c r="AB96" s="74" t="e">
        <f>VLOOKUP(A96,Enforcements!$C$7:$J$24,8,0)</f>
        <v>#N/A</v>
      </c>
      <c r="AC96" s="70" t="e">
        <f>VLOOKUP(A96,Enforcements!$C$7:$E$24,3,0)</f>
        <v>#N/A</v>
      </c>
      <c r="AD96" s="71" t="str">
        <f t="shared" si="40"/>
        <v>0182-03</v>
      </c>
      <c r="AE96" s="131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96" s="128" t="str">
        <f t="shared" si="42"/>
        <v>"C:\Program Files (x86)\AstroGrep\AstroGrep.exe" /spath="%USERPROFILE%\AppData\Local\Temp\OnboardLogs" /stypes="*4037*20160803*" /stext=" 21:.+((SYSTEM_STATE.+slice.+state.+changed )|(ment ac)|(system.+state.+changed )|(\|lc)|(penalty)|(\[timeout)|(PRM\|1\|D)|(kpr)|(kdp))" /e /r /s</v>
      </c>
      <c r="AG96" s="1" t="str">
        <f t="shared" si="43"/>
        <v>EC</v>
      </c>
      <c r="AH96" s="132" t="str">
        <f>refinertdcruntimes&amp;" --tripid "&amp;A96&amp;" --locoid "&amp;B96&amp;" --swversion "&amp;C96&amp;" --startMP "&amp;D96&amp;" --initTime "&amp;TEXT(E96,"yyyy-mm-ddTHH:MM:SS")&amp;" --startdatetime "&amp;TEXT(F96,"yyyy-mm-ddTHH:MM:SS")&amp;" --delay "&amp;G96&amp;" --endMP "&amp;H96&amp;" --enddatetime "&amp;TEXT(I96,"yyyy-mm-ddTHH:MM:SS")&amp;" --enforcementcount "&amp;J96&amp;" &gt;&gt; "&amp;TEXT(Variables!$A$2,"yyyy-mm-dd")&amp;"-refined-runtimes.txt"</f>
        <v>"%USERPROFILE%\Documents\GitHub\eaglep3\Utilities\RefineRTDCRunTimes.py" --tripid 182-03 --locoid 4037 --swversion DE.1.0.7.0 --startMP 204:232990 --initTime 2016-08-03T14:35:41 --startdatetime 2016-08-03T14:36:55 --delay 1 --endMP 204:160 --enddatetime 2016-08-03T15:25:28 --enforcementcount 3 &gt;&gt; 2016-08-03-refined-runtimes.txt</v>
      </c>
    </row>
    <row r="97" spans="1:34" x14ac:dyDescent="0.25">
      <c r="A97" s="25" t="s">
        <v>623</v>
      </c>
      <c r="B97" s="94">
        <v>4018</v>
      </c>
      <c r="C97" s="95" t="s">
        <v>163</v>
      </c>
      <c r="D97" s="95" t="s">
        <v>150</v>
      </c>
      <c r="E97" s="96">
        <v>42585.580428240741</v>
      </c>
      <c r="F97" s="96">
        <v>42585.581782407404</v>
      </c>
      <c r="G97" s="94">
        <v>1</v>
      </c>
      <c r="H97" s="96" t="s">
        <v>357</v>
      </c>
      <c r="I97" s="96">
        <v>42585.611516203702</v>
      </c>
      <c r="J97" s="94">
        <v>0</v>
      </c>
      <c r="K97" s="121" t="str">
        <f t="shared" si="30"/>
        <v>4017/4018</v>
      </c>
      <c r="L97" s="25" t="str">
        <f>VLOOKUP(A97,'Trips&amp;Operators'!$C$1:$E$10000,3,FALSE)</f>
        <v>BRUDER</v>
      </c>
      <c r="M97" s="6">
        <f t="shared" si="31"/>
        <v>2.973379629838746E-2</v>
      </c>
      <c r="N97" s="7">
        <f t="shared" si="29"/>
        <v>42.816666669677943</v>
      </c>
      <c r="O97" s="7"/>
      <c r="P97" s="7"/>
      <c r="Q97" s="26"/>
      <c r="R97" s="26"/>
      <c r="S97" s="40">
        <f t="shared" si="32"/>
        <v>1</v>
      </c>
      <c r="T97" s="57" t="str">
        <f t="shared" si="33"/>
        <v>NorthBound</v>
      </c>
      <c r="U97" s="82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12:55:49-0600',mode:absolute,to:'2016-08-03 15:40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7" s="62" t="str">
        <f t="shared" si="35"/>
        <v>N</v>
      </c>
      <c r="X97" s="124">
        <f t="shared" si="36"/>
        <v>1</v>
      </c>
      <c r="Y97" s="77">
        <f t="shared" si="37"/>
        <v>4.6699999999999998E-2</v>
      </c>
      <c r="Z97" s="77">
        <f t="shared" si="38"/>
        <v>23.331399999999999</v>
      </c>
      <c r="AA97" s="77">
        <f t="shared" si="39"/>
        <v>23.284699999999997</v>
      </c>
      <c r="AB97" s="74" t="e">
        <f>VLOOKUP(A97,Enforcements!$C$7:$J$24,8,0)</f>
        <v>#N/A</v>
      </c>
      <c r="AC97" s="70" t="e">
        <f>VLOOKUP(A97,Enforcements!$C$7:$E$24,3,0)</f>
        <v>#N/A</v>
      </c>
      <c r="AD97" s="71" t="str">
        <f t="shared" si="40"/>
        <v>0183-03</v>
      </c>
      <c r="AE97" s="131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97" s="128" t="str">
        <f t="shared" si="42"/>
        <v>"C:\Program Files (x86)\AstroGrep\AstroGrep.exe" /spath="%USERPROFILE%\AppData\Local\Temp\OnboardLogs" /stypes="*4018*20160803*" /stext=" 20:.+((SYSTEM_STATE.+slice.+state.+changed )|(ment ac)|(system.+state.+changed )|(\|lc)|(penalty)|(\[timeout)|(PRM\|1\|D)|(kpr)|(kdp))" /e /r /s</v>
      </c>
      <c r="AG97" s="1" t="str">
        <f t="shared" si="43"/>
        <v>EC</v>
      </c>
      <c r="AH97" s="132" t="str">
        <f>refinertdcruntimes&amp;" --tripid "&amp;A97&amp;" --locoid "&amp;B97&amp;" --swversion "&amp;C97&amp;" --startMP "&amp;D97&amp;" --initTime "&amp;TEXT(E97,"yyyy-mm-ddTHH:MM:SS")&amp;" --startdatetime "&amp;TEXT(F97,"yyyy-mm-ddTHH:MM:SS")&amp;" --delay "&amp;G97&amp;" --endMP "&amp;H97&amp;" --enddatetime "&amp;TEXT(I97,"yyyy-mm-ddTHH:MM:SS")&amp;" --enforcementcount "&amp;J97&amp;" &gt;&gt; "&amp;TEXT(Variables!$A$2,"yyyy-mm-dd")&amp;"-refined-runtimes.txt"</f>
        <v>"%USERPROFILE%\Documents\GitHub\eaglep3\Utilities\RefineRTDCRunTimes.py" --tripid 183-03 --locoid 4018 --swversion DE.1.0.7.0 --startMP 204:467 --initTime 2016-08-03T13:55:49 --startdatetime 2016-08-03T13:57:46 --delay 1 --endMP 204:233314 --enddatetime 2016-08-03T14:40:35 --enforcementcount 0 &gt;&gt; 2016-08-03-refined-runtimes.txt</v>
      </c>
    </row>
    <row r="98" spans="1:34" x14ac:dyDescent="0.25">
      <c r="A98" s="25" t="s">
        <v>624</v>
      </c>
      <c r="B98" s="94">
        <v>4017</v>
      </c>
      <c r="C98" s="95" t="s">
        <v>163</v>
      </c>
      <c r="D98" s="95" t="s">
        <v>589</v>
      </c>
      <c r="E98" s="96">
        <v>42585.616111111114</v>
      </c>
      <c r="F98" s="96">
        <v>42585.616863425923</v>
      </c>
      <c r="G98" s="94">
        <v>1</v>
      </c>
      <c r="H98" s="96" t="s">
        <v>58</v>
      </c>
      <c r="I98" s="96">
        <v>42585.657939814817</v>
      </c>
      <c r="J98" s="94">
        <v>0</v>
      </c>
      <c r="K98" s="121" t="str">
        <f t="shared" si="30"/>
        <v>4017/4018</v>
      </c>
      <c r="L98" s="25" t="str">
        <f>VLOOKUP(A98,'Trips&amp;Operators'!$C$1:$E$10000,3,FALSE)</f>
        <v>BRUDER</v>
      </c>
      <c r="M98" s="6">
        <f t="shared" si="31"/>
        <v>4.1076388893998228E-2</v>
      </c>
      <c r="N98" s="7">
        <f t="shared" si="29"/>
        <v>59.150000007357448</v>
      </c>
      <c r="O98" s="7"/>
      <c r="P98" s="7"/>
      <c r="Q98" s="26"/>
      <c r="R98" s="26"/>
      <c r="S98" s="40">
        <f t="shared" si="32"/>
        <v>1</v>
      </c>
      <c r="T98" s="57" t="str">
        <f t="shared" si="33"/>
        <v>Southbound</v>
      </c>
      <c r="U98" s="82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13:47:12-0600',mode:absolute,to:'2016-08-03 16:47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8" s="62" t="str">
        <f t="shared" si="35"/>
        <v>N</v>
      </c>
      <c r="X98" s="124">
        <f t="shared" si="36"/>
        <v>1</v>
      </c>
      <c r="Y98" s="77">
        <f t="shared" si="37"/>
        <v>23.3</v>
      </c>
      <c r="Z98" s="77">
        <f t="shared" si="38"/>
        <v>1.4500000000000001E-2</v>
      </c>
      <c r="AA98" s="77">
        <f t="shared" si="39"/>
        <v>23.285499999999999</v>
      </c>
      <c r="AB98" s="74" t="e">
        <f>VLOOKUP(A98,Enforcements!$C$7:$J$24,8,0)</f>
        <v>#N/A</v>
      </c>
      <c r="AC98" s="70" t="e">
        <f>VLOOKUP(A98,Enforcements!$C$7:$E$24,3,0)</f>
        <v>#N/A</v>
      </c>
      <c r="AD98" s="71" t="str">
        <f t="shared" si="40"/>
        <v>0184-03</v>
      </c>
      <c r="AE98" s="131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98" s="128" t="str">
        <f t="shared" si="42"/>
        <v>"C:\Program Files (x86)\AstroGrep\AstroGrep.exe" /spath="%USERPROFILE%\AppData\Local\Temp\OnboardLogs" /stypes="*4017*20160803*" /stext=" 21:.+((SYSTEM_STATE.+slice.+state.+changed )|(ment ac)|(system.+state.+changed )|(\|lc)|(penalty)|(\[timeout)|(PRM\|1\|D)|(kpr)|(kdp))" /e /r /s</v>
      </c>
      <c r="AG98" s="1" t="str">
        <f t="shared" si="43"/>
        <v>EC</v>
      </c>
      <c r="AH98" s="132" t="str">
        <f>refinertdcruntimes&amp;" --tripid "&amp;A98&amp;" --locoid "&amp;B98&amp;" --swversion "&amp;C98&amp;" --startMP "&amp;D98&amp;" --initTime "&amp;TEXT(E98,"yyyy-mm-ddTHH:MM:SS")&amp;" --startdatetime "&amp;TEXT(F98,"yyyy-mm-ddTHH:MM:SS")&amp;" --delay "&amp;G98&amp;" --endMP "&amp;H98&amp;" --enddatetime "&amp;TEXT(I98,"yyyy-mm-ddTHH:MM:SS")&amp;" --enforcementcount "&amp;J98&amp;" &gt;&gt; "&amp;TEXT(Variables!$A$2,"yyyy-mm-dd")&amp;"-refined-runtimes.txt"</f>
        <v>"%USERPROFILE%\Documents\GitHub\eaglep3\Utilities\RefineRTDCRunTimes.py" --tripid 184-03 --locoid 4017 --swversion DE.1.0.7.0 --startMP 204:233000 --initTime 2016-08-03T14:47:12 --startdatetime 2016-08-03T14:48:17 --delay 1 --endMP 204:145 --enddatetime 2016-08-03T15:47:26 --enforcementcount 0 &gt;&gt; 2016-08-03-refined-runtimes.txt</v>
      </c>
    </row>
    <row r="99" spans="1:34" x14ac:dyDescent="0.25">
      <c r="A99" s="25" t="s">
        <v>625</v>
      </c>
      <c r="B99" s="94">
        <v>4014</v>
      </c>
      <c r="C99" s="95" t="s">
        <v>163</v>
      </c>
      <c r="D99" s="95" t="s">
        <v>116</v>
      </c>
      <c r="E99" s="96">
        <v>42585.594953703701</v>
      </c>
      <c r="F99" s="96">
        <v>42585.595995370371</v>
      </c>
      <c r="G99" s="94">
        <v>1</v>
      </c>
      <c r="H99" s="96" t="s">
        <v>430</v>
      </c>
      <c r="I99" s="96">
        <v>42585.626932870371</v>
      </c>
      <c r="J99" s="94">
        <v>0</v>
      </c>
      <c r="K99" s="121" t="str">
        <f t="shared" si="30"/>
        <v>4013/4014</v>
      </c>
      <c r="L99" s="25" t="str">
        <f>VLOOKUP(A99,'Trips&amp;Operators'!$C$1:$E$10000,3,FALSE)</f>
        <v>SWANSON</v>
      </c>
      <c r="M99" s="6">
        <f t="shared" si="31"/>
        <v>3.0937499999708962E-2</v>
      </c>
      <c r="N99" s="7">
        <f t="shared" si="29"/>
        <v>44.549999999580905</v>
      </c>
      <c r="O99" s="7"/>
      <c r="P99" s="7"/>
      <c r="Q99" s="26"/>
      <c r="R99" s="26"/>
      <c r="S99" s="40">
        <f t="shared" si="32"/>
        <v>1</v>
      </c>
      <c r="T99" s="57" t="str">
        <f t="shared" si="33"/>
        <v>NorthBound</v>
      </c>
      <c r="U99" s="82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13:16:44-0600',mode:absolute,to:'2016-08-03 16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9" s="62" t="str">
        <f t="shared" si="35"/>
        <v>N</v>
      </c>
      <c r="X99" s="124">
        <f t="shared" si="36"/>
        <v>1</v>
      </c>
      <c r="Y99" s="77">
        <f t="shared" si="37"/>
        <v>4.58E-2</v>
      </c>
      <c r="Z99" s="77">
        <f t="shared" si="38"/>
        <v>23.328800000000001</v>
      </c>
      <c r="AA99" s="77">
        <f t="shared" si="39"/>
        <v>23.283000000000001</v>
      </c>
      <c r="AB99" s="74" t="e">
        <f>VLOOKUP(A99,Enforcements!$C$7:$J$24,8,0)</f>
        <v>#N/A</v>
      </c>
      <c r="AC99" s="70" t="e">
        <f>VLOOKUP(A99,Enforcements!$C$7:$E$24,3,0)</f>
        <v>#N/A</v>
      </c>
      <c r="AD99" s="71" t="str">
        <f t="shared" si="40"/>
        <v>0185-03</v>
      </c>
      <c r="AE99" s="131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99" s="128" t="str">
        <f t="shared" si="42"/>
        <v>"C:\Program Files (x86)\AstroGrep\AstroGrep.exe" /spath="%USERPROFILE%\AppData\Local\Temp\OnboardLogs" /stypes="*4014*20160803*" /stext=" 21:.+((SYSTEM_STATE.+slice.+state.+changed )|(ment ac)|(system.+state.+changed )|(\|lc)|(penalty)|(\[timeout)|(PRM\|1\|D)|(kpr)|(kdp))" /e /r /s</v>
      </c>
      <c r="AG99" s="1" t="str">
        <f t="shared" si="43"/>
        <v>EC</v>
      </c>
      <c r="AH99" s="132" t="str">
        <f>refinertdcruntimes&amp;" --tripid "&amp;A99&amp;" --locoid "&amp;B99&amp;" --swversion "&amp;C99&amp;" --startMP "&amp;D99&amp;" --initTime "&amp;TEXT(E99,"yyyy-mm-ddTHH:MM:SS")&amp;" --startdatetime "&amp;TEXT(F99,"yyyy-mm-ddTHH:MM:SS")&amp;" --delay "&amp;G99&amp;" --endMP "&amp;H99&amp;" --enddatetime "&amp;TEXT(I99,"yyyy-mm-ddTHH:MM:SS")&amp;" --enforcementcount "&amp;J99&amp;" &gt;&gt; "&amp;TEXT(Variables!$A$2,"yyyy-mm-dd")&amp;"-refined-runtimes.txt"</f>
        <v>"%USERPROFILE%\Documents\GitHub\eaglep3\Utilities\RefineRTDCRunTimes.py" --tripid 185-03 --locoid 4014 --swversion DE.1.0.7.0 --startMP 204:458 --initTime 2016-08-03T14:16:44 --startdatetime 2016-08-03T14:18:14 --delay 1 --endMP 204:233288 --enddatetime 2016-08-03T15:02:47 --enforcementcount 0 &gt;&gt; 2016-08-03-refined-runtimes.txt</v>
      </c>
    </row>
    <row r="100" spans="1:34" x14ac:dyDescent="0.25">
      <c r="A100" s="25" t="s">
        <v>626</v>
      </c>
      <c r="B100" s="94">
        <v>4013</v>
      </c>
      <c r="C100" s="95" t="s">
        <v>163</v>
      </c>
      <c r="D100" s="95" t="s">
        <v>320</v>
      </c>
      <c r="E100" s="96">
        <v>42585.628888888888</v>
      </c>
      <c r="F100" s="96">
        <v>42585.629918981482</v>
      </c>
      <c r="G100" s="94">
        <v>1</v>
      </c>
      <c r="H100" s="96" t="s">
        <v>137</v>
      </c>
      <c r="I100" s="96">
        <v>42585.666759259257</v>
      </c>
      <c r="J100" s="94">
        <v>0</v>
      </c>
      <c r="K100" s="121" t="str">
        <f t="shared" si="30"/>
        <v>4013/4014</v>
      </c>
      <c r="L100" s="25" t="str">
        <f>VLOOKUP(A100,'Trips&amp;Operators'!$C$1:$E$10000,3,FALSE)</f>
        <v>SWANSON</v>
      </c>
      <c r="M100" s="6">
        <f t="shared" si="31"/>
        <v>3.6840277774899732E-2</v>
      </c>
      <c r="N100" s="7">
        <f t="shared" si="29"/>
        <v>53.049999995855615</v>
      </c>
      <c r="O100" s="7"/>
      <c r="P100" s="7"/>
      <c r="Q100" s="26"/>
      <c r="R100" s="26"/>
      <c r="S100" s="40">
        <f t="shared" si="32"/>
        <v>1</v>
      </c>
      <c r="T100" s="57" t="str">
        <f t="shared" si="33"/>
        <v>Southbound</v>
      </c>
      <c r="U100" s="82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14:05:36-0600',mode:absolute,to:'2016-08-03 17:00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0" s="62" t="str">
        <f t="shared" si="35"/>
        <v>N</v>
      </c>
      <c r="X100" s="124">
        <f t="shared" si="36"/>
        <v>1</v>
      </c>
      <c r="Y100" s="77">
        <f t="shared" si="37"/>
        <v>23.297499999999999</v>
      </c>
      <c r="Z100" s="77">
        <f t="shared" si="38"/>
        <v>1.4999999999999999E-2</v>
      </c>
      <c r="AA100" s="77">
        <f t="shared" si="39"/>
        <v>23.282499999999999</v>
      </c>
      <c r="AB100" s="74" t="e">
        <f>VLOOKUP(A100,Enforcements!$C$7:$J$24,8,0)</f>
        <v>#N/A</v>
      </c>
      <c r="AC100" s="70" t="e">
        <f>VLOOKUP(A100,Enforcements!$C$7:$E$24,3,0)</f>
        <v>#N/A</v>
      </c>
      <c r="AD100" s="71" t="str">
        <f t="shared" si="40"/>
        <v>0186-03</v>
      </c>
      <c r="AE100" s="131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00" s="128" t="str">
        <f t="shared" si="42"/>
        <v>"C:\Program Files (x86)\AstroGrep\AstroGrep.exe" /spath="%USERPROFILE%\AppData\Local\Temp\OnboardLogs" /stypes="*4013*20160803*" /stext=" 22:.+((SYSTEM_STATE.+slice.+state.+changed )|(ment ac)|(system.+state.+changed )|(\|lc)|(penalty)|(\[timeout)|(PRM\|1\|D)|(kpr)|(kdp))" /e /r /s</v>
      </c>
      <c r="AG100" s="1" t="str">
        <f t="shared" si="43"/>
        <v>EC</v>
      </c>
      <c r="AH100" s="132" t="str">
        <f>refinertdcruntimes&amp;" --tripid "&amp;A100&amp;" --locoid "&amp;B100&amp;" --swversion "&amp;C100&amp;" --startMP "&amp;D100&amp;" --initTime "&amp;TEXT(E100,"yyyy-mm-ddTHH:MM:SS")&amp;" --startdatetime "&amp;TEXT(F100,"yyyy-mm-ddTHH:MM:SS")&amp;" --delay "&amp;G100&amp;" --endMP "&amp;H100&amp;" --enddatetime "&amp;TEXT(I100,"yyyy-mm-ddTHH:MM:SS")&amp;" --enforcementcount "&amp;J100&amp;" &gt;&gt; "&amp;TEXT(Variables!$A$2,"yyyy-mm-dd")&amp;"-refined-runtimes.txt"</f>
        <v>"%USERPROFILE%\Documents\GitHub\eaglep3\Utilities\RefineRTDCRunTimes.py" --tripid 186-03 --locoid 4013 --swversion DE.1.0.7.0 --startMP 204:232975 --initTime 2016-08-03T15:05:36 --startdatetime 2016-08-03T15:07:05 --delay 1 --endMP 204:150 --enddatetime 2016-08-03T16:00:08 --enforcementcount 0 &gt;&gt; 2016-08-03-refined-runtimes.txt</v>
      </c>
    </row>
    <row r="101" spans="1:34" x14ac:dyDescent="0.25">
      <c r="A101" s="25" t="s">
        <v>516</v>
      </c>
      <c r="B101" s="94">
        <v>4011</v>
      </c>
      <c r="C101" s="95" t="s">
        <v>163</v>
      </c>
      <c r="D101" s="95" t="s">
        <v>346</v>
      </c>
      <c r="E101" s="96">
        <v>42585.603136574071</v>
      </c>
      <c r="F101" s="96">
        <v>42585.60392361111</v>
      </c>
      <c r="G101" s="94">
        <v>1</v>
      </c>
      <c r="H101" s="96" t="s">
        <v>627</v>
      </c>
      <c r="I101" s="96">
        <v>42585.634247685186</v>
      </c>
      <c r="J101" s="94">
        <v>1</v>
      </c>
      <c r="K101" s="121" t="str">
        <f t="shared" si="30"/>
        <v>4011/4012</v>
      </c>
      <c r="L101" s="25" t="str">
        <f>VLOOKUP(A101,'Trips&amp;Operators'!$C$1:$E$10000,3,FALSE)</f>
        <v>OUN</v>
      </c>
      <c r="M101" s="6">
        <f t="shared" si="31"/>
        <v>3.0324074075906537E-2</v>
      </c>
      <c r="N101" s="7">
        <f t="shared" si="29"/>
        <v>43.666666669305414</v>
      </c>
      <c r="O101" s="7"/>
      <c r="P101" s="7"/>
      <c r="Q101" s="26"/>
      <c r="R101" s="26"/>
      <c r="S101" s="40">
        <f t="shared" si="32"/>
        <v>1</v>
      </c>
      <c r="T101" s="57" t="str">
        <f t="shared" si="33"/>
        <v>NorthBound</v>
      </c>
      <c r="U101" s="82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13:28:31-0600',mode:absolute,to:'2016-08-03 16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01" s="62" t="str">
        <f t="shared" si="35"/>
        <v>N</v>
      </c>
      <c r="X101" s="124">
        <f t="shared" si="36"/>
        <v>1</v>
      </c>
      <c r="Y101" s="77">
        <f t="shared" si="37"/>
        <v>4.5499999999999999E-2</v>
      </c>
      <c r="Z101" s="77">
        <f t="shared" si="38"/>
        <v>23.328499999999998</v>
      </c>
      <c r="AA101" s="77">
        <f t="shared" si="39"/>
        <v>23.282999999999998</v>
      </c>
      <c r="AB101" s="74">
        <f>VLOOKUP(A101,Enforcements!$C$7:$J$24,8,0)</f>
        <v>108954</v>
      </c>
      <c r="AC101" s="70" t="str">
        <f>VLOOKUP(A101,Enforcements!$C$7:$E$24,3,0)</f>
        <v>GRADE CROSSING</v>
      </c>
      <c r="AD101" s="71" t="str">
        <f t="shared" si="40"/>
        <v>0187-03</v>
      </c>
      <c r="AE101" s="131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01" s="128" t="str">
        <f t="shared" si="42"/>
        <v>"C:\Program Files (x86)\AstroGrep\AstroGrep.exe" /spath="%USERPROFILE%\AppData\Local\Temp\OnboardLogs" /stypes="*4011*20160803*" /stext=" 21:.+((SYSTEM_STATE.+slice.+state.+changed )|(ment ac)|(system.+state.+changed )|(\|lc)|(penalty)|(\[timeout)|(PRM\|1\|D)|(kpr)|(kdp))" /e /r /s</v>
      </c>
      <c r="AG101" s="1" t="str">
        <f t="shared" si="43"/>
        <v>EC</v>
      </c>
      <c r="AH101" s="132" t="str">
        <f>refinertdcruntimes&amp;" --tripid "&amp;A101&amp;" --locoid "&amp;B101&amp;" --swversion "&amp;C101&amp;" --startMP "&amp;D101&amp;" --initTime "&amp;TEXT(E101,"yyyy-mm-ddTHH:MM:SS")&amp;" --startdatetime "&amp;TEXT(F101,"yyyy-mm-ddTHH:MM:SS")&amp;" --delay "&amp;G101&amp;" --endMP "&amp;H101&amp;" --enddatetime "&amp;TEXT(I101,"yyyy-mm-ddTHH:MM:SS")&amp;" --enforcementcount "&amp;J101&amp;" &gt;&gt; "&amp;TEXT(Variables!$A$2,"yyyy-mm-dd")&amp;"-refined-runtimes.txt"</f>
        <v>"%USERPROFILE%\Documents\GitHub\eaglep3\Utilities\RefineRTDCRunTimes.py" --tripid 187-03 --locoid 4011 --swversion DE.1.0.7.0 --startMP 204:455 --initTime 2016-08-03T14:28:31 --startdatetime 2016-08-03T14:29:39 --delay 1 --endMP 204:233285 --enddatetime 2016-08-03T15:13:19 --enforcementcount 1 &gt;&gt; 2016-08-03-refined-runtimes.txt</v>
      </c>
    </row>
    <row r="102" spans="1:34" x14ac:dyDescent="0.25">
      <c r="A102" s="25" t="s">
        <v>628</v>
      </c>
      <c r="B102" s="94">
        <v>4012</v>
      </c>
      <c r="C102" s="95" t="s">
        <v>163</v>
      </c>
      <c r="D102" s="95" t="s">
        <v>353</v>
      </c>
      <c r="E102" s="96">
        <v>42585.640057870369</v>
      </c>
      <c r="F102" s="96">
        <v>42585.642141203702</v>
      </c>
      <c r="G102" s="94">
        <v>2</v>
      </c>
      <c r="H102" s="96" t="s">
        <v>629</v>
      </c>
      <c r="I102" s="96">
        <v>42585.676921296297</v>
      </c>
      <c r="J102" s="94">
        <v>0</v>
      </c>
      <c r="K102" s="121" t="str">
        <f t="shared" si="30"/>
        <v>4011/4012</v>
      </c>
      <c r="L102" s="25" t="str">
        <f>VLOOKUP(A102,'Trips&amp;Operators'!$C$1:$E$10000,3,FALSE)</f>
        <v>OUN</v>
      </c>
      <c r="M102" s="6">
        <f t="shared" si="31"/>
        <v>3.4780092595610768E-2</v>
      </c>
      <c r="N102" s="7">
        <f t="shared" si="29"/>
        <v>50.083333337679505</v>
      </c>
      <c r="O102" s="7"/>
      <c r="P102" s="7"/>
      <c r="Q102" s="26"/>
      <c r="R102" s="26"/>
      <c r="S102" s="40">
        <f t="shared" si="32"/>
        <v>1</v>
      </c>
      <c r="T102" s="57" t="str">
        <f t="shared" si="33"/>
        <v>Southbound</v>
      </c>
      <c r="U102" s="82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14:21:41-0600',mode:absolute,to:'2016-08-03 17:14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02" s="62" t="str">
        <f t="shared" si="35"/>
        <v>N</v>
      </c>
      <c r="X102" s="124">
        <f t="shared" si="36"/>
        <v>1</v>
      </c>
      <c r="Y102" s="77">
        <f t="shared" si="37"/>
        <v>23.299600000000002</v>
      </c>
      <c r="Z102" s="77">
        <f t="shared" si="38"/>
        <v>1.7600000000000001E-2</v>
      </c>
      <c r="AA102" s="77">
        <f t="shared" si="39"/>
        <v>23.282</v>
      </c>
      <c r="AB102" s="74" t="e">
        <f>VLOOKUP(A102,Enforcements!$C$7:$J$24,8,0)</f>
        <v>#N/A</v>
      </c>
      <c r="AC102" s="70" t="e">
        <f>VLOOKUP(A102,Enforcements!$C$7:$E$24,3,0)</f>
        <v>#N/A</v>
      </c>
      <c r="AD102" s="71" t="str">
        <f t="shared" si="40"/>
        <v>0188-03</v>
      </c>
      <c r="AE102" s="131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02" s="128" t="str">
        <f t="shared" si="42"/>
        <v>"C:\Program Files (x86)\AstroGrep\AstroGrep.exe" /spath="%USERPROFILE%\AppData\Local\Temp\OnboardLogs" /stypes="*4012*20160803*" /stext=" 22:.+((SYSTEM_STATE.+slice.+state.+changed )|(ment ac)|(system.+state.+changed )|(\|lc)|(penalty)|(\[timeout)|(PRM\|1\|D)|(kpr)|(kdp))" /e /r /s</v>
      </c>
      <c r="AG102" s="1" t="str">
        <f t="shared" si="43"/>
        <v>EC</v>
      </c>
      <c r="AH102" s="132" t="str">
        <f>refinertdcruntimes&amp;" --tripid "&amp;A102&amp;" --locoid "&amp;B102&amp;" --swversion "&amp;C102&amp;" --startMP "&amp;D102&amp;" --initTime "&amp;TEXT(E102,"yyyy-mm-ddTHH:MM:SS")&amp;" --startdatetime "&amp;TEXT(F102,"yyyy-mm-ddTHH:MM:SS")&amp;" --delay "&amp;G102&amp;" --endMP "&amp;H102&amp;" --enddatetime "&amp;TEXT(I102,"yyyy-mm-ddTHH:MM:SS")&amp;" --enforcementcount "&amp;J102&amp;" &gt;&gt; "&amp;TEXT(Variables!$A$2,"yyyy-mm-dd")&amp;"-refined-runtimes.txt"</f>
        <v>"%USERPROFILE%\Documents\GitHub\eaglep3\Utilities\RefineRTDCRunTimes.py" --tripid 188-03 --locoid 4012 --swversion DE.1.0.7.0 --startMP 204:232996 --initTime 2016-08-03T15:21:41 --startdatetime 2016-08-03T15:24:41 --delay 2 --endMP 204:176 --enddatetime 2016-08-03T16:14:46 --enforcementcount 0 &gt;&gt; 2016-08-03-refined-runtimes.txt</v>
      </c>
    </row>
    <row r="103" spans="1:34" x14ac:dyDescent="0.25">
      <c r="A103" s="25" t="s">
        <v>630</v>
      </c>
      <c r="B103" s="94">
        <v>4044</v>
      </c>
      <c r="C103" s="95" t="s">
        <v>163</v>
      </c>
      <c r="D103" s="95" t="s">
        <v>358</v>
      </c>
      <c r="E103" s="96">
        <v>42585.612210648149</v>
      </c>
      <c r="F103" s="96">
        <v>42585.612974537034</v>
      </c>
      <c r="G103" s="94">
        <v>1</v>
      </c>
      <c r="H103" s="96" t="s">
        <v>384</v>
      </c>
      <c r="I103" s="96">
        <v>42585.641770833332</v>
      </c>
      <c r="J103" s="94">
        <v>0</v>
      </c>
      <c r="K103" s="121" t="str">
        <f t="shared" si="30"/>
        <v>4043/4044</v>
      </c>
      <c r="L103" s="25" t="str">
        <f>VLOOKUP(A103,'Trips&amp;Operators'!$C$1:$E$10000,3,FALSE)</f>
        <v>BARTLETT</v>
      </c>
      <c r="M103" s="6">
        <f t="shared" si="31"/>
        <v>2.8796296297514345E-2</v>
      </c>
      <c r="N103" s="7">
        <f t="shared" si="29"/>
        <v>41.466666668420658</v>
      </c>
      <c r="O103" s="7"/>
      <c r="P103" s="7"/>
      <c r="Q103" s="26"/>
      <c r="R103" s="26"/>
      <c r="S103" s="40">
        <f t="shared" si="32"/>
        <v>1</v>
      </c>
      <c r="T103" s="57" t="str">
        <f t="shared" si="33"/>
        <v>NorthBound</v>
      </c>
      <c r="U103" s="82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138" t="str">
        <f t="shared" ref="V103:V113" si="45">"https://search-rtdc-monitor-bjffxe2xuh6vdkpspy63sjmuny.us-east-1.es.amazonaws.com/_plugin/kibana/#/discover/Steve-Slow-Train-Analysis-(2080s-and-2083s)?_g=(refreshInterval:(display:Off,section:0,value:0),time:(from:'"&amp;TEXT(E103-1/24,"yyyy-MM-DD hh:mm:ss")&amp;"-0600',mode:absolute,to:'"&amp;TEXT(I103+1/24,"yyyy-MM-DD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103&amp;"%22')),sort:!(Time,asc))"</f>
        <v>https://search-rtdc-monitor-bjffxe2xuh6vdkpspy63sjmuny.us-east-1.es.amazonaws.com/_plugin/kibana/#/discover/Steve-Slow-Train-Analysis-(2080s-and-2083s)?_g=(refreshInterval:(display:Off,section:0,value:0),time:(from:'2016-08-03 13:41:35-0600',mode:absolute,to:'2016-08-03 16:24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03" s="62" t="str">
        <f t="shared" ref="W103:W113" si="46">IF(AA103&lt;IF(AG103="EC",23,5.65),"Y","N")</f>
        <v>N</v>
      </c>
      <c r="X103" s="124">
        <f t="shared" ref="X103:X113" si="47">VALUE(LEFT(AD103,4))-VALUE(LEFT(AD102,4))</f>
        <v>1</v>
      </c>
      <c r="Y103" s="77">
        <f t="shared" ref="Y103:Y113" si="48">RIGHT(D103,LEN(D103)-4)/10000</f>
        <v>4.8399999999999999E-2</v>
      </c>
      <c r="Z103" s="77">
        <f t="shared" ref="Z103:Z113" si="49">RIGHT(H103,LEN(H103)-4)/10000</f>
        <v>23.328900000000001</v>
      </c>
      <c r="AA103" s="77">
        <f t="shared" si="39"/>
        <v>23.2805</v>
      </c>
      <c r="AB103" s="74" t="e">
        <f>VLOOKUP(A103,Enforcements!$C$7:$J$24,8,0)</f>
        <v>#N/A</v>
      </c>
      <c r="AC103" s="70" t="e">
        <f>VLOOKUP(A103,Enforcements!$C$7:$E$24,3,0)</f>
        <v>#N/A</v>
      </c>
      <c r="AD103" s="71" t="str">
        <f t="shared" si="40"/>
        <v>0189-03</v>
      </c>
      <c r="AE103" s="131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03" s="128" t="str">
        <f t="shared" si="42"/>
        <v>"C:\Program Files (x86)\AstroGrep\AstroGrep.exe" /spath="%USERPROFILE%\AppData\Local\Temp\OnboardLogs" /stypes="*4044*20160803*" /stext=" 21:.+((SYSTEM_STATE.+slice.+state.+changed )|(ment ac)|(system.+state.+changed )|(\|lc)|(penalty)|(\[timeout)|(PRM\|1\|D)|(kpr)|(kdp))" /e /r /s</v>
      </c>
      <c r="AG103" s="1" t="str">
        <f t="shared" si="43"/>
        <v>EC</v>
      </c>
      <c r="AH103" s="132" t="str">
        <f>refinertdcruntimes&amp;" --tripid "&amp;A103&amp;" --locoid "&amp;B103&amp;" --swversion "&amp;C103&amp;" --startMP "&amp;D103&amp;" --initTime "&amp;TEXT(E103,"yyyy-mm-ddTHH:MM:SS")&amp;" --startdatetime "&amp;TEXT(F103,"yyyy-mm-ddTHH:MM:SS")&amp;" --delay "&amp;G103&amp;" --endMP "&amp;H103&amp;" --enddatetime "&amp;TEXT(I103,"yyyy-mm-ddTHH:MM:SS")&amp;" --enforcementcount "&amp;J103&amp;" &gt;&gt; "&amp;TEXT(Variables!$A$2,"yyyy-mm-dd")&amp;"-refined-runtimes.txt"</f>
        <v>"%USERPROFILE%\Documents\GitHub\eaglep3\Utilities\RefineRTDCRunTimes.py" --tripid 189-03 --locoid 4044 --swversion DE.1.0.7.0 --startMP 204:484 --initTime 2016-08-03T14:41:35 --startdatetime 2016-08-03T14:42:41 --delay 1 --endMP 204:233289 --enddatetime 2016-08-03T15:24:09 --enforcementcount 0 &gt;&gt; 2016-08-03-refined-runtimes.txt</v>
      </c>
    </row>
    <row r="104" spans="1:34" x14ac:dyDescent="0.25">
      <c r="A104" s="25" t="s">
        <v>631</v>
      </c>
      <c r="B104" s="94">
        <v>4043</v>
      </c>
      <c r="C104" s="95" t="s">
        <v>163</v>
      </c>
      <c r="D104" s="95" t="s">
        <v>363</v>
      </c>
      <c r="E104" s="96">
        <v>42585.648425925923</v>
      </c>
      <c r="F104" s="96">
        <v>42585.649317129632</v>
      </c>
      <c r="G104" s="94">
        <v>1</v>
      </c>
      <c r="H104" s="96" t="s">
        <v>632</v>
      </c>
      <c r="I104" s="96">
        <v>42585.690081018518</v>
      </c>
      <c r="J104" s="94">
        <v>0</v>
      </c>
      <c r="K104" s="121" t="str">
        <f t="shared" si="30"/>
        <v>4043/4044</v>
      </c>
      <c r="L104" s="25" t="str">
        <f>VLOOKUP(A104,'Trips&amp;Operators'!$C$1:$E$10000,3,FALSE)</f>
        <v>BARTLETT</v>
      </c>
      <c r="M104" s="6">
        <f t="shared" si="31"/>
        <v>4.0763888886431232E-2</v>
      </c>
      <c r="N104" s="7">
        <f t="shared" si="29"/>
        <v>58.699999996460974</v>
      </c>
      <c r="O104" s="7"/>
      <c r="P104" s="7"/>
      <c r="Q104" s="26"/>
      <c r="R104" s="26"/>
      <c r="S104" s="40">
        <f t="shared" si="32"/>
        <v>1</v>
      </c>
      <c r="T104" s="57" t="str">
        <f t="shared" si="33"/>
        <v>Southbound</v>
      </c>
      <c r="U104" s="82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14:33:44-0600',mode:absolute,to:'2016-08-03 17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04" s="62" t="str">
        <f t="shared" si="46"/>
        <v>N</v>
      </c>
      <c r="X104" s="124">
        <f t="shared" si="47"/>
        <v>1</v>
      </c>
      <c r="Y104" s="77">
        <f t="shared" si="48"/>
        <v>23.298999999999999</v>
      </c>
      <c r="Z104" s="77">
        <f t="shared" si="49"/>
        <v>1.6299999999999999E-2</v>
      </c>
      <c r="AA104" s="77">
        <f t="shared" si="39"/>
        <v>23.282699999999998</v>
      </c>
      <c r="AB104" s="74" t="e">
        <f>VLOOKUP(A104,Enforcements!$C$7:$J$24,8,0)</f>
        <v>#N/A</v>
      </c>
      <c r="AC104" s="70" t="e">
        <f>VLOOKUP(A104,Enforcements!$C$7:$E$24,3,0)</f>
        <v>#N/A</v>
      </c>
      <c r="AD104" s="71" t="str">
        <f t="shared" si="40"/>
        <v>0190-03</v>
      </c>
      <c r="AE104" s="131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04" s="128" t="str">
        <f t="shared" si="42"/>
        <v>"C:\Program Files (x86)\AstroGrep\AstroGrep.exe" /spath="%USERPROFILE%\AppData\Local\Temp\OnboardLogs" /stypes="*4043*20160803*" /stext=" 22:.+((SYSTEM_STATE.+slice.+state.+changed )|(ment ac)|(system.+state.+changed )|(\|lc)|(penalty)|(\[timeout)|(PRM\|1\|D)|(kpr)|(kdp))" /e /r /s</v>
      </c>
      <c r="AG104" s="1" t="str">
        <f t="shared" si="43"/>
        <v>EC</v>
      </c>
      <c r="AH104" s="132" t="str">
        <f>refinertdcruntimes&amp;" --tripid "&amp;A104&amp;" --locoid "&amp;B104&amp;" --swversion "&amp;C104&amp;" --startMP "&amp;D104&amp;" --initTime "&amp;TEXT(E104,"yyyy-mm-ddTHH:MM:SS")&amp;" --startdatetime "&amp;TEXT(F104,"yyyy-mm-ddTHH:MM:SS")&amp;" --delay "&amp;G104&amp;" --endMP "&amp;H104&amp;" --enddatetime "&amp;TEXT(I104,"yyyy-mm-ddTHH:MM:SS")&amp;" --enforcementcount "&amp;J104&amp;" &gt;&gt; "&amp;TEXT(Variables!$A$2,"yyyy-mm-dd")&amp;"-refined-runtimes.txt"</f>
        <v>"%USERPROFILE%\Documents\GitHub\eaglep3\Utilities\RefineRTDCRunTimes.py" --tripid 190-03 --locoid 4043 --swversion DE.1.0.7.0 --startMP 204:232990 --initTime 2016-08-03T15:33:44 --startdatetime 2016-08-03T15:35:01 --delay 1 --endMP 204:163 --enddatetime 2016-08-03T16:33:43 --enforcementcount 0 &gt;&gt; 2016-08-03-refined-runtimes.txt</v>
      </c>
    </row>
    <row r="105" spans="1:34" x14ac:dyDescent="0.25">
      <c r="A105" s="25" t="s">
        <v>633</v>
      </c>
      <c r="B105" s="94">
        <v>4042</v>
      </c>
      <c r="C105" s="95" t="s">
        <v>163</v>
      </c>
      <c r="D105" s="95" t="s">
        <v>150</v>
      </c>
      <c r="E105" s="96">
        <v>42585.624212962961</v>
      </c>
      <c r="F105" s="96">
        <v>42585.633402777778</v>
      </c>
      <c r="G105" s="94">
        <v>1</v>
      </c>
      <c r="H105" s="96" t="s">
        <v>634</v>
      </c>
      <c r="I105" s="96">
        <v>42585.664282407408</v>
      </c>
      <c r="J105" s="94">
        <v>0</v>
      </c>
      <c r="K105" s="121" t="str">
        <f t="shared" si="30"/>
        <v>4041/4042</v>
      </c>
      <c r="L105" s="25" t="str">
        <f>VLOOKUP(A105,'Trips&amp;Operators'!$C$1:$E$10000,3,FALSE)</f>
        <v>KILLION</v>
      </c>
      <c r="M105" s="6">
        <f t="shared" si="31"/>
        <v>3.0879629630362615E-2</v>
      </c>
      <c r="N105" s="7">
        <f t="shared" si="29"/>
        <v>44.466666667722166</v>
      </c>
      <c r="O105" s="7"/>
      <c r="P105" s="7"/>
      <c r="Q105" s="26"/>
      <c r="R105" s="26"/>
      <c r="S105" s="40">
        <f t="shared" si="32"/>
        <v>1</v>
      </c>
      <c r="T105" s="57" t="str">
        <f t="shared" si="33"/>
        <v>NorthBound</v>
      </c>
      <c r="U105" s="82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13:58:52-0600',mode:absolute,to:'2016-08-03 16:56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5" s="62" t="str">
        <f t="shared" si="46"/>
        <v>N</v>
      </c>
      <c r="X105" s="124">
        <f t="shared" si="47"/>
        <v>1</v>
      </c>
      <c r="Y105" s="77">
        <f t="shared" si="48"/>
        <v>4.6699999999999998E-2</v>
      </c>
      <c r="Z105" s="77">
        <f t="shared" si="49"/>
        <v>23.323799999999999</v>
      </c>
      <c r="AA105" s="77">
        <f t="shared" si="39"/>
        <v>23.277099999999997</v>
      </c>
      <c r="AB105" s="74" t="e">
        <f>VLOOKUP(A105,Enforcements!$C$7:$J$24,8,0)</f>
        <v>#N/A</v>
      </c>
      <c r="AC105" s="70" t="e">
        <f>VLOOKUP(A105,Enforcements!$C$7:$E$24,3,0)</f>
        <v>#N/A</v>
      </c>
      <c r="AD105" s="71" t="str">
        <f t="shared" si="40"/>
        <v>0191-03</v>
      </c>
      <c r="AE105" s="131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05" s="128" t="str">
        <f t="shared" si="42"/>
        <v>"C:\Program Files (x86)\AstroGrep\AstroGrep.exe" /spath="%USERPROFILE%\AppData\Local\Temp\OnboardLogs" /stypes="*4042*20160803*" /stext=" 21:.+((SYSTEM_STATE.+slice.+state.+changed )|(ment ac)|(system.+state.+changed )|(\|lc)|(penalty)|(\[timeout)|(PRM\|1\|D)|(kpr)|(kdp))" /e /r /s</v>
      </c>
      <c r="AG105" s="1" t="str">
        <f t="shared" si="43"/>
        <v>EC</v>
      </c>
      <c r="AH105" s="132" t="str">
        <f>refinertdcruntimes&amp;" --tripid "&amp;A105&amp;" --locoid "&amp;B105&amp;" --swversion "&amp;C105&amp;" --startMP "&amp;D105&amp;" --initTime "&amp;TEXT(E105,"yyyy-mm-ddTHH:MM:SS")&amp;" --startdatetime "&amp;TEXT(F105,"yyyy-mm-ddTHH:MM:SS")&amp;" --delay "&amp;G105&amp;" --endMP "&amp;H105&amp;" --enddatetime "&amp;TEXT(I105,"yyyy-mm-ddTHH:MM:SS")&amp;" --enforcementcount "&amp;J105&amp;" &gt;&gt; "&amp;TEXT(Variables!$A$2,"yyyy-mm-dd")&amp;"-refined-runtimes.txt"</f>
        <v>"%USERPROFILE%\Documents\GitHub\eaglep3\Utilities\RefineRTDCRunTimes.py" --tripid 191-03 --locoid 4042 --swversion DE.1.0.7.0 --startMP 204:467 --initTime 2016-08-03T14:58:52 --startdatetime 2016-08-03T15:12:06 --delay 1 --endMP 204:233238 --enddatetime 2016-08-03T15:56:34 --enforcementcount 0 &gt;&gt; 2016-08-03-refined-runtimes.txt</v>
      </c>
    </row>
    <row r="106" spans="1:34" x14ac:dyDescent="0.25">
      <c r="A106" s="25" t="s">
        <v>520</v>
      </c>
      <c r="B106" s="94">
        <v>4041</v>
      </c>
      <c r="C106" s="95" t="s">
        <v>163</v>
      </c>
      <c r="D106" s="95" t="s">
        <v>635</v>
      </c>
      <c r="E106" s="96">
        <v>42585.670046296298</v>
      </c>
      <c r="F106" s="96">
        <v>42585.670995370368</v>
      </c>
      <c r="G106" s="94">
        <v>1</v>
      </c>
      <c r="H106" s="96" t="s">
        <v>100</v>
      </c>
      <c r="I106" s="96">
        <v>42585.704930555556</v>
      </c>
      <c r="J106" s="94">
        <v>3</v>
      </c>
      <c r="K106" s="121" t="str">
        <f>IF(ISEVEN(B106),(B106-1)&amp;"/"&amp;B106,B106&amp;"/"&amp;(B106+1))</f>
        <v>4041/4042</v>
      </c>
      <c r="L106" s="25" t="str">
        <f>VLOOKUP(A106,'Trips&amp;Operators'!$C$1:$E$10000,3,FALSE)</f>
        <v>KILLION</v>
      </c>
      <c r="M106" s="6">
        <f>I106-F106</f>
        <v>3.3935185187146999E-2</v>
      </c>
      <c r="N106" s="7">
        <f>24*60*SUM($M106:$M106)</f>
        <v>48.866666669491678</v>
      </c>
      <c r="O106" s="7"/>
      <c r="P106" s="7"/>
      <c r="Q106" s="26"/>
      <c r="R106" s="26"/>
      <c r="S106" s="40">
        <f>SUM(U106:U106)/IF(AG106="EC",12,1)</f>
        <v>1</v>
      </c>
      <c r="T106" s="57" t="str">
        <f t="shared" si="33"/>
        <v>Southbound</v>
      </c>
      <c r="U106" s="82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6" s="62" t="str">
        <f t="shared" si="46"/>
        <v>N</v>
      </c>
      <c r="X106" s="124">
        <f t="shared" si="47"/>
        <v>1</v>
      </c>
      <c r="Y106" s="77">
        <f t="shared" si="48"/>
        <v>23.2928</v>
      </c>
      <c r="Z106" s="77">
        <f t="shared" si="49"/>
        <v>1.43E-2</v>
      </c>
      <c r="AA106" s="77">
        <f>ABS(Z106-Y106)</f>
        <v>23.278500000000001</v>
      </c>
      <c r="AB106" s="74">
        <f>VLOOKUP(A106,Enforcements!$C$7:$J$24,8,0)</f>
        <v>109135</v>
      </c>
      <c r="AC106" s="70" t="str">
        <f>VLOOKUP(A106,Enforcements!$C$7:$E$24,3,0)</f>
        <v>GRADE CROSSING</v>
      </c>
      <c r="AD106" s="71" t="str">
        <f>IF(LEN(A106)=6,"0"&amp;A106,A106)</f>
        <v>0192-03</v>
      </c>
      <c r="AE106" s="131" t="str">
        <f>"aws s3 cp "&amp;s3_bucket&amp;"/RTDC"&amp;B106&amp;"/"&amp;TEXT(F106,"YYYY-MM-DD")&amp;"/ "&amp;search_path&amp;"\RTDC"&amp;B106&amp;"\"&amp;TEXT(F106,"YYYY-MM-DD")&amp;" --recursive &amp; """&amp;walkandungz&amp;""" "&amp;search_path&amp;"\RTDC"&amp;B106&amp;"\"&amp;TEXT(F106,"YYYY-MM-DD")
&amp;" &amp; "&amp;"aws s3 cp "&amp;s3_bucket&amp;"/RTDC"&amp;B106&amp;"/"&amp;TEXT(F106+1,"YYYY-MM-DD")&amp;"/ "&amp;search_path&amp;"\RTDC"&amp;B106&amp;"\"&amp;TEXT(F106+1,"YYYY-MM-DD")&amp;" --recursive &amp; """&amp;walkandungz&amp;""" "&amp;search_path&amp;"\RTDC"&amp;B106&amp;"\"&amp;TEXT(F106+1,"YYYY-MM-DD")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106" s="128" t="str">
        <f>astrogrep_path&amp;" /spath="&amp;search_path&amp;" /stypes=""*"&amp;B106&amp;"*"&amp;TEXT(I106-utc_offset/24,"YYYYMMDD")&amp;"*"" /stext="" "&amp;TEXT(I106-utc_offset/24,"HH")&amp;search_regexp&amp;""" /e /r /s"</f>
        <v>"C:\Program Files (x86)\AstroGrep\AstroGrep.exe" /spath="%USERPROFILE%\AppData\Local\Temp\OnboardLogs" /stypes="*4041*20160803*" /stext=" 22:.+((SYSTEM_STATE.+slice.+state.+changed )|(ment ac)|(system.+state.+changed )|(\|lc)|(penalty)|(\[timeout)|(PRM\|1\|D)|(kpr)|(kdp))" /e /r /s</v>
      </c>
      <c r="AG106" s="1" t="str">
        <f>IF(VALUE(LEFT(AD106,2))&lt;=2,"EC",IF(OR(VALUE(LEFT(AD106,2))=8,VALUE(LEFT(AD106,2))=18),"NW","GL"))</f>
        <v>EC</v>
      </c>
      <c r="AH106" s="132" t="str">
        <f>refinertdcruntimes&amp;" --tripid "&amp;A106&amp;" --locoid "&amp;B106&amp;" --swversion "&amp;C106&amp;" --startMP "&amp;D106&amp;" --initTime "&amp;TEXT(E106,"yyyy-mm-ddTHH:MM:SS")&amp;" --startdatetime "&amp;TEXT(F106,"yyyy-mm-ddTHH:MM:SS")&amp;" --delay "&amp;G106&amp;" --endMP "&amp;H106&amp;" --enddatetime "&amp;TEXT(I106,"yyyy-mm-ddTHH:MM:SS")&amp;" --enforcementcount "&amp;J106&amp;" &gt;&gt; "&amp;TEXT(Variables!$A$2,"yyyy-mm-dd")&amp;"-refined-runtimes.txt"</f>
        <v>"%USERPROFILE%\Documents\GitHub\eaglep3\Utilities\RefineRTDCRunTimes.py" --tripid 192-03 --locoid 4041 --swversion DE.1.0.7.0 --startMP 204:232928 --initTime 2016-08-03T16:04:52 --startdatetime 2016-08-03T16:06:14 --delay 1 --endMP 204:143 --enddatetime 2016-08-03T16:55:06 --enforcementcount 3 &gt;&gt; 2016-08-03-refined-runtimes.txt</v>
      </c>
    </row>
    <row r="107" spans="1:34" x14ac:dyDescent="0.25">
      <c r="A107" s="25" t="s">
        <v>636</v>
      </c>
      <c r="B107" s="94">
        <v>4025</v>
      </c>
      <c r="C107" s="95" t="s">
        <v>163</v>
      </c>
      <c r="D107" s="95" t="s">
        <v>344</v>
      </c>
      <c r="E107" s="96">
        <v>42585.634108796294</v>
      </c>
      <c r="F107" s="96">
        <v>42585.635162037041</v>
      </c>
      <c r="G107" s="94">
        <v>1</v>
      </c>
      <c r="H107" s="96" t="s">
        <v>335</v>
      </c>
      <c r="I107" s="96">
        <v>42585.671863425923</v>
      </c>
      <c r="J107" s="94">
        <v>0</v>
      </c>
      <c r="K107" s="121" t="str">
        <f t="shared" si="30"/>
        <v>4025/4026</v>
      </c>
      <c r="L107" s="25" t="str">
        <f>VLOOKUP(A107,'Trips&amp;Operators'!$C$1:$E$10000,3,FALSE)</f>
        <v>REBOLETTI</v>
      </c>
      <c r="M107" s="6">
        <f t="shared" si="31"/>
        <v>3.6701388882647734E-2</v>
      </c>
      <c r="N107" s="7">
        <f t="shared" si="29"/>
        <v>52.849999991012737</v>
      </c>
      <c r="O107" s="7"/>
      <c r="P107" s="7"/>
      <c r="Q107" s="26"/>
      <c r="R107" s="26"/>
      <c r="S107" s="40">
        <f t="shared" si="32"/>
        <v>1</v>
      </c>
      <c r="T107" s="57" t="str">
        <f t="shared" si="33"/>
        <v>NorthBound</v>
      </c>
      <c r="U107" s="82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14:13:07-0600',mode:absolute,to:'2016-08-03 17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7" s="62" t="str">
        <f t="shared" si="46"/>
        <v>N</v>
      </c>
      <c r="X107" s="124">
        <f t="shared" si="47"/>
        <v>1</v>
      </c>
      <c r="Y107" s="77">
        <f t="shared" si="48"/>
        <v>4.4900000000000002E-2</v>
      </c>
      <c r="Z107" s="77">
        <f t="shared" si="49"/>
        <v>23.330100000000002</v>
      </c>
      <c r="AA107" s="77">
        <f t="shared" si="39"/>
        <v>23.285200000000003</v>
      </c>
      <c r="AB107" s="74" t="e">
        <f>VLOOKUP(A107,Enforcements!$C$7:$J$24,8,0)</f>
        <v>#N/A</v>
      </c>
      <c r="AC107" s="70" t="e">
        <f>VLOOKUP(A107,Enforcements!$C$7:$E$24,3,0)</f>
        <v>#N/A</v>
      </c>
      <c r="AD107" s="71" t="str">
        <f t="shared" si="40"/>
        <v>0193-03</v>
      </c>
      <c r="AE107" s="131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07" s="128" t="str">
        <f t="shared" si="42"/>
        <v>"C:\Program Files (x86)\AstroGrep\AstroGrep.exe" /spath="%USERPROFILE%\AppData\Local\Temp\OnboardLogs" /stypes="*4025*20160803*" /stext=" 22:.+((SYSTEM_STATE.+slice.+state.+changed )|(ment ac)|(system.+state.+changed )|(\|lc)|(penalty)|(\[timeout)|(PRM\|1\|D)|(kpr)|(kdp))" /e /r /s</v>
      </c>
      <c r="AG107" s="1" t="str">
        <f t="shared" si="43"/>
        <v>EC</v>
      </c>
      <c r="AH107" s="132" t="str">
        <f>refinertdcruntimes&amp;" --tripid "&amp;A107&amp;" --locoid "&amp;B107&amp;" --swversion "&amp;C107&amp;" --startMP "&amp;D107&amp;" --initTime "&amp;TEXT(E107,"yyyy-mm-ddTHH:MM:SS")&amp;" --startdatetime "&amp;TEXT(F107,"yyyy-mm-ddTHH:MM:SS")&amp;" --delay "&amp;G107&amp;" --endMP "&amp;H107&amp;" --enddatetime "&amp;TEXT(I107,"yyyy-mm-ddTHH:MM:SS")&amp;" --enforcementcount "&amp;J107&amp;" &gt;&gt; "&amp;TEXT(Variables!$A$2,"yyyy-mm-dd")&amp;"-refined-runtimes.txt"</f>
        <v>"%USERPROFILE%\Documents\GitHub\eaglep3\Utilities\RefineRTDCRunTimes.py" --tripid 193-03 --locoid 4025 --swversion DE.1.0.7.0 --startMP 204:449 --initTime 2016-08-03T15:13:07 --startdatetime 2016-08-03T15:14:38 --delay 1 --endMP 204:233301 --enddatetime 2016-08-03T16:07:29 --enforcementcount 0 &gt;&gt; 2016-08-03-refined-runtimes.txt</v>
      </c>
    </row>
    <row r="108" spans="1:34" x14ac:dyDescent="0.25">
      <c r="A108" s="25" t="s">
        <v>637</v>
      </c>
      <c r="B108" s="94">
        <v>4026</v>
      </c>
      <c r="C108" s="95" t="s">
        <v>163</v>
      </c>
      <c r="D108" s="95" t="s">
        <v>363</v>
      </c>
      <c r="E108" s="96">
        <v>42585.675694444442</v>
      </c>
      <c r="F108" s="96">
        <v>42585.676747685182</v>
      </c>
      <c r="G108" s="94">
        <v>1</v>
      </c>
      <c r="H108" s="96" t="s">
        <v>638</v>
      </c>
      <c r="I108" s="96">
        <v>42585.713148148148</v>
      </c>
      <c r="J108" s="94">
        <v>0</v>
      </c>
      <c r="K108" s="121" t="str">
        <f t="shared" si="30"/>
        <v>4025/4026</v>
      </c>
      <c r="L108" s="25" t="str">
        <f>VLOOKUP(A108,'Trips&amp;Operators'!$C$1:$E$10000,3,FALSE)</f>
        <v>REBOLETTI</v>
      </c>
      <c r="M108" s="6">
        <f t="shared" si="31"/>
        <v>3.6400462966412306E-2</v>
      </c>
      <c r="N108" s="7">
        <f t="shared" si="29"/>
        <v>52.41666667163372</v>
      </c>
      <c r="O108" s="7"/>
      <c r="P108" s="7"/>
      <c r="Q108" s="26"/>
      <c r="R108" s="26"/>
      <c r="S108" s="40">
        <f t="shared" si="32"/>
        <v>1</v>
      </c>
      <c r="T108" s="57" t="str">
        <f t="shared" si="33"/>
        <v>Southbound</v>
      </c>
      <c r="U108" s="82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15:13:00-0600',mode:absolute,to:'2016-08-03 18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8" s="62" t="str">
        <f t="shared" si="46"/>
        <v>N</v>
      </c>
      <c r="X108" s="124">
        <f t="shared" si="47"/>
        <v>1</v>
      </c>
      <c r="Y108" s="77">
        <f t="shared" si="48"/>
        <v>23.298999999999999</v>
      </c>
      <c r="Z108" s="77">
        <f t="shared" si="49"/>
        <v>1.29E-2</v>
      </c>
      <c r="AA108" s="77">
        <f t="shared" si="39"/>
        <v>23.286100000000001</v>
      </c>
      <c r="AB108" s="74" t="e">
        <f>VLOOKUP(A108,Enforcements!$C$7:$J$24,8,0)</f>
        <v>#N/A</v>
      </c>
      <c r="AC108" s="70" t="e">
        <f>VLOOKUP(A108,Enforcements!$C$7:$E$24,3,0)</f>
        <v>#N/A</v>
      </c>
      <c r="AD108" s="71" t="str">
        <f t="shared" si="40"/>
        <v>0194-03</v>
      </c>
      <c r="AE108" s="131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08" s="128" t="str">
        <f t="shared" si="42"/>
        <v>"C:\Program Files (x86)\AstroGrep\AstroGrep.exe" /spath="%USERPROFILE%\AppData\Local\Temp\OnboardLogs" /stypes="*4026*20160803*" /stext=" 23:.+((SYSTEM_STATE.+slice.+state.+changed )|(ment ac)|(system.+state.+changed )|(\|lc)|(penalty)|(\[timeout)|(PRM\|1\|D)|(kpr)|(kdp))" /e /r /s</v>
      </c>
      <c r="AG108" s="1" t="str">
        <f t="shared" si="43"/>
        <v>EC</v>
      </c>
      <c r="AH108" s="132" t="str">
        <f>refinertdcruntimes&amp;" --tripid "&amp;A108&amp;" --locoid "&amp;B108&amp;" --swversion "&amp;C108&amp;" --startMP "&amp;D108&amp;" --initTime "&amp;TEXT(E108,"yyyy-mm-ddTHH:MM:SS")&amp;" --startdatetime "&amp;TEXT(F108,"yyyy-mm-ddTHH:MM:SS")&amp;" --delay "&amp;G108&amp;" --endMP "&amp;H108&amp;" --enddatetime "&amp;TEXT(I108,"yyyy-mm-ddTHH:MM:SS")&amp;" --enforcementcount "&amp;J108&amp;" &gt;&gt; "&amp;TEXT(Variables!$A$2,"yyyy-mm-dd")&amp;"-refined-runtimes.txt"</f>
        <v>"%USERPROFILE%\Documents\GitHub\eaglep3\Utilities\RefineRTDCRunTimes.py" --tripid 194-03 --locoid 4026 --swversion DE.1.0.7.0 --startMP 204:232990 --initTime 2016-08-03T16:13:00 --startdatetime 2016-08-03T16:14:31 --delay 1 --endMP 204:129 --enddatetime 2016-08-03T17:06:56 --enforcementcount 0 &gt;&gt; 2016-08-03-refined-runtimes.txt</v>
      </c>
    </row>
    <row r="109" spans="1:34" x14ac:dyDescent="0.25">
      <c r="A109" s="25" t="s">
        <v>519</v>
      </c>
      <c r="B109" s="94">
        <v>4038</v>
      </c>
      <c r="C109" s="95" t="s">
        <v>163</v>
      </c>
      <c r="D109" s="95" t="s">
        <v>385</v>
      </c>
      <c r="E109" s="96">
        <v>42585.645162037035</v>
      </c>
      <c r="F109" s="96">
        <v>42585.646469907406</v>
      </c>
      <c r="G109" s="94">
        <v>1</v>
      </c>
      <c r="H109" s="96" t="s">
        <v>639</v>
      </c>
      <c r="I109" s="96">
        <v>42585.678298611114</v>
      </c>
      <c r="J109" s="94">
        <v>2</v>
      </c>
      <c r="K109" s="121" t="str">
        <f t="shared" si="30"/>
        <v>4037/4038</v>
      </c>
      <c r="L109" s="25" t="str">
        <f>VLOOKUP(A109,'Trips&amp;Operators'!$C$1:$E$10000,3,FALSE)</f>
        <v>STORY</v>
      </c>
      <c r="M109" s="6">
        <f t="shared" si="31"/>
        <v>3.1828703708015382E-2</v>
      </c>
      <c r="N109" s="7">
        <f t="shared" si="29"/>
        <v>45.83333333954215</v>
      </c>
      <c r="O109" s="7"/>
      <c r="P109" s="7"/>
      <c r="Q109" s="26"/>
      <c r="R109" s="26"/>
      <c r="S109" s="40">
        <f t="shared" si="32"/>
        <v>1</v>
      </c>
      <c r="T109" s="57" t="str">
        <f t="shared" si="33"/>
        <v>NorthBound</v>
      </c>
      <c r="U109" s="82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9" s="62" t="str">
        <f t="shared" si="46"/>
        <v>N</v>
      </c>
      <c r="X109" s="124">
        <f t="shared" si="47"/>
        <v>1</v>
      </c>
      <c r="Y109" s="77">
        <f t="shared" si="48"/>
        <v>4.7500000000000001E-2</v>
      </c>
      <c r="Z109" s="77">
        <f t="shared" si="49"/>
        <v>23.3278</v>
      </c>
      <c r="AA109" s="77">
        <f t="shared" si="39"/>
        <v>23.2803</v>
      </c>
      <c r="AB109" s="74">
        <f>VLOOKUP(A109,Enforcements!$C$7:$J$24,8,0)</f>
        <v>108954</v>
      </c>
      <c r="AC109" s="70" t="str">
        <f>VLOOKUP(A109,Enforcements!$C$7:$E$24,3,0)</f>
        <v>GRADE CROSSING</v>
      </c>
      <c r="AD109" s="71" t="str">
        <f t="shared" si="40"/>
        <v>0195-03</v>
      </c>
      <c r="AE109" s="131" t="str">
        <f t="shared" si="41"/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AF109" s="128" t="str">
        <f t="shared" si="42"/>
        <v>"C:\Program Files (x86)\AstroGrep\AstroGrep.exe" /spath="%USERPROFILE%\AppData\Local\Temp\OnboardLogs" /stypes="*4038*20160803*" /stext=" 22:.+((SYSTEM_STATE.+slice.+state.+changed )|(ment ac)|(system.+state.+changed )|(\|lc)|(penalty)|(\[timeout)|(PRM\|1\|D)|(kpr)|(kdp))" /e /r /s</v>
      </c>
      <c r="AG109" s="1" t="str">
        <f t="shared" si="43"/>
        <v>EC</v>
      </c>
      <c r="AH109" s="132" t="str">
        <f>refinertdcruntimes&amp;" --tripid "&amp;A109&amp;" --locoid "&amp;B109&amp;" --swversion "&amp;C109&amp;" --startMP "&amp;D109&amp;" --initTime "&amp;TEXT(E109,"yyyy-mm-ddTHH:MM:SS")&amp;" --startdatetime "&amp;TEXT(F109,"yyyy-mm-ddTHH:MM:SS")&amp;" --delay "&amp;G109&amp;" --endMP "&amp;H109&amp;" --enddatetime "&amp;TEXT(I109,"yyyy-mm-ddTHH:MM:SS")&amp;" --enforcementcount "&amp;J109&amp;" &gt;&gt; "&amp;TEXT(Variables!$A$2,"yyyy-mm-dd")&amp;"-refined-runtimes.txt"</f>
        <v>"%USERPROFILE%\Documents\GitHub\eaglep3\Utilities\RefineRTDCRunTimes.py" --tripid 195-03 --locoid 4038 --swversion DE.1.0.7.0 --startMP 204:475 --initTime 2016-08-03T15:29:02 --startdatetime 2016-08-03T15:30:55 --delay 1 --endMP 204:233278 --enddatetime 2016-08-03T16:16:45 --enforcementcount 2 &gt;&gt; 2016-08-03-refined-runtimes.txt</v>
      </c>
    </row>
    <row r="110" spans="1:34" x14ac:dyDescent="0.25">
      <c r="A110" s="25" t="s">
        <v>524</v>
      </c>
      <c r="B110" s="94">
        <v>4037</v>
      </c>
      <c r="C110" s="95" t="s">
        <v>163</v>
      </c>
      <c r="D110" s="95" t="s">
        <v>640</v>
      </c>
      <c r="E110" s="96">
        <v>42585.680069444446</v>
      </c>
      <c r="F110" s="96">
        <v>42585.681550925925</v>
      </c>
      <c r="G110" s="94">
        <v>2</v>
      </c>
      <c r="H110" s="96" t="s">
        <v>429</v>
      </c>
      <c r="I110" s="96">
        <v>42585.72415509259</v>
      </c>
      <c r="J110" s="94">
        <v>3</v>
      </c>
      <c r="K110" s="121" t="str">
        <f t="shared" si="30"/>
        <v>4037/4038</v>
      </c>
      <c r="L110" s="25" t="str">
        <f>VLOOKUP(A110,'Trips&amp;Operators'!$C$1:$E$10000,3,FALSE)</f>
        <v>STORY</v>
      </c>
      <c r="M110" s="6">
        <f t="shared" si="31"/>
        <v>4.2604166665114462E-2</v>
      </c>
      <c r="N110" s="7">
        <f t="shared" si="29"/>
        <v>61.349999997764826</v>
      </c>
      <c r="O110" s="7"/>
      <c r="P110" s="7"/>
      <c r="Q110" s="26"/>
      <c r="R110" s="26"/>
      <c r="S110" s="40">
        <f t="shared" si="32"/>
        <v>1</v>
      </c>
      <c r="T110" s="57" t="str">
        <f t="shared" si="33"/>
        <v>Southbound</v>
      </c>
      <c r="U110" s="82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0" s="62" t="str">
        <f t="shared" si="46"/>
        <v>N</v>
      </c>
      <c r="X110" s="124">
        <f t="shared" si="47"/>
        <v>1</v>
      </c>
      <c r="Y110" s="77">
        <f t="shared" si="48"/>
        <v>23.2943</v>
      </c>
      <c r="Z110" s="77">
        <f t="shared" si="49"/>
        <v>0.1164</v>
      </c>
      <c r="AA110" s="77">
        <f t="shared" si="39"/>
        <v>23.177900000000001</v>
      </c>
      <c r="AB110" s="74">
        <f>VLOOKUP(A110,Enforcements!$C$7:$J$24,8,0)</f>
        <v>33257</v>
      </c>
      <c r="AC110" s="70" t="str">
        <f>VLOOKUP(A110,Enforcements!$C$7:$E$24,3,0)</f>
        <v>GRADE CROSSING</v>
      </c>
      <c r="AD110" s="71" t="str">
        <f t="shared" si="40"/>
        <v>0196-03</v>
      </c>
      <c r="AE110" s="131" t="str">
        <f t="shared" si="41"/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AF110" s="128" t="str">
        <f t="shared" si="42"/>
        <v>"C:\Program Files (x86)\AstroGrep\AstroGrep.exe" /spath="%USERPROFILE%\AppData\Local\Temp\OnboardLogs" /stypes="*4037*20160803*" /stext=" 23:.+((SYSTEM_STATE.+slice.+state.+changed )|(ment ac)|(system.+state.+changed )|(\|lc)|(penalty)|(\[timeout)|(PRM\|1\|D)|(kpr)|(kdp))" /e /r /s</v>
      </c>
      <c r="AG110" s="1" t="str">
        <f t="shared" si="43"/>
        <v>EC</v>
      </c>
      <c r="AH110" s="132" t="str">
        <f>refinertdcruntimes&amp;" --tripid "&amp;A110&amp;" --locoid "&amp;B110&amp;" --swversion "&amp;C110&amp;" --startMP "&amp;D110&amp;" --initTime "&amp;TEXT(E110,"yyyy-mm-ddTHH:MM:SS")&amp;" --startdatetime "&amp;TEXT(F110,"yyyy-mm-ddTHH:MM:SS")&amp;" --delay "&amp;G110&amp;" --endMP "&amp;H110&amp;" --enddatetime "&amp;TEXT(I110,"yyyy-mm-ddTHH:MM:SS")&amp;" --enforcementcount "&amp;J110&amp;" &gt;&gt; "&amp;TEXT(Variables!$A$2,"yyyy-mm-dd")&amp;"-refined-runtimes.txt"</f>
        <v>"%USERPROFILE%\Documents\GitHub\eaglep3\Utilities\RefineRTDCRunTimes.py" --tripid 196-03 --locoid 4037 --swversion DE.1.0.7.0 --startMP 204:232943 --initTime 2016-08-03T16:19:18 --startdatetime 2016-08-03T16:21:26 --delay 2 --endMP 204:1164 --enddatetime 2016-08-03T17:22:47 --enforcementcount 3 &gt;&gt; 2016-08-03-refined-runtimes.txt</v>
      </c>
    </row>
    <row r="111" spans="1:34" s="24" customFormat="1" x14ac:dyDescent="0.25">
      <c r="A111" s="25" t="s">
        <v>641</v>
      </c>
      <c r="B111" s="94">
        <v>4018</v>
      </c>
      <c r="C111" s="95" t="s">
        <v>163</v>
      </c>
      <c r="D111" s="95" t="s">
        <v>140</v>
      </c>
      <c r="E111" s="96">
        <v>42585.659467592595</v>
      </c>
      <c r="F111" s="96">
        <v>42585.66070601852</v>
      </c>
      <c r="G111" s="94">
        <v>1</v>
      </c>
      <c r="H111" s="96" t="s">
        <v>341</v>
      </c>
      <c r="I111" s="96">
        <v>42585.689074074071</v>
      </c>
      <c r="J111" s="94">
        <v>0</v>
      </c>
      <c r="K111" s="121" t="str">
        <f t="shared" si="30"/>
        <v>4017/4018</v>
      </c>
      <c r="L111" s="25" t="str">
        <f>VLOOKUP(A111,'Trips&amp;Operators'!$C$1:$E$10000,3,FALSE)</f>
        <v>BRUDER</v>
      </c>
      <c r="M111" s="6">
        <f t="shared" si="31"/>
        <v>2.8368055551254656E-2</v>
      </c>
      <c r="N111" s="7">
        <f t="shared" si="29"/>
        <v>40.849999993806705</v>
      </c>
      <c r="O111" s="7"/>
      <c r="P111" s="7"/>
      <c r="Q111" s="26"/>
      <c r="R111" s="26"/>
      <c r="S111" s="40">
        <f t="shared" si="32"/>
        <v>1</v>
      </c>
      <c r="T111" s="57" t="str">
        <f t="shared" si="33"/>
        <v>NorthBound</v>
      </c>
      <c r="U111" s="82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14:49:38-0600',mode:absolute,to:'2016-08-03 17:32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62" t="str">
        <f t="shared" si="46"/>
        <v>N</v>
      </c>
      <c r="X111" s="124">
        <f t="shared" si="47"/>
        <v>1</v>
      </c>
      <c r="Y111" s="77">
        <f t="shared" si="48"/>
        <v>4.6199999999999998E-2</v>
      </c>
      <c r="Z111" s="77">
        <f t="shared" si="49"/>
        <v>23.331600000000002</v>
      </c>
      <c r="AA111" s="77">
        <f t="shared" si="39"/>
        <v>23.285400000000003</v>
      </c>
      <c r="AB111" s="74" t="e">
        <f>VLOOKUP(A111,Enforcements!$C$7:$J$24,8,0)</f>
        <v>#N/A</v>
      </c>
      <c r="AC111" s="70" t="e">
        <f>VLOOKUP(A111,Enforcements!$C$7:$E$24,3,0)</f>
        <v>#N/A</v>
      </c>
      <c r="AD111" s="71" t="str">
        <f t="shared" si="40"/>
        <v>0197-03</v>
      </c>
      <c r="AE111" s="131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111" s="128" t="str">
        <f t="shared" si="42"/>
        <v>"C:\Program Files (x86)\AstroGrep\AstroGrep.exe" /spath="%USERPROFILE%\AppData\Local\Temp\OnboardLogs" /stypes="*4018*20160803*" /stext=" 22:.+((SYSTEM_STATE.+slice.+state.+changed )|(ment ac)|(system.+state.+changed )|(\|lc)|(penalty)|(\[timeout)|(PRM\|1\|D)|(kpr)|(kdp))" /e /r /s</v>
      </c>
      <c r="AG111" s="1" t="str">
        <f t="shared" si="43"/>
        <v>EC</v>
      </c>
      <c r="AH111" s="132" t="str">
        <f>refinertdcruntimes&amp;" --tripid "&amp;A111&amp;" --locoid "&amp;B111&amp;" --swversion "&amp;C111&amp;" --startMP "&amp;D111&amp;" --initTime "&amp;TEXT(E111,"yyyy-mm-ddTHH:MM:SS")&amp;" --startdatetime "&amp;TEXT(F111,"yyyy-mm-ddTHH:MM:SS")&amp;" --delay "&amp;G111&amp;" --endMP "&amp;H111&amp;" --enddatetime "&amp;TEXT(I111,"yyyy-mm-ddTHH:MM:SS")&amp;" --enforcementcount "&amp;J111&amp;" &gt;&gt; "&amp;TEXT(Variables!$A$2,"yyyy-mm-dd")&amp;"-refined-runtimes.txt"</f>
        <v>"%USERPROFILE%\Documents\GitHub\eaglep3\Utilities\RefineRTDCRunTimes.py" --tripid 197-03 --locoid 4018 --swversion DE.1.0.7.0 --startMP 204:462 --initTime 2016-08-03T15:49:38 --startdatetime 2016-08-03T15:51:25 --delay 1 --endMP 204:233316 --enddatetime 2016-08-03T16:32:16 --enforcementcount 0 &gt;&gt; 2016-08-03-refined-runtimes.txt</v>
      </c>
    </row>
    <row r="112" spans="1:34" x14ac:dyDescent="0.25">
      <c r="A112" s="25" t="s">
        <v>525</v>
      </c>
      <c r="B112" s="94">
        <v>4017</v>
      </c>
      <c r="C112" s="95" t="s">
        <v>163</v>
      </c>
      <c r="D112" s="95" t="s">
        <v>360</v>
      </c>
      <c r="E112" s="96">
        <v>42585.690613425926</v>
      </c>
      <c r="F112" s="96">
        <v>42585.692314814813</v>
      </c>
      <c r="G112" s="94">
        <v>2</v>
      </c>
      <c r="H112" s="96" t="s">
        <v>642</v>
      </c>
      <c r="I112" s="96">
        <v>42585.720648148148</v>
      </c>
      <c r="J112" s="94">
        <v>3</v>
      </c>
      <c r="K112" s="121" t="str">
        <f t="shared" si="30"/>
        <v>4017/4018</v>
      </c>
      <c r="L112" s="25" t="str">
        <f>VLOOKUP(A112,'Trips&amp;Operators'!$C$1:$E$10000,3,FALSE)</f>
        <v>BRUDER</v>
      </c>
      <c r="M112" s="6">
        <f t="shared" si="31"/>
        <v>2.8333333335467614E-2</v>
      </c>
      <c r="N112" s="7"/>
      <c r="O112" s="7"/>
      <c r="P112" s="7">
        <f>24*60*SUM($M112:$M113)</f>
        <v>50.63333333004266</v>
      </c>
      <c r="Q112" s="26"/>
      <c r="R112" s="26" t="s">
        <v>843</v>
      </c>
      <c r="S112" s="40">
        <f>SUM(U112:U113)/IF(AG112="EC",12,1)</f>
        <v>0.75</v>
      </c>
      <c r="T112" s="57" t="str">
        <f t="shared" si="33"/>
        <v>Southbound</v>
      </c>
      <c r="U112" s="82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6</v>
      </c>
      <c r="V112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62" t="str">
        <f t="shared" si="46"/>
        <v>Y</v>
      </c>
      <c r="X112" s="124">
        <f t="shared" si="47"/>
        <v>1</v>
      </c>
      <c r="Y112" s="77">
        <f t="shared" si="48"/>
        <v>23.297999999999998</v>
      </c>
      <c r="Z112" s="77">
        <f t="shared" si="49"/>
        <v>5.7972000000000001</v>
      </c>
      <c r="AA112" s="77">
        <f t="shared" si="39"/>
        <v>17.500799999999998</v>
      </c>
      <c r="AB112" s="74">
        <f>VLOOKUP(A112,Enforcements!$C$7:$J$24,8,0)</f>
        <v>109135</v>
      </c>
      <c r="AC112" s="70" t="str">
        <f>VLOOKUP(A112,Enforcements!$C$7:$E$24,3,0)</f>
        <v>GRADE CROSSING</v>
      </c>
      <c r="AD112" s="71" t="str">
        <f t="shared" si="40"/>
        <v>0198-03</v>
      </c>
      <c r="AE112" s="131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12" s="128" t="str">
        <f t="shared" si="42"/>
        <v>"C:\Program Files (x86)\AstroGrep\AstroGrep.exe" /spath="%USERPROFILE%\AppData\Local\Temp\OnboardLogs" /stypes="*4017*20160803*" /stext=" 23:.+((SYSTEM_STATE.+slice.+state.+changed )|(ment ac)|(system.+state.+changed )|(\|lc)|(penalty)|(\[timeout)|(PRM\|1\|D)|(kpr)|(kdp))" /e /r /s</v>
      </c>
      <c r="AG112" s="1" t="str">
        <f t="shared" si="43"/>
        <v>EC</v>
      </c>
      <c r="AH112" s="132" t="str">
        <f>refinertdcruntimes&amp;" --tripid "&amp;A112&amp;" --locoid "&amp;B112&amp;" --swversion "&amp;C112&amp;" --startMP "&amp;D112&amp;" --initTime "&amp;TEXT(E112,"yyyy-mm-ddTHH:MM:SS")&amp;" --startdatetime "&amp;TEXT(F112,"yyyy-mm-ddTHH:MM:SS")&amp;" --delay "&amp;G112&amp;" --endMP "&amp;H112&amp;" --enddatetime "&amp;TEXT(I112,"yyyy-mm-ddTHH:MM:SS")&amp;" --enforcementcount "&amp;J112&amp;" &gt;&gt; "&amp;TEXT(Variables!$A$2,"yyyy-mm-dd")&amp;"-refined-runtimes.txt"</f>
        <v>"%USERPROFILE%\Documents\GitHub\eaglep3\Utilities\RefineRTDCRunTimes.py" --tripid 198-03 --locoid 4017 --swversion DE.1.0.7.0 --startMP 204:232980 --initTime 2016-08-03T16:34:29 --startdatetime 2016-08-03T16:36:56 --delay 2 --endMP 204:57972 --enddatetime 2016-08-03T17:17:44 --enforcementcount 3 &gt;&gt; 2016-08-03-refined-runtimes.txt</v>
      </c>
    </row>
    <row r="113" spans="1:34" x14ac:dyDescent="0.25">
      <c r="A113" s="25" t="s">
        <v>525</v>
      </c>
      <c r="B113" s="94">
        <v>4017</v>
      </c>
      <c r="C113" s="95" t="s">
        <v>163</v>
      </c>
      <c r="D113" s="95" t="s">
        <v>643</v>
      </c>
      <c r="E113" s="96">
        <v>42585.722870370373</v>
      </c>
      <c r="F113" s="96">
        <v>42585.723703703705</v>
      </c>
      <c r="G113" s="94">
        <v>1</v>
      </c>
      <c r="H113" s="96" t="s">
        <v>58</v>
      </c>
      <c r="I113" s="96">
        <v>42585.730532407404</v>
      </c>
      <c r="J113" s="94">
        <v>0</v>
      </c>
      <c r="K113" s="121" t="str">
        <f t="shared" si="30"/>
        <v>4017/4018</v>
      </c>
      <c r="L113" s="25" t="str">
        <f>VLOOKUP(A113,'Trips&amp;Operators'!$C$1:$E$10000,3,FALSE)</f>
        <v>BRUDER</v>
      </c>
      <c r="M113" s="6">
        <f t="shared" si="31"/>
        <v>6.8287036992842332E-3</v>
      </c>
      <c r="N113" s="7"/>
      <c r="O113" s="7"/>
      <c r="P113" s="7"/>
      <c r="Q113" s="26"/>
      <c r="R113" s="26"/>
      <c r="S113" s="40"/>
      <c r="T113" s="57" t="str">
        <f t="shared" si="33"/>
        <v>Southbound</v>
      </c>
      <c r="U113" s="82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3</v>
      </c>
      <c r="V113" s="138" t="str">
        <f t="shared" si="45"/>
        <v>https://search-rtdc-monitor-bjffxe2xuh6vdkpspy63sjmuny.us-east-1.es.amazonaws.com/_plugin/kibana/#/discover/Steve-Slow-Train-Analysis-(2080s-and-2083s)?_g=(refreshInterval:(display:Off,section:0,value:0),time:(from:'2016-08-03 16:20:56-0600',mode:absolute,to:'2016-08-03 18:31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3" s="62" t="str">
        <f t="shared" si="46"/>
        <v>Y</v>
      </c>
      <c r="X113" s="124">
        <f t="shared" si="47"/>
        <v>0</v>
      </c>
      <c r="Y113" s="77">
        <f t="shared" si="48"/>
        <v>3.6791</v>
      </c>
      <c r="Z113" s="77">
        <f t="shared" si="49"/>
        <v>1.4500000000000001E-2</v>
      </c>
      <c r="AA113" s="77">
        <f t="shared" si="39"/>
        <v>3.6646000000000001</v>
      </c>
      <c r="AB113" s="74">
        <f>VLOOKUP(A113,Enforcements!$C$7:$J$24,8,0)</f>
        <v>109135</v>
      </c>
      <c r="AC113" s="70" t="str">
        <f>VLOOKUP(A113,Enforcements!$C$7:$E$24,3,0)</f>
        <v>GRADE CROSSING</v>
      </c>
      <c r="AD113" s="71" t="str">
        <f t="shared" si="40"/>
        <v>0198-03</v>
      </c>
      <c r="AE113" s="131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13" s="128" t="str">
        <f t="shared" si="42"/>
        <v>"C:\Program Files (x86)\AstroGrep\AstroGrep.exe" /spath="%USERPROFILE%\AppData\Local\Temp\OnboardLogs" /stypes="*4017*20160803*" /stext=" 23:.+((SYSTEM_STATE.+slice.+state.+changed )|(ment ac)|(system.+state.+changed )|(\|lc)|(penalty)|(\[timeout)|(PRM\|1\|D)|(kpr)|(kdp))" /e /r /s</v>
      </c>
      <c r="AG113" s="1" t="str">
        <f t="shared" si="43"/>
        <v>EC</v>
      </c>
      <c r="AH113" s="132" t="str">
        <f>refinertdcruntimes&amp;" --tripid "&amp;A113&amp;" --locoid "&amp;B113&amp;" --swversion "&amp;C113&amp;" --startMP "&amp;D113&amp;" --initTime "&amp;TEXT(E113,"yyyy-mm-ddTHH:MM:SS")&amp;" --startdatetime "&amp;TEXT(F113,"yyyy-mm-ddTHH:MM:SS")&amp;" --delay "&amp;G113&amp;" --endMP "&amp;H113&amp;" --enddatetime "&amp;TEXT(I113,"yyyy-mm-ddTHH:MM:SS")&amp;" --enforcementcount "&amp;J113&amp;" &gt;&gt; "&amp;TEXT(Variables!$A$2,"yyyy-mm-dd")&amp;"-refined-runtimes.txt"</f>
        <v>"%USERPROFILE%\Documents\GitHub\eaglep3\Utilities\RefineRTDCRunTimes.py" --tripid 198-03 --locoid 4017 --swversion DE.1.0.7.0 --startMP 204:36791 --initTime 2016-08-03T17:20:56 --startdatetime 2016-08-03T17:22:08 --delay 1 --endMP 204:145 --enddatetime 2016-08-03T17:31:58 --enforcementcount 0 &gt;&gt; 2016-08-03-refined-runtimes.txt</v>
      </c>
    </row>
    <row r="114" spans="1:34" s="24" customFormat="1" x14ac:dyDescent="0.25">
      <c r="A114" s="25" t="s">
        <v>521</v>
      </c>
      <c r="B114" s="94">
        <v>4014</v>
      </c>
      <c r="C114" s="95" t="s">
        <v>163</v>
      </c>
      <c r="D114" s="95" t="s">
        <v>138</v>
      </c>
      <c r="E114" s="96">
        <v>42585.668090277781</v>
      </c>
      <c r="F114" s="96">
        <v>42585.668958333335</v>
      </c>
      <c r="G114" s="94">
        <v>1</v>
      </c>
      <c r="H114" s="96" t="s">
        <v>407</v>
      </c>
      <c r="I114" s="96">
        <v>42585.702094907407</v>
      </c>
      <c r="J114" s="94">
        <v>1</v>
      </c>
      <c r="K114" s="121" t="str">
        <f t="shared" si="30"/>
        <v>4013/4014</v>
      </c>
      <c r="L114" s="25" t="str">
        <f>VLOOKUP(A114,'Trips&amp;Operators'!$C$1:$E$10000,3,FALSE)</f>
        <v>SWANSON</v>
      </c>
      <c r="M114" s="6">
        <f t="shared" si="31"/>
        <v>3.3136574071249925E-2</v>
      </c>
      <c r="N114" s="7">
        <f t="shared" si="29"/>
        <v>47.716666662599891</v>
      </c>
      <c r="O114" s="7"/>
      <c r="P114" s="7"/>
      <c r="Q114" s="26"/>
      <c r="R114" s="26"/>
      <c r="S114" s="40">
        <f t="shared" si="32"/>
        <v>1</v>
      </c>
      <c r="T114" s="57" t="str">
        <f t="shared" si="33"/>
        <v>NorthBound</v>
      </c>
      <c r="U114" s="82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15:02:03-0600',mode:absolute,to:'2016-08-03 17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4" s="62" t="str">
        <f t="shared" si="35"/>
        <v>N</v>
      </c>
      <c r="X114" s="124">
        <f t="shared" si="36"/>
        <v>1</v>
      </c>
      <c r="Y114" s="77">
        <f t="shared" si="37"/>
        <v>4.6399999999999997E-2</v>
      </c>
      <c r="Z114" s="77">
        <f t="shared" si="38"/>
        <v>23.330400000000001</v>
      </c>
      <c r="AA114" s="77">
        <f t="shared" si="39"/>
        <v>23.284000000000002</v>
      </c>
      <c r="AB114" s="74">
        <f>VLOOKUP(A114,Enforcements!$C$7:$J$24,8,0)</f>
        <v>78349</v>
      </c>
      <c r="AC114" s="70" t="str">
        <f>VLOOKUP(A114,Enforcements!$C$7:$E$24,3,0)</f>
        <v>GRADE CROSSING</v>
      </c>
      <c r="AD114" s="71" t="str">
        <f t="shared" si="40"/>
        <v>0199-03</v>
      </c>
      <c r="AE114" s="131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14" s="128" t="str">
        <f t="shared" si="42"/>
        <v>"C:\Program Files (x86)\AstroGrep\AstroGrep.exe" /spath="%USERPROFILE%\AppData\Local\Temp\OnboardLogs" /stypes="*4014*20160803*" /stext=" 22:.+((SYSTEM_STATE.+slice.+state.+changed )|(ment ac)|(system.+state.+changed )|(\|lc)|(penalty)|(\[timeout)|(PRM\|1\|D)|(kpr)|(kdp))" /e /r /s</v>
      </c>
      <c r="AG114" s="1" t="str">
        <f t="shared" si="43"/>
        <v>EC</v>
      </c>
      <c r="AH114" s="132" t="str">
        <f>refinertdcruntimes&amp;" --tripid "&amp;A114&amp;" --locoid "&amp;B114&amp;" --swversion "&amp;C114&amp;" --startMP "&amp;D114&amp;" --initTime "&amp;TEXT(E114,"yyyy-mm-ddTHH:MM:SS")&amp;" --startdatetime "&amp;TEXT(F114,"yyyy-mm-ddTHH:MM:SS")&amp;" --delay "&amp;G114&amp;" --endMP "&amp;H114&amp;" --enddatetime "&amp;TEXT(I114,"yyyy-mm-ddTHH:MM:SS")&amp;" --enforcementcount "&amp;J114&amp;" &gt;&gt; "&amp;TEXT(Variables!$A$2,"yyyy-mm-dd")&amp;"-refined-runtimes.txt"</f>
        <v>"%USERPROFILE%\Documents\GitHub\eaglep3\Utilities\RefineRTDCRunTimes.py" --tripid 199-03 --locoid 4014 --swversion DE.1.0.7.0 --startMP 204:464 --initTime 2016-08-03T16:02:03 --startdatetime 2016-08-03T16:03:18 --delay 1 --endMP 204:233304 --enddatetime 2016-08-03T16:51:01 --enforcementcount 1 &gt;&gt; 2016-08-03-refined-runtimes.txt</v>
      </c>
    </row>
    <row r="115" spans="1:34" s="24" customFormat="1" x14ac:dyDescent="0.25">
      <c r="A115" s="25" t="s">
        <v>644</v>
      </c>
      <c r="B115" s="94">
        <v>4013</v>
      </c>
      <c r="C115" s="95" t="s">
        <v>163</v>
      </c>
      <c r="D115" s="95" t="s">
        <v>645</v>
      </c>
      <c r="E115" s="96">
        <v>42585.704722222225</v>
      </c>
      <c r="F115" s="96">
        <v>42585.706030092595</v>
      </c>
      <c r="G115" s="94">
        <v>1</v>
      </c>
      <c r="H115" s="96" t="s">
        <v>137</v>
      </c>
      <c r="I115" s="96">
        <v>42585.73814814815</v>
      </c>
      <c r="J115" s="94">
        <v>0</v>
      </c>
      <c r="K115" s="121" t="str">
        <f t="shared" si="30"/>
        <v>4013/4014</v>
      </c>
      <c r="L115" s="25" t="str">
        <f>VLOOKUP(A115,'Trips&amp;Operators'!$C$1:$E$10000,3,FALSE)</f>
        <v>SWANSON</v>
      </c>
      <c r="M115" s="6">
        <f t="shared" si="31"/>
        <v>3.2118055554747116E-2</v>
      </c>
      <c r="N115" s="7">
        <f t="shared" si="29"/>
        <v>46.249999998835847</v>
      </c>
      <c r="O115" s="7"/>
      <c r="P115" s="7"/>
      <c r="Q115" s="26"/>
      <c r="R115" s="26"/>
      <c r="S115" s="40">
        <f t="shared" si="32"/>
        <v>1</v>
      </c>
      <c r="T115" s="57" t="str">
        <f t="shared" si="33"/>
        <v>Southbound</v>
      </c>
      <c r="U115" s="82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15:54:48-0600',mode:absolute,to:'2016-08-03 18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5" s="62" t="str">
        <f t="shared" si="35"/>
        <v>N</v>
      </c>
      <c r="X115" s="124">
        <f t="shared" si="36"/>
        <v>1</v>
      </c>
      <c r="Y115" s="77">
        <f t="shared" si="37"/>
        <v>23.2974</v>
      </c>
      <c r="Z115" s="77">
        <f t="shared" si="38"/>
        <v>1.4999999999999999E-2</v>
      </c>
      <c r="AA115" s="77">
        <f t="shared" si="39"/>
        <v>23.282399999999999</v>
      </c>
      <c r="AB115" s="74" t="e">
        <f>VLOOKUP(A115,Enforcements!$C$7:$J$24,8,0)</f>
        <v>#N/A</v>
      </c>
      <c r="AC115" s="70" t="e">
        <f>VLOOKUP(A115,Enforcements!$C$7:$E$24,3,0)</f>
        <v>#N/A</v>
      </c>
      <c r="AD115" s="71" t="str">
        <f t="shared" si="40"/>
        <v>0200-03</v>
      </c>
      <c r="AE115" s="131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15" s="128" t="str">
        <f t="shared" si="42"/>
        <v>"C:\Program Files (x86)\AstroGrep\AstroGrep.exe" /spath="%USERPROFILE%\AppData\Local\Temp\OnboardLogs" /stypes="*4013*20160803*" /stext=" 23:.+((SYSTEM_STATE.+slice.+state.+changed )|(ment ac)|(system.+state.+changed )|(\|lc)|(penalty)|(\[timeout)|(PRM\|1\|D)|(kpr)|(kdp))" /e /r /s</v>
      </c>
      <c r="AG115" s="1" t="str">
        <f t="shared" si="43"/>
        <v>EC</v>
      </c>
      <c r="AH115" s="132" t="str">
        <f>refinertdcruntimes&amp;" --tripid "&amp;A115&amp;" --locoid "&amp;B115&amp;" --swversion "&amp;C115&amp;" --startMP "&amp;D115&amp;" --initTime "&amp;TEXT(E115,"yyyy-mm-ddTHH:MM:SS")&amp;" --startdatetime "&amp;TEXT(F115,"yyyy-mm-ddTHH:MM:SS")&amp;" --delay "&amp;G115&amp;" --endMP "&amp;H115&amp;" --enddatetime "&amp;TEXT(I115,"yyyy-mm-ddTHH:MM:SS")&amp;" --enforcementcount "&amp;J115&amp;" &gt;&gt; "&amp;TEXT(Variables!$A$2,"yyyy-mm-dd")&amp;"-refined-runtimes.txt"</f>
        <v>"%USERPROFILE%\Documents\GitHub\eaglep3\Utilities\RefineRTDCRunTimes.py" --tripid 200-03 --locoid 4013 --swversion DE.1.0.7.0 --startMP 204:232974 --initTime 2016-08-03T16:54:48 --startdatetime 2016-08-03T16:56:41 --delay 1 --endMP 204:150 --enddatetime 2016-08-03T17:42:56 --enforcementcount 0 &gt;&gt; 2016-08-03-refined-runtimes.txt</v>
      </c>
    </row>
    <row r="116" spans="1:34" s="24" customFormat="1" x14ac:dyDescent="0.25">
      <c r="A116" s="25" t="s">
        <v>646</v>
      </c>
      <c r="B116" s="94">
        <v>4011</v>
      </c>
      <c r="C116" s="95" t="s">
        <v>163</v>
      </c>
      <c r="D116" s="95" t="s">
        <v>385</v>
      </c>
      <c r="E116" s="96">
        <v>42585.677789351852</v>
      </c>
      <c r="F116" s="96">
        <v>42585.678842592592</v>
      </c>
      <c r="G116" s="94">
        <v>1</v>
      </c>
      <c r="H116" s="96" t="s">
        <v>547</v>
      </c>
      <c r="I116" s="96">
        <v>42585.710081018522</v>
      </c>
      <c r="J116" s="94">
        <v>0</v>
      </c>
      <c r="K116" s="121" t="str">
        <f t="shared" si="30"/>
        <v>4011/4012</v>
      </c>
      <c r="L116" s="25" t="str">
        <f>VLOOKUP(A116,'Trips&amp;Operators'!$C$1:$E$10000,3,FALSE)</f>
        <v>OUN</v>
      </c>
      <c r="M116" s="6">
        <f t="shared" si="31"/>
        <v>3.1238425930496305E-2</v>
      </c>
      <c r="N116" s="7">
        <f t="shared" si="29"/>
        <v>44.98333333991468</v>
      </c>
      <c r="O116" s="7"/>
      <c r="P116" s="7"/>
      <c r="Q116" s="26"/>
      <c r="R116" s="26"/>
      <c r="S116" s="40">
        <f t="shared" si="32"/>
        <v>1</v>
      </c>
      <c r="T116" s="57" t="str">
        <f t="shared" si="33"/>
        <v>NorthBound</v>
      </c>
      <c r="U116" s="82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15:16:01-0600',mode:absolute,to:'2016-08-03 18:02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16" s="62" t="str">
        <f t="shared" si="35"/>
        <v>N</v>
      </c>
      <c r="X116" s="124">
        <f t="shared" si="36"/>
        <v>1</v>
      </c>
      <c r="Y116" s="77">
        <f t="shared" si="37"/>
        <v>4.7500000000000001E-2</v>
      </c>
      <c r="Z116" s="77">
        <f t="shared" si="38"/>
        <v>23.328199999999999</v>
      </c>
      <c r="AA116" s="77">
        <f t="shared" si="39"/>
        <v>23.2807</v>
      </c>
      <c r="AB116" s="74" t="e">
        <f>VLOOKUP(A116,Enforcements!$C$7:$J$24,8,0)</f>
        <v>#N/A</v>
      </c>
      <c r="AC116" s="70" t="e">
        <f>VLOOKUP(A116,Enforcements!$C$7:$E$24,3,0)</f>
        <v>#N/A</v>
      </c>
      <c r="AD116" s="71" t="str">
        <f t="shared" si="40"/>
        <v>0201-03</v>
      </c>
      <c r="AE116" s="131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16" s="128" t="str">
        <f t="shared" si="42"/>
        <v>"C:\Program Files (x86)\AstroGrep\AstroGrep.exe" /spath="%USERPROFILE%\AppData\Local\Temp\OnboardLogs" /stypes="*4011*20160803*" /stext=" 23:.+((SYSTEM_STATE.+slice.+state.+changed )|(ment ac)|(system.+state.+changed )|(\|lc)|(penalty)|(\[timeout)|(PRM\|1\|D)|(kpr)|(kdp))" /e /r /s</v>
      </c>
      <c r="AG116" s="1" t="str">
        <f t="shared" si="43"/>
        <v>EC</v>
      </c>
      <c r="AH116" s="132" t="str">
        <f>refinertdcruntimes&amp;" --tripid "&amp;A116&amp;" --locoid "&amp;B116&amp;" --swversion "&amp;C116&amp;" --startMP "&amp;D116&amp;" --initTime "&amp;TEXT(E116,"yyyy-mm-ddTHH:MM:SS")&amp;" --startdatetime "&amp;TEXT(F116,"yyyy-mm-ddTHH:MM:SS")&amp;" --delay "&amp;G116&amp;" --endMP "&amp;H116&amp;" --enddatetime "&amp;TEXT(I116,"yyyy-mm-ddTHH:MM:SS")&amp;" --enforcementcount "&amp;J116&amp;" &gt;&gt; "&amp;TEXT(Variables!$A$2,"yyyy-mm-dd")&amp;"-refined-runtimes.txt"</f>
        <v>"%USERPROFILE%\Documents\GitHub\eaglep3\Utilities\RefineRTDCRunTimes.py" --tripid 201-03 --locoid 4011 --swversion DE.1.0.7.0 --startMP 204:475 --initTime 2016-08-03T16:16:01 --startdatetime 2016-08-03T16:17:32 --delay 1 --endMP 204:233282 --enddatetime 2016-08-03T17:02:31 --enforcementcount 0 &gt;&gt; 2016-08-03-refined-runtimes.txt</v>
      </c>
    </row>
    <row r="117" spans="1:34" s="24" customFormat="1" x14ac:dyDescent="0.25">
      <c r="A117" s="25" t="s">
        <v>528</v>
      </c>
      <c r="B117" s="94">
        <v>4012</v>
      </c>
      <c r="C117" s="95" t="s">
        <v>163</v>
      </c>
      <c r="D117" s="95" t="s">
        <v>647</v>
      </c>
      <c r="E117" s="96">
        <v>42585.713229166664</v>
      </c>
      <c r="F117" s="96">
        <v>42585.714155092595</v>
      </c>
      <c r="G117" s="94">
        <v>1</v>
      </c>
      <c r="H117" s="96" t="s">
        <v>564</v>
      </c>
      <c r="I117" s="96">
        <v>42585.746874999997</v>
      </c>
      <c r="J117" s="94">
        <v>1</v>
      </c>
      <c r="K117" s="121" t="str">
        <f t="shared" si="30"/>
        <v>4011/4012</v>
      </c>
      <c r="L117" s="25" t="str">
        <f>VLOOKUP(A117,'Trips&amp;Operators'!$C$1:$E$10000,3,FALSE)</f>
        <v>OUN</v>
      </c>
      <c r="M117" s="6">
        <f t="shared" si="31"/>
        <v>3.2719907401769888E-2</v>
      </c>
      <c r="N117" s="7">
        <f t="shared" si="29"/>
        <v>47.116666658548638</v>
      </c>
      <c r="O117" s="7"/>
      <c r="P117" s="7"/>
      <c r="Q117" s="26"/>
      <c r="R117" s="26"/>
      <c r="S117" s="40">
        <f t="shared" si="32"/>
        <v>1</v>
      </c>
      <c r="T117" s="57" t="str">
        <f t="shared" si="33"/>
        <v>Southbound</v>
      </c>
      <c r="U117" s="82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16:07:03-0600',mode:absolute,to:'2016-08-03 18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7" s="62" t="str">
        <f t="shared" si="35"/>
        <v>N</v>
      </c>
      <c r="X117" s="124">
        <f t="shared" si="36"/>
        <v>1</v>
      </c>
      <c r="Y117" s="77">
        <f t="shared" si="37"/>
        <v>23.296700000000001</v>
      </c>
      <c r="Z117" s="77">
        <f t="shared" si="38"/>
        <v>1.2999999999999999E-2</v>
      </c>
      <c r="AA117" s="77">
        <f t="shared" si="39"/>
        <v>23.2837</v>
      </c>
      <c r="AB117" s="74">
        <f>VLOOKUP(A117,Enforcements!$C$7:$J$24,8,0)</f>
        <v>109135</v>
      </c>
      <c r="AC117" s="70" t="str">
        <f>VLOOKUP(A117,Enforcements!$C$7:$E$24,3,0)</f>
        <v>GRADE CROSSING</v>
      </c>
      <c r="AD117" s="71" t="str">
        <f t="shared" si="40"/>
        <v>0202-03</v>
      </c>
      <c r="AE117" s="131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17" s="128" t="str">
        <f t="shared" si="42"/>
        <v>"C:\Program Files (x86)\AstroGrep\AstroGrep.exe" /spath="%USERPROFILE%\AppData\Local\Temp\OnboardLogs" /stypes="*4012*20160803*" /stext=" 23:.+((SYSTEM_STATE.+slice.+state.+changed )|(ment ac)|(system.+state.+changed )|(\|lc)|(penalty)|(\[timeout)|(PRM\|1\|D)|(kpr)|(kdp))" /e /r /s</v>
      </c>
      <c r="AG117" s="1" t="str">
        <f t="shared" si="43"/>
        <v>EC</v>
      </c>
      <c r="AH117" s="132" t="str">
        <f>refinertdcruntimes&amp;" --tripid "&amp;A117&amp;" --locoid "&amp;B117&amp;" --swversion "&amp;C117&amp;" --startMP "&amp;D117&amp;" --initTime "&amp;TEXT(E117,"yyyy-mm-ddTHH:MM:SS")&amp;" --startdatetime "&amp;TEXT(F117,"yyyy-mm-ddTHH:MM:SS")&amp;" --delay "&amp;G117&amp;" --endMP "&amp;H117&amp;" --enddatetime "&amp;TEXT(I117,"yyyy-mm-ddTHH:MM:SS")&amp;" --enforcementcount "&amp;J117&amp;" &gt;&gt; "&amp;TEXT(Variables!$A$2,"yyyy-mm-dd")&amp;"-refined-runtimes.txt"</f>
        <v>"%USERPROFILE%\Documents\GitHub\eaglep3\Utilities\RefineRTDCRunTimes.py" --tripid 202-03 --locoid 4012 --swversion DE.1.0.7.0 --startMP 204:232967 --initTime 2016-08-03T17:07:03 --startdatetime 2016-08-03T17:08:23 --delay 1 --endMP 204:130 --enddatetime 2016-08-03T17:55:30 --enforcementcount 1 &gt;&gt; 2016-08-03-refined-runtimes.txt</v>
      </c>
    </row>
    <row r="118" spans="1:34" s="24" customFormat="1" x14ac:dyDescent="0.25">
      <c r="A118" s="25" t="s">
        <v>526</v>
      </c>
      <c r="B118" s="94">
        <v>4044</v>
      </c>
      <c r="C118" s="95" t="s">
        <v>163</v>
      </c>
      <c r="D118" s="95" t="s">
        <v>305</v>
      </c>
      <c r="E118" s="96">
        <v>42585.691053240742</v>
      </c>
      <c r="F118" s="96">
        <v>42585.691874999997</v>
      </c>
      <c r="G118" s="94">
        <v>1</v>
      </c>
      <c r="H118" s="96" t="s">
        <v>343</v>
      </c>
      <c r="I118" s="96">
        <v>42585.722083333334</v>
      </c>
      <c r="J118" s="94">
        <v>0</v>
      </c>
      <c r="K118" s="121" t="str">
        <f t="shared" si="30"/>
        <v>4043/4044</v>
      </c>
      <c r="L118" s="25" t="str">
        <f>VLOOKUP(A118,'Trips&amp;Operators'!$C$1:$E$10000,3,FALSE)</f>
        <v>BARTLETT</v>
      </c>
      <c r="M118" s="6">
        <f t="shared" si="31"/>
        <v>3.0208333337213844E-2</v>
      </c>
      <c r="N118" s="7">
        <f t="shared" si="29"/>
        <v>43.500000005587935</v>
      </c>
      <c r="O118" s="7"/>
      <c r="P118" s="7"/>
      <c r="Q118" s="26"/>
      <c r="R118" s="26"/>
      <c r="S118" s="40">
        <f t="shared" si="32"/>
        <v>1</v>
      </c>
      <c r="T118" s="57" t="str">
        <f t="shared" si="33"/>
        <v>NorthBound</v>
      </c>
      <c r="U118" s="82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15:35:07-0600',mode:absolute,to:'2016-08-03 18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18" s="62" t="str">
        <f t="shared" si="35"/>
        <v>N</v>
      </c>
      <c r="X118" s="124">
        <f t="shared" si="36"/>
        <v>1</v>
      </c>
      <c r="Y118" s="77">
        <f t="shared" si="37"/>
        <v>4.5100000000000001E-2</v>
      </c>
      <c r="Z118" s="77">
        <f t="shared" si="38"/>
        <v>23.329699999999999</v>
      </c>
      <c r="AA118" s="77">
        <f t="shared" si="39"/>
        <v>23.284599999999998</v>
      </c>
      <c r="AB118" s="74" t="e">
        <f>VLOOKUP(A118,Enforcements!$C$7:$J$24,8,0)</f>
        <v>#N/A</v>
      </c>
      <c r="AC118" s="70" t="e">
        <f>VLOOKUP(A118,Enforcements!$C$7:$E$24,3,0)</f>
        <v>#N/A</v>
      </c>
      <c r="AD118" s="71" t="str">
        <f t="shared" si="40"/>
        <v>0203-03</v>
      </c>
      <c r="AE118" s="131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18" s="128" t="str">
        <f t="shared" si="42"/>
        <v>"C:\Program Files (x86)\AstroGrep\AstroGrep.exe" /spath="%USERPROFILE%\AppData\Local\Temp\OnboardLogs" /stypes="*4044*20160803*" /stext=" 23:.+((SYSTEM_STATE.+slice.+state.+changed )|(ment ac)|(system.+state.+changed )|(\|lc)|(penalty)|(\[timeout)|(PRM\|1\|D)|(kpr)|(kdp))" /e /r /s</v>
      </c>
      <c r="AG118" s="1" t="str">
        <f t="shared" si="43"/>
        <v>EC</v>
      </c>
      <c r="AH118" s="132" t="str">
        <f>refinertdcruntimes&amp;" --tripid "&amp;A118&amp;" --locoid "&amp;B118&amp;" --swversion "&amp;C118&amp;" --startMP "&amp;D118&amp;" --initTime "&amp;TEXT(E118,"yyyy-mm-ddTHH:MM:SS")&amp;" --startdatetime "&amp;TEXT(F118,"yyyy-mm-ddTHH:MM:SS")&amp;" --delay "&amp;G118&amp;" --endMP "&amp;H118&amp;" --enddatetime "&amp;TEXT(I118,"yyyy-mm-ddTHH:MM:SS")&amp;" --enforcementcount "&amp;J118&amp;" &gt;&gt; "&amp;TEXT(Variables!$A$2,"yyyy-mm-dd")&amp;"-refined-runtimes.txt"</f>
        <v>"%USERPROFILE%\Documents\GitHub\eaglep3\Utilities\RefineRTDCRunTimes.py" --tripid 203-03 --locoid 4044 --swversion DE.1.0.7.0 --startMP 204:451 --initTime 2016-08-03T16:35:07 --startdatetime 2016-08-03T16:36:18 --delay 1 --endMP 204:233297 --enddatetime 2016-08-03T17:19:48 --enforcementcount 0 &gt;&gt; 2016-08-03-refined-runtimes.txt</v>
      </c>
    </row>
    <row r="119" spans="1:34" s="24" customFormat="1" x14ac:dyDescent="0.25">
      <c r="A119" s="25" t="s">
        <v>648</v>
      </c>
      <c r="B119" s="94">
        <v>4043</v>
      </c>
      <c r="C119" s="95" t="s">
        <v>163</v>
      </c>
      <c r="D119" s="95" t="s">
        <v>400</v>
      </c>
      <c r="E119" s="96">
        <v>42585.723854166667</v>
      </c>
      <c r="F119" s="96">
        <v>42585.724918981483</v>
      </c>
      <c r="G119" s="94">
        <v>1</v>
      </c>
      <c r="H119" s="96" t="s">
        <v>590</v>
      </c>
      <c r="I119" s="96">
        <v>42585.759236111109</v>
      </c>
      <c r="J119" s="94">
        <v>0</v>
      </c>
      <c r="K119" s="121" t="str">
        <f t="shared" si="30"/>
        <v>4043/4044</v>
      </c>
      <c r="L119" s="25" t="str">
        <f>VLOOKUP(A119,'Trips&amp;Operators'!$C$1:$E$10000,3,FALSE)</f>
        <v>BARTLETT</v>
      </c>
      <c r="M119" s="6">
        <f t="shared" si="31"/>
        <v>3.4317129626288079E-2</v>
      </c>
      <c r="N119" s="7">
        <f t="shared" si="29"/>
        <v>49.416666661854833</v>
      </c>
      <c r="O119" s="7"/>
      <c r="P119" s="7"/>
      <c r="Q119" s="26"/>
      <c r="R119" s="26"/>
      <c r="S119" s="40">
        <f t="shared" si="32"/>
        <v>1</v>
      </c>
      <c r="T119" s="57" t="str">
        <f t="shared" si="33"/>
        <v>Southbound</v>
      </c>
      <c r="U119" s="82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16:22:21-0600',mode:absolute,to:'2016-08-03 19:13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9" s="62" t="str">
        <f t="shared" si="35"/>
        <v>N</v>
      </c>
      <c r="X119" s="124">
        <f t="shared" si="36"/>
        <v>1</v>
      </c>
      <c r="Y119" s="77">
        <f t="shared" si="37"/>
        <v>23.297899999999998</v>
      </c>
      <c r="Z119" s="77">
        <f t="shared" si="38"/>
        <v>1.5800000000000002E-2</v>
      </c>
      <c r="AA119" s="77">
        <f t="shared" si="39"/>
        <v>23.2821</v>
      </c>
      <c r="AB119" s="74" t="e">
        <f>VLOOKUP(A119,Enforcements!$C$7:$J$24,8,0)</f>
        <v>#N/A</v>
      </c>
      <c r="AC119" s="70" t="e">
        <f>VLOOKUP(A119,Enforcements!$C$7:$E$24,3,0)</f>
        <v>#N/A</v>
      </c>
      <c r="AD119" s="71" t="str">
        <f t="shared" si="40"/>
        <v>0204-03</v>
      </c>
      <c r="AE119" s="131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19" s="128" t="str">
        <f t="shared" si="42"/>
        <v>"C:\Program Files (x86)\AstroGrep\AstroGrep.exe" /spath="%USERPROFILE%\AppData\Local\Temp\OnboardLogs" /stypes="*4043*20160804*" /stext=" 00:.+((SYSTEM_STATE.+slice.+state.+changed )|(ment ac)|(system.+state.+changed )|(\|lc)|(penalty)|(\[timeout)|(PRM\|1\|D)|(kpr)|(kdp))" /e /r /s</v>
      </c>
      <c r="AG119" s="1" t="str">
        <f t="shared" si="43"/>
        <v>EC</v>
      </c>
      <c r="AH119" s="132" t="str">
        <f>refinertdcruntimes&amp;" --tripid "&amp;A119&amp;" --locoid "&amp;B119&amp;" --swversion "&amp;C119&amp;" --startMP "&amp;D119&amp;" --initTime "&amp;TEXT(E119,"yyyy-mm-ddTHH:MM:SS")&amp;" --startdatetime "&amp;TEXT(F119,"yyyy-mm-ddTHH:MM:SS")&amp;" --delay "&amp;G119&amp;" --endMP "&amp;H119&amp;" --enddatetime "&amp;TEXT(I119,"yyyy-mm-ddTHH:MM:SS")&amp;" --enforcementcount "&amp;J119&amp;" &gt;&gt; "&amp;TEXT(Variables!$A$2,"yyyy-mm-dd")&amp;"-refined-runtimes.txt"</f>
        <v>"%USERPROFILE%\Documents\GitHub\eaglep3\Utilities\RefineRTDCRunTimes.py" --tripid 204-03 --locoid 4043 --swversion DE.1.0.7.0 --startMP 204:232979 --initTime 2016-08-03T17:22:21 --startdatetime 2016-08-03T17:23:53 --delay 1 --endMP 204:158 --enddatetime 2016-08-03T18:13:18 --enforcementcount 0 &gt;&gt; 2016-08-03-refined-runtimes.txt</v>
      </c>
    </row>
    <row r="120" spans="1:34" s="24" customFormat="1" x14ac:dyDescent="0.25">
      <c r="A120" s="25" t="s">
        <v>649</v>
      </c>
      <c r="B120" s="94">
        <v>4040</v>
      </c>
      <c r="C120" s="95" t="s">
        <v>163</v>
      </c>
      <c r="D120" s="95" t="s">
        <v>64</v>
      </c>
      <c r="E120" s="96">
        <v>42585.69263888889</v>
      </c>
      <c r="F120" s="96">
        <v>42585.693425925929</v>
      </c>
      <c r="G120" s="94">
        <v>1</v>
      </c>
      <c r="H120" s="96" t="s">
        <v>343</v>
      </c>
      <c r="I120" s="96">
        <v>42585.729641203703</v>
      </c>
      <c r="J120" s="94">
        <v>0</v>
      </c>
      <c r="K120" s="121" t="str">
        <f t="shared" si="30"/>
        <v>4039/4040</v>
      </c>
      <c r="L120" s="25" t="str">
        <f>VLOOKUP(A120,'Trips&amp;Operators'!$C$1:$E$10000,3,FALSE)</f>
        <v>ARNOLD</v>
      </c>
      <c r="M120" s="6">
        <f t="shared" si="31"/>
        <v>3.6215277774317656E-2</v>
      </c>
      <c r="N120" s="7">
        <f t="shared" si="29"/>
        <v>52.149999995017424</v>
      </c>
      <c r="O120" s="7"/>
      <c r="P120" s="7"/>
      <c r="Q120" s="26"/>
      <c r="R120" s="26"/>
      <c r="S120" s="40">
        <f t="shared" si="32"/>
        <v>1</v>
      </c>
      <c r="T120" s="57" t="str">
        <f t="shared" si="33"/>
        <v>NorthBound</v>
      </c>
      <c r="U120" s="82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15:37:24-0600',mode:absolute,to:'2016-08-03 18:30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20" s="62" t="str">
        <f t="shared" si="35"/>
        <v>N</v>
      </c>
      <c r="X120" s="124">
        <f t="shared" si="36"/>
        <v>1</v>
      </c>
      <c r="Y120" s="77">
        <f t="shared" si="37"/>
        <v>4.5999999999999999E-2</v>
      </c>
      <c r="Z120" s="77">
        <f t="shared" si="38"/>
        <v>23.329699999999999</v>
      </c>
      <c r="AA120" s="77">
        <f t="shared" si="39"/>
        <v>23.2837</v>
      </c>
      <c r="AB120" s="74" t="e">
        <f>VLOOKUP(A120,Enforcements!$C$7:$J$24,8,0)</f>
        <v>#N/A</v>
      </c>
      <c r="AC120" s="70" t="e">
        <f>VLOOKUP(A120,Enforcements!$C$7:$E$24,3,0)</f>
        <v>#N/A</v>
      </c>
      <c r="AD120" s="71" t="str">
        <f t="shared" si="40"/>
        <v>0205-03</v>
      </c>
      <c r="AE120" s="131" t="str">
        <f t="shared" si="41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20" s="128" t="str">
        <f t="shared" si="42"/>
        <v>"C:\Program Files (x86)\AstroGrep\AstroGrep.exe" /spath="%USERPROFILE%\AppData\Local\Temp\OnboardLogs" /stypes="*4040*20160803*" /stext=" 23:.+((SYSTEM_STATE.+slice.+state.+changed )|(ment ac)|(system.+state.+changed )|(\|lc)|(penalty)|(\[timeout)|(PRM\|1\|D)|(kpr)|(kdp))" /e /r /s</v>
      </c>
      <c r="AG120" s="1" t="str">
        <f t="shared" si="43"/>
        <v>EC</v>
      </c>
      <c r="AH120" s="132" t="str">
        <f>refinertdcruntimes&amp;" --tripid "&amp;A120&amp;" --locoid "&amp;B120&amp;" --swversion "&amp;C120&amp;" --startMP "&amp;D120&amp;" --initTime "&amp;TEXT(E120,"yyyy-mm-ddTHH:MM:SS")&amp;" --startdatetime "&amp;TEXT(F120,"yyyy-mm-ddTHH:MM:SS")&amp;" --delay "&amp;G120&amp;" --endMP "&amp;H120&amp;" --enddatetime "&amp;TEXT(I120,"yyyy-mm-ddTHH:MM:SS")&amp;" --enforcementcount "&amp;J120&amp;" &gt;&gt; "&amp;TEXT(Variables!$A$2,"yyyy-mm-dd")&amp;"-refined-runtimes.txt"</f>
        <v>"%USERPROFILE%\Documents\GitHub\eaglep3\Utilities\RefineRTDCRunTimes.py" --tripid 205-03 --locoid 4040 --swversion DE.1.0.7.0 --startMP 204:460 --initTime 2016-08-03T16:37:24 --startdatetime 2016-08-03T16:38:32 --delay 1 --endMP 204:233297 --enddatetime 2016-08-03T17:30:41 --enforcementcount 0 &gt;&gt; 2016-08-03-refined-runtimes.txt</v>
      </c>
    </row>
    <row r="121" spans="1:34" s="24" customFormat="1" x14ac:dyDescent="0.25">
      <c r="A121" s="25" t="s">
        <v>530</v>
      </c>
      <c r="B121" s="94">
        <v>4039</v>
      </c>
      <c r="C121" s="95" t="s">
        <v>163</v>
      </c>
      <c r="D121" s="95" t="s">
        <v>319</v>
      </c>
      <c r="E121" s="96">
        <v>42585.73369212963</v>
      </c>
      <c r="F121" s="96">
        <v>42585.737233796295</v>
      </c>
      <c r="G121" s="94">
        <v>5</v>
      </c>
      <c r="H121" s="96" t="s">
        <v>160</v>
      </c>
      <c r="I121" s="96">
        <v>42585.768206018518</v>
      </c>
      <c r="J121" s="94">
        <v>4</v>
      </c>
      <c r="K121" s="121" t="str">
        <f t="shared" si="30"/>
        <v>4039/4040</v>
      </c>
      <c r="L121" s="25" t="str">
        <f>VLOOKUP(A121,'Trips&amp;Operators'!$C$1:$E$10000,3,FALSE)</f>
        <v>ARNOLD</v>
      </c>
      <c r="M121" s="6">
        <f t="shared" si="31"/>
        <v>3.0972222222771961E-2</v>
      </c>
      <c r="N121" s="7">
        <f t="shared" si="29"/>
        <v>44.600000000791624</v>
      </c>
      <c r="O121" s="7"/>
      <c r="P121" s="7"/>
      <c r="Q121" s="26"/>
      <c r="R121" s="26"/>
      <c r="S121" s="40">
        <f t="shared" si="32"/>
        <v>1</v>
      </c>
      <c r="T121" s="57" t="str">
        <f t="shared" si="33"/>
        <v>Southbound</v>
      </c>
      <c r="U121" s="82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21" s="62" t="str">
        <f t="shared" si="35"/>
        <v>N</v>
      </c>
      <c r="X121" s="124">
        <f t="shared" si="36"/>
        <v>1</v>
      </c>
      <c r="Y121" s="77">
        <f t="shared" si="37"/>
        <v>23.298200000000001</v>
      </c>
      <c r="Z121" s="77">
        <f t="shared" si="38"/>
        <v>1.49E-2</v>
      </c>
      <c r="AA121" s="77">
        <f t="shared" si="39"/>
        <v>23.283300000000001</v>
      </c>
      <c r="AB121" s="74">
        <f>VLOOKUP(A121,Enforcements!$C$7:$J$24,8,0)</f>
        <v>63309</v>
      </c>
      <c r="AC121" s="70" t="str">
        <f>VLOOKUP(A121,Enforcements!$C$7:$E$24,3,0)</f>
        <v>GRADE CROSSING</v>
      </c>
      <c r="AD121" s="71" t="str">
        <f t="shared" si="40"/>
        <v>0206-03</v>
      </c>
      <c r="AE121" s="131" t="str">
        <f t="shared" si="41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21" s="128" t="str">
        <f t="shared" si="42"/>
        <v>"C:\Program Files (x86)\AstroGrep\AstroGrep.exe" /spath="%USERPROFILE%\AppData\Local\Temp\OnboardLogs" /stypes="*4039*20160804*" /stext=" 00:.+((SYSTEM_STATE.+slice.+state.+changed )|(ment ac)|(system.+state.+changed )|(\|lc)|(penalty)|(\[timeout)|(PRM\|1\|D)|(kpr)|(kdp))" /e /r /s</v>
      </c>
      <c r="AG121" s="1" t="str">
        <f t="shared" si="43"/>
        <v>EC</v>
      </c>
      <c r="AH121" s="132" t="str">
        <f>refinertdcruntimes&amp;" --tripid "&amp;A121&amp;" --locoid "&amp;B121&amp;" --swversion "&amp;C121&amp;" --startMP "&amp;D121&amp;" --initTime "&amp;TEXT(E121,"yyyy-mm-ddTHH:MM:SS")&amp;" --startdatetime "&amp;TEXT(F121,"yyyy-mm-ddTHH:MM:SS")&amp;" --delay "&amp;G121&amp;" --endMP "&amp;H121&amp;" --enddatetime "&amp;TEXT(I121,"yyyy-mm-ddTHH:MM:SS")&amp;" --enforcementcount "&amp;J121&amp;" &gt;&gt; "&amp;TEXT(Variables!$A$2,"yyyy-mm-dd")&amp;"-refined-runtimes.txt"</f>
        <v>"%USERPROFILE%\Documents\GitHub\eaglep3\Utilities\RefineRTDCRunTimes.py" --tripid 206-03 --locoid 4039 --swversion DE.1.0.7.0 --startMP 204:232982 --initTime 2016-08-03T17:36:31 --startdatetime 2016-08-03T17:41:37 --delay 5 --endMP 204:149 --enddatetime 2016-08-03T18:26:13 --enforcementcount 4 &gt;&gt; 2016-08-03-refined-runtimes.txt</v>
      </c>
    </row>
    <row r="122" spans="1:34" s="24" customFormat="1" x14ac:dyDescent="0.25">
      <c r="A122" s="25" t="s">
        <v>650</v>
      </c>
      <c r="B122" s="94">
        <v>4042</v>
      </c>
      <c r="C122" s="95" t="s">
        <v>163</v>
      </c>
      <c r="D122" s="95" t="s">
        <v>192</v>
      </c>
      <c r="E122" s="96">
        <v>42585.706990740742</v>
      </c>
      <c r="F122" s="96">
        <v>42585.708090277774</v>
      </c>
      <c r="G122" s="94">
        <v>1</v>
      </c>
      <c r="H122" s="96" t="s">
        <v>651</v>
      </c>
      <c r="I122" s="96">
        <v>42585.73773148148</v>
      </c>
      <c r="J122" s="94">
        <v>0</v>
      </c>
      <c r="K122" s="121" t="str">
        <f t="shared" si="30"/>
        <v>4041/4042</v>
      </c>
      <c r="L122" s="25" t="str">
        <f>VLOOKUP(A122,'Trips&amp;Operators'!$C$1:$E$10000,3,FALSE)</f>
        <v>KILLION</v>
      </c>
      <c r="M122" s="6">
        <f t="shared" si="31"/>
        <v>2.9641203705978114E-2</v>
      </c>
      <c r="N122" s="7">
        <f t="shared" si="29"/>
        <v>42.683333336608484</v>
      </c>
      <c r="O122" s="7"/>
      <c r="P122" s="7"/>
      <c r="Q122" s="26"/>
      <c r="R122" s="26"/>
      <c r="S122" s="40">
        <f t="shared" si="32"/>
        <v>1</v>
      </c>
      <c r="T122" s="57" t="str">
        <f t="shared" si="33"/>
        <v>NorthBound</v>
      </c>
      <c r="U122" s="82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15:58:04-0600',mode:absolute,to:'2016-08-03 18:42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2" s="62" t="str">
        <f t="shared" si="35"/>
        <v>N</v>
      </c>
      <c r="X122" s="124">
        <f t="shared" si="36"/>
        <v>1</v>
      </c>
      <c r="Y122" s="77">
        <f t="shared" si="37"/>
        <v>4.4200000000000003E-2</v>
      </c>
      <c r="Z122" s="77">
        <f t="shared" si="38"/>
        <v>23.331900000000001</v>
      </c>
      <c r="AA122" s="77">
        <f t="shared" si="39"/>
        <v>23.287700000000001</v>
      </c>
      <c r="AB122" s="74" t="e">
        <f>VLOOKUP(A122,Enforcements!$C$7:$J$24,8,0)</f>
        <v>#N/A</v>
      </c>
      <c r="AC122" s="70" t="e">
        <f>VLOOKUP(A122,Enforcements!$C$7:$E$24,3,0)</f>
        <v>#N/A</v>
      </c>
      <c r="AD122" s="71" t="str">
        <f t="shared" si="40"/>
        <v>0207-03</v>
      </c>
      <c r="AE122" s="131" t="str">
        <f t="shared" si="41"/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AF122" s="128" t="str">
        <f t="shared" si="42"/>
        <v>"C:\Program Files (x86)\AstroGrep\AstroGrep.exe" /spath="%USERPROFILE%\AppData\Local\Temp\OnboardLogs" /stypes="*4042*20160803*" /stext=" 23:.+((SYSTEM_STATE.+slice.+state.+changed )|(ment ac)|(system.+state.+changed )|(\|lc)|(penalty)|(\[timeout)|(PRM\|1\|D)|(kpr)|(kdp))" /e /r /s</v>
      </c>
      <c r="AG122" s="1" t="str">
        <f t="shared" si="43"/>
        <v>EC</v>
      </c>
      <c r="AH122" s="132" t="str">
        <f>refinertdcruntimes&amp;" --tripid "&amp;A122&amp;" --locoid "&amp;B122&amp;" --swversion "&amp;C122&amp;" --startMP "&amp;D122&amp;" --initTime "&amp;TEXT(E122,"yyyy-mm-ddTHH:MM:SS")&amp;" --startdatetime "&amp;TEXT(F122,"yyyy-mm-ddTHH:MM:SS")&amp;" --delay "&amp;G122&amp;" --endMP "&amp;H122&amp;" --enddatetime "&amp;TEXT(I122,"yyyy-mm-ddTHH:MM:SS")&amp;" --enforcementcount "&amp;J122&amp;" &gt;&gt; "&amp;TEXT(Variables!$A$2,"yyyy-mm-dd")&amp;"-refined-runtimes.txt"</f>
        <v>"%USERPROFILE%\Documents\GitHub\eaglep3\Utilities\RefineRTDCRunTimes.py" --tripid 207-03 --locoid 4042 --swversion DE.1.0.7.0 --startMP 204:442 --initTime 2016-08-03T16:58:04 --startdatetime 2016-08-03T16:59:39 --delay 1 --endMP 204:233319 --enddatetime 2016-08-03T17:42:20 --enforcementcount 0 &gt;&gt; 2016-08-03-refined-runtimes.txt</v>
      </c>
    </row>
    <row r="123" spans="1:34" s="24" customFormat="1" x14ac:dyDescent="0.25">
      <c r="A123" s="25" t="s">
        <v>533</v>
      </c>
      <c r="B123" s="94">
        <v>4041</v>
      </c>
      <c r="C123" s="95" t="s">
        <v>163</v>
      </c>
      <c r="D123" s="95" t="s">
        <v>342</v>
      </c>
      <c r="E123" s="96">
        <v>42585.744305555556</v>
      </c>
      <c r="F123" s="96">
        <v>42585.745104166665</v>
      </c>
      <c r="G123" s="94">
        <v>1</v>
      </c>
      <c r="H123" s="96" t="s">
        <v>652</v>
      </c>
      <c r="I123" s="96">
        <v>42585.782951388886</v>
      </c>
      <c r="J123" s="94">
        <v>1</v>
      </c>
      <c r="K123" s="121" t="str">
        <f t="shared" si="30"/>
        <v>4041/4042</v>
      </c>
      <c r="L123" s="25" t="str">
        <f>VLOOKUP(A123,'Trips&amp;Operators'!$C$1:$E$10000,3,FALSE)</f>
        <v>KILLION</v>
      </c>
      <c r="M123" s="6">
        <f t="shared" si="31"/>
        <v>3.7847222221898846E-2</v>
      </c>
      <c r="N123" s="7">
        <f t="shared" si="29"/>
        <v>54.499999999534339</v>
      </c>
      <c r="O123" s="7"/>
      <c r="P123" s="7"/>
      <c r="Q123" s="26"/>
      <c r="R123" s="26"/>
      <c r="S123" s="40">
        <f t="shared" si="32"/>
        <v>1</v>
      </c>
      <c r="T123" s="57" t="str">
        <f t="shared" si="33"/>
        <v>Southbound</v>
      </c>
      <c r="U123" s="82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16:51:48-0600',mode:absolute,to:'2016-08-03 19:47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3" s="62" t="str">
        <f t="shared" si="35"/>
        <v>N</v>
      </c>
      <c r="X123" s="124">
        <f t="shared" si="36"/>
        <v>1</v>
      </c>
      <c r="Y123" s="77">
        <f t="shared" si="37"/>
        <v>23.298300000000001</v>
      </c>
      <c r="Z123" s="77">
        <f t="shared" si="38"/>
        <v>9.4000000000000004E-3</v>
      </c>
      <c r="AA123" s="77">
        <f t="shared" si="39"/>
        <v>23.288900000000002</v>
      </c>
      <c r="AB123" s="74" t="e">
        <f>VLOOKUP(A123,Enforcements!$C$7:$J$24,8,0)</f>
        <v>#N/A</v>
      </c>
      <c r="AC123" s="70" t="e">
        <f>VLOOKUP(A123,Enforcements!$C$7:$E$24,3,0)</f>
        <v>#N/A</v>
      </c>
      <c r="AD123" s="71" t="str">
        <f t="shared" si="40"/>
        <v>0208-03</v>
      </c>
      <c r="AE123" s="131" t="str">
        <f t="shared" si="41"/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AF123" s="128" t="str">
        <f t="shared" si="42"/>
        <v>"C:\Program Files (x86)\AstroGrep\AstroGrep.exe" /spath="%USERPROFILE%\AppData\Local\Temp\OnboardLogs" /stypes="*4041*20160804*" /stext=" 00:.+((SYSTEM_STATE.+slice.+state.+changed )|(ment ac)|(system.+state.+changed )|(\|lc)|(penalty)|(\[timeout)|(PRM\|1\|D)|(kpr)|(kdp))" /e /r /s</v>
      </c>
      <c r="AG123" s="1" t="str">
        <f t="shared" si="43"/>
        <v>EC</v>
      </c>
      <c r="AH123" s="132" t="str">
        <f>refinertdcruntimes&amp;" --tripid "&amp;A123&amp;" --locoid "&amp;B123&amp;" --swversion "&amp;C123&amp;" --startMP "&amp;D123&amp;" --initTime "&amp;TEXT(E123,"yyyy-mm-ddTHH:MM:SS")&amp;" --startdatetime "&amp;TEXT(F123,"yyyy-mm-ddTHH:MM:SS")&amp;" --delay "&amp;G123&amp;" --endMP "&amp;H123&amp;" --enddatetime "&amp;TEXT(I123,"yyyy-mm-ddTHH:MM:SS")&amp;" --enforcementcount "&amp;J123&amp;" &gt;&gt; "&amp;TEXT(Variables!$A$2,"yyyy-mm-dd")&amp;"-refined-runtimes.txt"</f>
        <v>"%USERPROFILE%\Documents\GitHub\eaglep3\Utilities\RefineRTDCRunTimes.py" --tripid 208-03 --locoid 4041 --swversion DE.1.0.7.0 --startMP 204:232983 --initTime 2016-08-03T17:51:48 --startdatetime 2016-08-03T17:52:57 --delay 1 --endMP 204:94 --enddatetime 2016-08-03T18:47:27 --enforcementcount 1 &gt;&gt; 2016-08-03-refined-runtimes.txt</v>
      </c>
    </row>
    <row r="124" spans="1:34" s="24" customFormat="1" x14ac:dyDescent="0.25">
      <c r="A124" s="25" t="s">
        <v>653</v>
      </c>
      <c r="B124" s="94">
        <v>4025</v>
      </c>
      <c r="C124" s="95" t="s">
        <v>163</v>
      </c>
      <c r="D124" s="95" t="s">
        <v>346</v>
      </c>
      <c r="E124" s="96">
        <v>42585.716469907406</v>
      </c>
      <c r="F124" s="96">
        <v>42585.717766203707</v>
      </c>
      <c r="G124" s="94">
        <v>1</v>
      </c>
      <c r="H124" s="96" t="s">
        <v>384</v>
      </c>
      <c r="I124" s="96">
        <v>42585.746689814812</v>
      </c>
      <c r="J124" s="94">
        <v>0</v>
      </c>
      <c r="K124" s="121" t="str">
        <f t="shared" si="30"/>
        <v>4025/4026</v>
      </c>
      <c r="L124" s="25" t="str">
        <f>VLOOKUP(A124,'Trips&amp;Operators'!$C$1:$E$10000,3,FALSE)</f>
        <v>STURGEON</v>
      </c>
      <c r="M124" s="6">
        <f t="shared" si="31"/>
        <v>2.8923611105710734E-2</v>
      </c>
      <c r="N124" s="7">
        <f t="shared" si="29"/>
        <v>41.649999992223457</v>
      </c>
      <c r="O124" s="7"/>
      <c r="P124" s="7"/>
      <c r="Q124" s="26"/>
      <c r="R124" s="26"/>
      <c r="S124" s="40">
        <f t="shared" si="32"/>
        <v>1</v>
      </c>
      <c r="T124" s="57" t="str">
        <f t="shared" si="33"/>
        <v>NorthBound</v>
      </c>
      <c r="U124" s="82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16:11:43-0600',mode:absolute,to:'2016-08-03 18:55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24" s="62" t="str">
        <f t="shared" si="35"/>
        <v>N</v>
      </c>
      <c r="X124" s="124">
        <f t="shared" si="36"/>
        <v>1</v>
      </c>
      <c r="Y124" s="77">
        <f t="shared" si="37"/>
        <v>4.5499999999999999E-2</v>
      </c>
      <c r="Z124" s="77">
        <f t="shared" si="38"/>
        <v>23.328900000000001</v>
      </c>
      <c r="AA124" s="77">
        <f t="shared" si="39"/>
        <v>23.2834</v>
      </c>
      <c r="AB124" s="74" t="e">
        <f>VLOOKUP(A124,Enforcements!$C$7:$J$24,8,0)</f>
        <v>#N/A</v>
      </c>
      <c r="AC124" s="70" t="e">
        <f>VLOOKUP(A124,Enforcements!$C$7:$E$24,3,0)</f>
        <v>#N/A</v>
      </c>
      <c r="AD124" s="71" t="str">
        <f t="shared" si="40"/>
        <v>0209-03</v>
      </c>
      <c r="AE124" s="131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24" s="128" t="str">
        <f t="shared" si="42"/>
        <v>"C:\Program Files (x86)\AstroGrep\AstroGrep.exe" /spath="%USERPROFILE%\AppData\Local\Temp\OnboardLogs" /stypes="*4025*20160803*" /stext=" 23:.+((SYSTEM_STATE.+slice.+state.+changed )|(ment ac)|(system.+state.+changed )|(\|lc)|(penalty)|(\[timeout)|(PRM\|1\|D)|(kpr)|(kdp))" /e /r /s</v>
      </c>
      <c r="AG124" s="1" t="str">
        <f t="shared" si="43"/>
        <v>EC</v>
      </c>
      <c r="AH124" s="132" t="str">
        <f>refinertdcruntimes&amp;" --tripid "&amp;A124&amp;" --locoid "&amp;B124&amp;" --swversion "&amp;C124&amp;" --startMP "&amp;D124&amp;" --initTime "&amp;TEXT(E124,"yyyy-mm-ddTHH:MM:SS")&amp;" --startdatetime "&amp;TEXT(F124,"yyyy-mm-ddTHH:MM:SS")&amp;" --delay "&amp;G124&amp;" --endMP "&amp;H124&amp;" --enddatetime "&amp;TEXT(I124,"yyyy-mm-ddTHH:MM:SS")&amp;" --enforcementcount "&amp;J124&amp;" &gt;&gt; "&amp;TEXT(Variables!$A$2,"yyyy-mm-dd")&amp;"-refined-runtimes.txt"</f>
        <v>"%USERPROFILE%\Documents\GitHub\eaglep3\Utilities\RefineRTDCRunTimes.py" --tripid 209-03 --locoid 4025 --swversion DE.1.0.7.0 --startMP 204:455 --initTime 2016-08-03T17:11:43 --startdatetime 2016-08-03T17:13:35 --delay 1 --endMP 204:233289 --enddatetime 2016-08-03T17:55:14 --enforcementcount 0 &gt;&gt; 2016-08-03-refined-runtimes.txt</v>
      </c>
    </row>
    <row r="125" spans="1:34" s="24" customFormat="1" x14ac:dyDescent="0.25">
      <c r="A125" s="25" t="s">
        <v>534</v>
      </c>
      <c r="B125" s="94">
        <v>4026</v>
      </c>
      <c r="C125" s="95" t="s">
        <v>163</v>
      </c>
      <c r="D125" s="95" t="s">
        <v>654</v>
      </c>
      <c r="E125" s="96">
        <v>42585.752060185187</v>
      </c>
      <c r="F125" s="96">
        <v>42585.752997685187</v>
      </c>
      <c r="G125" s="94">
        <v>1</v>
      </c>
      <c r="H125" s="96" t="s">
        <v>318</v>
      </c>
      <c r="I125" s="96">
        <v>42585.791145833333</v>
      </c>
      <c r="J125" s="94">
        <v>1</v>
      </c>
      <c r="K125" s="121" t="str">
        <f t="shared" si="30"/>
        <v>4025/4026</v>
      </c>
      <c r="L125" s="25" t="str">
        <f>VLOOKUP(A125,'Trips&amp;Operators'!$C$1:$E$10000,3,FALSE)</f>
        <v>STURGEON</v>
      </c>
      <c r="M125" s="6">
        <f t="shared" si="31"/>
        <v>3.8148148145410232E-2</v>
      </c>
      <c r="N125" s="7">
        <f t="shared" si="29"/>
        <v>54.933333329390734</v>
      </c>
      <c r="O125" s="7"/>
      <c r="P125" s="7"/>
      <c r="Q125" s="26"/>
      <c r="R125" s="26"/>
      <c r="S125" s="40">
        <f t="shared" si="32"/>
        <v>1</v>
      </c>
      <c r="T125" s="57" t="str">
        <f t="shared" si="33"/>
        <v>Southbound</v>
      </c>
      <c r="U125" s="82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17:02:58-0600',mode:absolute,to:'2016-08-03 19:59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5" s="62" t="str">
        <f t="shared" si="35"/>
        <v>N</v>
      </c>
      <c r="X125" s="124">
        <f t="shared" si="36"/>
        <v>1</v>
      </c>
      <c r="Y125" s="77">
        <f t="shared" si="37"/>
        <v>23.2957</v>
      </c>
      <c r="Z125" s="77">
        <f t="shared" si="38"/>
        <v>1.7000000000000001E-2</v>
      </c>
      <c r="AA125" s="77">
        <f t="shared" si="39"/>
        <v>23.278700000000001</v>
      </c>
      <c r="AB125" s="74" t="e">
        <f>VLOOKUP(A125,Enforcements!$C$7:$J$24,8,0)</f>
        <v>#N/A</v>
      </c>
      <c r="AC125" s="70" t="e">
        <f>VLOOKUP(A125,Enforcements!$C$7:$E$24,3,0)</f>
        <v>#N/A</v>
      </c>
      <c r="AD125" s="71" t="str">
        <f t="shared" si="40"/>
        <v>0210-03</v>
      </c>
      <c r="AE125" s="131" t="str">
        <f t="shared" si="4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25" s="128" t="str">
        <f t="shared" si="42"/>
        <v>"C:\Program Files (x86)\AstroGrep\AstroGrep.exe" /spath="%USERPROFILE%\AppData\Local\Temp\OnboardLogs" /stypes="*4026*20160804*" /stext=" 00:.+((SYSTEM_STATE.+slice.+state.+changed )|(ment ac)|(system.+state.+changed )|(\|lc)|(penalty)|(\[timeout)|(PRM\|1\|D)|(kpr)|(kdp))" /e /r /s</v>
      </c>
      <c r="AG125" s="1" t="str">
        <f t="shared" si="43"/>
        <v>EC</v>
      </c>
      <c r="AH125" s="132" t="str">
        <f>refinertdcruntimes&amp;" --tripid "&amp;A125&amp;" --locoid "&amp;B125&amp;" --swversion "&amp;C125&amp;" --startMP "&amp;D125&amp;" --initTime "&amp;TEXT(E125,"yyyy-mm-ddTHH:MM:SS")&amp;" --startdatetime "&amp;TEXT(F125,"yyyy-mm-ddTHH:MM:SS")&amp;" --delay "&amp;G125&amp;" --endMP "&amp;H125&amp;" --enddatetime "&amp;TEXT(I125,"yyyy-mm-ddTHH:MM:SS")&amp;" --enforcementcount "&amp;J125&amp;" &gt;&gt; "&amp;TEXT(Variables!$A$2,"yyyy-mm-dd")&amp;"-refined-runtimes.txt"</f>
        <v>"%USERPROFILE%\Documents\GitHub\eaglep3\Utilities\RefineRTDCRunTimes.py" --tripid 210-03 --locoid 4026 --swversion DE.1.0.7.0 --startMP 204:232957 --initTime 2016-08-03T18:02:58 --startdatetime 2016-08-03T18:04:19 --delay 1 --endMP 204:170 --enddatetime 2016-08-03T18:59:15 --enforcementcount 1 &gt;&gt; 2016-08-03-refined-runtimes.txt</v>
      </c>
    </row>
    <row r="126" spans="1:34" s="24" customFormat="1" x14ac:dyDescent="0.25">
      <c r="A126" s="25" t="s">
        <v>531</v>
      </c>
      <c r="B126" s="94">
        <v>4018</v>
      </c>
      <c r="C126" s="95" t="s">
        <v>163</v>
      </c>
      <c r="D126" s="95" t="s">
        <v>64</v>
      </c>
      <c r="E126" s="96">
        <v>42585.733148148145</v>
      </c>
      <c r="F126" s="96">
        <v>42585.734432870369</v>
      </c>
      <c r="G126" s="94">
        <v>1</v>
      </c>
      <c r="H126" s="96" t="s">
        <v>655</v>
      </c>
      <c r="I126" s="96">
        <v>42585.765636574077</v>
      </c>
      <c r="J126" s="94">
        <v>1</v>
      </c>
      <c r="K126" s="121" t="str">
        <f t="shared" si="30"/>
        <v>4017/4018</v>
      </c>
      <c r="L126" s="25" t="str">
        <f>VLOOKUP(A126,'Trips&amp;Operators'!$C$1:$E$10000,3,FALSE)</f>
        <v>STORY</v>
      </c>
      <c r="M126" s="6">
        <f t="shared" si="31"/>
        <v>3.1203703707433306E-2</v>
      </c>
      <c r="N126" s="7">
        <f t="shared" si="29"/>
        <v>44.93333333870396</v>
      </c>
      <c r="O126" s="7"/>
      <c r="P126" s="7"/>
      <c r="Q126" s="26"/>
      <c r="R126" s="26"/>
      <c r="S126" s="40">
        <f t="shared" si="32"/>
        <v>1</v>
      </c>
      <c r="T126" s="57" t="str">
        <f t="shared" si="33"/>
        <v>NorthBound</v>
      </c>
      <c r="U126" s="82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16:35:44-0600',mode:absolute,to:'2016-08-03 19:22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6" s="62" t="str">
        <f t="shared" si="35"/>
        <v>N</v>
      </c>
      <c r="X126" s="124">
        <f t="shared" si="36"/>
        <v>1</v>
      </c>
      <c r="Y126" s="77">
        <f t="shared" si="37"/>
        <v>4.5999999999999999E-2</v>
      </c>
      <c r="Z126" s="77">
        <f t="shared" si="38"/>
        <v>23.333600000000001</v>
      </c>
      <c r="AA126" s="77">
        <f t="shared" si="39"/>
        <v>23.287600000000001</v>
      </c>
      <c r="AB126" s="74" t="e">
        <f>VLOOKUP(A126,Enforcements!$C$7:$J$24,8,0)</f>
        <v>#N/A</v>
      </c>
      <c r="AC126" s="70" t="e">
        <f>VLOOKUP(A126,Enforcements!$C$7:$E$24,3,0)</f>
        <v>#N/A</v>
      </c>
      <c r="AD126" s="71" t="str">
        <f t="shared" si="40"/>
        <v>0211-03</v>
      </c>
      <c r="AE126" s="131" t="str">
        <f t="shared" si="41"/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AF126" s="128" t="str">
        <f t="shared" si="42"/>
        <v>"C:\Program Files (x86)\AstroGrep\AstroGrep.exe" /spath="%USERPROFILE%\AppData\Local\Temp\OnboardLogs" /stypes="*4018*20160804*" /stext=" 00:.+((SYSTEM_STATE.+slice.+state.+changed )|(ment ac)|(system.+state.+changed )|(\|lc)|(penalty)|(\[timeout)|(PRM\|1\|D)|(kpr)|(kdp))" /e /r /s</v>
      </c>
      <c r="AG126" s="1" t="str">
        <f t="shared" si="43"/>
        <v>EC</v>
      </c>
      <c r="AH126" s="132" t="str">
        <f>refinertdcruntimes&amp;" --tripid "&amp;A126&amp;" --locoid "&amp;B126&amp;" --swversion "&amp;C126&amp;" --startMP "&amp;D126&amp;" --initTime "&amp;TEXT(E126,"yyyy-mm-ddTHH:MM:SS")&amp;" --startdatetime "&amp;TEXT(F126,"yyyy-mm-ddTHH:MM:SS")&amp;" --delay "&amp;G126&amp;" --endMP "&amp;H126&amp;" --enddatetime "&amp;TEXT(I126,"yyyy-mm-ddTHH:MM:SS")&amp;" --enforcementcount "&amp;J126&amp;" &gt;&gt; "&amp;TEXT(Variables!$A$2,"yyyy-mm-dd")&amp;"-refined-runtimes.txt"</f>
        <v>"%USERPROFILE%\Documents\GitHub\eaglep3\Utilities\RefineRTDCRunTimes.py" --tripid 211-03 --locoid 4018 --swversion DE.1.0.7.0 --startMP 204:460 --initTime 2016-08-03T17:35:44 --startdatetime 2016-08-03T17:37:35 --delay 1 --endMP 204:233336 --enddatetime 2016-08-03T18:22:31 --enforcementcount 1 &gt;&gt; 2016-08-03-refined-runtimes.txt</v>
      </c>
    </row>
    <row r="127" spans="1:34" s="24" customFormat="1" x14ac:dyDescent="0.25">
      <c r="A127" s="25" t="s">
        <v>532</v>
      </c>
      <c r="B127" s="94">
        <v>4017</v>
      </c>
      <c r="C127" s="95" t="s">
        <v>163</v>
      </c>
      <c r="D127" s="95" t="s">
        <v>656</v>
      </c>
      <c r="E127" s="96">
        <v>42585.767094907409</v>
      </c>
      <c r="F127" s="96">
        <v>42585.769212962965</v>
      </c>
      <c r="G127" s="94">
        <v>3</v>
      </c>
      <c r="H127" s="96" t="s">
        <v>657</v>
      </c>
      <c r="I127" s="96">
        <v>42585.79954861111</v>
      </c>
      <c r="J127" s="94">
        <v>2</v>
      </c>
      <c r="K127" s="121" t="str">
        <f t="shared" si="30"/>
        <v>4017/4018</v>
      </c>
      <c r="L127" s="25" t="str">
        <f>VLOOKUP(A127,'Trips&amp;Operators'!$C$1:$E$10000,3,FALSE)</f>
        <v>STORY</v>
      </c>
      <c r="M127" s="6">
        <f t="shared" si="31"/>
        <v>3.0335648145410232E-2</v>
      </c>
      <c r="N127" s="7">
        <f t="shared" si="29"/>
        <v>43.683333329390734</v>
      </c>
      <c r="O127" s="7"/>
      <c r="P127" s="7"/>
      <c r="Q127" s="26"/>
      <c r="R127" s="26"/>
      <c r="S127" s="40">
        <f t="shared" si="32"/>
        <v>1</v>
      </c>
      <c r="T127" s="57" t="str">
        <f t="shared" si="33"/>
        <v>Southbound</v>
      </c>
      <c r="U127" s="82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138" t="str">
        <f t="shared" ref="V127:V136" si="50">"https://search-rtdc-monitor-bjffxe2xuh6vdkpspy63sjmuny.us-east-1.es.amazonaws.com/_plugin/kibana/#/discover/Steve-Slow-Train-Analysis-(2080s-and-2083s)?_g=(refreshInterval:(display:Off,section:0,value:0),time:(from:'"&amp;TEXT(E127-1/24,"yyyy-MM-DD hh:mm:ss")&amp;"-0600',mode:absolute,to:'"&amp;TEXT(I127+1/24,"yyyy-MM-DD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127&amp;"%22')),sort:!(Time,asc))"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7" s="62" t="str">
        <f t="shared" ref="W127:W136" si="51">IF(AA127&lt;IF(AG127="EC",23,5.65),"Y","N")</f>
        <v>Y</v>
      </c>
      <c r="X127" s="124">
        <f t="shared" ref="X127:X136" si="52">VALUE(LEFT(AD127,4))-VALUE(LEFT(AD126,4))</f>
        <v>1</v>
      </c>
      <c r="Y127" s="77">
        <f t="shared" ref="Y127:Y136" si="53">RIGHT(D127,LEN(D127)-4)/10000</f>
        <v>23.3034</v>
      </c>
      <c r="Z127" s="77">
        <f t="shared" ref="Z127:Z136" si="54">RIGHT(H127,LEN(H127)-4)/10000</f>
        <v>0.40810000000000002</v>
      </c>
      <c r="AA127" s="77">
        <f t="shared" ref="AA127:AA136" si="55">ABS(Z127-Y127)</f>
        <v>22.895299999999999</v>
      </c>
      <c r="AB127" s="74">
        <f>VLOOKUP(A127,Enforcements!$C$7:$J$24,8,0)</f>
        <v>33257</v>
      </c>
      <c r="AC127" s="70" t="str">
        <f>VLOOKUP(A127,Enforcements!$C$7:$E$24,3,0)</f>
        <v>GRADE CROSSING</v>
      </c>
      <c r="AD127" s="71" t="str">
        <f t="shared" ref="AD127:AD136" si="56">IF(LEN(A127)=6,"0"&amp;A127,A127)</f>
        <v>0212-03</v>
      </c>
      <c r="AE127" s="131" t="str">
        <f t="shared" si="41"/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AF127" s="128" t="str">
        <f t="shared" si="42"/>
        <v>"C:\Program Files (x86)\AstroGrep\AstroGrep.exe" /spath="%USERPROFILE%\AppData\Local\Temp\OnboardLogs" /stypes="*4017*20160804*" /stext=" 01:.+((SYSTEM_STATE.+slice.+state.+changed )|(ment ac)|(system.+state.+changed )|(\|lc)|(penalty)|(\[timeout)|(PRM\|1\|D)|(kpr)|(kdp))" /e /r /s</v>
      </c>
      <c r="AG127" s="1" t="str">
        <f t="shared" si="43"/>
        <v>EC</v>
      </c>
      <c r="AH127" s="132" t="str">
        <f>refinertdcruntimes&amp;" --tripid "&amp;A127&amp;" --locoid "&amp;B127&amp;" --swversion "&amp;C127&amp;" --startMP "&amp;D127&amp;" --initTime "&amp;TEXT(E127,"yyyy-mm-ddTHH:MM:SS")&amp;" --startdatetime "&amp;TEXT(F127,"yyyy-mm-ddTHH:MM:SS")&amp;" --delay "&amp;G127&amp;" --endMP "&amp;H127&amp;" --enddatetime "&amp;TEXT(I127,"yyyy-mm-ddTHH:MM:SS")&amp;" --enforcementcount "&amp;J127&amp;" &gt;&gt; "&amp;TEXT(Variables!$A$2,"yyyy-mm-dd")&amp;"-refined-runtimes.txt"</f>
        <v>"%USERPROFILE%\Documents\GitHub\eaglep3\Utilities\RefineRTDCRunTimes.py" --tripid 212-03 --locoid 4017 --swversion DE.1.0.7.0 --startMP 204:233034 --initTime 2016-08-03T18:24:37 --startdatetime 2016-08-03T18:27:40 --delay 3 --endMP 204:4081 --enddatetime 2016-08-03T19:11:21 --enforcementcount 2 &gt;&gt; 2016-08-03-refined-runtimes.txt</v>
      </c>
    </row>
    <row r="128" spans="1:34" s="24" customFormat="1" x14ac:dyDescent="0.25">
      <c r="A128" s="25" t="s">
        <v>658</v>
      </c>
      <c r="B128" s="94">
        <v>4014</v>
      </c>
      <c r="C128" s="95" t="s">
        <v>163</v>
      </c>
      <c r="D128" s="95" t="s">
        <v>138</v>
      </c>
      <c r="E128" s="96">
        <v>42585.739675925928</v>
      </c>
      <c r="F128" s="96">
        <v>42585.741400462961</v>
      </c>
      <c r="G128" s="94">
        <v>2</v>
      </c>
      <c r="H128" s="96" t="s">
        <v>156</v>
      </c>
      <c r="I128" s="96">
        <v>42585.772037037037</v>
      </c>
      <c r="J128" s="94">
        <v>0</v>
      </c>
      <c r="K128" s="121" t="str">
        <f t="shared" si="30"/>
        <v>4013/4014</v>
      </c>
      <c r="L128" s="25" t="str">
        <f>VLOOKUP(A128,'Trips&amp;Operators'!$C$1:$E$10000,3,FALSE)</f>
        <v>HAITHCOX</v>
      </c>
      <c r="M128" s="6">
        <f t="shared" si="31"/>
        <v>3.0636574076197576E-2</v>
      </c>
      <c r="N128" s="7">
        <f t="shared" si="29"/>
        <v>44.116666669724509</v>
      </c>
      <c r="O128" s="7"/>
      <c r="P128" s="7"/>
      <c r="Q128" s="26"/>
      <c r="R128" s="26"/>
      <c r="S128" s="40">
        <f t="shared" si="32"/>
        <v>1</v>
      </c>
      <c r="T128" s="57" t="str">
        <f t="shared" si="33"/>
        <v>NorthBound</v>
      </c>
      <c r="U128" s="82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16:45:08-0600',mode:absolute,to:'2016-08-03 19:31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8" s="62" t="str">
        <f t="shared" si="51"/>
        <v>N</v>
      </c>
      <c r="X128" s="124">
        <f t="shared" si="52"/>
        <v>1</v>
      </c>
      <c r="Y128" s="77">
        <f t="shared" si="53"/>
        <v>4.6399999999999997E-2</v>
      </c>
      <c r="Z128" s="77">
        <f t="shared" si="54"/>
        <v>23.329499999999999</v>
      </c>
      <c r="AA128" s="77">
        <f t="shared" si="55"/>
        <v>23.283100000000001</v>
      </c>
      <c r="AB128" s="74" t="e">
        <f>VLOOKUP(A128,Enforcements!$C$7:$J$24,8,0)</f>
        <v>#N/A</v>
      </c>
      <c r="AC128" s="70" t="e">
        <f>VLOOKUP(A128,Enforcements!$C$7:$E$24,3,0)</f>
        <v>#N/A</v>
      </c>
      <c r="AD128" s="71" t="str">
        <f t="shared" si="56"/>
        <v>0213-03</v>
      </c>
      <c r="AE128" s="131" t="str">
        <f t="shared" si="41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28" s="128" t="str">
        <f t="shared" si="42"/>
        <v>"C:\Program Files (x86)\AstroGrep\AstroGrep.exe" /spath="%USERPROFILE%\AppData\Local\Temp\OnboardLogs" /stypes="*4014*20160804*" /stext=" 00:.+((SYSTEM_STATE.+slice.+state.+changed )|(ment ac)|(system.+state.+changed )|(\|lc)|(penalty)|(\[timeout)|(PRM\|1\|D)|(kpr)|(kdp))" /e /r /s</v>
      </c>
      <c r="AG128" s="1" t="str">
        <f t="shared" si="43"/>
        <v>EC</v>
      </c>
      <c r="AH128" s="132" t="str">
        <f>refinertdcruntimes&amp;" --tripid "&amp;A128&amp;" --locoid "&amp;B128&amp;" --swversion "&amp;C128&amp;" --startMP "&amp;D128&amp;" --initTime "&amp;TEXT(E128,"yyyy-mm-ddTHH:MM:SS")&amp;" --startdatetime "&amp;TEXT(F128,"yyyy-mm-ddTHH:MM:SS")&amp;" --delay "&amp;G128&amp;" --endMP "&amp;H128&amp;" --enddatetime "&amp;TEXT(I128,"yyyy-mm-ddTHH:MM:SS")&amp;" --enforcementcount "&amp;J128&amp;" &gt;&gt; "&amp;TEXT(Variables!$A$2,"yyyy-mm-dd")&amp;"-refined-runtimes.txt"</f>
        <v>"%USERPROFILE%\Documents\GitHub\eaglep3\Utilities\RefineRTDCRunTimes.py" --tripid 213-03 --locoid 4014 --swversion DE.1.0.7.0 --startMP 204:464 --initTime 2016-08-03T17:45:08 --startdatetime 2016-08-03T17:47:37 --delay 2 --endMP 204:233295 --enddatetime 2016-08-03T18:31:44 --enforcementcount 0 &gt;&gt; 2016-08-03-refined-runtimes.txt</v>
      </c>
    </row>
    <row r="129" spans="1:34" s="24" customFormat="1" x14ac:dyDescent="0.25">
      <c r="A129" s="25" t="s">
        <v>659</v>
      </c>
      <c r="B129" s="94">
        <v>4013</v>
      </c>
      <c r="C129" s="95" t="s">
        <v>163</v>
      </c>
      <c r="D129" s="95" t="s">
        <v>360</v>
      </c>
      <c r="E129" s="96">
        <v>42585.773877314816</v>
      </c>
      <c r="F129" s="96">
        <v>42585.775196759256</v>
      </c>
      <c r="G129" s="94">
        <v>1</v>
      </c>
      <c r="H129" s="96" t="s">
        <v>660</v>
      </c>
      <c r="I129" s="96">
        <v>42585.793009259258</v>
      </c>
      <c r="J129" s="94">
        <v>0</v>
      </c>
      <c r="K129" s="121" t="str">
        <f t="shared" si="30"/>
        <v>4013/4014</v>
      </c>
      <c r="L129" s="25" t="str">
        <f>VLOOKUP(A129,'Trips&amp;Operators'!$C$1:$E$10000,3,FALSE)</f>
        <v>HAITHCOX</v>
      </c>
      <c r="M129" s="6">
        <f t="shared" si="31"/>
        <v>1.7812500002037268E-2</v>
      </c>
      <c r="N129" s="7"/>
      <c r="O129" s="7"/>
      <c r="P129" s="7">
        <f>24*60*SUM($M129:$M130)</f>
        <v>40.549999997019768</v>
      </c>
      <c r="Q129" s="26"/>
      <c r="R129" s="26" t="s">
        <v>350</v>
      </c>
      <c r="S129" s="40">
        <f>SUM(U129:U130)/IF(AG129="EC",12,1)</f>
        <v>0.75</v>
      </c>
      <c r="T129" s="57" t="str">
        <f t="shared" si="33"/>
        <v>Southbound</v>
      </c>
      <c r="U129" s="82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0</v>
      </c>
      <c r="V129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17:34:23-0600',mode:absolute,to:'2016-08-03 20:01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9" s="62" t="str">
        <f t="shared" si="51"/>
        <v>Y</v>
      </c>
      <c r="X129" s="124">
        <f t="shared" si="52"/>
        <v>1</v>
      </c>
      <c r="Y129" s="77">
        <f t="shared" si="53"/>
        <v>23.297999999999998</v>
      </c>
      <c r="Z129" s="77">
        <f t="shared" si="54"/>
        <v>12.1425</v>
      </c>
      <c r="AA129" s="77">
        <f t="shared" si="55"/>
        <v>11.155499999999998</v>
      </c>
      <c r="AB129" s="74" t="e">
        <f>VLOOKUP(A129,Enforcements!$C$7:$J$24,8,0)</f>
        <v>#N/A</v>
      </c>
      <c r="AC129" s="70" t="e">
        <f>VLOOKUP(A129,Enforcements!$C$7:$E$24,3,0)</f>
        <v>#N/A</v>
      </c>
      <c r="AD129" s="71" t="str">
        <f t="shared" si="56"/>
        <v>0214-03</v>
      </c>
      <c r="AE129" s="131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29" s="128" t="str">
        <f t="shared" si="42"/>
        <v>"C:\Program Files (x86)\AstroGrep\AstroGrep.exe" /spath="%USERPROFILE%\AppData\Local\Temp\OnboardLogs" /stypes="*4013*20160804*" /stext=" 01:.+((SYSTEM_STATE.+slice.+state.+changed )|(ment ac)|(system.+state.+changed )|(\|lc)|(penalty)|(\[timeout)|(PRM\|1\|D)|(kpr)|(kdp))" /e /r /s</v>
      </c>
      <c r="AG129" s="1" t="str">
        <f t="shared" si="43"/>
        <v>EC</v>
      </c>
      <c r="AH129" s="132" t="str">
        <f>refinertdcruntimes&amp;" --tripid "&amp;A129&amp;" --locoid "&amp;B129&amp;" --swversion "&amp;C129&amp;" --startMP "&amp;D129&amp;" --initTime "&amp;TEXT(E129,"yyyy-mm-ddTHH:MM:SS")&amp;" --startdatetime "&amp;TEXT(F129,"yyyy-mm-ddTHH:MM:SS")&amp;" --delay "&amp;G129&amp;" --endMP "&amp;H129&amp;" --enddatetime "&amp;TEXT(I129,"yyyy-mm-ddTHH:MM:SS")&amp;" --enforcementcount "&amp;J129&amp;" &gt;&gt; "&amp;TEXT(Variables!$A$2,"yyyy-mm-dd")&amp;"-refined-runtimes.txt"</f>
        <v>"%USERPROFILE%\Documents\GitHub\eaglep3\Utilities\RefineRTDCRunTimes.py" --tripid 214-03 --locoid 4013 --swversion DE.1.0.7.0 --startMP 204:232980 --initTime 2016-08-03T18:34:23 --startdatetime 2016-08-03T18:36:17 --delay 1 --endMP 204:121425 --enddatetime 2016-08-03T19:01:56 --enforcementcount 0 &gt;&gt; 2016-08-03-refined-runtimes.txt</v>
      </c>
    </row>
    <row r="130" spans="1:34" s="24" customFormat="1" x14ac:dyDescent="0.25">
      <c r="A130" s="25" t="s">
        <v>659</v>
      </c>
      <c r="B130" s="94">
        <v>4013</v>
      </c>
      <c r="C130" s="95" t="s">
        <v>163</v>
      </c>
      <c r="D130" s="95" t="s">
        <v>661</v>
      </c>
      <c r="E130" s="96">
        <v>42585.80263888889</v>
      </c>
      <c r="F130" s="96">
        <v>42585.803391203706</v>
      </c>
      <c r="G130" s="94">
        <v>1</v>
      </c>
      <c r="H130" s="96" t="s">
        <v>139</v>
      </c>
      <c r="I130" s="96">
        <v>42585.813738425924</v>
      </c>
      <c r="J130" s="94">
        <v>0</v>
      </c>
      <c r="K130" s="121" t="str">
        <f t="shared" si="30"/>
        <v>4013/4014</v>
      </c>
      <c r="L130" s="25" t="str">
        <f>VLOOKUP(A130,'Trips&amp;Operators'!$C$1:$E$10000,3,FALSE)</f>
        <v>HAITHCOX</v>
      </c>
      <c r="M130" s="6">
        <f t="shared" si="31"/>
        <v>1.0347222218115348E-2</v>
      </c>
      <c r="N130" s="7"/>
      <c r="O130" s="7"/>
      <c r="P130" s="7"/>
      <c r="Q130" s="26"/>
      <c r="R130" s="26"/>
      <c r="S130" s="40"/>
      <c r="T130" s="57" t="str">
        <f t="shared" si="33"/>
        <v>Southbound</v>
      </c>
      <c r="U130" s="82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9</v>
      </c>
      <c r="V130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18:15:48-0600',mode:absolute,to:'2016-08-03 20:31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0" s="62" t="str">
        <f t="shared" si="51"/>
        <v>Y</v>
      </c>
      <c r="X130" s="124">
        <f t="shared" si="52"/>
        <v>0</v>
      </c>
      <c r="Y130" s="77">
        <f t="shared" si="53"/>
        <v>6.4173999999999998</v>
      </c>
      <c r="Z130" s="77">
        <f t="shared" si="54"/>
        <v>1.3899999999999999E-2</v>
      </c>
      <c r="AA130" s="77">
        <f t="shared" si="55"/>
        <v>6.4035000000000002</v>
      </c>
      <c r="AB130" s="74" t="e">
        <f>VLOOKUP(A130,Enforcements!$C$7:$J$24,8,0)</f>
        <v>#N/A</v>
      </c>
      <c r="AC130" s="70" t="e">
        <f>VLOOKUP(A130,Enforcements!$C$7:$E$24,3,0)</f>
        <v>#N/A</v>
      </c>
      <c r="AD130" s="71" t="str">
        <f t="shared" si="56"/>
        <v>0214-03</v>
      </c>
      <c r="AE130" s="131" t="str">
        <f t="shared" si="41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30" s="128" t="str">
        <f t="shared" si="42"/>
        <v>"C:\Program Files (x86)\AstroGrep\AstroGrep.exe" /spath="%USERPROFILE%\AppData\Local\Temp\OnboardLogs" /stypes="*4013*20160804*" /stext=" 01:.+((SYSTEM_STATE.+slice.+state.+changed )|(ment ac)|(system.+state.+changed )|(\|lc)|(penalty)|(\[timeout)|(PRM\|1\|D)|(kpr)|(kdp))" /e /r /s</v>
      </c>
      <c r="AG130" s="1" t="str">
        <f t="shared" si="43"/>
        <v>EC</v>
      </c>
      <c r="AH130" s="132" t="str">
        <f>refinertdcruntimes&amp;" --tripid "&amp;A130&amp;" --locoid "&amp;B130&amp;" --swversion "&amp;C130&amp;" --startMP "&amp;D130&amp;" --initTime "&amp;TEXT(E130,"yyyy-mm-ddTHH:MM:SS")&amp;" --startdatetime "&amp;TEXT(F130,"yyyy-mm-ddTHH:MM:SS")&amp;" --delay "&amp;G130&amp;" --endMP "&amp;H130&amp;" --enddatetime "&amp;TEXT(I130,"yyyy-mm-ddTHH:MM:SS")&amp;" --enforcementcount "&amp;J130&amp;" &gt;&gt; "&amp;TEXT(Variables!$A$2,"yyyy-mm-dd")&amp;"-refined-runtimes.txt"</f>
        <v>"%USERPROFILE%\Documents\GitHub\eaglep3\Utilities\RefineRTDCRunTimes.py" --tripid 214-03 --locoid 4013 --swversion DE.1.0.7.0 --startMP 204:64174 --initTime 2016-08-03T19:15:48 --startdatetime 2016-08-03T19:16:53 --delay 1 --endMP 204:139 --enddatetime 2016-08-03T19:31:47 --enforcementcount 0 &gt;&gt; 2016-08-03-refined-runtimes.txt</v>
      </c>
    </row>
    <row r="131" spans="1:34" s="24" customFormat="1" x14ac:dyDescent="0.25">
      <c r="A131" s="25" t="s">
        <v>662</v>
      </c>
      <c r="B131" s="94">
        <v>4011</v>
      </c>
      <c r="C131" s="95" t="s">
        <v>163</v>
      </c>
      <c r="D131" s="95" t="s">
        <v>361</v>
      </c>
      <c r="E131" s="96">
        <v>42585.751793981479</v>
      </c>
      <c r="F131" s="96">
        <v>42585.752858796295</v>
      </c>
      <c r="G131" s="94">
        <v>1</v>
      </c>
      <c r="H131" s="96" t="s">
        <v>149</v>
      </c>
      <c r="I131" s="96">
        <v>42585.784328703703</v>
      </c>
      <c r="J131" s="94">
        <v>0</v>
      </c>
      <c r="K131" s="121" t="str">
        <f t="shared" si="30"/>
        <v>4011/4012</v>
      </c>
      <c r="L131" s="25" t="str">
        <f>VLOOKUP(A131,'Trips&amp;Operators'!$C$1:$E$10000,3,FALSE)</f>
        <v>SWANSON</v>
      </c>
      <c r="M131" s="6">
        <f t="shared" si="31"/>
        <v>3.1469907407881692E-2</v>
      </c>
      <c r="N131" s="7">
        <f t="shared" si="29"/>
        <v>45.316666667349637</v>
      </c>
      <c r="O131" s="7"/>
      <c r="P131" s="7"/>
      <c r="Q131" s="26"/>
      <c r="R131" s="26"/>
      <c r="S131" s="40">
        <f t="shared" si="32"/>
        <v>1</v>
      </c>
      <c r="T131" s="57" t="str">
        <f t="shared" si="33"/>
        <v>NorthBound</v>
      </c>
      <c r="U131" s="82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17:02:35-0600',mode:absolute,to:'2016-08-03 19:49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1" s="62" t="str">
        <f t="shared" si="51"/>
        <v>N</v>
      </c>
      <c r="X131" s="124">
        <f t="shared" si="52"/>
        <v>1</v>
      </c>
      <c r="Y131" s="77">
        <f t="shared" si="53"/>
        <v>4.4400000000000002E-2</v>
      </c>
      <c r="Z131" s="77">
        <f t="shared" si="54"/>
        <v>23.3293</v>
      </c>
      <c r="AA131" s="77">
        <f t="shared" si="55"/>
        <v>23.2849</v>
      </c>
      <c r="AB131" s="74" t="e">
        <f>VLOOKUP(A131,Enforcements!$C$7:$J$24,8,0)</f>
        <v>#N/A</v>
      </c>
      <c r="AC131" s="70" t="e">
        <f>VLOOKUP(A131,Enforcements!$C$7:$E$24,3,0)</f>
        <v>#N/A</v>
      </c>
      <c r="AD131" s="71" t="str">
        <f t="shared" si="56"/>
        <v>0215-03</v>
      </c>
      <c r="AE131" s="131" t="str">
        <f t="shared" si="41"/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131" s="128" t="str">
        <f t="shared" si="42"/>
        <v>"C:\Program Files (x86)\AstroGrep\AstroGrep.exe" /spath="%USERPROFILE%\AppData\Local\Temp\OnboardLogs" /stypes="*4011*20160804*" /stext=" 00:.+((SYSTEM_STATE.+slice.+state.+changed )|(ment ac)|(system.+state.+changed )|(\|lc)|(penalty)|(\[timeout)|(PRM\|1\|D)|(kpr)|(kdp))" /e /r /s</v>
      </c>
      <c r="AG131" s="1" t="str">
        <f t="shared" si="43"/>
        <v>EC</v>
      </c>
      <c r="AH131" s="132" t="str">
        <f>refinertdcruntimes&amp;" --tripid "&amp;A131&amp;" --locoid "&amp;B131&amp;" --swversion "&amp;C131&amp;" --startMP "&amp;D131&amp;" --initTime "&amp;TEXT(E131,"yyyy-mm-ddTHH:MM:SS")&amp;" --startdatetime "&amp;TEXT(F131,"yyyy-mm-ddTHH:MM:SS")&amp;" --delay "&amp;G131&amp;" --endMP "&amp;H131&amp;" --enddatetime "&amp;TEXT(I131,"yyyy-mm-ddTHH:MM:SS")&amp;" --enforcementcount "&amp;J131&amp;" &gt;&gt; "&amp;TEXT(Variables!$A$2,"yyyy-mm-dd")&amp;"-refined-runtimes.txt"</f>
        <v>"%USERPROFILE%\Documents\GitHub\eaglep3\Utilities\RefineRTDCRunTimes.py" --tripid 215-03 --locoid 4011 --swversion DE.1.0.7.0 --startMP 204:444 --initTime 2016-08-03T18:02:35 --startdatetime 2016-08-03T18:04:07 --delay 1 --endMP 204:233293 --enddatetime 2016-08-03T18:49:26 --enforcementcount 0 &gt;&gt; 2016-08-03-refined-runtimes.txt</v>
      </c>
    </row>
    <row r="132" spans="1:34" s="24" customFormat="1" x14ac:dyDescent="0.25">
      <c r="A132" s="25" t="s">
        <v>663</v>
      </c>
      <c r="B132" s="94">
        <v>4012</v>
      </c>
      <c r="C132" s="95" t="s">
        <v>163</v>
      </c>
      <c r="D132" s="95" t="s">
        <v>664</v>
      </c>
      <c r="E132" s="96">
        <v>42585.798703703702</v>
      </c>
      <c r="F132" s="96">
        <v>42585.800138888888</v>
      </c>
      <c r="G132" s="94">
        <v>2</v>
      </c>
      <c r="H132" s="96" t="s">
        <v>359</v>
      </c>
      <c r="I132" s="96">
        <v>42585.824050925927</v>
      </c>
      <c r="J132" s="94">
        <v>0</v>
      </c>
      <c r="K132" s="121" t="str">
        <f t="shared" si="30"/>
        <v>4011/4012</v>
      </c>
      <c r="L132" s="25" t="str">
        <f>VLOOKUP(A132,'Trips&amp;Operators'!$C$1:$E$10000,3,FALSE)</f>
        <v>SWANSON</v>
      </c>
      <c r="M132" s="6">
        <f t="shared" si="31"/>
        <v>2.3912037038826384E-2</v>
      </c>
      <c r="N132" s="7"/>
      <c r="O132" s="7"/>
      <c r="P132" s="7">
        <f t="shared" si="29"/>
        <v>34.433333335909992</v>
      </c>
      <c r="Q132" s="26"/>
      <c r="R132" s="26" t="s">
        <v>350</v>
      </c>
      <c r="S132" s="40">
        <f t="shared" si="32"/>
        <v>1</v>
      </c>
      <c r="T132" s="57" t="str">
        <f t="shared" si="33"/>
        <v>Southbound</v>
      </c>
      <c r="U132" s="82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18:10:08-0600',mode:absolute,to:'2016-08-03 20:46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32" s="62" t="str">
        <f t="shared" si="51"/>
        <v>Y</v>
      </c>
      <c r="X132" s="124">
        <f t="shared" si="52"/>
        <v>1</v>
      </c>
      <c r="Y132" s="77">
        <f t="shared" si="53"/>
        <v>15.400499999999999</v>
      </c>
      <c r="Z132" s="77">
        <f t="shared" si="54"/>
        <v>1.2699999999999999E-2</v>
      </c>
      <c r="AA132" s="77">
        <f t="shared" si="55"/>
        <v>15.387799999999999</v>
      </c>
      <c r="AB132" s="74" t="e">
        <f>VLOOKUP(A132,Enforcements!$C$7:$J$24,8,0)</f>
        <v>#N/A</v>
      </c>
      <c r="AC132" s="70" t="e">
        <f>VLOOKUP(A132,Enforcements!$C$7:$E$24,3,0)</f>
        <v>#N/A</v>
      </c>
      <c r="AD132" s="71" t="str">
        <f t="shared" si="56"/>
        <v>0216-03</v>
      </c>
      <c r="AE132" s="131" t="str">
        <f t="shared" si="41"/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AF132" s="128" t="str">
        <f t="shared" si="42"/>
        <v>"C:\Program Files (x86)\AstroGrep\AstroGrep.exe" /spath="%USERPROFILE%\AppData\Local\Temp\OnboardLogs" /stypes="*4012*20160804*" /stext=" 01:.+((SYSTEM_STATE.+slice.+state.+changed )|(ment ac)|(system.+state.+changed )|(\|lc)|(penalty)|(\[timeout)|(PRM\|1\|D)|(kpr)|(kdp))" /e /r /s</v>
      </c>
      <c r="AG132" s="1" t="str">
        <f t="shared" si="43"/>
        <v>EC</v>
      </c>
      <c r="AH132" s="132" t="str">
        <f>refinertdcruntimes&amp;" --tripid "&amp;A132&amp;" --locoid "&amp;B132&amp;" --swversion "&amp;C132&amp;" --startMP "&amp;D132&amp;" --initTime "&amp;TEXT(E132,"yyyy-mm-ddTHH:MM:SS")&amp;" --startdatetime "&amp;TEXT(F132,"yyyy-mm-ddTHH:MM:SS")&amp;" --delay "&amp;G132&amp;" --endMP "&amp;H132&amp;" --enddatetime "&amp;TEXT(I132,"yyyy-mm-ddTHH:MM:SS")&amp;" --enforcementcount "&amp;J132&amp;" &gt;&gt; "&amp;TEXT(Variables!$A$2,"yyyy-mm-dd")&amp;"-refined-runtimes.txt"</f>
        <v>"%USERPROFILE%\Documents\GitHub\eaglep3\Utilities\RefineRTDCRunTimes.py" --tripid 216-03 --locoid 4012 --swversion DE.1.0.7.0 --startMP 204:154005 --initTime 2016-08-03T19:10:08 --startdatetime 2016-08-03T19:12:12 --delay 2 --endMP 204:127 --enddatetime 2016-08-03T19:46:38 --enforcementcount 0 &gt;&gt; 2016-08-03-refined-runtimes.txt</v>
      </c>
    </row>
    <row r="133" spans="1:34" s="24" customFormat="1" x14ac:dyDescent="0.25">
      <c r="A133" s="25" t="s">
        <v>665</v>
      </c>
      <c r="B133" s="94">
        <v>4044</v>
      </c>
      <c r="C133" s="95" t="s">
        <v>163</v>
      </c>
      <c r="D133" s="95" t="s">
        <v>150</v>
      </c>
      <c r="E133" s="96">
        <v>42585.760833333334</v>
      </c>
      <c r="F133" s="96">
        <v>42585.762025462966</v>
      </c>
      <c r="G133" s="94">
        <v>1</v>
      </c>
      <c r="H133" s="96" t="s">
        <v>335</v>
      </c>
      <c r="I133" s="96">
        <v>42585.789652777778</v>
      </c>
      <c r="J133" s="94">
        <v>0</v>
      </c>
      <c r="K133" s="121" t="str">
        <f t="shared" si="30"/>
        <v>4043/4044</v>
      </c>
      <c r="L133" s="25" t="str">
        <f>VLOOKUP(A133,'Trips&amp;Operators'!$C$1:$E$10000,3,FALSE)</f>
        <v>LEVIN</v>
      </c>
      <c r="M133" s="6">
        <f t="shared" si="31"/>
        <v>2.7627314811979886E-2</v>
      </c>
      <c r="N133" s="7">
        <f t="shared" si="29"/>
        <v>39.783333329251036</v>
      </c>
      <c r="O133" s="7"/>
      <c r="P133" s="7"/>
      <c r="Q133" s="26"/>
      <c r="R133" s="26"/>
      <c r="S133" s="40">
        <f t="shared" si="32"/>
        <v>1</v>
      </c>
      <c r="T133" s="57" t="str">
        <f t="shared" si="33"/>
        <v>NorthBound</v>
      </c>
      <c r="U133" s="82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17:15:36-0600',mode:absolute,to:'2016-08-03 19:57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33" s="62" t="str">
        <f t="shared" si="51"/>
        <v>N</v>
      </c>
      <c r="X133" s="124">
        <f t="shared" si="52"/>
        <v>1</v>
      </c>
      <c r="Y133" s="77">
        <f t="shared" si="53"/>
        <v>4.6699999999999998E-2</v>
      </c>
      <c r="Z133" s="77">
        <f t="shared" si="54"/>
        <v>23.330100000000002</v>
      </c>
      <c r="AA133" s="77">
        <f t="shared" si="55"/>
        <v>23.2834</v>
      </c>
      <c r="AB133" s="74" t="e">
        <f>VLOOKUP(A133,Enforcements!$C$7:$J$24,8,0)</f>
        <v>#N/A</v>
      </c>
      <c r="AC133" s="70" t="e">
        <f>VLOOKUP(A133,Enforcements!$C$7:$E$24,3,0)</f>
        <v>#N/A</v>
      </c>
      <c r="AD133" s="71" t="str">
        <f t="shared" si="56"/>
        <v>0217-03</v>
      </c>
      <c r="AE133" s="131" t="str">
        <f t="shared" si="41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33" s="128" t="str">
        <f t="shared" si="42"/>
        <v>"C:\Program Files (x86)\AstroGrep\AstroGrep.exe" /spath="%USERPROFILE%\AppData\Local\Temp\OnboardLogs" /stypes="*4044*20160804*" /stext=" 00:.+((SYSTEM_STATE.+slice.+state.+changed )|(ment ac)|(system.+state.+changed )|(\|lc)|(penalty)|(\[timeout)|(PRM\|1\|D)|(kpr)|(kdp))" /e /r /s</v>
      </c>
      <c r="AG133" s="1" t="str">
        <f t="shared" si="43"/>
        <v>EC</v>
      </c>
      <c r="AH133" s="132" t="str">
        <f>refinertdcruntimes&amp;" --tripid "&amp;A133&amp;" --locoid "&amp;B133&amp;" --swversion "&amp;C133&amp;" --startMP "&amp;D133&amp;" --initTime "&amp;TEXT(E133,"yyyy-mm-ddTHH:MM:SS")&amp;" --startdatetime "&amp;TEXT(F133,"yyyy-mm-ddTHH:MM:SS")&amp;" --delay "&amp;G133&amp;" --endMP "&amp;H133&amp;" --enddatetime "&amp;TEXT(I133,"yyyy-mm-ddTHH:MM:SS")&amp;" --enforcementcount "&amp;J133&amp;" &gt;&gt; "&amp;TEXT(Variables!$A$2,"yyyy-mm-dd")&amp;"-refined-runtimes.txt"</f>
        <v>"%USERPROFILE%\Documents\GitHub\eaglep3\Utilities\RefineRTDCRunTimes.py" --tripid 217-03 --locoid 4044 --swversion DE.1.0.7.0 --startMP 204:467 --initTime 2016-08-03T18:15:36 --startdatetime 2016-08-03T18:17:19 --delay 1 --endMP 204:233301 --enddatetime 2016-08-03T18:57:06 --enforcementcount 0 &gt;&gt; 2016-08-03-refined-runtimes.txt</v>
      </c>
    </row>
    <row r="134" spans="1:34" x14ac:dyDescent="0.25">
      <c r="A134" s="25" t="s">
        <v>666</v>
      </c>
      <c r="B134" s="94">
        <v>4043</v>
      </c>
      <c r="C134" s="95" t="s">
        <v>163</v>
      </c>
      <c r="D134" s="95" t="s">
        <v>586</v>
      </c>
      <c r="E134" s="96">
        <v>42585.794131944444</v>
      </c>
      <c r="F134" s="96">
        <v>42585.795312499999</v>
      </c>
      <c r="G134" s="94">
        <v>1</v>
      </c>
      <c r="H134" s="96" t="s">
        <v>188</v>
      </c>
      <c r="I134" s="96">
        <v>42585.829895833333</v>
      </c>
      <c r="J134" s="94">
        <v>0</v>
      </c>
      <c r="K134" s="121" t="str">
        <f t="shared" si="30"/>
        <v>4043/4044</v>
      </c>
      <c r="L134" s="25" t="str">
        <f>VLOOKUP(A134,'Trips&amp;Operators'!$C$1:$E$10000,3,FALSE)</f>
        <v>LEVIN</v>
      </c>
      <c r="M134" s="6">
        <f t="shared" si="31"/>
        <v>3.4583333334012423E-2</v>
      </c>
      <c r="N134" s="7">
        <f t="shared" si="29"/>
        <v>49.800000000977889</v>
      </c>
      <c r="O134" s="7"/>
      <c r="P134" s="7"/>
      <c r="Q134" s="26"/>
      <c r="R134" s="26"/>
      <c r="S134" s="40">
        <f t="shared" si="32"/>
        <v>1</v>
      </c>
      <c r="T134" s="57" t="str">
        <f t="shared" si="33"/>
        <v>Southbound</v>
      </c>
      <c r="U134" s="82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18:03:33-0600',mode:absolute,to:'2016-08-03 20:55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4" s="62" t="str">
        <f t="shared" si="51"/>
        <v>N</v>
      </c>
      <c r="X134" s="124">
        <f t="shared" si="52"/>
        <v>1</v>
      </c>
      <c r="Y134" s="77">
        <f t="shared" si="53"/>
        <v>23.298400000000001</v>
      </c>
      <c r="Z134" s="77">
        <f t="shared" si="54"/>
        <v>1.34E-2</v>
      </c>
      <c r="AA134" s="77">
        <f t="shared" si="55"/>
        <v>23.285</v>
      </c>
      <c r="AB134" s="74" t="e">
        <f>VLOOKUP(A134,Enforcements!$C$7:$J$24,8,0)</f>
        <v>#N/A</v>
      </c>
      <c r="AC134" s="70" t="e">
        <f>VLOOKUP(A134,Enforcements!$C$7:$E$24,3,0)</f>
        <v>#N/A</v>
      </c>
      <c r="AD134" s="71" t="str">
        <f t="shared" si="56"/>
        <v>0218-03</v>
      </c>
      <c r="AE134" s="131" t="str">
        <f t="shared" si="41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34" s="128" t="str">
        <f t="shared" si="42"/>
        <v>"C:\Program Files (x86)\AstroGrep\AstroGrep.exe" /spath="%USERPROFILE%\AppData\Local\Temp\OnboardLogs" /stypes="*4043*20160804*" /stext=" 01:.+((SYSTEM_STATE.+slice.+state.+changed )|(ment ac)|(system.+state.+changed )|(\|lc)|(penalty)|(\[timeout)|(PRM\|1\|D)|(kpr)|(kdp))" /e /r /s</v>
      </c>
      <c r="AG134" s="1" t="str">
        <f t="shared" si="43"/>
        <v>EC</v>
      </c>
      <c r="AH134" s="132" t="str">
        <f>refinertdcruntimes&amp;" --tripid "&amp;A134&amp;" --locoid "&amp;B134&amp;" --swversion "&amp;C134&amp;" --startMP "&amp;D134&amp;" --initTime "&amp;TEXT(E134,"yyyy-mm-ddTHH:MM:SS")&amp;" --startdatetime "&amp;TEXT(F134,"yyyy-mm-ddTHH:MM:SS")&amp;" --delay "&amp;G134&amp;" --endMP "&amp;H134&amp;" --enddatetime "&amp;TEXT(I134,"yyyy-mm-ddTHH:MM:SS")&amp;" --enforcementcount "&amp;J134&amp;" &gt;&gt; "&amp;TEXT(Variables!$A$2,"yyyy-mm-dd")&amp;"-refined-runtimes.txt"</f>
        <v>"%USERPROFILE%\Documents\GitHub\eaglep3\Utilities\RefineRTDCRunTimes.py" --tripid 218-03 --locoid 4043 --swversion DE.1.0.7.0 --startMP 204:232984 --initTime 2016-08-03T19:03:33 --startdatetime 2016-08-03T19:05:15 --delay 1 --endMP 204:134 --enddatetime 2016-08-03T19:55:03 --enforcementcount 0 &gt;&gt; 2016-08-03-refined-runtimes.txt</v>
      </c>
    </row>
    <row r="135" spans="1:34" s="24" customFormat="1" x14ac:dyDescent="0.25">
      <c r="A135" s="25" t="s">
        <v>667</v>
      </c>
      <c r="B135" s="94">
        <v>4040</v>
      </c>
      <c r="C135" s="95" t="s">
        <v>163</v>
      </c>
      <c r="D135" s="95" t="s">
        <v>187</v>
      </c>
      <c r="E135" s="96">
        <v>42585.769456018519</v>
      </c>
      <c r="F135" s="96">
        <v>42585.771215277775</v>
      </c>
      <c r="G135" s="94">
        <v>2</v>
      </c>
      <c r="H135" s="96" t="s">
        <v>550</v>
      </c>
      <c r="I135" s="96">
        <v>42585.797766203701</v>
      </c>
      <c r="J135" s="94">
        <v>0</v>
      </c>
      <c r="K135" s="121" t="str">
        <f t="shared" si="30"/>
        <v>4039/4040</v>
      </c>
      <c r="L135" s="25" t="str">
        <f>VLOOKUP(A135,'Trips&amp;Operators'!$C$1:$E$10000,3,FALSE)</f>
        <v>COOLAHAN</v>
      </c>
      <c r="M135" s="6">
        <f t="shared" si="31"/>
        <v>2.6550925926130731E-2</v>
      </c>
      <c r="N135" s="7">
        <f t="shared" si="29"/>
        <v>38.233333333628252</v>
      </c>
      <c r="O135" s="7"/>
      <c r="P135" s="7"/>
      <c r="Q135" s="26"/>
      <c r="R135" s="26"/>
      <c r="S135" s="40">
        <f t="shared" si="32"/>
        <v>1</v>
      </c>
      <c r="T135" s="57" t="str">
        <f t="shared" si="33"/>
        <v>NorthBound</v>
      </c>
      <c r="U135" s="82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17:28:01-0600',mode:absolute,to:'2016-08-03 20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35" s="62" t="str">
        <f t="shared" si="51"/>
        <v>N</v>
      </c>
      <c r="X135" s="124">
        <f t="shared" si="52"/>
        <v>1</v>
      </c>
      <c r="Y135" s="77">
        <f t="shared" si="53"/>
        <v>4.6600000000000003E-2</v>
      </c>
      <c r="Z135" s="77">
        <f t="shared" si="54"/>
        <v>23.331199999999999</v>
      </c>
      <c r="AA135" s="77">
        <f t="shared" si="55"/>
        <v>23.284599999999998</v>
      </c>
      <c r="AB135" s="74" t="e">
        <f>VLOOKUP(A135,Enforcements!$C$7:$J$24,8,0)</f>
        <v>#N/A</v>
      </c>
      <c r="AC135" s="70" t="e">
        <f>VLOOKUP(A135,Enforcements!$C$7:$E$24,3,0)</f>
        <v>#N/A</v>
      </c>
      <c r="AD135" s="71" t="str">
        <f t="shared" si="56"/>
        <v>0219-03</v>
      </c>
      <c r="AE135" s="131" t="str">
        <f t="shared" si="41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35" s="128" t="str">
        <f t="shared" si="42"/>
        <v>"C:\Program Files (x86)\AstroGrep\AstroGrep.exe" /spath="%USERPROFILE%\AppData\Local\Temp\OnboardLogs" /stypes="*4040*20160804*" /stext=" 01:.+((SYSTEM_STATE.+slice.+state.+changed )|(ment ac)|(system.+state.+changed )|(\|lc)|(penalty)|(\[timeout)|(PRM\|1\|D)|(kpr)|(kdp))" /e /r /s</v>
      </c>
      <c r="AG135" s="1" t="str">
        <f t="shared" si="43"/>
        <v>EC</v>
      </c>
      <c r="AH135" s="132" t="str">
        <f>refinertdcruntimes&amp;" --tripid "&amp;A135&amp;" --locoid "&amp;B135&amp;" --swversion "&amp;C135&amp;" --startMP "&amp;D135&amp;" --initTime "&amp;TEXT(E135,"yyyy-mm-ddTHH:MM:SS")&amp;" --startdatetime "&amp;TEXT(F135,"yyyy-mm-ddTHH:MM:SS")&amp;" --delay "&amp;G135&amp;" --endMP "&amp;H135&amp;" --enddatetime "&amp;TEXT(I135,"yyyy-mm-ddTHH:MM:SS")&amp;" --enforcementcount "&amp;J135&amp;" &gt;&gt; "&amp;TEXT(Variables!$A$2,"yyyy-mm-dd")&amp;"-refined-runtimes.txt"</f>
        <v>"%USERPROFILE%\Documents\GitHub\eaglep3\Utilities\RefineRTDCRunTimes.py" --tripid 219-03 --locoid 4040 --swversion DE.1.0.7.0 --startMP 204:466 --initTime 2016-08-03T18:28:01 --startdatetime 2016-08-03T18:30:33 --delay 2 --endMP 204:233312 --enddatetime 2016-08-03T19:08:47 --enforcementcount 0 &gt;&gt; 2016-08-03-refined-runtimes.txt</v>
      </c>
    </row>
    <row r="136" spans="1:34" x14ac:dyDescent="0.25">
      <c r="A136" s="25" t="s">
        <v>535</v>
      </c>
      <c r="B136" s="94">
        <v>4039</v>
      </c>
      <c r="C136" s="95" t="s">
        <v>163</v>
      </c>
      <c r="D136" s="95" t="s">
        <v>333</v>
      </c>
      <c r="E136" s="96">
        <v>42585.806319444448</v>
      </c>
      <c r="F136" s="96">
        <v>42585.807824074072</v>
      </c>
      <c r="G136" s="94">
        <v>2</v>
      </c>
      <c r="H136" s="96" t="s">
        <v>668</v>
      </c>
      <c r="I136" s="96">
        <v>42585.83829861111</v>
      </c>
      <c r="J136" s="94">
        <v>2</v>
      </c>
      <c r="K136" s="121" t="str">
        <f t="shared" si="30"/>
        <v>4039/4040</v>
      </c>
      <c r="L136" s="25" t="str">
        <f>VLOOKUP(A136,'Trips&amp;Operators'!$C$1:$E$10000,3,FALSE)</f>
        <v>COOLAHAN</v>
      </c>
      <c r="M136" s="6">
        <f t="shared" si="31"/>
        <v>3.047453703766223E-2</v>
      </c>
      <c r="N136" s="7">
        <f t="shared" ref="N136:P193" si="57">24*60*SUM($M136:$M136)</f>
        <v>43.883333334233612</v>
      </c>
      <c r="O136" s="7"/>
      <c r="P136" s="7"/>
      <c r="Q136" s="26"/>
      <c r="R136" s="26"/>
      <c r="S136" s="40">
        <f t="shared" si="32"/>
        <v>1</v>
      </c>
      <c r="T136" s="57" t="str">
        <f t="shared" si="33"/>
        <v>Southbound</v>
      </c>
      <c r="U136" s="82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138" t="str">
        <f t="shared" si="50"/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36" s="62" t="str">
        <f t="shared" si="51"/>
        <v>N</v>
      </c>
      <c r="X136" s="124">
        <f t="shared" si="52"/>
        <v>1</v>
      </c>
      <c r="Y136" s="77">
        <f t="shared" si="53"/>
        <v>23.3004</v>
      </c>
      <c r="Z136" s="77">
        <f t="shared" si="54"/>
        <v>1.03E-2</v>
      </c>
      <c r="AA136" s="77">
        <f t="shared" si="55"/>
        <v>23.290099999999999</v>
      </c>
      <c r="AB136" s="74">
        <f>VLOOKUP(A136,Enforcements!$C$7:$J$24,8,0)</f>
        <v>109135</v>
      </c>
      <c r="AC136" s="70" t="str">
        <f>VLOOKUP(A136,Enforcements!$C$7:$E$24,3,0)</f>
        <v>GRADE CROSSING</v>
      </c>
      <c r="AD136" s="71" t="str">
        <f t="shared" si="56"/>
        <v>0220-03</v>
      </c>
      <c r="AE136" s="131" t="str">
        <f t="shared" si="41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36" s="128" t="str">
        <f t="shared" si="42"/>
        <v>"C:\Program Files (x86)\AstroGrep\AstroGrep.exe" /spath="%USERPROFILE%\AppData\Local\Temp\OnboardLogs" /stypes="*4039*20160804*" /stext=" 02:.+((SYSTEM_STATE.+slice.+state.+changed )|(ment ac)|(system.+state.+changed )|(\|lc)|(penalty)|(\[timeout)|(PRM\|1\|D)|(kpr)|(kdp))" /e /r /s</v>
      </c>
      <c r="AG136" s="1" t="str">
        <f t="shared" si="43"/>
        <v>EC</v>
      </c>
      <c r="AH136" s="132" t="str">
        <f>refinertdcruntimes&amp;" --tripid "&amp;A136&amp;" --locoid "&amp;B136&amp;" --swversion "&amp;C136&amp;" --startMP "&amp;D136&amp;" --initTime "&amp;TEXT(E136,"yyyy-mm-ddTHH:MM:SS")&amp;" --startdatetime "&amp;TEXT(F136,"yyyy-mm-ddTHH:MM:SS")&amp;" --delay "&amp;G136&amp;" --endMP "&amp;H136&amp;" --enddatetime "&amp;TEXT(I136,"yyyy-mm-ddTHH:MM:SS")&amp;" --enforcementcount "&amp;J136&amp;" &gt;&gt; "&amp;TEXT(Variables!$A$2,"yyyy-mm-dd")&amp;"-refined-runtimes.txt"</f>
        <v>"%USERPROFILE%\Documents\GitHub\eaglep3\Utilities\RefineRTDCRunTimes.py" --tripid 220-03 --locoid 4039 --swversion DE.1.0.7.0 --startMP 204:233004 --initTime 2016-08-03T19:21:06 --startdatetime 2016-08-03T19:23:16 --delay 2 --endMP 204:103 --enddatetime 2016-08-03T20:07:09 --enforcementcount 2 &gt;&gt; 2016-08-03-refined-runtimes.txt</v>
      </c>
    </row>
    <row r="137" spans="1:34" x14ac:dyDescent="0.25">
      <c r="A137" s="25" t="s">
        <v>669</v>
      </c>
      <c r="B137" s="94">
        <v>4025</v>
      </c>
      <c r="C137" s="95" t="s">
        <v>163</v>
      </c>
      <c r="D137" s="95" t="s">
        <v>150</v>
      </c>
      <c r="E137" s="96">
        <v>42585.792743055557</v>
      </c>
      <c r="F137" s="96">
        <v>42585.794652777775</v>
      </c>
      <c r="G137" s="94">
        <v>2</v>
      </c>
      <c r="H137" s="96" t="s">
        <v>164</v>
      </c>
      <c r="I137" s="96">
        <v>42585.823842592596</v>
      </c>
      <c r="J137" s="94">
        <v>0</v>
      </c>
      <c r="K137" s="121" t="str">
        <f t="shared" si="30"/>
        <v>4025/4026</v>
      </c>
      <c r="L137" s="25" t="str">
        <f>VLOOKUP(A137,'Trips&amp;Operators'!$C$1:$E$10000,3,FALSE)</f>
        <v>STURGEON</v>
      </c>
      <c r="M137" s="6">
        <f t="shared" si="31"/>
        <v>2.9189814820711035E-2</v>
      </c>
      <c r="N137" s="7">
        <f t="shared" si="57"/>
        <v>42.033333341823891</v>
      </c>
      <c r="O137" s="7"/>
      <c r="P137" s="7"/>
      <c r="Q137" s="26"/>
      <c r="R137" s="26"/>
      <c r="S137" s="40">
        <f t="shared" si="32"/>
        <v>1</v>
      </c>
      <c r="T137" s="57" t="str">
        <f t="shared" si="33"/>
        <v>NorthBound</v>
      </c>
      <c r="U137" s="82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138" t="str">
        <f t="shared" si="34"/>
        <v>https://search-rtdc-monitor-bjffxe2xuh6vdkpspy63sjmuny.us-east-1.es.amazonaws.com/_plugin/kibana/#/discover/Steve-Slow-Train-Analysis-(2080s-and-2083s)?_g=(refreshInterval:(display:Off,section:0,value:0),time:(from:'2016-08-03 18:01:33-0600',mode:absolute,to:'2016-08-03 20:46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7" s="62" t="str">
        <f t="shared" si="35"/>
        <v>N</v>
      </c>
      <c r="X137" s="124">
        <f t="shared" si="36"/>
        <v>1</v>
      </c>
      <c r="Y137" s="77">
        <f t="shared" si="37"/>
        <v>4.6699999999999998E-2</v>
      </c>
      <c r="Z137" s="77">
        <f t="shared" si="38"/>
        <v>23.3291</v>
      </c>
      <c r="AA137" s="77">
        <f t="shared" si="39"/>
        <v>23.282399999999999</v>
      </c>
      <c r="AB137" s="74" t="e">
        <f>VLOOKUP(A137,Enforcements!$C$7:$J$24,8,0)</f>
        <v>#N/A</v>
      </c>
      <c r="AC137" s="70" t="e">
        <f>VLOOKUP(A137,Enforcements!$C$7:$E$24,3,0)</f>
        <v>#N/A</v>
      </c>
      <c r="AD137" s="71" t="str">
        <f t="shared" si="40"/>
        <v>0221-03</v>
      </c>
      <c r="AE137" s="131" t="str">
        <f t="shared" si="41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37" s="128" t="str">
        <f t="shared" si="42"/>
        <v>"C:\Program Files (x86)\AstroGrep\AstroGrep.exe" /spath="%USERPROFILE%\AppData\Local\Temp\OnboardLogs" /stypes="*4025*20160804*" /stext=" 01:.+((SYSTEM_STATE.+slice.+state.+changed )|(ment ac)|(system.+state.+changed )|(\|lc)|(penalty)|(\[timeout)|(PRM\|1\|D)|(kpr)|(kdp))" /e /r /s</v>
      </c>
      <c r="AG137" s="1" t="str">
        <f t="shared" si="43"/>
        <v>EC</v>
      </c>
      <c r="AH137" s="132" t="str">
        <f>refinertdcruntimes&amp;" --tripid "&amp;A137&amp;" --locoid "&amp;B137&amp;" --swversion "&amp;C137&amp;" --startMP "&amp;D137&amp;" --initTime "&amp;TEXT(E137,"yyyy-mm-ddTHH:MM:SS")&amp;" --startdatetime "&amp;TEXT(F137,"yyyy-mm-ddTHH:MM:SS")&amp;" --delay "&amp;G137&amp;" --endMP "&amp;H137&amp;" --enddatetime "&amp;TEXT(I137,"yyyy-mm-ddTHH:MM:SS")&amp;" --enforcementcount "&amp;J137&amp;" &gt;&gt; "&amp;TEXT(Variables!$A$2,"yyyy-mm-dd")&amp;"-refined-runtimes.txt"</f>
        <v>"%USERPROFILE%\Documents\GitHub\eaglep3\Utilities\RefineRTDCRunTimes.py" --tripid 221-03 --locoid 4025 --swversion DE.1.0.7.0 --startMP 204:467 --initTime 2016-08-03T19:01:33 --startdatetime 2016-08-03T19:04:18 --delay 2 --endMP 204:233291 --enddatetime 2016-08-03T19:46:20 --enforcementcount 0 &gt;&gt; 2016-08-03-refined-runtimes.txt</v>
      </c>
    </row>
    <row r="138" spans="1:34" x14ac:dyDescent="0.25">
      <c r="A138" s="25" t="s">
        <v>670</v>
      </c>
      <c r="B138" s="94">
        <v>4026</v>
      </c>
      <c r="C138" s="95" t="s">
        <v>163</v>
      </c>
      <c r="D138" s="95" t="s">
        <v>671</v>
      </c>
      <c r="E138" s="96">
        <v>42585.827881944446</v>
      </c>
      <c r="F138" s="96">
        <v>42585.828761574077</v>
      </c>
      <c r="G138" s="94">
        <v>1</v>
      </c>
      <c r="H138" s="96" t="s">
        <v>672</v>
      </c>
      <c r="I138" s="96">
        <v>42585.862488425926</v>
      </c>
      <c r="J138" s="94">
        <v>0</v>
      </c>
      <c r="K138" s="121" t="str">
        <f t="shared" ref="K138:K195" si="58">IF(ISEVEN(B138),(B138-1)&amp;"/"&amp;B138,B138&amp;"/"&amp;(B138+1))</f>
        <v>4025/4026</v>
      </c>
      <c r="L138" s="25" t="str">
        <f>VLOOKUP(A138,'Trips&amp;Operators'!$C$1:$E$10000,3,FALSE)</f>
        <v>STURGEON</v>
      </c>
      <c r="M138" s="6">
        <f t="shared" ref="M138:M195" si="59">I138-F138</f>
        <v>3.3726851848769002E-2</v>
      </c>
      <c r="N138" s="7">
        <f t="shared" si="57"/>
        <v>48.566666662227362</v>
      </c>
      <c r="O138" s="7"/>
      <c r="P138" s="7"/>
      <c r="Q138" s="26"/>
      <c r="R138" s="26"/>
      <c r="S138" s="40">
        <f t="shared" ref="S138:S195" si="60">SUM(U138:U138)/IF(AG138="EC",12,1)</f>
        <v>1</v>
      </c>
      <c r="T138" s="57" t="str">
        <f t="shared" ref="T138:T195" si="61">IF(ISEVEN(LEFT(AD138,4)),"Southbound","NorthBound")</f>
        <v>Southbound</v>
      </c>
      <c r="U138" s="82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138" t="str">
        <f t="shared" ref="V138:V195" si="62">"https://search-rtdc-monitor-bjffxe2xuh6vdkpspy63sjmuny.us-east-1.es.amazonaws.com/_plugin/kibana/#/discover/Steve-Slow-Train-Analysis-(2080s-and-2083s)?_g=(refreshInterval:(display:Off,section:0,value:0),time:(from:'"&amp;TEXT(E138-1/24,"yyyy-MM-DD hh:mm:ss")&amp;"-0600',mode:absolute,to:'"&amp;TEXT(I138+1/24,"yyyy-MM-DD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138&amp;"%22')),sort:!(Time,asc))"</f>
        <v>https://search-rtdc-monitor-bjffxe2xuh6vdkpspy63sjmuny.us-east-1.es.amazonaws.com/_plugin/kibana/#/discover/Steve-Slow-Train-Analysis-(2080s-and-2083s)?_g=(refreshInterval:(display:Off,section:0,value:0),time:(from:'2016-08-03 18:52:09-0600',mode:absolute,to:'2016-08-03 21:41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8" s="62" t="str">
        <f t="shared" ref="W138:W195" si="63">IF(AA138&lt;IF(AG138="EC",23,5.65),"Y","N")</f>
        <v>N</v>
      </c>
      <c r="X138" s="124">
        <f t="shared" ref="X138:X195" si="64">VALUE(LEFT(AD138,4))-VALUE(LEFT(AD137,4))</f>
        <v>1</v>
      </c>
      <c r="Y138" s="77">
        <f t="shared" ref="Y138:Y195" si="65">RIGHT(D138,LEN(D138)-4)/10000</f>
        <v>23.297000000000001</v>
      </c>
      <c r="Z138" s="77">
        <f t="shared" ref="Z138:Z195" si="66">RIGHT(H138,LEN(H138)-4)/10000</f>
        <v>1.61E-2</v>
      </c>
      <c r="AA138" s="77">
        <f t="shared" ref="AA138:AA195" si="67">ABS(Z138-Y138)</f>
        <v>23.280899999999999</v>
      </c>
      <c r="AB138" s="74" t="e">
        <f>VLOOKUP(A138,Enforcements!$C$7:$J$24,8,0)</f>
        <v>#N/A</v>
      </c>
      <c r="AC138" s="70" t="e">
        <f>VLOOKUP(A138,Enforcements!$C$7:$E$24,3,0)</f>
        <v>#N/A</v>
      </c>
      <c r="AD138" s="71" t="str">
        <f t="shared" ref="AD138:AD195" si="68">IF(LEN(A138)=6,"0"&amp;A138,A138)</f>
        <v>0222-03</v>
      </c>
      <c r="AE138" s="131" t="str">
        <f t="shared" ref="AE138:AE195" si="69">"aws s3 cp "&amp;s3_bucket&amp;"/RTDC"&amp;B138&amp;"/"&amp;TEXT(F138,"YYYY-MM-DD")&amp;"/ "&amp;search_path&amp;"\RTDC"&amp;B138&amp;"\"&amp;TEXT(F138,"YYYY-MM-DD")&amp;" --recursive &amp; """&amp;walkandungz&amp;""" "&amp;search_path&amp;"\RTDC"&amp;B138&amp;"\"&amp;TEXT(F138,"YYYY-MM-DD")
&amp;" &amp; "&amp;"aws s3 cp "&amp;s3_bucket&amp;"/RTDC"&amp;B138&amp;"/"&amp;TEXT(F138+1,"YYYY-MM-DD")&amp;"/ "&amp;search_path&amp;"\RTDC"&amp;B138&amp;"\"&amp;TEXT(F138+1,"YYYY-MM-DD")&amp;" --recursive &amp; """&amp;walkandungz&amp;""" "&amp;search_path&amp;"\RTDC"&amp;B138&amp;"\"&amp;TEXT(F138+1,"YYYY-MM-DD")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38" s="128" t="str">
        <f t="shared" ref="AF138:AF195" si="70">astrogrep_path&amp;" /spath="&amp;search_path&amp;" /stypes=""*"&amp;B138&amp;"*"&amp;TEXT(I138-utc_offset/24,"YYYYMMDD")&amp;"*"" /stext="" "&amp;TEXT(I138-utc_offset/24,"HH")&amp;search_regexp&amp;""" /e /r /s"</f>
        <v>"C:\Program Files (x86)\AstroGrep\AstroGrep.exe" /spath="%USERPROFILE%\AppData\Local\Temp\OnboardLogs" /stypes="*4026*20160804*" /stext=" 02:.+((SYSTEM_STATE.+slice.+state.+changed )|(ment ac)|(system.+state.+changed )|(\|lc)|(penalty)|(\[timeout)|(PRM\|1\|D)|(kpr)|(kdp))" /e /r /s</v>
      </c>
      <c r="AG138" s="1" t="str">
        <f t="shared" ref="AG138:AG195" si="71">IF(VALUE(LEFT(AD138,2))&lt;=2,"EC",IF(OR(VALUE(LEFT(AD138,2))=8,VALUE(LEFT(AD138,2))=18),"NW","GL"))</f>
        <v>EC</v>
      </c>
      <c r="AH138" s="132" t="str">
        <f>refinertdcruntimes&amp;" --tripid "&amp;A138&amp;" --locoid "&amp;B138&amp;" --swversion "&amp;C138&amp;" --startMP "&amp;D138&amp;" --initTime "&amp;TEXT(E138,"yyyy-mm-ddTHH:MM:SS")&amp;" --startdatetime "&amp;TEXT(F138,"yyyy-mm-ddTHH:MM:SS")&amp;" --delay "&amp;G138&amp;" --endMP "&amp;H138&amp;" --enddatetime "&amp;TEXT(I138,"yyyy-mm-ddTHH:MM:SS")&amp;" --enforcementcount "&amp;J138&amp;" &gt;&gt; "&amp;TEXT(Variables!$A$2,"yyyy-mm-dd")&amp;"-refined-runtimes.txt"</f>
        <v>"%USERPROFILE%\Documents\GitHub\eaglep3\Utilities\RefineRTDCRunTimes.py" --tripid 222-03 --locoid 4026 --swversion DE.1.0.7.0 --startMP 204:232970 --initTime 2016-08-03T19:52:09 --startdatetime 2016-08-03T19:53:25 --delay 1 --endMP 204:161 --enddatetime 2016-08-03T20:41:59 --enforcementcount 0 &gt;&gt; 2016-08-03-refined-runtimes.txt</v>
      </c>
    </row>
    <row r="139" spans="1:34" x14ac:dyDescent="0.25">
      <c r="A139" s="25" t="s">
        <v>673</v>
      </c>
      <c r="B139" s="94">
        <v>4014</v>
      </c>
      <c r="C139" s="95" t="s">
        <v>163</v>
      </c>
      <c r="D139" s="95" t="s">
        <v>346</v>
      </c>
      <c r="E139" s="96">
        <v>42585.814803240741</v>
      </c>
      <c r="F139" s="96">
        <v>42585.815625000003</v>
      </c>
      <c r="G139" s="94">
        <v>1</v>
      </c>
      <c r="H139" s="96" t="s">
        <v>157</v>
      </c>
      <c r="I139" s="96">
        <v>42585.840729166666</v>
      </c>
      <c r="J139" s="94">
        <v>0</v>
      </c>
      <c r="K139" s="121" t="str">
        <f t="shared" si="58"/>
        <v>4013/4014</v>
      </c>
      <c r="L139" s="25" t="str">
        <f>VLOOKUP(A139,'Trips&amp;Operators'!$C$1:$E$10000,3,FALSE)</f>
        <v>HAITHCOX</v>
      </c>
      <c r="M139" s="6">
        <f t="shared" si="59"/>
        <v>2.5104166663368233E-2</v>
      </c>
      <c r="N139" s="7">
        <f t="shared" si="57"/>
        <v>36.149999995250255</v>
      </c>
      <c r="O139" s="7"/>
      <c r="P139" s="7"/>
      <c r="Q139" s="26"/>
      <c r="R139" s="26"/>
      <c r="S139" s="40">
        <f t="shared" si="60"/>
        <v>1</v>
      </c>
      <c r="T139" s="57" t="str">
        <f t="shared" si="61"/>
        <v>NorthBound</v>
      </c>
      <c r="U139" s="82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18:33:19-0600',mode:absolute,to:'2016-08-03 21:10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9" s="62" t="str">
        <f t="shared" si="63"/>
        <v>N</v>
      </c>
      <c r="X139" s="124">
        <f t="shared" si="64"/>
        <v>1</v>
      </c>
      <c r="Y139" s="77">
        <f t="shared" si="65"/>
        <v>4.5499999999999999E-2</v>
      </c>
      <c r="Z139" s="77">
        <f t="shared" si="66"/>
        <v>23.3308</v>
      </c>
      <c r="AA139" s="77">
        <f t="shared" si="67"/>
        <v>23.285299999999999</v>
      </c>
      <c r="AB139" s="74" t="e">
        <f>VLOOKUP(A139,Enforcements!$C$7:$J$24,8,0)</f>
        <v>#N/A</v>
      </c>
      <c r="AC139" s="70" t="e">
        <f>VLOOKUP(A139,Enforcements!$C$7:$E$24,3,0)</f>
        <v>#N/A</v>
      </c>
      <c r="AD139" s="71" t="str">
        <f t="shared" si="68"/>
        <v>0223-03</v>
      </c>
      <c r="AE139" s="131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39" s="128" t="str">
        <f t="shared" si="70"/>
        <v>"C:\Program Files (x86)\AstroGrep\AstroGrep.exe" /spath="%USERPROFILE%\AppData\Local\Temp\OnboardLogs" /stypes="*4014*20160804*" /stext=" 02:.+((SYSTEM_STATE.+slice.+state.+changed )|(ment ac)|(system.+state.+changed )|(\|lc)|(penalty)|(\[timeout)|(PRM\|1\|D)|(kpr)|(kdp))" /e /r /s</v>
      </c>
      <c r="AG139" s="1" t="str">
        <f t="shared" si="71"/>
        <v>EC</v>
      </c>
      <c r="AH139" s="132" t="str">
        <f>refinertdcruntimes&amp;" --tripid "&amp;A139&amp;" --locoid "&amp;B139&amp;" --swversion "&amp;C139&amp;" --startMP "&amp;D139&amp;" --initTime "&amp;TEXT(E139,"yyyy-mm-ddTHH:MM:SS")&amp;" --startdatetime "&amp;TEXT(F139,"yyyy-mm-ddTHH:MM:SS")&amp;" --delay "&amp;G139&amp;" --endMP "&amp;H139&amp;" --enddatetime "&amp;TEXT(I139,"yyyy-mm-ddTHH:MM:SS")&amp;" --enforcementcount "&amp;J139&amp;" &gt;&gt; "&amp;TEXT(Variables!$A$2,"yyyy-mm-dd")&amp;"-refined-runtimes.txt"</f>
        <v>"%USERPROFILE%\Documents\GitHub\eaglep3\Utilities\RefineRTDCRunTimes.py" --tripid 223-03 --locoid 4014 --swversion DE.1.0.7.0 --startMP 204:455 --initTime 2016-08-03T19:33:19 --startdatetime 2016-08-03T19:34:30 --delay 1 --endMP 204:233308 --enddatetime 2016-08-03T20:10:39 --enforcementcount 0 &gt;&gt; 2016-08-03-refined-runtimes.txt</v>
      </c>
    </row>
    <row r="140" spans="1:34" x14ac:dyDescent="0.25">
      <c r="A140" s="25" t="s">
        <v>674</v>
      </c>
      <c r="B140" s="94">
        <v>4013</v>
      </c>
      <c r="C140" s="95" t="s">
        <v>163</v>
      </c>
      <c r="D140" s="95" t="s">
        <v>342</v>
      </c>
      <c r="E140" s="96">
        <v>42585.846689814818</v>
      </c>
      <c r="F140" s="96">
        <v>42585.847719907404</v>
      </c>
      <c r="G140" s="94">
        <v>1</v>
      </c>
      <c r="H140" s="96" t="s">
        <v>389</v>
      </c>
      <c r="I140" s="96">
        <v>42585.879189814812</v>
      </c>
      <c r="J140" s="94">
        <v>0</v>
      </c>
      <c r="K140" s="121" t="str">
        <f t="shared" si="58"/>
        <v>4013/4014</v>
      </c>
      <c r="L140" s="25" t="str">
        <f>VLOOKUP(A140,'Trips&amp;Operators'!$C$1:$E$10000,3,FALSE)</f>
        <v>HAITHCOX</v>
      </c>
      <c r="M140" s="6">
        <f t="shared" si="59"/>
        <v>3.1469907407881692E-2</v>
      </c>
      <c r="N140" s="7">
        <f t="shared" si="57"/>
        <v>45.316666667349637</v>
      </c>
      <c r="O140" s="7"/>
      <c r="P140" s="7"/>
      <c r="Q140" s="26"/>
      <c r="R140" s="26"/>
      <c r="S140" s="40">
        <f t="shared" si="60"/>
        <v>1</v>
      </c>
      <c r="T140" s="57" t="str">
        <f t="shared" si="61"/>
        <v>Southbound</v>
      </c>
      <c r="U140" s="82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19:19:14-0600',mode:absolute,to:'2016-08-03 22:06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0" s="62" t="str">
        <f t="shared" si="63"/>
        <v>N</v>
      </c>
      <c r="X140" s="124">
        <f t="shared" si="64"/>
        <v>1</v>
      </c>
      <c r="Y140" s="77">
        <f t="shared" si="65"/>
        <v>23.298300000000001</v>
      </c>
      <c r="Z140" s="77">
        <f t="shared" si="66"/>
        <v>1.38E-2</v>
      </c>
      <c r="AA140" s="77">
        <f t="shared" si="67"/>
        <v>23.284500000000001</v>
      </c>
      <c r="AB140" s="74" t="e">
        <f>VLOOKUP(A140,Enforcements!$C$7:$J$24,8,0)</f>
        <v>#N/A</v>
      </c>
      <c r="AC140" s="70" t="e">
        <f>VLOOKUP(A140,Enforcements!$C$7:$E$24,3,0)</f>
        <v>#N/A</v>
      </c>
      <c r="AD140" s="71" t="str">
        <f t="shared" si="68"/>
        <v>0224-03</v>
      </c>
      <c r="AE140" s="131" t="str">
        <f t="shared" si="69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40" s="128" t="str">
        <f t="shared" si="70"/>
        <v>"C:\Program Files (x86)\AstroGrep\AstroGrep.exe" /spath="%USERPROFILE%\AppData\Local\Temp\OnboardLogs" /stypes="*4013*20160804*" /stext=" 03:.+((SYSTEM_STATE.+slice.+state.+changed )|(ment ac)|(system.+state.+changed )|(\|lc)|(penalty)|(\[timeout)|(PRM\|1\|D)|(kpr)|(kdp))" /e /r /s</v>
      </c>
      <c r="AG140" s="1" t="str">
        <f t="shared" si="71"/>
        <v>EC</v>
      </c>
      <c r="AH140" s="132" t="str">
        <f>refinertdcruntimes&amp;" --tripid "&amp;A140&amp;" --locoid "&amp;B140&amp;" --swversion "&amp;C140&amp;" --startMP "&amp;D140&amp;" --initTime "&amp;TEXT(E140,"yyyy-mm-ddTHH:MM:SS")&amp;" --startdatetime "&amp;TEXT(F140,"yyyy-mm-ddTHH:MM:SS")&amp;" --delay "&amp;G140&amp;" --endMP "&amp;H140&amp;" --enddatetime "&amp;TEXT(I140,"yyyy-mm-ddTHH:MM:SS")&amp;" --enforcementcount "&amp;J140&amp;" &gt;&gt; "&amp;TEXT(Variables!$A$2,"yyyy-mm-dd")&amp;"-refined-runtimes.txt"</f>
        <v>"%USERPROFILE%\Documents\GitHub\eaglep3\Utilities\RefineRTDCRunTimes.py" --tripid 224-03 --locoid 4013 --swversion DE.1.0.7.0 --startMP 204:232983 --initTime 2016-08-03T20:19:14 --startdatetime 2016-08-03T20:20:43 --delay 1 --endMP 204:138 --enddatetime 2016-08-03T21:06:02 --enforcementcount 0 &gt;&gt; 2016-08-03-refined-runtimes.txt</v>
      </c>
    </row>
    <row r="141" spans="1:34" x14ac:dyDescent="0.25">
      <c r="A141" s="25" t="s">
        <v>675</v>
      </c>
      <c r="B141" s="94">
        <v>4044</v>
      </c>
      <c r="C141" s="95" t="s">
        <v>163</v>
      </c>
      <c r="D141" s="95" t="s">
        <v>64</v>
      </c>
      <c r="E141" s="96">
        <v>42585.831018518518</v>
      </c>
      <c r="F141" s="96">
        <v>42585.832268518519</v>
      </c>
      <c r="G141" s="94">
        <v>1</v>
      </c>
      <c r="H141" s="96" t="s">
        <v>651</v>
      </c>
      <c r="I141" s="96">
        <v>42585.859039351853</v>
      </c>
      <c r="J141" s="94">
        <v>0</v>
      </c>
      <c r="K141" s="121" t="str">
        <f t="shared" si="58"/>
        <v>4043/4044</v>
      </c>
      <c r="L141" s="25" t="str">
        <f>VLOOKUP(A141,'Trips&amp;Operators'!$C$1:$E$10000,3,FALSE)</f>
        <v>LEVIN</v>
      </c>
      <c r="M141" s="6">
        <f t="shared" si="59"/>
        <v>2.6770833334012423E-2</v>
      </c>
      <c r="N141" s="7">
        <f t="shared" si="57"/>
        <v>38.550000000977889</v>
      </c>
      <c r="O141" s="7"/>
      <c r="P141" s="7"/>
      <c r="Q141" s="26"/>
      <c r="R141" s="26"/>
      <c r="S141" s="40">
        <f t="shared" si="60"/>
        <v>1</v>
      </c>
      <c r="T141" s="57" t="str">
        <f t="shared" si="61"/>
        <v>NorthBound</v>
      </c>
      <c r="U141" s="82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18:56:40-0600',mode:absolute,to:'2016-08-03 21:37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1" s="62" t="str">
        <f t="shared" si="63"/>
        <v>N</v>
      </c>
      <c r="X141" s="124">
        <f t="shared" si="64"/>
        <v>1</v>
      </c>
      <c r="Y141" s="77">
        <f t="shared" si="65"/>
        <v>4.5999999999999999E-2</v>
      </c>
      <c r="Z141" s="77">
        <f t="shared" si="66"/>
        <v>23.331900000000001</v>
      </c>
      <c r="AA141" s="77">
        <f t="shared" si="67"/>
        <v>23.285900000000002</v>
      </c>
      <c r="AB141" s="74" t="e">
        <f>VLOOKUP(A141,Enforcements!$C$7:$J$24,8,0)</f>
        <v>#N/A</v>
      </c>
      <c r="AC141" s="70" t="e">
        <f>VLOOKUP(A141,Enforcements!$C$7:$E$24,3,0)</f>
        <v>#N/A</v>
      </c>
      <c r="AD141" s="71" t="str">
        <f t="shared" si="68"/>
        <v>0225-03</v>
      </c>
      <c r="AE141" s="131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41" s="128" t="str">
        <f t="shared" si="70"/>
        <v>"C:\Program Files (x86)\AstroGrep\AstroGrep.exe" /spath="%USERPROFILE%\AppData\Local\Temp\OnboardLogs" /stypes="*4044*20160804*" /stext=" 02:.+((SYSTEM_STATE.+slice.+state.+changed )|(ment ac)|(system.+state.+changed )|(\|lc)|(penalty)|(\[timeout)|(PRM\|1\|D)|(kpr)|(kdp))" /e /r /s</v>
      </c>
      <c r="AG141" s="1" t="str">
        <f t="shared" si="71"/>
        <v>EC</v>
      </c>
      <c r="AH141" s="132" t="str">
        <f>refinertdcruntimes&amp;" --tripid "&amp;A141&amp;" --locoid "&amp;B141&amp;" --swversion "&amp;C141&amp;" --startMP "&amp;D141&amp;" --initTime "&amp;TEXT(E141,"yyyy-mm-ddTHH:MM:SS")&amp;" --startdatetime "&amp;TEXT(F141,"yyyy-mm-ddTHH:MM:SS")&amp;" --delay "&amp;G141&amp;" --endMP "&amp;H141&amp;" --enddatetime "&amp;TEXT(I141,"yyyy-mm-ddTHH:MM:SS")&amp;" --enforcementcount "&amp;J141&amp;" &gt;&gt; "&amp;TEXT(Variables!$A$2,"yyyy-mm-dd")&amp;"-refined-runtimes.txt"</f>
        <v>"%USERPROFILE%\Documents\GitHub\eaglep3\Utilities\RefineRTDCRunTimes.py" --tripid 225-03 --locoid 4044 --swversion DE.1.0.7.0 --startMP 204:460 --initTime 2016-08-03T19:56:40 --startdatetime 2016-08-03T19:58:28 --delay 1 --endMP 204:233319 --enddatetime 2016-08-03T20:37:01 --enforcementcount 0 &gt;&gt; 2016-08-03-refined-runtimes.txt</v>
      </c>
    </row>
    <row r="142" spans="1:34" x14ac:dyDescent="0.25">
      <c r="A142" s="25" t="s">
        <v>676</v>
      </c>
      <c r="B142" s="94">
        <v>4043</v>
      </c>
      <c r="C142" s="95" t="s">
        <v>163</v>
      </c>
      <c r="D142" s="95" t="s">
        <v>165</v>
      </c>
      <c r="E142" s="96">
        <v>42585.864849537036</v>
      </c>
      <c r="F142" s="96">
        <v>42585.865578703706</v>
      </c>
      <c r="G142" s="94">
        <v>1</v>
      </c>
      <c r="H142" s="96" t="s">
        <v>188</v>
      </c>
      <c r="I142" s="96">
        <v>42585.899594907409</v>
      </c>
      <c r="J142" s="94">
        <v>0</v>
      </c>
      <c r="K142" s="121" t="str">
        <f t="shared" si="58"/>
        <v>4043/4044</v>
      </c>
      <c r="L142" s="25" t="str">
        <f>VLOOKUP(A142,'Trips&amp;Operators'!$C$1:$E$10000,3,FALSE)</f>
        <v>LEVIN</v>
      </c>
      <c r="M142" s="6">
        <f t="shared" si="59"/>
        <v>3.4016203702776693E-2</v>
      </c>
      <c r="N142" s="7">
        <f t="shared" si="57"/>
        <v>48.983333331998438</v>
      </c>
      <c r="O142" s="7"/>
      <c r="P142" s="7"/>
      <c r="Q142" s="26"/>
      <c r="R142" s="26"/>
      <c r="S142" s="40">
        <f t="shared" si="60"/>
        <v>1</v>
      </c>
      <c r="T142" s="57" t="str">
        <f t="shared" si="61"/>
        <v>Southbound</v>
      </c>
      <c r="U142" s="82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19:45:23-0600',mode:absolute,to:'2016-08-03 22:35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2" s="62" t="str">
        <f t="shared" si="63"/>
        <v>N</v>
      </c>
      <c r="X142" s="124">
        <f t="shared" si="64"/>
        <v>1</v>
      </c>
      <c r="Y142" s="77">
        <f t="shared" si="65"/>
        <v>23.2989</v>
      </c>
      <c r="Z142" s="77">
        <f t="shared" si="66"/>
        <v>1.34E-2</v>
      </c>
      <c r="AA142" s="77">
        <f t="shared" si="67"/>
        <v>23.285499999999999</v>
      </c>
      <c r="AB142" s="74" t="e">
        <f>VLOOKUP(A142,Enforcements!$C$7:$J$24,8,0)</f>
        <v>#N/A</v>
      </c>
      <c r="AC142" s="70" t="e">
        <f>VLOOKUP(A142,Enforcements!$C$7:$E$24,3,0)</f>
        <v>#N/A</v>
      </c>
      <c r="AD142" s="71" t="str">
        <f t="shared" si="68"/>
        <v>0226-03</v>
      </c>
      <c r="AE142" s="131" t="str">
        <f t="shared" si="69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42" s="128" t="str">
        <f t="shared" si="70"/>
        <v>"C:\Program Files (x86)\AstroGrep\AstroGrep.exe" /spath="%USERPROFILE%\AppData\Local\Temp\OnboardLogs" /stypes="*4043*20160804*" /stext=" 03:.+((SYSTEM_STATE.+slice.+state.+changed )|(ment ac)|(system.+state.+changed )|(\|lc)|(penalty)|(\[timeout)|(PRM\|1\|D)|(kpr)|(kdp))" /e /r /s</v>
      </c>
      <c r="AG142" s="1" t="str">
        <f t="shared" si="71"/>
        <v>EC</v>
      </c>
      <c r="AH142" s="132" t="str">
        <f>refinertdcruntimes&amp;" --tripid "&amp;A142&amp;" --locoid "&amp;B142&amp;" --swversion "&amp;C142&amp;" --startMP "&amp;D142&amp;" --initTime "&amp;TEXT(E142,"yyyy-mm-ddTHH:MM:SS")&amp;" --startdatetime "&amp;TEXT(F142,"yyyy-mm-ddTHH:MM:SS")&amp;" --delay "&amp;G142&amp;" --endMP "&amp;H142&amp;" --enddatetime "&amp;TEXT(I142,"yyyy-mm-ddTHH:MM:SS")&amp;" --enforcementcount "&amp;J142&amp;" &gt;&gt; "&amp;TEXT(Variables!$A$2,"yyyy-mm-dd")&amp;"-refined-runtimes.txt"</f>
        <v>"%USERPROFILE%\Documents\GitHub\eaglep3\Utilities\RefineRTDCRunTimes.py" --tripid 226-03 --locoid 4043 --swversion DE.1.0.7.0 --startMP 204:232989 --initTime 2016-08-03T20:45:23 --startdatetime 2016-08-03T20:46:26 --delay 1 --endMP 204:134 --enddatetime 2016-08-03T21:35:25 --enforcementcount 0 &gt;&gt; 2016-08-03-refined-runtimes.txt</v>
      </c>
    </row>
    <row r="143" spans="1:34" x14ac:dyDescent="0.25">
      <c r="A143" s="25" t="s">
        <v>677</v>
      </c>
      <c r="B143" s="94">
        <v>4040</v>
      </c>
      <c r="C143" s="95" t="s">
        <v>163</v>
      </c>
      <c r="D143" s="95" t="s">
        <v>678</v>
      </c>
      <c r="E143" s="96">
        <v>42585.85050925926</v>
      </c>
      <c r="F143" s="96">
        <v>42585.851689814815</v>
      </c>
      <c r="G143" s="94">
        <v>1</v>
      </c>
      <c r="H143" s="96" t="s">
        <v>679</v>
      </c>
      <c r="I143" s="96">
        <v>42585.879363425927</v>
      </c>
      <c r="J143" s="94">
        <v>0</v>
      </c>
      <c r="K143" s="121" t="str">
        <f t="shared" si="58"/>
        <v>4039/4040</v>
      </c>
      <c r="L143" s="25" t="str">
        <f>VLOOKUP(A143,'Trips&amp;Operators'!$C$1:$E$10000,3,FALSE)</f>
        <v>COOLAHAN</v>
      </c>
      <c r="M143" s="6">
        <f t="shared" si="59"/>
        <v>2.7673611111822538E-2</v>
      </c>
      <c r="N143" s="7">
        <f t="shared" si="57"/>
        <v>39.850000001024455</v>
      </c>
      <c r="O143" s="7"/>
      <c r="P143" s="7"/>
      <c r="Q143" s="26"/>
      <c r="R143" s="26"/>
      <c r="S143" s="40">
        <f t="shared" si="60"/>
        <v>1</v>
      </c>
      <c r="T143" s="57" t="str">
        <f t="shared" si="61"/>
        <v>NorthBound</v>
      </c>
      <c r="U143" s="82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19:24:44-0600',mode:absolute,to:'2016-08-03 22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3" s="62" t="str">
        <f t="shared" si="63"/>
        <v>N</v>
      </c>
      <c r="X143" s="124">
        <f t="shared" si="64"/>
        <v>1</v>
      </c>
      <c r="Y143" s="77">
        <f t="shared" si="65"/>
        <v>4.1300000000000003E-2</v>
      </c>
      <c r="Z143" s="77">
        <f t="shared" si="66"/>
        <v>23.332100000000001</v>
      </c>
      <c r="AA143" s="77">
        <f t="shared" si="67"/>
        <v>23.290800000000001</v>
      </c>
      <c r="AB143" s="74" t="e">
        <f>VLOOKUP(A143,Enforcements!$C$7:$J$24,8,0)</f>
        <v>#N/A</v>
      </c>
      <c r="AC143" s="70" t="e">
        <f>VLOOKUP(A143,Enforcements!$C$7:$E$24,3,0)</f>
        <v>#N/A</v>
      </c>
      <c r="AD143" s="71" t="str">
        <f t="shared" si="68"/>
        <v>0227-03</v>
      </c>
      <c r="AE143" s="131" t="str">
        <f t="shared" si="69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43" s="128" t="str">
        <f t="shared" si="70"/>
        <v>"C:\Program Files (x86)\AstroGrep\AstroGrep.exe" /spath="%USERPROFILE%\AppData\Local\Temp\OnboardLogs" /stypes="*4040*20160804*" /stext=" 03:.+((SYSTEM_STATE.+slice.+state.+changed )|(ment ac)|(system.+state.+changed )|(\|lc)|(penalty)|(\[timeout)|(PRM\|1\|D)|(kpr)|(kdp))" /e /r /s</v>
      </c>
      <c r="AG143" s="1" t="str">
        <f t="shared" si="71"/>
        <v>EC</v>
      </c>
      <c r="AH143" s="132" t="str">
        <f>refinertdcruntimes&amp;" --tripid "&amp;A143&amp;" --locoid "&amp;B143&amp;" --swversion "&amp;C143&amp;" --startMP "&amp;D143&amp;" --initTime "&amp;TEXT(E143,"yyyy-mm-ddTHH:MM:SS")&amp;" --startdatetime "&amp;TEXT(F143,"yyyy-mm-ddTHH:MM:SS")&amp;" --delay "&amp;G143&amp;" --endMP "&amp;H143&amp;" --enddatetime "&amp;TEXT(I143,"yyyy-mm-ddTHH:MM:SS")&amp;" --enforcementcount "&amp;J143&amp;" &gt;&gt; "&amp;TEXT(Variables!$A$2,"yyyy-mm-dd")&amp;"-refined-runtimes.txt"</f>
        <v>"%USERPROFILE%\Documents\GitHub\eaglep3\Utilities\RefineRTDCRunTimes.py" --tripid 227-03 --locoid 4040 --swversion DE.1.0.7.0 --startMP 204:413 --initTime 2016-08-03T20:24:44 --startdatetime 2016-08-03T20:26:26 --delay 1 --endMP 204:233321 --enddatetime 2016-08-03T21:06:17 --enforcementcount 0 &gt;&gt; 2016-08-03-refined-runtimes.txt</v>
      </c>
    </row>
    <row r="144" spans="1:34" x14ac:dyDescent="0.25">
      <c r="A144" s="25" t="s">
        <v>680</v>
      </c>
      <c r="B144" s="94">
        <v>4039</v>
      </c>
      <c r="C144" s="95" t="s">
        <v>163</v>
      </c>
      <c r="D144" s="95" t="s">
        <v>165</v>
      </c>
      <c r="E144" s="96">
        <v>42585.888715277775</v>
      </c>
      <c r="F144" s="96">
        <v>42585.891203703701</v>
      </c>
      <c r="G144" s="94">
        <v>3</v>
      </c>
      <c r="H144" s="96" t="s">
        <v>393</v>
      </c>
      <c r="I144" s="96">
        <v>42585.920219907406</v>
      </c>
      <c r="J144" s="94">
        <v>0</v>
      </c>
      <c r="K144" s="121" t="str">
        <f t="shared" si="58"/>
        <v>4039/4040</v>
      </c>
      <c r="L144" s="25" t="str">
        <f>VLOOKUP(A144,'Trips&amp;Operators'!$C$1:$E$10000,3,FALSE)</f>
        <v>COOLAHAN</v>
      </c>
      <c r="M144" s="6">
        <f t="shared" si="59"/>
        <v>2.9016203705396038E-2</v>
      </c>
      <c r="N144" s="7">
        <f t="shared" si="57"/>
        <v>41.783333335770294</v>
      </c>
      <c r="O144" s="7"/>
      <c r="P144" s="7"/>
      <c r="Q144" s="26"/>
      <c r="R144" s="26"/>
      <c r="S144" s="40">
        <f t="shared" si="60"/>
        <v>1</v>
      </c>
      <c r="T144" s="57" t="str">
        <f t="shared" si="61"/>
        <v>Southbound</v>
      </c>
      <c r="U144" s="82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20:19:45-0600',mode:absolute,to:'2016-08-03 23:05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4" s="62" t="str">
        <f t="shared" si="63"/>
        <v>N</v>
      </c>
      <c r="X144" s="124">
        <f t="shared" si="64"/>
        <v>1</v>
      </c>
      <c r="Y144" s="77">
        <f t="shared" si="65"/>
        <v>23.2989</v>
      </c>
      <c r="Z144" s="77">
        <f t="shared" si="66"/>
        <v>1.3599999999999999E-2</v>
      </c>
      <c r="AA144" s="77">
        <f t="shared" si="67"/>
        <v>23.285299999999999</v>
      </c>
      <c r="AB144" s="74" t="e">
        <f>VLOOKUP(A144,Enforcements!$C$7:$J$24,8,0)</f>
        <v>#N/A</v>
      </c>
      <c r="AC144" s="70" t="e">
        <f>VLOOKUP(A144,Enforcements!$C$7:$E$24,3,0)</f>
        <v>#N/A</v>
      </c>
      <c r="AD144" s="71" t="str">
        <f t="shared" si="68"/>
        <v>0228-03</v>
      </c>
      <c r="AE144" s="131" t="str">
        <f t="shared" si="69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44" s="128" t="str">
        <f t="shared" si="70"/>
        <v>"C:\Program Files (x86)\AstroGrep\AstroGrep.exe" /spath="%USERPROFILE%\AppData\Local\Temp\OnboardLogs" /stypes="*4039*20160804*" /stext=" 04:.+((SYSTEM_STATE.+slice.+state.+changed )|(ment ac)|(system.+state.+changed )|(\|lc)|(penalty)|(\[timeout)|(PRM\|1\|D)|(kpr)|(kdp))" /e /r /s</v>
      </c>
      <c r="AG144" s="1" t="str">
        <f t="shared" si="71"/>
        <v>EC</v>
      </c>
      <c r="AH144" s="132" t="str">
        <f>refinertdcruntimes&amp;" --tripid "&amp;A144&amp;" --locoid "&amp;B144&amp;" --swversion "&amp;C144&amp;" --startMP "&amp;D144&amp;" --initTime "&amp;TEXT(E144,"yyyy-mm-ddTHH:MM:SS")&amp;" --startdatetime "&amp;TEXT(F144,"yyyy-mm-ddTHH:MM:SS")&amp;" --delay "&amp;G144&amp;" --endMP "&amp;H144&amp;" --enddatetime "&amp;TEXT(I144,"yyyy-mm-ddTHH:MM:SS")&amp;" --enforcementcount "&amp;J144&amp;" &gt;&gt; "&amp;TEXT(Variables!$A$2,"yyyy-mm-dd")&amp;"-refined-runtimes.txt"</f>
        <v>"%USERPROFILE%\Documents\GitHub\eaglep3\Utilities\RefineRTDCRunTimes.py" --tripid 228-03 --locoid 4039 --swversion DE.1.0.7.0 --startMP 204:232989 --initTime 2016-08-03T21:19:45 --startdatetime 2016-08-03T21:23:20 --delay 3 --endMP 204:136 --enddatetime 2016-08-03T22:05:07 --enforcementcount 0 &gt;&gt; 2016-08-03-refined-runtimes.txt</v>
      </c>
    </row>
    <row r="145" spans="1:34" x14ac:dyDescent="0.25">
      <c r="A145" s="25" t="s">
        <v>681</v>
      </c>
      <c r="B145" s="94">
        <v>4025</v>
      </c>
      <c r="C145" s="95" t="s">
        <v>163</v>
      </c>
      <c r="D145" s="95" t="s">
        <v>140</v>
      </c>
      <c r="E145" s="96">
        <v>42585.869988425926</v>
      </c>
      <c r="F145" s="96">
        <v>42585.87122685185</v>
      </c>
      <c r="G145" s="94">
        <v>1</v>
      </c>
      <c r="H145" s="96" t="s">
        <v>682</v>
      </c>
      <c r="I145" s="96">
        <v>42585.900972222225</v>
      </c>
      <c r="J145" s="94">
        <v>0</v>
      </c>
      <c r="K145" s="121" t="str">
        <f t="shared" si="58"/>
        <v>4025/4026</v>
      </c>
      <c r="L145" s="25" t="str">
        <f>VLOOKUP(A145,'Trips&amp;Operators'!$C$1:$E$10000,3,FALSE)</f>
        <v>STURGEON</v>
      </c>
      <c r="M145" s="6">
        <f t="shared" si="59"/>
        <v>2.9745370375167113E-2</v>
      </c>
      <c r="N145" s="7">
        <f t="shared" si="57"/>
        <v>42.833333340240642</v>
      </c>
      <c r="O145" s="7"/>
      <c r="P145" s="7"/>
      <c r="Q145" s="26"/>
      <c r="R145" s="26"/>
      <c r="S145" s="40">
        <f t="shared" si="60"/>
        <v>1</v>
      </c>
      <c r="T145" s="57" t="str">
        <f t="shared" si="61"/>
        <v>NorthBound</v>
      </c>
      <c r="U145" s="82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19:52:47-0600',mode:absolute,to:'2016-08-03 22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5" s="62" t="str">
        <f t="shared" si="63"/>
        <v>N</v>
      </c>
      <c r="X145" s="124">
        <f t="shared" si="64"/>
        <v>1</v>
      </c>
      <c r="Y145" s="77">
        <f t="shared" si="65"/>
        <v>4.6199999999999998E-2</v>
      </c>
      <c r="Z145" s="77">
        <f t="shared" si="66"/>
        <v>23.326799999999999</v>
      </c>
      <c r="AA145" s="77">
        <f t="shared" si="67"/>
        <v>23.2806</v>
      </c>
      <c r="AB145" s="74" t="e">
        <f>VLOOKUP(A145,Enforcements!$C$7:$J$24,8,0)</f>
        <v>#N/A</v>
      </c>
      <c r="AC145" s="70" t="e">
        <f>VLOOKUP(A145,Enforcements!$C$7:$E$24,3,0)</f>
        <v>#N/A</v>
      </c>
      <c r="AD145" s="71" t="str">
        <f t="shared" si="68"/>
        <v>0229-03</v>
      </c>
      <c r="AE145" s="131" t="str">
        <f t="shared" si="69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45" s="128" t="str">
        <f t="shared" si="70"/>
        <v>"C:\Program Files (x86)\AstroGrep\AstroGrep.exe" /spath="%USERPROFILE%\AppData\Local\Temp\OnboardLogs" /stypes="*4025*20160804*" /stext=" 03:.+((SYSTEM_STATE.+slice.+state.+changed )|(ment ac)|(system.+state.+changed )|(\|lc)|(penalty)|(\[timeout)|(PRM\|1\|D)|(kpr)|(kdp))" /e /r /s</v>
      </c>
      <c r="AG145" s="1" t="str">
        <f t="shared" si="71"/>
        <v>EC</v>
      </c>
      <c r="AH145" s="132" t="str">
        <f>refinertdcruntimes&amp;" --tripid "&amp;A145&amp;" --locoid "&amp;B145&amp;" --swversion "&amp;C145&amp;" --startMP "&amp;D145&amp;" --initTime "&amp;TEXT(E145,"yyyy-mm-ddTHH:MM:SS")&amp;" --startdatetime "&amp;TEXT(F145,"yyyy-mm-ddTHH:MM:SS")&amp;" --delay "&amp;G145&amp;" --endMP "&amp;H145&amp;" --enddatetime "&amp;TEXT(I145,"yyyy-mm-ddTHH:MM:SS")&amp;" --enforcementcount "&amp;J145&amp;" &gt;&gt; "&amp;TEXT(Variables!$A$2,"yyyy-mm-dd")&amp;"-refined-runtimes.txt"</f>
        <v>"%USERPROFILE%\Documents\GitHub\eaglep3\Utilities\RefineRTDCRunTimes.py" --tripid 229-03 --locoid 4025 --swversion DE.1.0.7.0 --startMP 204:462 --initTime 2016-08-03T20:52:47 --startdatetime 2016-08-03T20:54:34 --delay 1 --endMP 204:233268 --enddatetime 2016-08-03T21:37:24 --enforcementcount 0 &gt;&gt; 2016-08-03-refined-runtimes.txt</v>
      </c>
    </row>
    <row r="146" spans="1:34" x14ac:dyDescent="0.25">
      <c r="A146" s="25" t="s">
        <v>683</v>
      </c>
      <c r="B146" s="94">
        <v>4026</v>
      </c>
      <c r="C146" s="95" t="s">
        <v>163</v>
      </c>
      <c r="D146" s="95" t="s">
        <v>364</v>
      </c>
      <c r="E146" s="96">
        <v>42585.907731481479</v>
      </c>
      <c r="F146" s="96">
        <v>42585.909618055557</v>
      </c>
      <c r="G146" s="94">
        <v>2</v>
      </c>
      <c r="H146" s="96" t="s">
        <v>629</v>
      </c>
      <c r="I146" s="96">
        <v>42585.94253472222</v>
      </c>
      <c r="J146" s="94">
        <v>0</v>
      </c>
      <c r="K146" s="121" t="str">
        <f t="shared" si="58"/>
        <v>4025/4026</v>
      </c>
      <c r="L146" s="25" t="str">
        <f>VLOOKUP(A146,'Trips&amp;Operators'!$C$1:$E$10000,3,FALSE)</f>
        <v>STURGEON</v>
      </c>
      <c r="M146" s="6">
        <f t="shared" si="59"/>
        <v>3.2916666663368233E-2</v>
      </c>
      <c r="N146" s="7">
        <f t="shared" si="57"/>
        <v>47.399999995250255</v>
      </c>
      <c r="O146" s="7"/>
      <c r="P146" s="7"/>
      <c r="Q146" s="26"/>
      <c r="R146" s="26"/>
      <c r="S146" s="40">
        <f t="shared" si="60"/>
        <v>1</v>
      </c>
      <c r="T146" s="57" t="str">
        <f t="shared" si="61"/>
        <v>Southbound</v>
      </c>
      <c r="U146" s="82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20:47:08-0600',mode:absolute,to:'2016-08-03 23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6" s="62" t="str">
        <f t="shared" si="63"/>
        <v>N</v>
      </c>
      <c r="X146" s="124">
        <f t="shared" si="64"/>
        <v>1</v>
      </c>
      <c r="Y146" s="77">
        <f t="shared" si="65"/>
        <v>23.2959</v>
      </c>
      <c r="Z146" s="77">
        <f t="shared" si="66"/>
        <v>1.7600000000000001E-2</v>
      </c>
      <c r="AA146" s="77">
        <f t="shared" si="67"/>
        <v>23.278299999999998</v>
      </c>
      <c r="AB146" s="74" t="e">
        <f>VLOOKUP(A146,Enforcements!$C$7:$J$24,8,0)</f>
        <v>#N/A</v>
      </c>
      <c r="AC146" s="70" t="e">
        <f>VLOOKUP(A146,Enforcements!$C$7:$E$24,3,0)</f>
        <v>#N/A</v>
      </c>
      <c r="AD146" s="71" t="str">
        <f t="shared" si="68"/>
        <v>0230-03</v>
      </c>
      <c r="AE146" s="131" t="str">
        <f t="shared" si="69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46" s="128" t="str">
        <f t="shared" si="70"/>
        <v>"C:\Program Files (x86)\AstroGrep\AstroGrep.exe" /spath="%USERPROFILE%\AppData\Local\Temp\OnboardLogs" /stypes="*4026*20160804*" /stext=" 04:.+((SYSTEM_STATE.+slice.+state.+changed )|(ment ac)|(system.+state.+changed )|(\|lc)|(penalty)|(\[timeout)|(PRM\|1\|D)|(kpr)|(kdp))" /e /r /s</v>
      </c>
      <c r="AG146" s="1" t="str">
        <f t="shared" si="71"/>
        <v>EC</v>
      </c>
      <c r="AH146" s="132" t="str">
        <f>refinertdcruntimes&amp;" --tripid "&amp;A146&amp;" --locoid "&amp;B146&amp;" --swversion "&amp;C146&amp;" --startMP "&amp;D146&amp;" --initTime "&amp;TEXT(E146,"yyyy-mm-ddTHH:MM:SS")&amp;" --startdatetime "&amp;TEXT(F146,"yyyy-mm-ddTHH:MM:SS")&amp;" --delay "&amp;G146&amp;" --endMP "&amp;H146&amp;" --enddatetime "&amp;TEXT(I146,"yyyy-mm-ddTHH:MM:SS")&amp;" --enforcementcount "&amp;J146&amp;" &gt;&gt; "&amp;TEXT(Variables!$A$2,"yyyy-mm-dd")&amp;"-refined-runtimes.txt"</f>
        <v>"%USERPROFILE%\Documents\GitHub\eaglep3\Utilities\RefineRTDCRunTimes.py" --tripid 230-03 --locoid 4026 --swversion DE.1.0.7.0 --startMP 204:232959 --initTime 2016-08-03T21:47:08 --startdatetime 2016-08-03T21:49:51 --delay 2 --endMP 204:176 --enddatetime 2016-08-03T22:37:15 --enforcementcount 0 &gt;&gt; 2016-08-03-refined-runtimes.txt</v>
      </c>
    </row>
    <row r="147" spans="1:34" x14ac:dyDescent="0.25">
      <c r="A147" s="25" t="s">
        <v>684</v>
      </c>
      <c r="B147" s="94">
        <v>4014</v>
      </c>
      <c r="C147" s="95" t="s">
        <v>163</v>
      </c>
      <c r="D147" s="95" t="s">
        <v>562</v>
      </c>
      <c r="E147" s="96">
        <v>42585.892222222225</v>
      </c>
      <c r="F147" s="96">
        <v>42585.893194444441</v>
      </c>
      <c r="G147" s="94">
        <v>1</v>
      </c>
      <c r="H147" s="96" t="s">
        <v>405</v>
      </c>
      <c r="I147" s="96">
        <v>42585.9221875</v>
      </c>
      <c r="J147" s="94">
        <v>0</v>
      </c>
      <c r="K147" s="121" t="str">
        <f t="shared" si="58"/>
        <v>4013/4014</v>
      </c>
      <c r="L147" s="25" t="str">
        <f>VLOOKUP(A147,'Trips&amp;Operators'!$C$1:$E$10000,3,FALSE)</f>
        <v>HAITHCOX</v>
      </c>
      <c r="M147" s="6">
        <f t="shared" si="59"/>
        <v>2.899305555911269E-2</v>
      </c>
      <c r="N147" s="7">
        <f t="shared" si="57"/>
        <v>41.750000005122274</v>
      </c>
      <c r="O147" s="7"/>
      <c r="P147" s="7"/>
      <c r="Q147" s="26"/>
      <c r="R147" s="26"/>
      <c r="S147" s="40">
        <f t="shared" si="60"/>
        <v>1</v>
      </c>
      <c r="T147" s="57" t="str">
        <f t="shared" si="61"/>
        <v>NorthBound</v>
      </c>
      <c r="U147" s="82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20:24:48-0600',mode:absolute,to:'2016-08-03 23:07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7" s="62" t="str">
        <f t="shared" si="63"/>
        <v>N</v>
      </c>
      <c r="X147" s="124">
        <f t="shared" si="64"/>
        <v>1</v>
      </c>
      <c r="Y147" s="77">
        <f t="shared" si="65"/>
        <v>4.3299999999999998E-2</v>
      </c>
      <c r="Z147" s="77">
        <f t="shared" si="66"/>
        <v>23.33</v>
      </c>
      <c r="AA147" s="77">
        <f t="shared" si="67"/>
        <v>23.2867</v>
      </c>
      <c r="AB147" s="74" t="e">
        <f>VLOOKUP(A147,Enforcements!$C$7:$J$24,8,0)</f>
        <v>#N/A</v>
      </c>
      <c r="AC147" s="70" t="e">
        <f>VLOOKUP(A147,Enforcements!$C$7:$E$24,3,0)</f>
        <v>#N/A</v>
      </c>
      <c r="AD147" s="71" t="str">
        <f t="shared" si="68"/>
        <v>0231-03</v>
      </c>
      <c r="AE147" s="131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47" s="128" t="str">
        <f t="shared" si="70"/>
        <v>"C:\Program Files (x86)\AstroGrep\AstroGrep.exe" /spath="%USERPROFILE%\AppData\Local\Temp\OnboardLogs" /stypes="*4014*20160804*" /stext=" 04:.+((SYSTEM_STATE.+slice.+state.+changed )|(ment ac)|(system.+state.+changed )|(\|lc)|(penalty)|(\[timeout)|(PRM\|1\|D)|(kpr)|(kdp))" /e /r /s</v>
      </c>
      <c r="AG147" s="1" t="str">
        <f t="shared" si="71"/>
        <v>EC</v>
      </c>
      <c r="AH147" s="132" t="str">
        <f>refinertdcruntimes&amp;" --tripid "&amp;A147&amp;" --locoid "&amp;B147&amp;" --swversion "&amp;C147&amp;" --startMP "&amp;D147&amp;" --initTime "&amp;TEXT(E147,"yyyy-mm-ddTHH:MM:SS")&amp;" --startdatetime "&amp;TEXT(F147,"yyyy-mm-ddTHH:MM:SS")&amp;" --delay "&amp;G147&amp;" --endMP "&amp;H147&amp;" --enddatetime "&amp;TEXT(I147,"yyyy-mm-ddTHH:MM:SS")&amp;" --enforcementcount "&amp;J147&amp;" &gt;&gt; "&amp;TEXT(Variables!$A$2,"yyyy-mm-dd")&amp;"-refined-runtimes.txt"</f>
        <v>"%USERPROFILE%\Documents\GitHub\eaglep3\Utilities\RefineRTDCRunTimes.py" --tripid 231-03 --locoid 4014 --swversion DE.1.0.7.0 --startMP 204:433 --initTime 2016-08-03T21:24:48 --startdatetime 2016-08-03T21:26:12 --delay 1 --endMP 204:233300 --enddatetime 2016-08-03T22:07:57 --enforcementcount 0 &gt;&gt; 2016-08-03-refined-runtimes.txt</v>
      </c>
    </row>
    <row r="148" spans="1:34" x14ac:dyDescent="0.25">
      <c r="A148" s="25" t="s">
        <v>685</v>
      </c>
      <c r="B148" s="94">
        <v>4013</v>
      </c>
      <c r="C148" s="95" t="s">
        <v>163</v>
      </c>
      <c r="D148" s="95" t="s">
        <v>394</v>
      </c>
      <c r="E148" s="96">
        <v>42585.930277777778</v>
      </c>
      <c r="F148" s="96">
        <v>42585.931539351855</v>
      </c>
      <c r="G148" s="94">
        <v>1</v>
      </c>
      <c r="H148" s="96" t="s">
        <v>139</v>
      </c>
      <c r="I148" s="96">
        <v>42585.961504629631</v>
      </c>
      <c r="J148" s="94">
        <v>0</v>
      </c>
      <c r="K148" s="121" t="str">
        <f t="shared" si="58"/>
        <v>4013/4014</v>
      </c>
      <c r="L148" s="25" t="str">
        <f>VLOOKUP(A148,'Trips&amp;Operators'!$C$1:$E$10000,3,FALSE)</f>
        <v>HAITHCOX</v>
      </c>
      <c r="M148" s="6">
        <f t="shared" si="59"/>
        <v>2.9965277775772847E-2</v>
      </c>
      <c r="N148" s="7">
        <f t="shared" si="57"/>
        <v>43.1499999971129</v>
      </c>
      <c r="O148" s="7"/>
      <c r="P148" s="7"/>
      <c r="Q148" s="26"/>
      <c r="R148" s="26"/>
      <c r="S148" s="40">
        <f t="shared" si="60"/>
        <v>1</v>
      </c>
      <c r="T148" s="57" t="str">
        <f t="shared" si="61"/>
        <v>Southbound</v>
      </c>
      <c r="U148" s="82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21:19:36-0600',mode:absolute,to:'2016-08-04 00:04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8" s="62" t="str">
        <f t="shared" si="63"/>
        <v>N</v>
      </c>
      <c r="X148" s="124">
        <f t="shared" si="64"/>
        <v>1</v>
      </c>
      <c r="Y148" s="77">
        <f t="shared" si="65"/>
        <v>23.299099999999999</v>
      </c>
      <c r="Z148" s="77">
        <f t="shared" si="66"/>
        <v>1.3899999999999999E-2</v>
      </c>
      <c r="AA148" s="77">
        <f t="shared" si="67"/>
        <v>23.2852</v>
      </c>
      <c r="AB148" s="74" t="e">
        <f>VLOOKUP(A148,Enforcements!$C$7:$J$24,8,0)</f>
        <v>#N/A</v>
      </c>
      <c r="AC148" s="70" t="e">
        <f>VLOOKUP(A148,Enforcements!$C$7:$E$24,3,0)</f>
        <v>#N/A</v>
      </c>
      <c r="AD148" s="71" t="str">
        <f t="shared" si="68"/>
        <v>0232-03</v>
      </c>
      <c r="AE148" s="131" t="str">
        <f t="shared" si="69"/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AF148" s="128" t="str">
        <f t="shared" si="70"/>
        <v>"C:\Program Files (x86)\AstroGrep\AstroGrep.exe" /spath="%USERPROFILE%\AppData\Local\Temp\OnboardLogs" /stypes="*4013*20160804*" /stext=" 05:.+((SYSTEM_STATE.+slice.+state.+changed )|(ment ac)|(system.+state.+changed )|(\|lc)|(penalty)|(\[timeout)|(PRM\|1\|D)|(kpr)|(kdp))" /e /r /s</v>
      </c>
      <c r="AG148" s="1" t="str">
        <f t="shared" si="71"/>
        <v>EC</v>
      </c>
      <c r="AH148" s="132" t="str">
        <f>refinertdcruntimes&amp;" --tripid "&amp;A148&amp;" --locoid "&amp;B148&amp;" --swversion "&amp;C148&amp;" --startMP "&amp;D148&amp;" --initTime "&amp;TEXT(E148,"yyyy-mm-ddTHH:MM:SS")&amp;" --startdatetime "&amp;TEXT(F148,"yyyy-mm-ddTHH:MM:SS")&amp;" --delay "&amp;G148&amp;" --endMP "&amp;H148&amp;" --enddatetime "&amp;TEXT(I148,"yyyy-mm-ddTHH:MM:SS")&amp;" --enforcementcount "&amp;J148&amp;" &gt;&gt; "&amp;TEXT(Variables!$A$2,"yyyy-mm-dd")&amp;"-refined-runtimes.txt"</f>
        <v>"%USERPROFILE%\Documents\GitHub\eaglep3\Utilities\RefineRTDCRunTimes.py" --tripid 232-03 --locoid 4013 --swversion DE.1.0.7.0 --startMP 204:232991 --initTime 2016-08-03T22:19:36 --startdatetime 2016-08-03T22:21:25 --delay 1 --endMP 204:139 --enddatetime 2016-08-03T23:04:34 --enforcementcount 0 &gt;&gt; 2016-08-03-refined-runtimes.txt</v>
      </c>
    </row>
    <row r="149" spans="1:34" x14ac:dyDescent="0.25">
      <c r="A149" s="25" t="s">
        <v>686</v>
      </c>
      <c r="B149" s="94">
        <v>4044</v>
      </c>
      <c r="C149" s="95" t="s">
        <v>163</v>
      </c>
      <c r="D149" s="95" t="s">
        <v>387</v>
      </c>
      <c r="E149" s="96">
        <v>42585.906851851854</v>
      </c>
      <c r="F149" s="96">
        <v>42585.907951388886</v>
      </c>
      <c r="G149" s="94">
        <v>1</v>
      </c>
      <c r="H149" s="96" t="s">
        <v>390</v>
      </c>
      <c r="I149" s="96">
        <v>42585.94153935185</v>
      </c>
      <c r="J149" s="94">
        <v>0</v>
      </c>
      <c r="K149" s="121" t="str">
        <f t="shared" si="58"/>
        <v>4043/4044</v>
      </c>
      <c r="L149" s="25" t="str">
        <f>VLOOKUP(A149,'Trips&amp;Operators'!$C$1:$E$10000,3,FALSE)</f>
        <v>LEVIN</v>
      </c>
      <c r="M149" s="6">
        <f t="shared" si="59"/>
        <v>3.3587962963792961E-2</v>
      </c>
      <c r="N149" s="7">
        <f t="shared" si="57"/>
        <v>48.366666667861864</v>
      </c>
      <c r="O149" s="7"/>
      <c r="P149" s="7"/>
      <c r="Q149" s="26"/>
      <c r="R149" s="26"/>
      <c r="S149" s="40">
        <f t="shared" si="60"/>
        <v>1</v>
      </c>
      <c r="T149" s="57" t="str">
        <f t="shared" si="61"/>
        <v>NorthBound</v>
      </c>
      <c r="U149" s="82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20:45:52-0600',mode:absolute,to:'2016-08-03 23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49" s="62" t="str">
        <f t="shared" si="63"/>
        <v>N</v>
      </c>
      <c r="X149" s="124">
        <f t="shared" si="64"/>
        <v>1</v>
      </c>
      <c r="Y149" s="77">
        <f t="shared" si="65"/>
        <v>4.2200000000000001E-2</v>
      </c>
      <c r="Z149" s="77">
        <f t="shared" si="66"/>
        <v>23.332999999999998</v>
      </c>
      <c r="AA149" s="77">
        <f t="shared" si="67"/>
        <v>23.290799999999997</v>
      </c>
      <c r="AB149" s="74" t="e">
        <f>VLOOKUP(A149,Enforcements!$C$7:$J$24,8,0)</f>
        <v>#N/A</v>
      </c>
      <c r="AC149" s="70" t="e">
        <f>VLOOKUP(A149,Enforcements!$C$7:$E$24,3,0)</f>
        <v>#N/A</v>
      </c>
      <c r="AD149" s="71" t="str">
        <f t="shared" si="68"/>
        <v>0233-03</v>
      </c>
      <c r="AE149" s="131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49" s="128" t="str">
        <f t="shared" si="70"/>
        <v>"C:\Program Files (x86)\AstroGrep\AstroGrep.exe" /spath="%USERPROFILE%\AppData\Local\Temp\OnboardLogs" /stypes="*4044*20160804*" /stext=" 04:.+((SYSTEM_STATE.+slice.+state.+changed )|(ment ac)|(system.+state.+changed )|(\|lc)|(penalty)|(\[timeout)|(PRM\|1\|D)|(kpr)|(kdp))" /e /r /s</v>
      </c>
      <c r="AG149" s="1" t="str">
        <f t="shared" si="71"/>
        <v>EC</v>
      </c>
      <c r="AH149" s="132" t="str">
        <f>refinertdcruntimes&amp;" --tripid "&amp;A149&amp;" --locoid "&amp;B149&amp;" --swversion "&amp;C149&amp;" --startMP "&amp;D149&amp;" --initTime "&amp;TEXT(E149,"yyyy-mm-ddTHH:MM:SS")&amp;" --startdatetime "&amp;TEXT(F149,"yyyy-mm-ddTHH:MM:SS")&amp;" --delay "&amp;G149&amp;" --endMP "&amp;H149&amp;" --enddatetime "&amp;TEXT(I149,"yyyy-mm-ddTHH:MM:SS")&amp;" --enforcementcount "&amp;J149&amp;" &gt;&gt; "&amp;TEXT(Variables!$A$2,"yyyy-mm-dd")&amp;"-refined-runtimes.txt"</f>
        <v>"%USERPROFILE%\Documents\GitHub\eaglep3\Utilities\RefineRTDCRunTimes.py" --tripid 233-03 --locoid 4044 --swversion DE.1.0.7.0 --startMP 204:422 --initTime 2016-08-03T21:45:52 --startdatetime 2016-08-03T21:47:27 --delay 1 --endMP 204:233330 --enddatetime 2016-08-03T22:35:49 --enforcementcount 0 &gt;&gt; 2016-08-03-refined-runtimes.txt</v>
      </c>
    </row>
    <row r="150" spans="1:34" x14ac:dyDescent="0.25">
      <c r="A150" s="25" t="s">
        <v>538</v>
      </c>
      <c r="B150" s="94">
        <v>4043</v>
      </c>
      <c r="C150" s="95" t="s">
        <v>163</v>
      </c>
      <c r="D150" s="95" t="s">
        <v>319</v>
      </c>
      <c r="E150" s="96">
        <v>42585.949201388888</v>
      </c>
      <c r="F150" s="96">
        <v>42585.949872685182</v>
      </c>
      <c r="G150" s="94">
        <v>0</v>
      </c>
      <c r="H150" s="96" t="s">
        <v>687</v>
      </c>
      <c r="I150" s="96">
        <v>42585.977141203701</v>
      </c>
      <c r="J150" s="94">
        <v>0</v>
      </c>
      <c r="K150" s="121" t="str">
        <f t="shared" si="58"/>
        <v>4043/4044</v>
      </c>
      <c r="L150" s="25" t="str">
        <f>VLOOKUP(A150,'Trips&amp;Operators'!$C$1:$E$10000,3,FALSE)</f>
        <v>LEVIN</v>
      </c>
      <c r="M150" s="6">
        <f t="shared" si="59"/>
        <v>2.7268518519122154E-2</v>
      </c>
      <c r="N150" s="7">
        <f t="shared" si="57"/>
        <v>39.266666667535901</v>
      </c>
      <c r="O150" s="7"/>
      <c r="P150" s="7"/>
      <c r="Q150" s="26"/>
      <c r="R150" s="26"/>
      <c r="S150" s="40">
        <f t="shared" si="60"/>
        <v>1</v>
      </c>
      <c r="T150" s="57" t="str">
        <f t="shared" si="61"/>
        <v>Southbound</v>
      </c>
      <c r="U150" s="82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21:46:51-0600',mode:absolute,to:'2016-08-04 00:27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0" s="62" t="str">
        <f t="shared" si="63"/>
        <v>N</v>
      </c>
      <c r="X150" s="124">
        <f t="shared" si="64"/>
        <v>1</v>
      </c>
      <c r="Y150" s="77">
        <f t="shared" si="65"/>
        <v>23.298200000000001</v>
      </c>
      <c r="Z150" s="77">
        <v>0.01</v>
      </c>
      <c r="AA150" s="77">
        <f t="shared" si="67"/>
        <v>23.2882</v>
      </c>
      <c r="AB150" s="74" t="e">
        <f>VLOOKUP(A150,Enforcements!$C$7:$J$24,8,0)</f>
        <v>#N/A</v>
      </c>
      <c r="AC150" s="70" t="e">
        <f>VLOOKUP(A150,Enforcements!$C$7:$E$24,3,0)</f>
        <v>#N/A</v>
      </c>
      <c r="AD150" s="71" t="str">
        <f t="shared" si="68"/>
        <v>0234-03</v>
      </c>
      <c r="AE150" s="131" t="str">
        <f t="shared" si="69"/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AF150" s="128" t="str">
        <f t="shared" si="70"/>
        <v>"C:\Program Files (x86)\AstroGrep\AstroGrep.exe" /spath="%USERPROFILE%\AppData\Local\Temp\OnboardLogs" /stypes="*4043*20160804*" /stext=" 05:.+((SYSTEM_STATE.+slice.+state.+changed )|(ment ac)|(system.+state.+changed )|(\|lc)|(penalty)|(\[timeout)|(PRM\|1\|D)|(kpr)|(kdp))" /e /r /s</v>
      </c>
      <c r="AG150" s="1" t="str">
        <f t="shared" si="71"/>
        <v>EC</v>
      </c>
      <c r="AH150" s="132" t="str">
        <f>refinertdcruntimes&amp;" --tripid "&amp;A150&amp;" --locoid "&amp;B150&amp;" --swversion "&amp;C150&amp;" --startMP "&amp;D150&amp;" --initTime "&amp;TEXT(E150,"yyyy-mm-ddTHH:MM:SS")&amp;" --startdatetime "&amp;TEXT(F150,"yyyy-mm-ddTHH:MM:SS")&amp;" --delay "&amp;G150&amp;" --endMP "&amp;H150&amp;" --enddatetime "&amp;TEXT(I150,"yyyy-mm-ddTHH:MM:SS")&amp;" --enforcementcount "&amp;J150&amp;" &gt;&gt; "&amp;TEXT(Variables!$A$2,"yyyy-mm-dd")&amp;"-refined-runtimes.txt"</f>
        <v>"%USERPROFILE%\Documents\GitHub\eaglep3\Utilities\RefineRTDCRunTimes.py" --tripid 234-03 --locoid 4043 --swversion DE.1.0.7.0 --startMP 204:232982 --initTime 2016-08-03T22:46:51 --startdatetime 2016-08-03T22:47:49 --delay 0 --endMP 204:26829 --enddatetime 2016-08-03T23:27:05 --enforcementcount 0 &gt;&gt; 2016-08-03-refined-runtimes.txt</v>
      </c>
    </row>
    <row r="151" spans="1:34" x14ac:dyDescent="0.25">
      <c r="A151" s="25" t="s">
        <v>688</v>
      </c>
      <c r="B151" s="94">
        <v>4040</v>
      </c>
      <c r="C151" s="95" t="s">
        <v>163</v>
      </c>
      <c r="D151" s="95" t="s">
        <v>64</v>
      </c>
      <c r="E151" s="96">
        <v>42585.934050925927</v>
      </c>
      <c r="F151" s="96">
        <v>42585.937673611108</v>
      </c>
      <c r="G151" s="94">
        <v>5</v>
      </c>
      <c r="H151" s="96" t="s">
        <v>550</v>
      </c>
      <c r="I151" s="96">
        <v>42585.962326388886</v>
      </c>
      <c r="J151" s="94">
        <v>0</v>
      </c>
      <c r="K151" s="121" t="str">
        <f t="shared" si="58"/>
        <v>4039/4040</v>
      </c>
      <c r="L151" s="25" t="str">
        <f>VLOOKUP(A151,'Trips&amp;Operators'!$C$1:$E$10000,3,FALSE)</f>
        <v>COOLAHAN</v>
      </c>
      <c r="M151" s="6">
        <f t="shared" si="59"/>
        <v>2.4652777778101154E-2</v>
      </c>
      <c r="N151" s="7">
        <f t="shared" si="57"/>
        <v>35.500000000465661</v>
      </c>
      <c r="O151" s="7"/>
      <c r="P151" s="7"/>
      <c r="Q151" s="26"/>
      <c r="R151" s="26"/>
      <c r="S151" s="40">
        <f t="shared" si="60"/>
        <v>1</v>
      </c>
      <c r="T151" s="57" t="str">
        <f t="shared" si="61"/>
        <v>NorthBound</v>
      </c>
      <c r="U151" s="82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21:25:02-0600',mode:absolute,to:'2016-08-04 00:05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1" s="62" t="str">
        <f t="shared" si="63"/>
        <v>N</v>
      </c>
      <c r="X151" s="124">
        <f t="shared" si="64"/>
        <v>1</v>
      </c>
      <c r="Y151" s="77">
        <f t="shared" si="65"/>
        <v>4.5999999999999999E-2</v>
      </c>
      <c r="Z151" s="77">
        <f t="shared" si="66"/>
        <v>23.331199999999999</v>
      </c>
      <c r="AA151" s="77">
        <f t="shared" si="67"/>
        <v>23.2852</v>
      </c>
      <c r="AB151" s="74" t="e">
        <f>VLOOKUP(A151,Enforcements!$C$7:$J$24,8,0)</f>
        <v>#N/A</v>
      </c>
      <c r="AC151" s="70" t="e">
        <f>VLOOKUP(A151,Enforcements!$C$7:$E$24,3,0)</f>
        <v>#N/A</v>
      </c>
      <c r="AD151" s="71" t="str">
        <f t="shared" si="68"/>
        <v>0235-03</v>
      </c>
      <c r="AE151" s="131" t="str">
        <f t="shared" si="69"/>
        <v>aws s3 cp s3://rtdc.mdm.uploadarchive/RTDC4040/2016-08-03/ "%USERPROFILE%\AppData\Local\Temp\OnboardLogs"\RTDC4040\2016-08-03 --recursive &amp; "%USERPROFILE%\Documents\GitHub\mrs-test-scripts\Headless Mode &amp; Sideloading\WalkAndUnGZ.bat" "%USERPROFILE%\AppData\Local\Temp\OnboardLogs"\RTDC4040\2016-08-03 &amp; 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</v>
      </c>
      <c r="AF151" s="128" t="str">
        <f t="shared" si="70"/>
        <v>"C:\Program Files (x86)\AstroGrep\AstroGrep.exe" /spath="%USERPROFILE%\AppData\Local\Temp\OnboardLogs" /stypes="*4040*20160804*" /stext=" 05:.+((SYSTEM_STATE.+slice.+state.+changed )|(ment ac)|(system.+state.+changed )|(\|lc)|(penalty)|(\[timeout)|(PRM\|1\|D)|(kpr)|(kdp))" /e /r /s</v>
      </c>
      <c r="AG151" s="1" t="str">
        <f t="shared" si="71"/>
        <v>EC</v>
      </c>
      <c r="AH151" s="132" t="str">
        <f>refinertdcruntimes&amp;" --tripid "&amp;A151&amp;" --locoid "&amp;B151&amp;" --swversion "&amp;C151&amp;" --startMP "&amp;D151&amp;" --initTime "&amp;TEXT(E151,"yyyy-mm-ddTHH:MM:SS")&amp;" --startdatetime "&amp;TEXT(F151,"yyyy-mm-ddTHH:MM:SS")&amp;" --delay "&amp;G151&amp;" --endMP "&amp;H151&amp;" --enddatetime "&amp;TEXT(I151,"yyyy-mm-ddTHH:MM:SS")&amp;" --enforcementcount "&amp;J151&amp;" &gt;&gt; "&amp;TEXT(Variables!$A$2,"yyyy-mm-dd")&amp;"-refined-runtimes.txt"</f>
        <v>"%USERPROFILE%\Documents\GitHub\eaglep3\Utilities\RefineRTDCRunTimes.py" --tripid 235-03 --locoid 4040 --swversion DE.1.0.7.0 --startMP 204:460 --initTime 2016-08-03T22:25:02 --startdatetime 2016-08-03T22:30:15 --delay 5 --endMP 204:233312 --enddatetime 2016-08-03T23:05:45 --enforcementcount 0 &gt;&gt; 2016-08-03-refined-runtimes.txt</v>
      </c>
    </row>
    <row r="152" spans="1:34" x14ac:dyDescent="0.25">
      <c r="A152" s="25" t="s">
        <v>689</v>
      </c>
      <c r="B152" s="94">
        <v>4039</v>
      </c>
      <c r="C152" s="95" t="s">
        <v>163</v>
      </c>
      <c r="D152" s="95" t="s">
        <v>325</v>
      </c>
      <c r="E152" s="96">
        <v>42585.971828703703</v>
      </c>
      <c r="F152" s="96">
        <v>42585.97284722222</v>
      </c>
      <c r="G152" s="94">
        <v>1</v>
      </c>
      <c r="H152" s="96" t="s">
        <v>304</v>
      </c>
      <c r="I152" s="96">
        <v>42586.004976851851</v>
      </c>
      <c r="J152" s="94">
        <v>0</v>
      </c>
      <c r="K152" s="121" t="str">
        <f t="shared" si="58"/>
        <v>4039/4040</v>
      </c>
      <c r="L152" s="25" t="str">
        <f>VLOOKUP(A152,'Trips&amp;Operators'!$C$1:$E$10000,3,FALSE)</f>
        <v>COOLAHAN</v>
      </c>
      <c r="M152" s="6">
        <f t="shared" si="59"/>
        <v>3.2129629631526768E-2</v>
      </c>
      <c r="N152" s="7">
        <f t="shared" si="57"/>
        <v>46.266666669398546</v>
      </c>
      <c r="O152" s="7"/>
      <c r="P152" s="7"/>
      <c r="Q152" s="26"/>
      <c r="R152" s="26"/>
      <c r="S152" s="40">
        <f t="shared" si="60"/>
        <v>1</v>
      </c>
      <c r="T152" s="57" t="str">
        <f t="shared" si="61"/>
        <v>Southbound</v>
      </c>
      <c r="U152" s="82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22:19:26-0600',mode:absolute,to:'2016-08-04 01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52" s="62" t="str">
        <f t="shared" si="63"/>
        <v>N</v>
      </c>
      <c r="X152" s="124">
        <f t="shared" si="64"/>
        <v>1</v>
      </c>
      <c r="Y152" s="77">
        <f t="shared" si="65"/>
        <v>23.299800000000001</v>
      </c>
      <c r="Z152" s="77">
        <f t="shared" si="66"/>
        <v>1.6500000000000001E-2</v>
      </c>
      <c r="AA152" s="77">
        <f t="shared" si="67"/>
        <v>23.283300000000001</v>
      </c>
      <c r="AB152" s="74" t="e">
        <f>VLOOKUP(A152,Enforcements!$C$7:$J$24,8,0)</f>
        <v>#N/A</v>
      </c>
      <c r="AC152" s="70" t="e">
        <f>VLOOKUP(A152,Enforcements!$C$7:$E$24,3,0)</f>
        <v>#N/A</v>
      </c>
      <c r="AD152" s="71" t="str">
        <f t="shared" si="68"/>
        <v>0236-03</v>
      </c>
      <c r="AE152" s="131" t="str">
        <f t="shared" si="69"/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AF152" s="128" t="str">
        <f t="shared" si="70"/>
        <v>"C:\Program Files (x86)\AstroGrep\AstroGrep.exe" /spath="%USERPROFILE%\AppData\Local\Temp\OnboardLogs" /stypes="*4039*20160804*" /stext=" 06:.+((SYSTEM_STATE.+slice.+state.+changed )|(ment ac)|(system.+state.+changed )|(\|lc)|(penalty)|(\[timeout)|(PRM\|1\|D)|(kpr)|(kdp))" /e /r /s</v>
      </c>
      <c r="AG152" s="1" t="str">
        <f t="shared" si="71"/>
        <v>EC</v>
      </c>
      <c r="AH152" s="132" t="str">
        <f>refinertdcruntimes&amp;" --tripid "&amp;A152&amp;" --locoid "&amp;B152&amp;" --swversion "&amp;C152&amp;" --startMP "&amp;D152&amp;" --initTime "&amp;TEXT(E152,"yyyy-mm-ddTHH:MM:SS")&amp;" --startdatetime "&amp;TEXT(F152,"yyyy-mm-ddTHH:MM:SS")&amp;" --delay "&amp;G152&amp;" --endMP "&amp;H152&amp;" --enddatetime "&amp;TEXT(I152,"yyyy-mm-ddTHH:MM:SS")&amp;" --enforcementcount "&amp;J152&amp;" &gt;&gt; "&amp;TEXT(Variables!$A$2,"yyyy-mm-dd")&amp;"-refined-runtimes.txt"</f>
        <v>"%USERPROFILE%\Documents\GitHub\eaglep3\Utilities\RefineRTDCRunTimes.py" --tripid 236-03 --locoid 4039 --swversion DE.1.0.7.0 --startMP 204:232998 --initTime 2016-08-03T23:19:26 --startdatetime 2016-08-03T23:20:54 --delay 1 --endMP 204:165 --enddatetime 2016-08-04T00:07:10 --enforcementcount 0 &gt;&gt; 2016-08-03-refined-runtimes.txt</v>
      </c>
    </row>
    <row r="153" spans="1:34" x14ac:dyDescent="0.25">
      <c r="A153" s="25" t="s">
        <v>690</v>
      </c>
      <c r="B153" s="94">
        <v>4025</v>
      </c>
      <c r="C153" s="95" t="s">
        <v>163</v>
      </c>
      <c r="D153" s="95" t="s">
        <v>354</v>
      </c>
      <c r="E153" s="96">
        <v>42585.950613425928</v>
      </c>
      <c r="F153" s="96">
        <v>42585.951550925929</v>
      </c>
      <c r="G153" s="94">
        <v>1</v>
      </c>
      <c r="H153" s="96" t="s">
        <v>422</v>
      </c>
      <c r="I153" s="96">
        <v>42585.983715277776</v>
      </c>
      <c r="J153" s="94">
        <v>0</v>
      </c>
      <c r="K153" s="121" t="str">
        <f t="shared" si="58"/>
        <v>4025/4026</v>
      </c>
      <c r="L153" s="25" t="str">
        <f>VLOOKUP(A153,'Trips&amp;Operators'!$C$1:$E$10000,3,FALSE)</f>
        <v>STURGEON</v>
      </c>
      <c r="M153" s="6">
        <f t="shared" si="59"/>
        <v>3.216435184731381E-2</v>
      </c>
      <c r="N153" s="7">
        <f t="shared" si="57"/>
        <v>46.316666660131887</v>
      </c>
      <c r="O153" s="7"/>
      <c r="P153" s="7"/>
      <c r="Q153" s="26"/>
      <c r="R153" s="26"/>
      <c r="S153" s="40">
        <f t="shared" si="60"/>
        <v>1</v>
      </c>
      <c r="T153" s="57" t="str">
        <f t="shared" si="61"/>
        <v>NorthBound</v>
      </c>
      <c r="U153" s="82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21:48:53-0600',mode:absolute,to:'2016-08-04 00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3" s="62" t="str">
        <f t="shared" si="63"/>
        <v>N</v>
      </c>
      <c r="X153" s="124">
        <f t="shared" si="64"/>
        <v>1</v>
      </c>
      <c r="Y153" s="77">
        <f t="shared" si="65"/>
        <v>4.7300000000000002E-2</v>
      </c>
      <c r="Z153" s="77">
        <f t="shared" si="66"/>
        <v>23.327000000000002</v>
      </c>
      <c r="AA153" s="77">
        <f t="shared" si="67"/>
        <v>23.279700000000002</v>
      </c>
      <c r="AB153" s="74" t="e">
        <f>VLOOKUP(A153,Enforcements!$C$7:$J$24,8,0)</f>
        <v>#N/A</v>
      </c>
      <c r="AC153" s="70" t="e">
        <f>VLOOKUP(A153,Enforcements!$C$7:$E$24,3,0)</f>
        <v>#N/A</v>
      </c>
      <c r="AD153" s="71" t="str">
        <f t="shared" si="68"/>
        <v>0237-03</v>
      </c>
      <c r="AE153" s="131" t="str">
        <f t="shared" si="69"/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AF153" s="128" t="str">
        <f t="shared" si="70"/>
        <v>"C:\Program Files (x86)\AstroGrep\AstroGrep.exe" /spath="%USERPROFILE%\AppData\Local\Temp\OnboardLogs" /stypes="*4025*20160804*" /stext=" 05:.+((SYSTEM_STATE.+slice.+state.+changed )|(ment ac)|(system.+state.+changed )|(\|lc)|(penalty)|(\[timeout)|(PRM\|1\|D)|(kpr)|(kdp))" /e /r /s</v>
      </c>
      <c r="AG153" s="1" t="str">
        <f t="shared" si="71"/>
        <v>EC</v>
      </c>
      <c r="AH153" s="132" t="str">
        <f>refinertdcruntimes&amp;" --tripid "&amp;A153&amp;" --locoid "&amp;B153&amp;" --swversion "&amp;C153&amp;" --startMP "&amp;D153&amp;" --initTime "&amp;TEXT(E153,"yyyy-mm-ddTHH:MM:SS")&amp;" --startdatetime "&amp;TEXT(F153,"yyyy-mm-ddTHH:MM:SS")&amp;" --delay "&amp;G153&amp;" --endMP "&amp;H153&amp;" --enddatetime "&amp;TEXT(I153,"yyyy-mm-ddTHH:MM:SS")&amp;" --enforcementcount "&amp;J153&amp;" &gt;&gt; "&amp;TEXT(Variables!$A$2,"yyyy-mm-dd")&amp;"-refined-runtimes.txt"</f>
        <v>"%USERPROFILE%\Documents\GitHub\eaglep3\Utilities\RefineRTDCRunTimes.py" --tripid 237-03 --locoid 4025 --swversion DE.1.0.7.0 --startMP 204:473 --initTime 2016-08-03T22:48:53 --startdatetime 2016-08-03T22:50:14 --delay 1 --endMP 204:233270 --enddatetime 2016-08-03T23:36:33 --enforcementcount 0 &gt;&gt; 2016-08-03-refined-runtimes.txt</v>
      </c>
    </row>
    <row r="154" spans="1:34" x14ac:dyDescent="0.25">
      <c r="A154" s="25" t="s">
        <v>691</v>
      </c>
      <c r="B154" s="94">
        <v>4026</v>
      </c>
      <c r="C154" s="95" t="s">
        <v>163</v>
      </c>
      <c r="D154" s="95" t="s">
        <v>692</v>
      </c>
      <c r="E154" s="96">
        <v>42585.99113425926</v>
      </c>
      <c r="F154" s="96">
        <v>42585.992083333331</v>
      </c>
      <c r="G154" s="94">
        <v>1</v>
      </c>
      <c r="H154" s="96" t="s">
        <v>326</v>
      </c>
      <c r="I154" s="96">
        <v>42586.025011574071</v>
      </c>
      <c r="J154" s="94">
        <v>0</v>
      </c>
      <c r="K154" s="121" t="str">
        <f t="shared" si="58"/>
        <v>4025/4026</v>
      </c>
      <c r="L154" s="25" t="str">
        <f>VLOOKUP(A154,'Trips&amp;Operators'!$C$1:$E$10000,3,FALSE)</f>
        <v>STURGEON</v>
      </c>
      <c r="M154" s="6">
        <f t="shared" si="59"/>
        <v>3.2928240740147885E-2</v>
      </c>
      <c r="N154" s="7">
        <f t="shared" si="57"/>
        <v>47.416666665812954</v>
      </c>
      <c r="O154" s="7"/>
      <c r="P154" s="7"/>
      <c r="Q154" s="26"/>
      <c r="R154" s="26"/>
      <c r="S154" s="40">
        <f t="shared" si="60"/>
        <v>1</v>
      </c>
      <c r="T154" s="57" t="str">
        <f t="shared" si="61"/>
        <v>Southbound</v>
      </c>
      <c r="U154" s="82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22:47:14-0600',mode:absolute,to:'2016-08-04 01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4" s="62" t="str">
        <f t="shared" si="63"/>
        <v>N</v>
      </c>
      <c r="X154" s="124">
        <f t="shared" si="64"/>
        <v>1</v>
      </c>
      <c r="Y154" s="77">
        <f t="shared" si="65"/>
        <v>23.295500000000001</v>
      </c>
      <c r="Z154" s="77">
        <f t="shared" si="66"/>
        <v>1.6E-2</v>
      </c>
      <c r="AA154" s="77">
        <f t="shared" si="67"/>
        <v>23.279500000000002</v>
      </c>
      <c r="AB154" s="74" t="e">
        <f>VLOOKUP(A154,Enforcements!$C$7:$J$24,8,0)</f>
        <v>#N/A</v>
      </c>
      <c r="AC154" s="70" t="e">
        <f>VLOOKUP(A154,Enforcements!$C$7:$E$24,3,0)</f>
        <v>#N/A</v>
      </c>
      <c r="AD154" s="71" t="str">
        <f t="shared" si="68"/>
        <v>0238-03</v>
      </c>
      <c r="AE154" s="131" t="str">
        <f t="shared" si="69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154" s="128" t="str">
        <f t="shared" si="70"/>
        <v>"C:\Program Files (x86)\AstroGrep\AstroGrep.exe" /spath="%USERPROFILE%\AppData\Local\Temp\OnboardLogs" /stypes="*4026*20160804*" /stext=" 06:.+((SYSTEM_STATE.+slice.+state.+changed )|(ment ac)|(system.+state.+changed )|(\|lc)|(penalty)|(\[timeout)|(PRM\|1\|D)|(kpr)|(kdp))" /e /r /s</v>
      </c>
      <c r="AG154" s="1" t="str">
        <f t="shared" si="71"/>
        <v>EC</v>
      </c>
      <c r="AH154" s="132" t="str">
        <f>refinertdcruntimes&amp;" --tripid "&amp;A154&amp;" --locoid "&amp;B154&amp;" --swversion "&amp;C154&amp;" --startMP "&amp;D154&amp;" --initTime "&amp;TEXT(E154,"yyyy-mm-ddTHH:MM:SS")&amp;" --startdatetime "&amp;TEXT(F154,"yyyy-mm-ddTHH:MM:SS")&amp;" --delay "&amp;G154&amp;" --endMP "&amp;H154&amp;" --enddatetime "&amp;TEXT(I154,"yyyy-mm-ddTHH:MM:SS")&amp;" --enforcementcount "&amp;J154&amp;" &gt;&gt; "&amp;TEXT(Variables!$A$2,"yyyy-mm-dd")&amp;"-refined-runtimes.txt"</f>
        <v>"%USERPROFILE%\Documents\GitHub\eaglep3\Utilities\RefineRTDCRunTimes.py" --tripid 238-03 --locoid 4026 --swversion DE.1.0.7.0 --startMP 204:232955 --initTime 2016-08-03T23:47:14 --startdatetime 2016-08-03T23:48:36 --delay 1 --endMP 204:160 --enddatetime 2016-08-04T00:36:01 --enforcementcount 0 &gt;&gt; 2016-08-03-refined-runtimes.txt</v>
      </c>
    </row>
    <row r="155" spans="1:34" x14ac:dyDescent="0.25">
      <c r="A155" s="25" t="s">
        <v>693</v>
      </c>
      <c r="B155" s="94">
        <v>4014</v>
      </c>
      <c r="C155" s="95" t="s">
        <v>163</v>
      </c>
      <c r="D155" s="95" t="s">
        <v>362</v>
      </c>
      <c r="E155" s="96">
        <v>42585.976458333331</v>
      </c>
      <c r="F155" s="96">
        <v>42585.977870370371</v>
      </c>
      <c r="G155" s="94">
        <v>2</v>
      </c>
      <c r="H155" s="96" t="s">
        <v>164</v>
      </c>
      <c r="I155" s="96">
        <v>42586.004050925927</v>
      </c>
      <c r="J155" s="94">
        <v>0</v>
      </c>
      <c r="K155" s="121" t="str">
        <f t="shared" si="58"/>
        <v>4013/4014</v>
      </c>
      <c r="L155" s="25" t="str">
        <f>VLOOKUP(A155,'Trips&amp;Operators'!$C$1:$E$10000,3,FALSE)</f>
        <v>HAITHCOX</v>
      </c>
      <c r="M155" s="6">
        <f t="shared" si="59"/>
        <v>2.6180555556493346E-2</v>
      </c>
      <c r="N155" s="7">
        <f t="shared" si="57"/>
        <v>37.700000001350418</v>
      </c>
      <c r="O155" s="7"/>
      <c r="P155" s="7"/>
      <c r="Q155" s="26"/>
      <c r="R155" s="26"/>
      <c r="S155" s="40">
        <f t="shared" si="60"/>
        <v>1</v>
      </c>
      <c r="T155" s="57" t="str">
        <f t="shared" si="61"/>
        <v>NorthBound</v>
      </c>
      <c r="U155" s="82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22:26:06-0600',mode:absolute,to:'2016-08-04 01:05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55" s="62" t="str">
        <f t="shared" si="63"/>
        <v>N</v>
      </c>
      <c r="X155" s="124">
        <f t="shared" si="64"/>
        <v>1</v>
      </c>
      <c r="Y155" s="77">
        <f t="shared" si="65"/>
        <v>4.2700000000000002E-2</v>
      </c>
      <c r="Z155" s="77">
        <f t="shared" si="66"/>
        <v>23.3291</v>
      </c>
      <c r="AA155" s="77">
        <f t="shared" si="67"/>
        <v>23.2864</v>
      </c>
      <c r="AB155" s="74" t="e">
        <f>VLOOKUP(A155,Enforcements!$C$7:$J$24,8,0)</f>
        <v>#N/A</v>
      </c>
      <c r="AC155" s="70" t="e">
        <f>VLOOKUP(A155,Enforcements!$C$7:$E$24,3,0)</f>
        <v>#N/A</v>
      </c>
      <c r="AD155" s="71" t="str">
        <f t="shared" si="68"/>
        <v>0239-03</v>
      </c>
      <c r="AE155" s="131" t="str">
        <f t="shared" si="69"/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AF155" s="128" t="str">
        <f t="shared" si="70"/>
        <v>"C:\Program Files (x86)\AstroGrep\AstroGrep.exe" /spath="%USERPROFILE%\AppData\Local\Temp\OnboardLogs" /stypes="*4014*20160804*" /stext=" 06:.+((SYSTEM_STATE.+slice.+state.+changed )|(ment ac)|(system.+state.+changed )|(\|lc)|(penalty)|(\[timeout)|(PRM\|1\|D)|(kpr)|(kdp))" /e /r /s</v>
      </c>
      <c r="AG155" s="1" t="str">
        <f t="shared" si="71"/>
        <v>EC</v>
      </c>
      <c r="AH155" s="132" t="str">
        <f>refinertdcruntimes&amp;" --tripid "&amp;A155&amp;" --locoid "&amp;B155&amp;" --swversion "&amp;C155&amp;" --startMP "&amp;D155&amp;" --initTime "&amp;TEXT(E155,"yyyy-mm-ddTHH:MM:SS")&amp;" --startdatetime "&amp;TEXT(F155,"yyyy-mm-ddTHH:MM:SS")&amp;" --delay "&amp;G155&amp;" --endMP "&amp;H155&amp;" --enddatetime "&amp;TEXT(I155,"yyyy-mm-ddTHH:MM:SS")&amp;" --enforcementcount "&amp;J155&amp;" &gt;&gt; "&amp;TEXT(Variables!$A$2,"yyyy-mm-dd")&amp;"-refined-runtimes.txt"</f>
        <v>"%USERPROFILE%\Documents\GitHub\eaglep3\Utilities\RefineRTDCRunTimes.py" --tripid 239-03 --locoid 4014 --swversion DE.1.0.7.0 --startMP 204:427 --initTime 2016-08-03T23:26:06 --startdatetime 2016-08-03T23:28:08 --delay 2 --endMP 204:233291 --enddatetime 2016-08-04T00:05:50 --enforcementcount 0 &gt;&gt; 2016-08-03-refined-runtimes.txt</v>
      </c>
    </row>
    <row r="156" spans="1:34" x14ac:dyDescent="0.25">
      <c r="A156" s="25" t="s">
        <v>694</v>
      </c>
      <c r="B156" s="94">
        <v>4013</v>
      </c>
      <c r="C156" s="95" t="s">
        <v>163</v>
      </c>
      <c r="D156" s="95" t="s">
        <v>327</v>
      </c>
      <c r="E156" s="96">
        <v>42586.01458333333</v>
      </c>
      <c r="F156" s="96">
        <v>42586.018136574072</v>
      </c>
      <c r="G156" s="94">
        <v>5</v>
      </c>
      <c r="H156" s="96" t="s">
        <v>166</v>
      </c>
      <c r="I156" s="96">
        <v>42586.044652777775</v>
      </c>
      <c r="J156" s="94">
        <v>0</v>
      </c>
      <c r="K156" s="121" t="str">
        <f t="shared" si="58"/>
        <v>4013/4014</v>
      </c>
      <c r="L156" s="25" t="str">
        <f>VLOOKUP(A156,'Trips&amp;Operators'!$C$1:$E$10000,3,FALSE)</f>
        <v>HAITHCOX</v>
      </c>
      <c r="M156" s="6">
        <f t="shared" si="59"/>
        <v>2.6516203703067731E-2</v>
      </c>
      <c r="N156" s="7">
        <f t="shared" si="57"/>
        <v>38.183333332417533</v>
      </c>
      <c r="O156" s="7"/>
      <c r="P156" s="7"/>
      <c r="Q156" s="26"/>
      <c r="R156" s="26"/>
      <c r="S156" s="40">
        <f t="shared" si="60"/>
        <v>1</v>
      </c>
      <c r="T156" s="57" t="str">
        <f t="shared" si="61"/>
        <v>Southbound</v>
      </c>
      <c r="U156" s="82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23:21:00-0600',mode:absolute,to:'2016-08-04 02:04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56" s="62" t="str">
        <f t="shared" si="63"/>
        <v>N</v>
      </c>
      <c r="X156" s="124">
        <f t="shared" si="64"/>
        <v>1</v>
      </c>
      <c r="Y156" s="77">
        <f t="shared" si="65"/>
        <v>23.2971</v>
      </c>
      <c r="Z156" s="77">
        <f t="shared" si="66"/>
        <v>1.47E-2</v>
      </c>
      <c r="AA156" s="77">
        <f t="shared" si="67"/>
        <v>23.282399999999999</v>
      </c>
      <c r="AB156" s="74" t="e">
        <f>VLOOKUP(A156,Enforcements!$C$7:$J$24,8,0)</f>
        <v>#N/A</v>
      </c>
      <c r="AC156" s="70" t="e">
        <f>VLOOKUP(A156,Enforcements!$C$7:$E$24,3,0)</f>
        <v>#N/A</v>
      </c>
      <c r="AD156" s="71" t="str">
        <f t="shared" si="68"/>
        <v>0240-03</v>
      </c>
      <c r="AE156" s="131" t="str">
        <f t="shared" si="69"/>
        <v>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 &amp; aws s3 cp s3://rtdc.mdm.uploadarchive/RTDC4013/2016-08-05/ "%USERPROFILE%\AppData\Local\Temp\OnboardLogs"\RTDC4013\2016-08-05 --recursive &amp; "%USERPROFILE%\Documents\GitHub\mrs-test-scripts\Headless Mode &amp; Sideloading\WalkAndUnGZ.bat" "%USERPROFILE%\AppData\Local\Temp\OnboardLogs"\RTDC4013\2016-08-05</v>
      </c>
      <c r="AF156" s="128" t="str">
        <f t="shared" si="70"/>
        <v>"C:\Program Files (x86)\AstroGrep\AstroGrep.exe" /spath="%USERPROFILE%\AppData\Local\Temp\OnboardLogs" /stypes="*4013*20160804*" /stext=" 07:.+((SYSTEM_STATE.+slice.+state.+changed )|(ment ac)|(system.+state.+changed )|(\|lc)|(penalty)|(\[timeout)|(PRM\|1\|D)|(kpr)|(kdp))" /e /r /s</v>
      </c>
      <c r="AG156" s="1" t="str">
        <f t="shared" si="71"/>
        <v>EC</v>
      </c>
      <c r="AH156" s="132" t="str">
        <f>refinertdcruntimes&amp;" --tripid "&amp;A156&amp;" --locoid "&amp;B156&amp;" --swversion "&amp;C156&amp;" --startMP "&amp;D156&amp;" --initTime "&amp;TEXT(E156,"yyyy-mm-ddTHH:MM:SS")&amp;" --startdatetime "&amp;TEXT(F156,"yyyy-mm-ddTHH:MM:SS")&amp;" --delay "&amp;G156&amp;" --endMP "&amp;H156&amp;" --enddatetime "&amp;TEXT(I156,"yyyy-mm-ddTHH:MM:SS")&amp;" --enforcementcount "&amp;J156&amp;" &gt;&gt; "&amp;TEXT(Variables!$A$2,"yyyy-mm-dd")&amp;"-refined-runtimes.txt"</f>
        <v>"%USERPROFILE%\Documents\GitHub\eaglep3\Utilities\RefineRTDCRunTimes.py" --tripid 240-03 --locoid 4013 --swversion DE.1.0.7.0 --startMP 204:232971 --initTime 2016-08-04T00:21:00 --startdatetime 2016-08-04T00:26:07 --delay 5 --endMP 204:147 --enddatetime 2016-08-04T01:04:18 --enforcementcount 0 &gt;&gt; 2016-08-03-refined-runtimes.txt</v>
      </c>
    </row>
    <row r="157" spans="1:34" x14ac:dyDescent="0.25">
      <c r="A157" s="25" t="s">
        <v>695</v>
      </c>
      <c r="B157" s="94">
        <v>4044</v>
      </c>
      <c r="C157" s="95" t="s">
        <v>163</v>
      </c>
      <c r="D157" s="95" t="s">
        <v>346</v>
      </c>
      <c r="E157" s="96">
        <v>42585.987627314818</v>
      </c>
      <c r="F157" s="96">
        <v>42585.988668981481</v>
      </c>
      <c r="G157" s="94">
        <v>1</v>
      </c>
      <c r="H157" s="96" t="s">
        <v>696</v>
      </c>
      <c r="I157" s="96">
        <v>42586.024664351855</v>
      </c>
      <c r="J157" s="94">
        <v>0</v>
      </c>
      <c r="K157" s="121" t="str">
        <f t="shared" si="58"/>
        <v>4043/4044</v>
      </c>
      <c r="L157" s="25" t="str">
        <f>VLOOKUP(A157,'Trips&amp;Operators'!$C$1:$E$10000,3,FALSE)</f>
        <v>LEVIN</v>
      </c>
      <c r="M157" s="6">
        <f t="shared" si="59"/>
        <v>3.5995370373711921E-2</v>
      </c>
      <c r="N157" s="7">
        <f t="shared" si="57"/>
        <v>51.833333338145167</v>
      </c>
      <c r="O157" s="7"/>
      <c r="P157" s="7"/>
      <c r="Q157" s="26"/>
      <c r="R157" s="26"/>
      <c r="S157" s="40">
        <f t="shared" si="60"/>
        <v>1</v>
      </c>
      <c r="T157" s="57" t="str">
        <f t="shared" si="61"/>
        <v>NorthBound</v>
      </c>
      <c r="U157" s="82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22:42:11-0600',mode:absolute,to:'2016-08-04 01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57" s="62" t="str">
        <f t="shared" si="63"/>
        <v>N</v>
      </c>
      <c r="X157" s="124">
        <f t="shared" si="64"/>
        <v>1</v>
      </c>
      <c r="Y157" s="77">
        <f t="shared" si="65"/>
        <v>4.5499999999999999E-2</v>
      </c>
      <c r="Z157" s="77">
        <f t="shared" si="66"/>
        <v>23.3263</v>
      </c>
      <c r="AA157" s="77">
        <f t="shared" si="67"/>
        <v>23.280799999999999</v>
      </c>
      <c r="AB157" s="74" t="e">
        <f>VLOOKUP(A157,Enforcements!$C$7:$J$24,8,0)</f>
        <v>#N/A</v>
      </c>
      <c r="AC157" s="70" t="e">
        <f>VLOOKUP(A157,Enforcements!$C$7:$E$24,3,0)</f>
        <v>#N/A</v>
      </c>
      <c r="AD157" s="71" t="str">
        <f t="shared" si="68"/>
        <v>0241-03</v>
      </c>
      <c r="AE157" s="131" t="str">
        <f t="shared" si="69"/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AF157" s="128" t="str">
        <f t="shared" si="70"/>
        <v>"C:\Program Files (x86)\AstroGrep\AstroGrep.exe" /spath="%USERPROFILE%\AppData\Local\Temp\OnboardLogs" /stypes="*4044*20160804*" /stext=" 06:.+((SYSTEM_STATE.+slice.+state.+changed )|(ment ac)|(system.+state.+changed )|(\|lc)|(penalty)|(\[timeout)|(PRM\|1\|D)|(kpr)|(kdp))" /e /r /s</v>
      </c>
      <c r="AG157" s="1" t="str">
        <f t="shared" si="71"/>
        <v>EC</v>
      </c>
      <c r="AH157" s="132" t="str">
        <f>refinertdcruntimes&amp;" --tripid "&amp;A157&amp;" --locoid "&amp;B157&amp;" --swversion "&amp;C157&amp;" --startMP "&amp;D157&amp;" --initTime "&amp;TEXT(E157,"yyyy-mm-ddTHH:MM:SS")&amp;" --startdatetime "&amp;TEXT(F157,"yyyy-mm-ddTHH:MM:SS")&amp;" --delay "&amp;G157&amp;" --endMP "&amp;H157&amp;" --enddatetime "&amp;TEXT(I157,"yyyy-mm-ddTHH:MM:SS")&amp;" --enforcementcount "&amp;J157&amp;" &gt;&gt; "&amp;TEXT(Variables!$A$2,"yyyy-mm-dd")&amp;"-refined-runtimes.txt"</f>
        <v>"%USERPROFILE%\Documents\GitHub\eaglep3\Utilities\RefineRTDCRunTimes.py" --tripid 241-03 --locoid 4044 --swversion DE.1.0.7.0 --startMP 204:455 --initTime 2016-08-03T23:42:11 --startdatetime 2016-08-03T23:43:41 --delay 1 --endMP 204:233263 --enddatetime 2016-08-04T00:35:31 --enforcementcount 0 &gt;&gt; 2016-08-03-refined-runtimes.txt</v>
      </c>
    </row>
    <row r="158" spans="1:34" x14ac:dyDescent="0.25">
      <c r="A158" s="25" t="s">
        <v>697</v>
      </c>
      <c r="B158" s="94">
        <v>4043</v>
      </c>
      <c r="C158" s="95" t="s">
        <v>163</v>
      </c>
      <c r="D158" s="95" t="s">
        <v>320</v>
      </c>
      <c r="E158" s="96">
        <v>42586.030729166669</v>
      </c>
      <c r="F158" s="96">
        <v>42586.031574074077</v>
      </c>
      <c r="G158" s="94">
        <v>1</v>
      </c>
      <c r="H158" s="96" t="s">
        <v>672</v>
      </c>
      <c r="I158" s="96">
        <v>42586.065578703703</v>
      </c>
      <c r="J158" s="94">
        <v>0</v>
      </c>
      <c r="K158" s="121" t="str">
        <f t="shared" si="58"/>
        <v>4043/4044</v>
      </c>
      <c r="L158" s="25" t="str">
        <f>VLOOKUP(A158,'Trips&amp;Operators'!$C$1:$E$10000,3,FALSE)</f>
        <v>LEVIN</v>
      </c>
      <c r="M158" s="6">
        <f t="shared" si="59"/>
        <v>3.400462962599704E-2</v>
      </c>
      <c r="N158" s="7">
        <f t="shared" si="57"/>
        <v>48.966666661435738</v>
      </c>
      <c r="O158" s="7"/>
      <c r="P158" s="7"/>
      <c r="Q158" s="26"/>
      <c r="R158" s="26"/>
      <c r="S158" s="40">
        <f t="shared" si="60"/>
        <v>1</v>
      </c>
      <c r="T158" s="57" t="str">
        <f t="shared" si="61"/>
        <v>Southbound</v>
      </c>
      <c r="U158" s="82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23:44:15-0600',mode:absolute,to:'2016-08-04 02:34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8" s="62" t="str">
        <f t="shared" si="63"/>
        <v>N</v>
      </c>
      <c r="X158" s="124">
        <f t="shared" si="64"/>
        <v>1</v>
      </c>
      <c r="Y158" s="77">
        <f t="shared" si="65"/>
        <v>23.297499999999999</v>
      </c>
      <c r="Z158" s="77">
        <f t="shared" si="66"/>
        <v>1.61E-2</v>
      </c>
      <c r="AA158" s="77">
        <f t="shared" si="67"/>
        <v>23.281399999999998</v>
      </c>
      <c r="AB158" s="74" t="e">
        <f>VLOOKUP(A158,Enforcements!$C$7:$J$24,8,0)</f>
        <v>#N/A</v>
      </c>
      <c r="AC158" s="70" t="e">
        <f>VLOOKUP(A158,Enforcements!$C$7:$E$24,3,0)</f>
        <v>#N/A</v>
      </c>
      <c r="AD158" s="71" t="str">
        <f t="shared" si="68"/>
        <v>0242-03</v>
      </c>
      <c r="AE158" s="131" t="str">
        <f t="shared" si="69"/>
        <v>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 &amp; aws s3 cp s3://rtdc.mdm.uploadarchive/RTDC4043/2016-08-05/ "%USERPROFILE%\AppData\Local\Temp\OnboardLogs"\RTDC4043\2016-08-05 --recursive &amp; "%USERPROFILE%\Documents\GitHub\mrs-test-scripts\Headless Mode &amp; Sideloading\WalkAndUnGZ.bat" "%USERPROFILE%\AppData\Local\Temp\OnboardLogs"\RTDC4043\2016-08-05</v>
      </c>
      <c r="AF158" s="128" t="str">
        <f t="shared" si="70"/>
        <v>"C:\Program Files (x86)\AstroGrep\AstroGrep.exe" /spath="%USERPROFILE%\AppData\Local\Temp\OnboardLogs" /stypes="*4043*20160804*" /stext=" 07:.+((SYSTEM_STATE.+slice.+state.+changed )|(ment ac)|(system.+state.+changed )|(\|lc)|(penalty)|(\[timeout)|(PRM\|1\|D)|(kpr)|(kdp))" /e /r /s</v>
      </c>
      <c r="AG158" s="1" t="str">
        <f t="shared" si="71"/>
        <v>EC</v>
      </c>
      <c r="AH158" s="132" t="str">
        <f>refinertdcruntimes&amp;" --tripid "&amp;A158&amp;" --locoid "&amp;B158&amp;" --swversion "&amp;C158&amp;" --startMP "&amp;D158&amp;" --initTime "&amp;TEXT(E158,"yyyy-mm-ddTHH:MM:SS")&amp;" --startdatetime "&amp;TEXT(F158,"yyyy-mm-ddTHH:MM:SS")&amp;" --delay "&amp;G158&amp;" --endMP "&amp;H158&amp;" --enddatetime "&amp;TEXT(I158,"yyyy-mm-ddTHH:MM:SS")&amp;" --enforcementcount "&amp;J158&amp;" &gt;&gt; "&amp;TEXT(Variables!$A$2,"yyyy-mm-dd")&amp;"-refined-runtimes.txt"</f>
        <v>"%USERPROFILE%\Documents\GitHub\eaglep3\Utilities\RefineRTDCRunTimes.py" --tripid 242-03 --locoid 4043 --swversion DE.1.0.7.0 --startMP 204:232975 --initTime 2016-08-04T00:44:15 --startdatetime 2016-08-04T00:45:28 --delay 1 --endMP 204:161 --enddatetime 2016-08-04T01:34:26 --enforcementcount 0 &gt;&gt; 2016-08-03-refined-runtimes.txt</v>
      </c>
    </row>
    <row r="159" spans="1:34" x14ac:dyDescent="0.25">
      <c r="A159" s="25" t="s">
        <v>698</v>
      </c>
      <c r="B159" s="94">
        <v>4040</v>
      </c>
      <c r="C159" s="95" t="s">
        <v>163</v>
      </c>
      <c r="D159" s="95" t="s">
        <v>699</v>
      </c>
      <c r="E159" s="96">
        <v>42586.017256944448</v>
      </c>
      <c r="F159" s="96">
        <v>42586.018194444441</v>
      </c>
      <c r="G159" s="94">
        <v>1</v>
      </c>
      <c r="H159" s="96" t="s">
        <v>149</v>
      </c>
      <c r="I159" s="96">
        <v>42586.045844907407</v>
      </c>
      <c r="J159" s="94">
        <v>0</v>
      </c>
      <c r="K159" s="121" t="str">
        <f t="shared" si="58"/>
        <v>4039/4040</v>
      </c>
      <c r="L159" s="25" t="str">
        <f>VLOOKUP(A159,'Trips&amp;Operators'!$C$1:$E$10000,3,FALSE)</f>
        <v>COOLAHAN</v>
      </c>
      <c r="M159" s="6">
        <f t="shared" si="59"/>
        <v>2.7650462965539191E-2</v>
      </c>
      <c r="N159" s="7">
        <f t="shared" si="57"/>
        <v>39.816666670376435</v>
      </c>
      <c r="O159" s="7"/>
      <c r="P159" s="7"/>
      <c r="Q159" s="26"/>
      <c r="R159" s="26"/>
      <c r="S159" s="40">
        <f t="shared" si="60"/>
        <v>1</v>
      </c>
      <c r="T159" s="57" t="str">
        <f t="shared" si="61"/>
        <v>NorthBound</v>
      </c>
      <c r="U159" s="82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23:24:51-0600',mode:absolute,to:'2016-08-04 02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9" s="62" t="str">
        <f t="shared" si="63"/>
        <v>N</v>
      </c>
      <c r="X159" s="124">
        <f t="shared" si="64"/>
        <v>1</v>
      </c>
      <c r="Y159" s="77">
        <f t="shared" si="65"/>
        <v>4.8899999999999999E-2</v>
      </c>
      <c r="Z159" s="77">
        <f t="shared" si="66"/>
        <v>23.3293</v>
      </c>
      <c r="AA159" s="77">
        <f t="shared" si="67"/>
        <v>23.2804</v>
      </c>
      <c r="AB159" s="74" t="e">
        <f>VLOOKUP(A159,Enforcements!$C$7:$J$24,8,0)</f>
        <v>#N/A</v>
      </c>
      <c r="AC159" s="70" t="e">
        <f>VLOOKUP(A159,Enforcements!$C$7:$E$24,3,0)</f>
        <v>#N/A</v>
      </c>
      <c r="AD159" s="71" t="str">
        <f t="shared" si="68"/>
        <v>0243-03</v>
      </c>
      <c r="AE159" s="131" t="str">
        <f t="shared" si="69"/>
        <v>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 &amp; aws s3 cp s3://rtdc.mdm.uploadarchive/RTDC4040/2016-08-05/ "%USERPROFILE%\AppData\Local\Temp\OnboardLogs"\RTDC4040\2016-08-05 --recursive &amp; "%USERPROFILE%\Documents\GitHub\mrs-test-scripts\Headless Mode &amp; Sideloading\WalkAndUnGZ.bat" "%USERPROFILE%\AppData\Local\Temp\OnboardLogs"\RTDC4040\2016-08-05</v>
      </c>
      <c r="AF159" s="128" t="str">
        <f t="shared" si="70"/>
        <v>"C:\Program Files (x86)\AstroGrep\AstroGrep.exe" /spath="%USERPROFILE%\AppData\Local\Temp\OnboardLogs" /stypes="*4040*20160804*" /stext=" 07:.+((SYSTEM_STATE.+slice.+state.+changed )|(ment ac)|(system.+state.+changed )|(\|lc)|(penalty)|(\[timeout)|(PRM\|1\|D)|(kpr)|(kdp))" /e /r /s</v>
      </c>
      <c r="AG159" s="1" t="str">
        <f t="shared" si="71"/>
        <v>EC</v>
      </c>
      <c r="AH159" s="132" t="str">
        <f>refinertdcruntimes&amp;" --tripid "&amp;A159&amp;" --locoid "&amp;B159&amp;" --swversion "&amp;C159&amp;" --startMP "&amp;D159&amp;" --initTime "&amp;TEXT(E159,"yyyy-mm-ddTHH:MM:SS")&amp;" --startdatetime "&amp;TEXT(F159,"yyyy-mm-ddTHH:MM:SS")&amp;" --delay "&amp;G159&amp;" --endMP "&amp;H159&amp;" --enddatetime "&amp;TEXT(I159,"yyyy-mm-ddTHH:MM:SS")&amp;" --enforcementcount "&amp;J159&amp;" &gt;&gt; "&amp;TEXT(Variables!$A$2,"yyyy-mm-dd")&amp;"-refined-runtimes.txt"</f>
        <v>"%USERPROFILE%\Documents\GitHub\eaglep3\Utilities\RefineRTDCRunTimes.py" --tripid 243-03 --locoid 4040 --swversion DE.1.0.7.0 --startMP 204:489 --initTime 2016-08-04T00:24:51 --startdatetime 2016-08-04T00:26:12 --delay 1 --endMP 204:233293 --enddatetime 2016-08-04T01:06:01 --enforcementcount 0 &gt;&gt; 2016-08-03-refined-runtimes.txt</v>
      </c>
    </row>
    <row r="160" spans="1:34" x14ac:dyDescent="0.25">
      <c r="A160" s="25" t="s">
        <v>700</v>
      </c>
      <c r="B160" s="94">
        <v>4039</v>
      </c>
      <c r="C160" s="95" t="s">
        <v>163</v>
      </c>
      <c r="D160" s="95" t="s">
        <v>65</v>
      </c>
      <c r="E160" s="96">
        <v>42586.057175925926</v>
      </c>
      <c r="F160" s="96">
        <v>42586.058530092596</v>
      </c>
      <c r="G160" s="94">
        <v>1</v>
      </c>
      <c r="H160" s="96" t="s">
        <v>136</v>
      </c>
      <c r="I160" s="96">
        <v>42586.086261574077</v>
      </c>
      <c r="J160" s="94">
        <v>0</v>
      </c>
      <c r="K160" s="121" t="str">
        <f t="shared" si="58"/>
        <v>4039/4040</v>
      </c>
      <c r="L160" s="25" t="str">
        <f>VLOOKUP(A160,'Trips&amp;Operators'!$C$1:$E$10000,3,FALSE)</f>
        <v>COOLAHAN</v>
      </c>
      <c r="M160" s="6">
        <f t="shared" si="59"/>
        <v>2.7731481481168885E-2</v>
      </c>
      <c r="N160" s="7">
        <f t="shared" si="57"/>
        <v>39.933333332883194</v>
      </c>
      <c r="O160" s="7"/>
      <c r="P160" s="7"/>
      <c r="Q160" s="26"/>
      <c r="R160" s="26"/>
      <c r="S160" s="40">
        <f t="shared" si="60"/>
        <v>1</v>
      </c>
      <c r="T160" s="57" t="str">
        <f t="shared" si="61"/>
        <v>Southbound</v>
      </c>
      <c r="U160" s="82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12</v>
      </c>
      <c r="V16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https://search-rtdc-monitor-bjffxe2xuh6vdkpspy63sjmuny.us-east-1.es.amazonaws.com/_plugin/kibana/#/discover/Steve-Slow-Train-Analysis-(2080s-and-2083s)?_g=(refreshInterval:(display:Off,section:0,value:0),time:(from:'2016-08-04 00:22:20-0600',mode:absolute,to:'2016-08-04 03:04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60" s="62" t="str">
        <f t="shared" si="63"/>
        <v>N</v>
      </c>
      <c r="X160" s="124">
        <f t="shared" si="64"/>
        <v>1</v>
      </c>
      <c r="Y160" s="77">
        <f t="shared" si="65"/>
        <v>23.297699999999999</v>
      </c>
      <c r="Z160" s="77">
        <f t="shared" si="66"/>
        <v>1.54E-2</v>
      </c>
      <c r="AA160" s="77">
        <f t="shared" si="67"/>
        <v>23.282299999999999</v>
      </c>
      <c r="AB160" s="74" t="e">
        <f>VLOOKUP(A160,Enforcements!$C$7:$J$24,8,0)</f>
        <v>#N/A</v>
      </c>
      <c r="AC160" s="70" t="e">
        <f>VLOOKUP(A160,Enforcements!$C$7:$E$24,3,0)</f>
        <v>#N/A</v>
      </c>
      <c r="AD160" s="71" t="str">
        <f t="shared" si="68"/>
        <v>0244-03</v>
      </c>
      <c r="AE160" s="131" t="str">
        <f t="shared" si="69"/>
        <v>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 &amp; aws s3 cp s3://rtdc.mdm.uploadarchive/RTDC4039/2016-08-05/ "%USERPROFILE%\AppData\Local\Temp\OnboardLogs"\RTDC4039\2016-08-05 --recursive &amp; "%USERPROFILE%\Documents\GitHub\mrs-test-scripts\Headless Mode &amp; Sideloading\WalkAndUnGZ.bat" "%USERPROFILE%\AppData\Local\Temp\OnboardLogs"\RTDC4039\2016-08-05</v>
      </c>
      <c r="AF160" s="128" t="str">
        <f t="shared" si="70"/>
        <v>"C:\Program Files (x86)\AstroGrep\AstroGrep.exe" /spath="%USERPROFILE%\AppData\Local\Temp\OnboardLogs" /stypes="*4039*20160804*" /stext=" 08:.+((SYSTEM_STATE.+slice.+state.+changed )|(ment ac)|(system.+state.+changed )|(\|lc)|(penalty)|(\[timeout)|(PRM\|1\|D)|(kpr)|(kdp))" /e /r /s</v>
      </c>
      <c r="AG160" s="1" t="str">
        <f t="shared" si="71"/>
        <v>EC</v>
      </c>
      <c r="AH160" s="132" t="str">
        <f>refinertdcruntimes&amp;" --tripid "&amp;A160&amp;" --locoid "&amp;B160&amp;" --swversion "&amp;C160&amp;" --startMP "&amp;D160&amp;" --initTime "&amp;TEXT(E160,"yyyy-mm-ddTHH:MM:SS")&amp;" --startdatetime "&amp;TEXT(F160,"yyyy-mm-ddTHH:MM:SS")&amp;" --delay "&amp;G160&amp;" --endMP "&amp;H160&amp;" --enddatetime "&amp;TEXT(I160,"yyyy-mm-ddTHH:MM:SS")&amp;" --enforcementcount "&amp;J160&amp;" &gt;&gt; "&amp;TEXT(Variables!$A$2,"yyyy-mm-dd")&amp;"-refined-runtimes.txt"</f>
        <v>"%USERPROFILE%\Documents\GitHub\eaglep3\Utilities\RefineRTDCRunTimes.py" --tripid 244-03 --locoid 4039 --swversion DE.1.0.7.0 --startMP 204:232977 --initTime 2016-08-04T01:22:20 --startdatetime 2016-08-04T01:24:17 --delay 1 --endMP 204:154 --enddatetime 2016-08-04T02:04:13 --enforcementcount 0 &gt;&gt; 2016-08-03-refined-runtimes.txt</v>
      </c>
    </row>
    <row r="161" spans="1:34" x14ac:dyDescent="0.25">
      <c r="A161" s="44" t="s">
        <v>487</v>
      </c>
      <c r="B161" s="7">
        <v>4015</v>
      </c>
      <c r="C161" s="25" t="s">
        <v>163</v>
      </c>
      <c r="D161" s="25" t="s">
        <v>711</v>
      </c>
      <c r="E161" s="16">
        <v>42585.217372685183</v>
      </c>
      <c r="F161" s="16">
        <v>42585.218333333331</v>
      </c>
      <c r="G161" s="7">
        <v>1</v>
      </c>
      <c r="H161" s="16" t="s">
        <v>712</v>
      </c>
      <c r="I161" s="16">
        <v>42585.231238425928</v>
      </c>
      <c r="J161" s="7">
        <v>0</v>
      </c>
      <c r="K161" s="121" t="str">
        <f t="shared" si="58"/>
        <v>4015/4016</v>
      </c>
      <c r="L161" s="25" t="str">
        <f>VLOOKUP(A161,'Trips&amp;Operators'!$C$1:$E$10000,3,FALSE)</f>
        <v>STARKS</v>
      </c>
      <c r="M161" s="6">
        <f t="shared" si="59"/>
        <v>1.2905092597065959E-2</v>
      </c>
      <c r="N161" s="7">
        <f t="shared" si="57"/>
        <v>18.583333339774981</v>
      </c>
      <c r="O161" s="7"/>
      <c r="P161" s="7"/>
      <c r="Q161" s="26"/>
      <c r="R161" s="26"/>
      <c r="S161" s="40">
        <f t="shared" si="60"/>
        <v>1</v>
      </c>
      <c r="T161" s="57" t="str">
        <f t="shared" si="61"/>
        <v>Southbound</v>
      </c>
      <c r="U161" s="82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04:13:01-0600',mode:absolute,to:'2016-08-03 06:32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1" s="62" t="str">
        <f t="shared" si="63"/>
        <v>N</v>
      </c>
      <c r="X161" s="124">
        <f t="shared" si="64"/>
        <v>556</v>
      </c>
      <c r="Y161" s="77">
        <f t="shared" si="65"/>
        <v>5.8608000000000002</v>
      </c>
      <c r="Z161" s="77">
        <f t="shared" si="66"/>
        <v>6.5699999999999995E-2</v>
      </c>
      <c r="AA161" s="77">
        <f t="shared" si="67"/>
        <v>5.7951000000000006</v>
      </c>
      <c r="AB161" s="74" t="e">
        <f>VLOOKUP(A161,Enforcements!$C$7:$J$24,8,0)</f>
        <v>#N/A</v>
      </c>
      <c r="AC161" s="70" t="e">
        <f>VLOOKUP(A161,Enforcements!$C$7:$E$24,3,0)</f>
        <v>#N/A</v>
      </c>
      <c r="AD161" s="71" t="str">
        <f t="shared" si="68"/>
        <v>0800-03</v>
      </c>
      <c r="AE161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1" s="128" t="str">
        <f t="shared" si="70"/>
        <v>"C:\Program Files (x86)\AstroGrep\AstroGrep.exe" /spath="%USERPROFILE%\AppData\Local\Temp\OnboardLogs" /stypes="*4015*20160803*" /stext=" 11:.+((SYSTEM_STATE.+slice.+state.+changed )|(ment ac)|(system.+state.+changed )|(\|lc)|(penalty)|(\[timeout)|(PRM\|1\|D)|(kpr)|(kdp))" /e /r /s</v>
      </c>
      <c r="AG161" s="1" t="str">
        <f t="shared" si="71"/>
        <v>NW</v>
      </c>
      <c r="AH161" s="132" t="str">
        <f>refinertdcruntimes&amp;" --tripid "&amp;A161&amp;" --locoid "&amp;B161&amp;" --swversion "&amp;C161&amp;" --startMP "&amp;D161&amp;" --initTime "&amp;TEXT(E161,"yyyy-mm-ddTHH:MM:SS")&amp;" --startdatetime "&amp;TEXT(F161,"yyyy-mm-ddTHH:MM:SS")&amp;" --delay "&amp;G161&amp;" --endMP "&amp;H161&amp;" --enddatetime "&amp;TEXT(I161,"yyyy-mm-ddTHH:MM:SS")&amp;" --enforcementcount "&amp;J161&amp;" &gt;&gt; "&amp;TEXT(Variables!$A$2,"yyyy-mm-dd")&amp;"-refined-runtimes.txt"</f>
        <v>"%USERPROFILE%\Documents\GitHub\eaglep3\Utilities\RefineRTDCRunTimes.py" --tripid 800-03 --locoid 4015 --swversion DE.1.0.7.0 --startMP 300:58608 --initTime 2016-08-03T05:13:01 --startdatetime 2016-08-03T05:14:24 --delay 1 --endMP 204:657 --enddatetime 2016-08-03T05:32:59 --enforcementcount 0 &gt;&gt; 2016-08-03-refined-runtimes.txt</v>
      </c>
    </row>
    <row r="162" spans="1:34" x14ac:dyDescent="0.25">
      <c r="A162" s="44" t="s">
        <v>475</v>
      </c>
      <c r="B162" s="7">
        <v>4016</v>
      </c>
      <c r="C162" s="25" t="s">
        <v>163</v>
      </c>
      <c r="D162" s="25" t="s">
        <v>713</v>
      </c>
      <c r="E162" s="16">
        <v>42585.2424537037</v>
      </c>
      <c r="F162" s="16">
        <v>42585.243391203701</v>
      </c>
      <c r="G162" s="7">
        <v>1</v>
      </c>
      <c r="H162" s="16" t="s">
        <v>443</v>
      </c>
      <c r="I162" s="16">
        <v>42585.254745370374</v>
      </c>
      <c r="J162" s="7">
        <v>1</v>
      </c>
      <c r="K162" s="121" t="str">
        <f t="shared" si="58"/>
        <v>4015/4016</v>
      </c>
      <c r="L162" s="25" t="str">
        <f>VLOOKUP(A162,'Trips&amp;Operators'!$C$1:$E$10000,3,FALSE)</f>
        <v>STARKS</v>
      </c>
      <c r="M162" s="6">
        <f t="shared" si="59"/>
        <v>1.135416667239042E-2</v>
      </c>
      <c r="N162" s="7">
        <f t="shared" si="57"/>
        <v>16.350000008242205</v>
      </c>
      <c r="O162" s="7"/>
      <c r="P162" s="7"/>
      <c r="Q162" s="26"/>
      <c r="R162" s="26"/>
      <c r="S162" s="40">
        <f t="shared" si="60"/>
        <v>1</v>
      </c>
      <c r="T162" s="57" t="str">
        <f t="shared" si="61"/>
        <v>NorthBound</v>
      </c>
      <c r="U162" s="82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04:49:08-0600',mode:absolute,to:'2016-08-03 07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62" s="62" t="str">
        <f t="shared" si="63"/>
        <v>N</v>
      </c>
      <c r="X162" s="124">
        <f t="shared" si="64"/>
        <v>1</v>
      </c>
      <c r="Y162" s="77">
        <f t="shared" si="65"/>
        <v>9.4100000000000003E-2</v>
      </c>
      <c r="Z162" s="77">
        <f t="shared" si="66"/>
        <v>5.8921999999999999</v>
      </c>
      <c r="AA162" s="77">
        <f t="shared" si="67"/>
        <v>5.7980999999999998</v>
      </c>
      <c r="AB162" s="74" t="e">
        <f>VLOOKUP(A162,Enforcements!$C$7:$J$24,8,0)</f>
        <v>#N/A</v>
      </c>
      <c r="AC162" s="70" t="e">
        <f>VLOOKUP(A162,Enforcements!$C$7:$E$24,3,0)</f>
        <v>#N/A</v>
      </c>
      <c r="AD162" s="71" t="str">
        <f t="shared" si="68"/>
        <v>0801-03</v>
      </c>
      <c r="AE162" s="131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62" s="128" t="str">
        <f t="shared" si="70"/>
        <v>"C:\Program Files (x86)\AstroGrep\AstroGrep.exe" /spath="%USERPROFILE%\AppData\Local\Temp\OnboardLogs" /stypes="*4016*20160803*" /stext=" 12:.+((SYSTEM_STATE.+slice.+state.+changed )|(ment ac)|(system.+state.+changed )|(\|lc)|(penalty)|(\[timeout)|(PRM\|1\|D)|(kpr)|(kdp))" /e /r /s</v>
      </c>
      <c r="AG162" s="1" t="str">
        <f t="shared" si="71"/>
        <v>NW</v>
      </c>
      <c r="AH162" s="132" t="str">
        <f>refinertdcruntimes&amp;" --tripid "&amp;A162&amp;" --locoid "&amp;B162&amp;" --swversion "&amp;C162&amp;" --startMP "&amp;D162&amp;" --initTime "&amp;TEXT(E162,"yyyy-mm-ddTHH:MM:SS")&amp;" --startdatetime "&amp;TEXT(F162,"yyyy-mm-ddTHH:MM:SS")&amp;" --delay "&amp;G162&amp;" --endMP "&amp;H162&amp;" --enddatetime "&amp;TEXT(I162,"yyyy-mm-ddTHH:MM:SS")&amp;" --enforcementcount "&amp;J162&amp;" &gt;&gt; "&amp;TEXT(Variables!$A$2,"yyyy-mm-dd")&amp;"-refined-runtimes.txt"</f>
        <v>"%USERPROFILE%\Documents\GitHub\eaglep3\Utilities\RefineRTDCRunTimes.py" --tripid 801-03 --locoid 4016 --swversion DE.1.0.7.0 --startMP 204:941 --initTime 2016-08-03T05:49:08 --startdatetime 2016-08-03T05:50:29 --delay 1 --endMP 300:58922 --enddatetime 2016-08-03T06:06:50 --enforcementcount 1 &gt;&gt; 2016-08-03-refined-runtimes.txt</v>
      </c>
    </row>
    <row r="163" spans="1:34" x14ac:dyDescent="0.25">
      <c r="A163" s="44" t="s">
        <v>459</v>
      </c>
      <c r="B163" s="7">
        <v>4015</v>
      </c>
      <c r="C163" s="25" t="s">
        <v>163</v>
      </c>
      <c r="D163" s="25" t="s">
        <v>308</v>
      </c>
      <c r="E163" s="16">
        <v>42585.256944444445</v>
      </c>
      <c r="F163" s="16">
        <v>42585.258229166669</v>
      </c>
      <c r="G163" s="7">
        <v>1</v>
      </c>
      <c r="H163" s="16" t="s">
        <v>714</v>
      </c>
      <c r="I163" s="16">
        <v>42585.269456018519</v>
      </c>
      <c r="J163" s="7">
        <v>0</v>
      </c>
      <c r="K163" s="121" t="str">
        <f t="shared" si="58"/>
        <v>4015/4016</v>
      </c>
      <c r="L163" s="25" t="str">
        <f>VLOOKUP(A163,'Trips&amp;Operators'!$C$1:$E$10000,3,FALSE)</f>
        <v>DAVIS</v>
      </c>
      <c r="M163" s="6">
        <f t="shared" si="59"/>
        <v>1.1226851849642117E-2</v>
      </c>
      <c r="N163" s="7">
        <f t="shared" si="57"/>
        <v>16.166666663484648</v>
      </c>
      <c r="O163" s="7"/>
      <c r="P163" s="7"/>
      <c r="Q163" s="26"/>
      <c r="R163" s="26"/>
      <c r="S163" s="40">
        <f t="shared" si="60"/>
        <v>1</v>
      </c>
      <c r="T163" s="57" t="str">
        <f t="shared" si="61"/>
        <v>Southbound</v>
      </c>
      <c r="U163" s="82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05:10:00-0600',mode:absolute,to:'2016-08-03 07:28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3" s="62" t="str">
        <f t="shared" si="63"/>
        <v>N</v>
      </c>
      <c r="X163" s="124">
        <f t="shared" si="64"/>
        <v>1</v>
      </c>
      <c r="Y163" s="77">
        <f t="shared" si="65"/>
        <v>5.8609</v>
      </c>
      <c r="Z163" s="77">
        <f t="shared" si="66"/>
        <v>6.4000000000000001E-2</v>
      </c>
      <c r="AA163" s="77">
        <f t="shared" si="67"/>
        <v>5.7968999999999999</v>
      </c>
      <c r="AB163" s="74" t="e">
        <f>VLOOKUP(A163,Enforcements!$C$7:$J$24,8,0)</f>
        <v>#N/A</v>
      </c>
      <c r="AC163" s="70" t="e">
        <f>VLOOKUP(A163,Enforcements!$C$7:$E$24,3,0)</f>
        <v>#N/A</v>
      </c>
      <c r="AD163" s="71" t="str">
        <f t="shared" si="68"/>
        <v>0802-03</v>
      </c>
      <c r="AE163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3" s="128" t="str">
        <f t="shared" si="70"/>
        <v>"C:\Program Files (x86)\AstroGrep\AstroGrep.exe" /spath="%USERPROFILE%\AppData\Local\Temp\OnboardLogs" /stypes="*4015*20160803*" /stext=" 12:.+((SYSTEM_STATE.+slice.+state.+changed )|(ment ac)|(system.+state.+changed )|(\|lc)|(penalty)|(\[timeout)|(PRM\|1\|D)|(kpr)|(kdp))" /e /r /s</v>
      </c>
      <c r="AG163" s="1" t="str">
        <f t="shared" si="71"/>
        <v>NW</v>
      </c>
      <c r="AH163" s="132" t="str">
        <f>refinertdcruntimes&amp;" --tripid "&amp;A163&amp;" --locoid "&amp;B163&amp;" --swversion "&amp;C163&amp;" --startMP "&amp;D163&amp;" --initTime "&amp;TEXT(E163,"yyyy-mm-ddTHH:MM:SS")&amp;" --startdatetime "&amp;TEXT(F163,"yyyy-mm-ddTHH:MM:SS")&amp;" --delay "&amp;G163&amp;" --endMP "&amp;H163&amp;" --enddatetime "&amp;TEXT(I163,"yyyy-mm-ddTHH:MM:SS")&amp;" --enforcementcount "&amp;J163&amp;" &gt;&gt; "&amp;TEXT(Variables!$A$2,"yyyy-mm-dd")&amp;"-refined-runtimes.txt"</f>
        <v>"%USERPROFILE%\Documents\GitHub\eaglep3\Utilities\RefineRTDCRunTimes.py" --tripid 802-03 --locoid 4015 --swversion DE.1.0.7.0 --startMP 300:58609 --initTime 2016-08-03T06:10:00 --startdatetime 2016-08-03T06:11:51 --delay 1 --endMP 204:640 --enddatetime 2016-08-03T06:28:01 --enforcementcount 0 &gt;&gt; 2016-08-03-refined-runtimes.txt</v>
      </c>
    </row>
    <row r="164" spans="1:34" x14ac:dyDescent="0.25">
      <c r="A164" s="44" t="s">
        <v>458</v>
      </c>
      <c r="B164" s="7">
        <v>4007</v>
      </c>
      <c r="C164" s="25" t="s">
        <v>163</v>
      </c>
      <c r="D164" s="25" t="s">
        <v>331</v>
      </c>
      <c r="E164" s="16">
        <v>42585.25644675926</v>
      </c>
      <c r="F164" s="16">
        <v>42585.257708333331</v>
      </c>
      <c r="G164" s="7">
        <v>1</v>
      </c>
      <c r="H164" s="16" t="s">
        <v>715</v>
      </c>
      <c r="I164" s="16">
        <v>42585.275219907409</v>
      </c>
      <c r="J164" s="7">
        <v>0</v>
      </c>
      <c r="K164" s="121" t="str">
        <f t="shared" si="58"/>
        <v>4007/4008</v>
      </c>
      <c r="L164" s="25" t="str">
        <f>VLOOKUP(A164,'Trips&amp;Operators'!$C$1:$E$10000,3,FALSE)</f>
        <v>ISHMAEL</v>
      </c>
      <c r="M164" s="6">
        <f t="shared" si="59"/>
        <v>1.7511574078525882E-2</v>
      </c>
      <c r="N164" s="7">
        <f t="shared" si="57"/>
        <v>25.21666667307727</v>
      </c>
      <c r="O164" s="7"/>
      <c r="P164" s="7"/>
      <c r="Q164" s="26"/>
      <c r="R164" s="26"/>
      <c r="S164" s="40">
        <f t="shared" si="60"/>
        <v>1</v>
      </c>
      <c r="T164" s="57" t="str">
        <f t="shared" si="61"/>
        <v>NorthBound</v>
      </c>
      <c r="U164" s="82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05:09:17-0600',mode:absolute,to:'2016-08-03 07:36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64" s="62" t="str">
        <f t="shared" si="63"/>
        <v>N</v>
      </c>
      <c r="X164" s="124">
        <f t="shared" si="64"/>
        <v>1</v>
      </c>
      <c r="Y164" s="77">
        <f t="shared" si="65"/>
        <v>9.6500000000000002E-2</v>
      </c>
      <c r="Z164" s="77">
        <f t="shared" si="66"/>
        <v>5.8973000000000004</v>
      </c>
      <c r="AA164" s="77">
        <f t="shared" si="67"/>
        <v>5.8008000000000006</v>
      </c>
      <c r="AB164" s="74" t="e">
        <f>VLOOKUP(A164,Enforcements!$C$7:$J$24,8,0)</f>
        <v>#N/A</v>
      </c>
      <c r="AC164" s="70" t="e">
        <f>VLOOKUP(A164,Enforcements!$C$7:$E$24,3,0)</f>
        <v>#N/A</v>
      </c>
      <c r="AD164" s="71" t="str">
        <f t="shared" si="68"/>
        <v>0803-03</v>
      </c>
      <c r="AE164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64" s="128" t="str">
        <f t="shared" si="70"/>
        <v>"C:\Program Files (x86)\AstroGrep\AstroGrep.exe" /spath="%USERPROFILE%\AppData\Local\Temp\OnboardLogs" /stypes="*4007*20160803*" /stext=" 12:.+((SYSTEM_STATE.+slice.+state.+changed )|(ment ac)|(system.+state.+changed )|(\|lc)|(penalty)|(\[timeout)|(PRM\|1\|D)|(kpr)|(kdp))" /e /r /s</v>
      </c>
      <c r="AG164" s="1" t="str">
        <f t="shared" si="71"/>
        <v>NW</v>
      </c>
      <c r="AH164" s="132" t="str">
        <f>refinertdcruntimes&amp;" --tripid "&amp;A164&amp;" --locoid "&amp;B164&amp;" --swversion "&amp;C164&amp;" --startMP "&amp;D164&amp;" --initTime "&amp;TEXT(E164,"yyyy-mm-ddTHH:MM:SS")&amp;" --startdatetime "&amp;TEXT(F164,"yyyy-mm-ddTHH:MM:SS")&amp;" --delay "&amp;G164&amp;" --endMP "&amp;H164&amp;" --enddatetime "&amp;TEXT(I164,"yyyy-mm-ddTHH:MM:SS")&amp;" --enforcementcount "&amp;J164&amp;" &gt;&gt; "&amp;TEXT(Variables!$A$2,"yyyy-mm-dd")&amp;"-refined-runtimes.txt"</f>
        <v>"%USERPROFILE%\Documents\GitHub\eaglep3\Utilities\RefineRTDCRunTimes.py" --tripid 803-03 --locoid 4007 --swversion DE.1.0.7.0 --startMP 204:965 --initTime 2016-08-03T06:09:17 --startdatetime 2016-08-03T06:11:06 --delay 1 --endMP 300:58973 --enddatetime 2016-08-03T06:36:19 --enforcementcount 0 &gt;&gt; 2016-08-03-refined-runtimes.txt</v>
      </c>
    </row>
    <row r="165" spans="1:34" x14ac:dyDescent="0.25">
      <c r="A165" s="44" t="s">
        <v>478</v>
      </c>
      <c r="B165" s="7">
        <v>4008</v>
      </c>
      <c r="C165" s="25" t="s">
        <v>163</v>
      </c>
      <c r="D165" s="25" t="s">
        <v>716</v>
      </c>
      <c r="E165" s="16">
        <v>42585.276145833333</v>
      </c>
      <c r="F165" s="16">
        <v>42585.277256944442</v>
      </c>
      <c r="G165" s="7">
        <v>1</v>
      </c>
      <c r="H165" s="16" t="s">
        <v>717</v>
      </c>
      <c r="I165" s="16">
        <v>42585.289826388886</v>
      </c>
      <c r="J165" s="7">
        <v>1</v>
      </c>
      <c r="K165" s="121" t="str">
        <f t="shared" si="58"/>
        <v>4007/4008</v>
      </c>
      <c r="L165" s="25" t="str">
        <f>VLOOKUP(A165,'Trips&amp;Operators'!$C$1:$E$10000,3,FALSE)</f>
        <v>ISHMAEL</v>
      </c>
      <c r="M165" s="6">
        <f t="shared" si="59"/>
        <v>1.2569444443215616E-2</v>
      </c>
      <c r="N165" s="7">
        <f t="shared" si="57"/>
        <v>18.099999998230487</v>
      </c>
      <c r="O165" s="7"/>
      <c r="P165" s="7"/>
      <c r="Q165" s="26"/>
      <c r="R165" s="26"/>
      <c r="S165" s="40">
        <f t="shared" si="60"/>
        <v>1</v>
      </c>
      <c r="T165" s="57" t="str">
        <f t="shared" si="61"/>
        <v>Southbound</v>
      </c>
      <c r="U165" s="82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05:37:39-0600',mode:absolute,to:'2016-08-03 07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65" s="62" t="str">
        <f t="shared" si="63"/>
        <v>N</v>
      </c>
      <c r="X165" s="124">
        <f t="shared" si="64"/>
        <v>1</v>
      </c>
      <c r="Y165" s="77">
        <f t="shared" si="65"/>
        <v>5.8658000000000001</v>
      </c>
      <c r="Z165" s="77">
        <f t="shared" si="66"/>
        <v>7.1900000000000006E-2</v>
      </c>
      <c r="AA165" s="77">
        <f t="shared" si="67"/>
        <v>5.7938999999999998</v>
      </c>
      <c r="AB165" s="74" t="e">
        <f>VLOOKUP(A165,Enforcements!$C$7:$J$24,8,0)</f>
        <v>#N/A</v>
      </c>
      <c r="AC165" s="70" t="e">
        <f>VLOOKUP(A165,Enforcements!$C$7:$E$24,3,0)</f>
        <v>#N/A</v>
      </c>
      <c r="AD165" s="71" t="str">
        <f t="shared" si="68"/>
        <v>0804-03</v>
      </c>
      <c r="AE165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65" s="128" t="str">
        <f t="shared" si="70"/>
        <v>"C:\Program Files (x86)\AstroGrep\AstroGrep.exe" /spath="%USERPROFILE%\AppData\Local\Temp\OnboardLogs" /stypes="*4008*20160803*" /stext=" 12:.+((SYSTEM_STATE.+slice.+state.+changed )|(ment ac)|(system.+state.+changed )|(\|lc)|(penalty)|(\[timeout)|(PRM\|1\|D)|(kpr)|(kdp))" /e /r /s</v>
      </c>
      <c r="AG165" s="1" t="str">
        <f t="shared" si="71"/>
        <v>NW</v>
      </c>
      <c r="AH165" s="132" t="str">
        <f>refinertdcruntimes&amp;" --tripid "&amp;A165&amp;" --locoid "&amp;B165&amp;" --swversion "&amp;C165&amp;" --startMP "&amp;D165&amp;" --initTime "&amp;TEXT(E165,"yyyy-mm-ddTHH:MM:SS")&amp;" --startdatetime "&amp;TEXT(F165,"yyyy-mm-ddTHH:MM:SS")&amp;" --delay "&amp;G165&amp;" --endMP "&amp;H165&amp;" --enddatetime "&amp;TEXT(I165,"yyyy-mm-ddTHH:MM:SS")&amp;" --enforcementcount "&amp;J165&amp;" &gt;&gt; "&amp;TEXT(Variables!$A$2,"yyyy-mm-dd")&amp;"-refined-runtimes.txt"</f>
        <v>"%USERPROFILE%\Documents\GitHub\eaglep3\Utilities\RefineRTDCRunTimes.py" --tripid 804-03 --locoid 4008 --swversion DE.1.0.7.0 --startMP 300:58658 --initTime 2016-08-03T06:37:39 --startdatetime 2016-08-03T06:39:15 --delay 1 --endMP 204:719 --enddatetime 2016-08-03T06:57:21 --enforcementcount 1 &gt;&gt; 2016-08-03-refined-runtimes.txt</v>
      </c>
    </row>
    <row r="166" spans="1:34" x14ac:dyDescent="0.25">
      <c r="A166" s="44" t="s">
        <v>461</v>
      </c>
      <c r="B166" s="7">
        <v>4016</v>
      </c>
      <c r="C166" s="25" t="s">
        <v>163</v>
      </c>
      <c r="D166" s="25" t="s">
        <v>718</v>
      </c>
      <c r="E166" s="16">
        <v>42585.280231481483</v>
      </c>
      <c r="F166" s="16">
        <v>42585.281192129631</v>
      </c>
      <c r="G166" s="7">
        <v>1</v>
      </c>
      <c r="H166" s="16" t="s">
        <v>719</v>
      </c>
      <c r="I166" s="16">
        <v>42585.296041666668</v>
      </c>
      <c r="J166" s="7">
        <v>0</v>
      </c>
      <c r="K166" s="121" t="str">
        <f t="shared" si="58"/>
        <v>4015/4016</v>
      </c>
      <c r="L166" s="25" t="str">
        <f>VLOOKUP(A166,'Trips&amp;Operators'!$C$1:$E$10000,3,FALSE)</f>
        <v>DAVIS</v>
      </c>
      <c r="M166" s="6">
        <f t="shared" si="59"/>
        <v>1.484953703766223E-2</v>
      </c>
      <c r="N166" s="7">
        <f t="shared" si="57"/>
        <v>21.383333334233612</v>
      </c>
      <c r="O166" s="7"/>
      <c r="P166" s="7"/>
      <c r="Q166" s="26"/>
      <c r="R166" s="26"/>
      <c r="S166" s="40">
        <f t="shared" si="60"/>
        <v>1</v>
      </c>
      <c r="T166" s="57" t="str">
        <f t="shared" si="61"/>
        <v>NorthBound</v>
      </c>
      <c r="U166" s="82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05:43:32-0600',mode:absolute,to:'2016-08-03 08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66" s="62" t="str">
        <f t="shared" si="63"/>
        <v>N</v>
      </c>
      <c r="X166" s="124">
        <f t="shared" si="64"/>
        <v>1</v>
      </c>
      <c r="Y166" s="77">
        <f t="shared" si="65"/>
        <v>9.2700000000000005E-2</v>
      </c>
      <c r="Z166" s="77">
        <f t="shared" si="66"/>
        <v>5.8943000000000003</v>
      </c>
      <c r="AA166" s="77">
        <f t="shared" si="67"/>
        <v>5.8016000000000005</v>
      </c>
      <c r="AB166" s="74" t="e">
        <f>VLOOKUP(A166,Enforcements!$C$7:$J$24,8,0)</f>
        <v>#N/A</v>
      </c>
      <c r="AC166" s="70" t="e">
        <f>VLOOKUP(A166,Enforcements!$C$7:$E$24,3,0)</f>
        <v>#N/A</v>
      </c>
      <c r="AD166" s="71" t="str">
        <f t="shared" si="68"/>
        <v>0805-03</v>
      </c>
      <c r="AE166" s="131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66" s="128" t="str">
        <f t="shared" si="70"/>
        <v>"C:\Program Files (x86)\AstroGrep\AstroGrep.exe" /spath="%USERPROFILE%\AppData\Local\Temp\OnboardLogs" /stypes="*4016*20160803*" /stext=" 13:.+((SYSTEM_STATE.+slice.+state.+changed )|(ment ac)|(system.+state.+changed )|(\|lc)|(penalty)|(\[timeout)|(PRM\|1\|D)|(kpr)|(kdp))" /e /r /s</v>
      </c>
      <c r="AG166" s="1" t="str">
        <f t="shared" si="71"/>
        <v>NW</v>
      </c>
      <c r="AH166" s="132" t="str">
        <f>refinertdcruntimes&amp;" --tripid "&amp;A166&amp;" --locoid "&amp;B166&amp;" --swversion "&amp;C166&amp;" --startMP "&amp;D166&amp;" --initTime "&amp;TEXT(E166,"yyyy-mm-ddTHH:MM:SS")&amp;" --startdatetime "&amp;TEXT(F166,"yyyy-mm-ddTHH:MM:SS")&amp;" --delay "&amp;G166&amp;" --endMP "&amp;H166&amp;" --enddatetime "&amp;TEXT(I166,"yyyy-mm-ddTHH:MM:SS")&amp;" --enforcementcount "&amp;J166&amp;" &gt;&gt; "&amp;TEXT(Variables!$A$2,"yyyy-mm-dd")&amp;"-refined-runtimes.txt"</f>
        <v>"%USERPROFILE%\Documents\GitHub\eaglep3\Utilities\RefineRTDCRunTimes.py" --tripid 805-03 --locoid 4016 --swversion DE.1.0.7.0 --startMP 204:927 --initTime 2016-08-03T06:43:32 --startdatetime 2016-08-03T06:44:55 --delay 1 --endMP 300:58943 --enddatetime 2016-08-03T07:06:18 --enforcementcount 0 &gt;&gt; 2016-08-03-refined-runtimes.txt</v>
      </c>
    </row>
    <row r="167" spans="1:34" x14ac:dyDescent="0.25">
      <c r="A167" s="44" t="s">
        <v>720</v>
      </c>
      <c r="B167" s="7">
        <v>4015</v>
      </c>
      <c r="C167" s="25" t="s">
        <v>163</v>
      </c>
      <c r="D167" s="25" t="s">
        <v>721</v>
      </c>
      <c r="E167" s="16">
        <v>42585.297071759262</v>
      </c>
      <c r="F167" s="16">
        <v>42585.297858796293</v>
      </c>
      <c r="G167" s="7">
        <v>1</v>
      </c>
      <c r="H167" s="16" t="s">
        <v>722</v>
      </c>
      <c r="I167" s="16">
        <v>42585.310208333336</v>
      </c>
      <c r="J167" s="7">
        <v>0</v>
      </c>
      <c r="K167" s="121" t="str">
        <f t="shared" si="58"/>
        <v>4015/4016</v>
      </c>
      <c r="L167" s="25" t="str">
        <f>VLOOKUP(A167,'Trips&amp;Operators'!$C$1:$E$10000,3,FALSE)</f>
        <v>DAVIS</v>
      </c>
      <c r="M167" s="6">
        <f t="shared" si="59"/>
        <v>1.2349537042609882E-2</v>
      </c>
      <c r="N167" s="7">
        <f t="shared" si="57"/>
        <v>17.78333334135823</v>
      </c>
      <c r="O167" s="7"/>
      <c r="P167" s="7"/>
      <c r="Q167" s="26"/>
      <c r="R167" s="26"/>
      <c r="S167" s="40">
        <f t="shared" si="60"/>
        <v>1</v>
      </c>
      <c r="T167" s="57" t="str">
        <f t="shared" si="61"/>
        <v>Southbound</v>
      </c>
      <c r="U167" s="82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06:07:47-0600',mode:absolute,to:'2016-08-03 08:26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67" s="62" t="str">
        <f t="shared" si="63"/>
        <v>N</v>
      </c>
      <c r="X167" s="124">
        <f t="shared" si="64"/>
        <v>1</v>
      </c>
      <c r="Y167" s="77">
        <f t="shared" si="65"/>
        <v>5.8625999999999996</v>
      </c>
      <c r="Z167" s="77">
        <f t="shared" si="66"/>
        <v>6.6100000000000006E-2</v>
      </c>
      <c r="AA167" s="77">
        <f t="shared" si="67"/>
        <v>5.7965</v>
      </c>
      <c r="AB167" s="74" t="e">
        <f>VLOOKUP(A167,Enforcements!$C$7:$J$24,8,0)</f>
        <v>#N/A</v>
      </c>
      <c r="AC167" s="70" t="e">
        <f>VLOOKUP(A167,Enforcements!$C$7:$E$24,3,0)</f>
        <v>#N/A</v>
      </c>
      <c r="AD167" s="71" t="str">
        <f t="shared" si="68"/>
        <v>0806-03</v>
      </c>
      <c r="AE167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67" s="128" t="str">
        <f t="shared" si="70"/>
        <v>"C:\Program Files (x86)\AstroGrep\AstroGrep.exe" /spath="%USERPROFILE%\AppData\Local\Temp\OnboardLogs" /stypes="*4015*20160803*" /stext=" 13:.+((SYSTEM_STATE.+slice.+state.+changed )|(ment ac)|(system.+state.+changed )|(\|lc)|(penalty)|(\[timeout)|(PRM\|1\|D)|(kpr)|(kdp))" /e /r /s</v>
      </c>
      <c r="AG167" s="1" t="str">
        <f t="shared" si="71"/>
        <v>NW</v>
      </c>
      <c r="AH167" s="132" t="str">
        <f>refinertdcruntimes&amp;" --tripid "&amp;A167&amp;" --locoid "&amp;B167&amp;" --swversion "&amp;C167&amp;" --startMP "&amp;D167&amp;" --initTime "&amp;TEXT(E167,"yyyy-mm-ddTHH:MM:SS")&amp;" --startdatetime "&amp;TEXT(F167,"yyyy-mm-ddTHH:MM:SS")&amp;" --delay "&amp;G167&amp;" --endMP "&amp;H167&amp;" --enddatetime "&amp;TEXT(I167,"yyyy-mm-ddTHH:MM:SS")&amp;" --enforcementcount "&amp;J167&amp;" &gt;&gt; "&amp;TEXT(Variables!$A$2,"yyyy-mm-dd")&amp;"-refined-runtimes.txt"</f>
        <v>"%USERPROFILE%\Documents\GitHub\eaglep3\Utilities\RefineRTDCRunTimes.py" --tripid 806-03 --locoid 4015 --swversion DE.1.0.7.0 --startMP 300:58626 --initTime 2016-08-03T07:07:47 --startdatetime 2016-08-03T07:08:55 --delay 1 --endMP 204:661 --enddatetime 2016-08-03T07:26:42 --enforcementcount 0 &gt;&gt; 2016-08-03-refined-runtimes.txt</v>
      </c>
    </row>
    <row r="168" spans="1:34" x14ac:dyDescent="0.25">
      <c r="A168" s="44" t="s">
        <v>723</v>
      </c>
      <c r="B168" s="7">
        <v>4007</v>
      </c>
      <c r="C168" s="25" t="s">
        <v>163</v>
      </c>
      <c r="D168" s="25" t="s">
        <v>724</v>
      </c>
      <c r="E168" s="16">
        <v>42585.302928240744</v>
      </c>
      <c r="F168" s="16">
        <v>42585.304062499999</v>
      </c>
      <c r="G168" s="7">
        <v>1</v>
      </c>
      <c r="H168" s="16" t="s">
        <v>725</v>
      </c>
      <c r="I168" s="16">
        <v>42585.31627314815</v>
      </c>
      <c r="J168" s="7">
        <v>0</v>
      </c>
      <c r="K168" s="121" t="str">
        <f t="shared" si="58"/>
        <v>4007/4008</v>
      </c>
      <c r="L168" s="25" t="str">
        <f>VLOOKUP(A168,'Trips&amp;Operators'!$C$1:$E$10000,3,FALSE)</f>
        <v>ISHMAEL</v>
      </c>
      <c r="M168" s="6">
        <f t="shared" si="59"/>
        <v>1.2210648150357883E-2</v>
      </c>
      <c r="N168" s="7">
        <f t="shared" si="57"/>
        <v>17.583333336515352</v>
      </c>
      <c r="O168" s="7"/>
      <c r="P168" s="7"/>
      <c r="Q168" s="26"/>
      <c r="R168" s="26"/>
      <c r="S168" s="40">
        <f t="shared" si="60"/>
        <v>1</v>
      </c>
      <c r="T168" s="57" t="str">
        <f t="shared" si="61"/>
        <v>NorthBound</v>
      </c>
      <c r="U168" s="82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06:16:13-0600',mode:absolute,to:'2016-08-03 08:35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68" s="62" t="str">
        <f t="shared" si="63"/>
        <v>N</v>
      </c>
      <c r="X168" s="124">
        <f t="shared" si="64"/>
        <v>1</v>
      </c>
      <c r="Y168" s="77">
        <f t="shared" si="65"/>
        <v>0.1021</v>
      </c>
      <c r="Z168" s="77">
        <f t="shared" si="66"/>
        <v>5.8983999999999996</v>
      </c>
      <c r="AA168" s="77">
        <f t="shared" si="67"/>
        <v>5.7962999999999996</v>
      </c>
      <c r="AB168" s="74" t="e">
        <f>VLOOKUP(A168,Enforcements!$C$7:$J$24,8,0)</f>
        <v>#N/A</v>
      </c>
      <c r="AC168" s="70" t="e">
        <f>VLOOKUP(A168,Enforcements!$C$7:$E$24,3,0)</f>
        <v>#N/A</v>
      </c>
      <c r="AD168" s="71" t="str">
        <f t="shared" si="68"/>
        <v>0807-03</v>
      </c>
      <c r="AE168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68" s="128" t="str">
        <f t="shared" si="70"/>
        <v>"C:\Program Files (x86)\AstroGrep\AstroGrep.exe" /spath="%USERPROFILE%\AppData\Local\Temp\OnboardLogs" /stypes="*4007*20160803*" /stext=" 13:.+((SYSTEM_STATE.+slice.+state.+changed )|(ment ac)|(system.+state.+changed )|(\|lc)|(penalty)|(\[timeout)|(PRM\|1\|D)|(kpr)|(kdp))" /e /r /s</v>
      </c>
      <c r="AG168" s="1" t="str">
        <f t="shared" si="71"/>
        <v>NW</v>
      </c>
      <c r="AH168" s="132" t="str">
        <f>refinertdcruntimes&amp;" --tripid "&amp;A168&amp;" --locoid "&amp;B168&amp;" --swversion "&amp;C168&amp;" --startMP "&amp;D168&amp;" --initTime "&amp;TEXT(E168,"yyyy-mm-ddTHH:MM:SS")&amp;" --startdatetime "&amp;TEXT(F168,"yyyy-mm-ddTHH:MM:SS")&amp;" --delay "&amp;G168&amp;" --endMP "&amp;H168&amp;" --enddatetime "&amp;TEXT(I168,"yyyy-mm-ddTHH:MM:SS")&amp;" --enforcementcount "&amp;J168&amp;" &gt;&gt; "&amp;TEXT(Variables!$A$2,"yyyy-mm-dd")&amp;"-refined-runtimes.txt"</f>
        <v>"%USERPROFILE%\Documents\GitHub\eaglep3\Utilities\RefineRTDCRunTimes.py" --tripid 807-03 --locoid 4007 --swversion DE.1.0.7.0 --startMP 204:1021 --initTime 2016-08-03T07:16:13 --startdatetime 2016-08-03T07:17:51 --delay 1 --endMP 300:58984 --enddatetime 2016-08-03T07:35:26 --enforcementcount 0 &gt;&gt; 2016-08-03-refined-runtimes.txt</v>
      </c>
    </row>
    <row r="169" spans="1:34" x14ac:dyDescent="0.25">
      <c r="A169" s="44" t="s">
        <v>726</v>
      </c>
      <c r="B169" s="7">
        <v>4008</v>
      </c>
      <c r="C169" s="25" t="s">
        <v>163</v>
      </c>
      <c r="D169" s="25" t="s">
        <v>727</v>
      </c>
      <c r="E169" s="16">
        <v>42585.317210648151</v>
      </c>
      <c r="F169" s="16">
        <v>42585.318773148145</v>
      </c>
      <c r="G169" s="7">
        <v>2</v>
      </c>
      <c r="H169" s="16" t="s">
        <v>728</v>
      </c>
      <c r="I169" s="16">
        <v>42585.330046296294</v>
      </c>
      <c r="J169" s="7">
        <v>0</v>
      </c>
      <c r="K169" s="121" t="str">
        <f t="shared" si="58"/>
        <v>4007/4008</v>
      </c>
      <c r="L169" s="25" t="str">
        <f>VLOOKUP(A169,'Trips&amp;Operators'!$C$1:$E$10000,3,FALSE)</f>
        <v>ISHMAEL</v>
      </c>
      <c r="M169" s="6">
        <f t="shared" si="59"/>
        <v>1.1273148149484769E-2</v>
      </c>
      <c r="N169" s="7">
        <f t="shared" si="57"/>
        <v>16.233333335258067</v>
      </c>
      <c r="O169" s="7"/>
      <c r="P169" s="7"/>
      <c r="Q169" s="26"/>
      <c r="R169" s="26"/>
      <c r="S169" s="40">
        <f t="shared" si="60"/>
        <v>1</v>
      </c>
      <c r="T169" s="57" t="str">
        <f t="shared" si="61"/>
        <v>Southbound</v>
      </c>
      <c r="U169" s="82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06:36:47-0600',mode:absolute,to:'2016-08-03 08:55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69" s="62" t="str">
        <f t="shared" si="63"/>
        <v>N</v>
      </c>
      <c r="X169" s="124">
        <f t="shared" si="64"/>
        <v>1</v>
      </c>
      <c r="Y169" s="77">
        <f t="shared" si="65"/>
        <v>5.8667999999999996</v>
      </c>
      <c r="Z169" s="77">
        <f t="shared" si="66"/>
        <v>6.8199999999999997E-2</v>
      </c>
      <c r="AA169" s="77">
        <f t="shared" si="67"/>
        <v>5.7985999999999995</v>
      </c>
      <c r="AB169" s="74" t="e">
        <f>VLOOKUP(A169,Enforcements!$C$7:$J$24,8,0)</f>
        <v>#N/A</v>
      </c>
      <c r="AC169" s="70" t="e">
        <f>VLOOKUP(A169,Enforcements!$C$7:$E$24,3,0)</f>
        <v>#N/A</v>
      </c>
      <c r="AD169" s="71" t="str">
        <f t="shared" si="68"/>
        <v>0808-03</v>
      </c>
      <c r="AE169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69" s="128" t="str">
        <f t="shared" si="70"/>
        <v>"C:\Program Files (x86)\AstroGrep\AstroGrep.exe" /spath="%USERPROFILE%\AppData\Local\Temp\OnboardLogs" /stypes="*4008*20160803*" /stext=" 13:.+((SYSTEM_STATE.+slice.+state.+changed )|(ment ac)|(system.+state.+changed )|(\|lc)|(penalty)|(\[timeout)|(PRM\|1\|D)|(kpr)|(kdp))" /e /r /s</v>
      </c>
      <c r="AG169" s="1" t="str">
        <f t="shared" si="71"/>
        <v>NW</v>
      </c>
      <c r="AH169" s="132" t="str">
        <f>refinertdcruntimes&amp;" --tripid "&amp;A169&amp;" --locoid "&amp;B169&amp;" --swversion "&amp;C169&amp;" --startMP "&amp;D169&amp;" --initTime "&amp;TEXT(E169,"yyyy-mm-ddTHH:MM:SS")&amp;" --startdatetime "&amp;TEXT(F169,"yyyy-mm-ddTHH:MM:SS")&amp;" --delay "&amp;G169&amp;" --endMP "&amp;H169&amp;" --enddatetime "&amp;TEXT(I169,"yyyy-mm-ddTHH:MM:SS")&amp;" --enforcementcount "&amp;J169&amp;" &gt;&gt; "&amp;TEXT(Variables!$A$2,"yyyy-mm-dd")&amp;"-refined-runtimes.txt"</f>
        <v>"%USERPROFILE%\Documents\GitHub\eaglep3\Utilities\RefineRTDCRunTimes.py" --tripid 808-03 --locoid 4008 --swversion DE.1.0.7.0 --startMP 300:58668 --initTime 2016-08-03T07:36:47 --startdatetime 2016-08-03T07:39:02 --delay 2 --endMP 204:682 --enddatetime 2016-08-03T07:55:16 --enforcementcount 0 &gt;&gt; 2016-08-03-refined-runtimes.txt</v>
      </c>
    </row>
    <row r="170" spans="1:34" x14ac:dyDescent="0.25">
      <c r="A170" s="44" t="s">
        <v>729</v>
      </c>
      <c r="B170" s="7">
        <v>4016</v>
      </c>
      <c r="C170" s="25" t="s">
        <v>163</v>
      </c>
      <c r="D170" s="25" t="s">
        <v>730</v>
      </c>
      <c r="E170" s="16">
        <v>42585.322581018518</v>
      </c>
      <c r="F170" s="16">
        <v>42585.323449074072</v>
      </c>
      <c r="G170" s="7">
        <v>1</v>
      </c>
      <c r="H170" s="16" t="s">
        <v>328</v>
      </c>
      <c r="I170" s="16">
        <v>42585.338321759256</v>
      </c>
      <c r="J170" s="7">
        <v>0</v>
      </c>
      <c r="K170" s="121" t="str">
        <f t="shared" si="58"/>
        <v>4015/4016</v>
      </c>
      <c r="L170" s="25" t="str">
        <f>VLOOKUP(A170,'Trips&amp;Operators'!$C$1:$E$10000,3,FALSE)</f>
        <v>DAVIS</v>
      </c>
      <c r="M170" s="6">
        <f t="shared" si="59"/>
        <v>1.4872685183945578E-2</v>
      </c>
      <c r="N170" s="7">
        <f t="shared" si="57"/>
        <v>21.416666664881632</v>
      </c>
      <c r="O170" s="7"/>
      <c r="P170" s="7"/>
      <c r="Q170" s="26"/>
      <c r="R170" s="26"/>
      <c r="S170" s="40">
        <f t="shared" si="60"/>
        <v>1</v>
      </c>
      <c r="T170" s="57" t="str">
        <f t="shared" si="61"/>
        <v>NorthBound</v>
      </c>
      <c r="U170" s="82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06:44:31-0600',mode:absolute,to:'2016-08-03 09:07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70" s="62" t="str">
        <f t="shared" si="63"/>
        <v>N</v>
      </c>
      <c r="X170" s="124">
        <f t="shared" si="64"/>
        <v>1</v>
      </c>
      <c r="Y170" s="77">
        <f t="shared" si="65"/>
        <v>9.4299999999999995E-2</v>
      </c>
      <c r="Z170" s="77">
        <f t="shared" si="66"/>
        <v>5.8924000000000003</v>
      </c>
      <c r="AA170" s="77">
        <f t="shared" si="67"/>
        <v>5.7981000000000007</v>
      </c>
      <c r="AB170" s="74" t="e">
        <f>VLOOKUP(A170,Enforcements!$C$7:$J$24,8,0)</f>
        <v>#N/A</v>
      </c>
      <c r="AC170" s="70" t="e">
        <f>VLOOKUP(A170,Enforcements!$C$7:$E$24,3,0)</f>
        <v>#N/A</v>
      </c>
      <c r="AD170" s="71" t="str">
        <f t="shared" si="68"/>
        <v>0809-03</v>
      </c>
      <c r="AE170" s="131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70" s="128" t="str">
        <f t="shared" si="70"/>
        <v>"C:\Program Files (x86)\AstroGrep\AstroGrep.exe" /spath="%USERPROFILE%\AppData\Local\Temp\OnboardLogs" /stypes="*4016*20160803*" /stext=" 14:.+((SYSTEM_STATE.+slice.+state.+changed )|(ment ac)|(system.+state.+changed )|(\|lc)|(penalty)|(\[timeout)|(PRM\|1\|D)|(kpr)|(kdp))" /e /r /s</v>
      </c>
      <c r="AG170" s="1" t="str">
        <f t="shared" si="71"/>
        <v>NW</v>
      </c>
      <c r="AH170" s="132" t="str">
        <f>refinertdcruntimes&amp;" --tripid "&amp;A170&amp;" --locoid "&amp;B170&amp;" --swversion "&amp;C170&amp;" --startMP "&amp;D170&amp;" --initTime "&amp;TEXT(E170,"yyyy-mm-ddTHH:MM:SS")&amp;" --startdatetime "&amp;TEXT(F170,"yyyy-mm-ddTHH:MM:SS")&amp;" --delay "&amp;G170&amp;" --endMP "&amp;H170&amp;" --enddatetime "&amp;TEXT(I170,"yyyy-mm-ddTHH:MM:SS")&amp;" --enforcementcount "&amp;J170&amp;" &gt;&gt; "&amp;TEXT(Variables!$A$2,"yyyy-mm-dd")&amp;"-refined-runtimes.txt"</f>
        <v>"%USERPROFILE%\Documents\GitHub\eaglep3\Utilities\RefineRTDCRunTimes.py" --tripid 809-03 --locoid 4016 --swversion DE.1.0.7.0 --startMP 204:943 --initTime 2016-08-03T07:44:31 --startdatetime 2016-08-03T07:45:46 --delay 1 --endMP 300:58924 --enddatetime 2016-08-03T08:07:11 --enforcementcount 0 &gt;&gt; 2016-08-03-refined-runtimes.txt</v>
      </c>
    </row>
    <row r="171" spans="1:34" x14ac:dyDescent="0.25">
      <c r="A171" s="44" t="s">
        <v>731</v>
      </c>
      <c r="B171" s="7">
        <v>4015</v>
      </c>
      <c r="C171" s="25" t="s">
        <v>163</v>
      </c>
      <c r="D171" s="25" t="s">
        <v>446</v>
      </c>
      <c r="E171" s="16">
        <v>42585.339259259257</v>
      </c>
      <c r="F171" s="16">
        <v>42585.34003472222</v>
      </c>
      <c r="G171" s="7">
        <v>1</v>
      </c>
      <c r="H171" s="16" t="s">
        <v>732</v>
      </c>
      <c r="I171" s="16">
        <v>42585.352442129632</v>
      </c>
      <c r="J171" s="7">
        <v>0</v>
      </c>
      <c r="K171" s="121" t="str">
        <f t="shared" si="58"/>
        <v>4015/4016</v>
      </c>
      <c r="L171" s="25" t="str">
        <f>VLOOKUP(A171,'Trips&amp;Operators'!$C$1:$E$10000,3,FALSE)</f>
        <v>DAVIS</v>
      </c>
      <c r="M171" s="6">
        <f t="shared" si="59"/>
        <v>1.2407407411956228E-2</v>
      </c>
      <c r="N171" s="7">
        <f t="shared" si="57"/>
        <v>17.866666673216969</v>
      </c>
      <c r="O171" s="7"/>
      <c r="P171" s="7"/>
      <c r="Q171" s="26"/>
      <c r="R171" s="26"/>
      <c r="S171" s="40">
        <f t="shared" si="60"/>
        <v>1</v>
      </c>
      <c r="T171" s="57" t="str">
        <f t="shared" si="61"/>
        <v>Southbound</v>
      </c>
      <c r="U171" s="82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07:08:32-0600',mode:absolute,to:'2016-08-03 09:27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71" s="62" t="str">
        <f t="shared" si="63"/>
        <v>N</v>
      </c>
      <c r="X171" s="124">
        <f t="shared" si="64"/>
        <v>1</v>
      </c>
      <c r="Y171" s="77">
        <f t="shared" si="65"/>
        <v>5.8616999999999999</v>
      </c>
      <c r="Z171" s="77">
        <f t="shared" si="66"/>
        <v>6.8000000000000005E-2</v>
      </c>
      <c r="AA171" s="77">
        <f t="shared" si="67"/>
        <v>5.7937000000000003</v>
      </c>
      <c r="AB171" s="74" t="e">
        <f>VLOOKUP(A171,Enforcements!$C$7:$J$24,8,0)</f>
        <v>#N/A</v>
      </c>
      <c r="AC171" s="70" t="e">
        <f>VLOOKUP(A171,Enforcements!$C$7:$E$24,3,0)</f>
        <v>#N/A</v>
      </c>
      <c r="AD171" s="71" t="str">
        <f t="shared" si="68"/>
        <v>0810-03</v>
      </c>
      <c r="AE171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71" s="128" t="str">
        <f t="shared" si="70"/>
        <v>"C:\Program Files (x86)\AstroGrep\AstroGrep.exe" /spath="%USERPROFILE%\AppData\Local\Temp\OnboardLogs" /stypes="*4015*20160803*" /stext=" 14:.+((SYSTEM_STATE.+slice.+state.+changed )|(ment ac)|(system.+state.+changed )|(\|lc)|(penalty)|(\[timeout)|(PRM\|1\|D)|(kpr)|(kdp))" /e /r /s</v>
      </c>
      <c r="AG171" s="1" t="str">
        <f t="shared" si="71"/>
        <v>NW</v>
      </c>
      <c r="AH171" s="132" t="str">
        <f>refinertdcruntimes&amp;" --tripid "&amp;A171&amp;" --locoid "&amp;B171&amp;" --swversion "&amp;C171&amp;" --startMP "&amp;D171&amp;" --initTime "&amp;TEXT(E171,"yyyy-mm-ddTHH:MM:SS")&amp;" --startdatetime "&amp;TEXT(F171,"yyyy-mm-ddTHH:MM:SS")&amp;" --delay "&amp;G171&amp;" --endMP "&amp;H171&amp;" --enddatetime "&amp;TEXT(I171,"yyyy-mm-ddTHH:MM:SS")&amp;" --enforcementcount "&amp;J171&amp;" &gt;&gt; "&amp;TEXT(Variables!$A$2,"yyyy-mm-dd")&amp;"-refined-runtimes.txt"</f>
        <v>"%USERPROFILE%\Documents\GitHub\eaglep3\Utilities\RefineRTDCRunTimes.py" --tripid 810-03 --locoid 4015 --swversion DE.1.0.7.0 --startMP 300:58617 --initTime 2016-08-03T08:08:32 --startdatetime 2016-08-03T08:09:39 --delay 1 --endMP 204:680 --enddatetime 2016-08-03T08:27:31 --enforcementcount 0 &gt;&gt; 2016-08-03-refined-runtimes.txt</v>
      </c>
    </row>
    <row r="172" spans="1:34" x14ac:dyDescent="0.25">
      <c r="A172" s="44" t="s">
        <v>733</v>
      </c>
      <c r="B172" s="7">
        <v>4007</v>
      </c>
      <c r="C172" s="25" t="s">
        <v>163</v>
      </c>
      <c r="D172" s="25" t="s">
        <v>425</v>
      </c>
      <c r="E172" s="16">
        <v>42585.343553240738</v>
      </c>
      <c r="F172" s="16">
        <v>42585.344363425924</v>
      </c>
      <c r="G172" s="7">
        <v>1</v>
      </c>
      <c r="H172" s="16" t="s">
        <v>734</v>
      </c>
      <c r="I172" s="16">
        <v>42585.359618055554</v>
      </c>
      <c r="J172" s="7">
        <v>0</v>
      </c>
      <c r="K172" s="121" t="str">
        <f t="shared" si="58"/>
        <v>4007/4008</v>
      </c>
      <c r="L172" s="25" t="str">
        <f>VLOOKUP(A172,'Trips&amp;Operators'!$C$1:$E$10000,3,FALSE)</f>
        <v>ISHMAEL</v>
      </c>
      <c r="M172" s="6">
        <f t="shared" si="59"/>
        <v>1.5254629630362615E-2</v>
      </c>
      <c r="N172" s="7">
        <f t="shared" si="57"/>
        <v>21.966666667722166</v>
      </c>
      <c r="O172" s="7"/>
      <c r="P172" s="7"/>
      <c r="Q172" s="26"/>
      <c r="R172" s="26"/>
      <c r="S172" s="40">
        <f t="shared" si="60"/>
        <v>1</v>
      </c>
      <c r="T172" s="57" t="str">
        <f t="shared" si="61"/>
        <v>NorthBound</v>
      </c>
      <c r="U172" s="82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07:14:43-0600',mode:absolute,to:'2016-08-03 09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2" s="62" t="str">
        <f t="shared" si="63"/>
        <v>N</v>
      </c>
      <c r="X172" s="124">
        <f t="shared" si="64"/>
        <v>1</v>
      </c>
      <c r="Y172" s="77">
        <f t="shared" si="65"/>
        <v>9.8100000000000007E-2</v>
      </c>
      <c r="Z172" s="77">
        <f t="shared" si="66"/>
        <v>5.8949999999999996</v>
      </c>
      <c r="AA172" s="77">
        <f t="shared" si="67"/>
        <v>5.7968999999999999</v>
      </c>
      <c r="AB172" s="74" t="e">
        <f>VLOOKUP(A172,Enforcements!$C$7:$J$24,8,0)</f>
        <v>#N/A</v>
      </c>
      <c r="AC172" s="70" t="e">
        <f>VLOOKUP(A172,Enforcements!$C$7:$E$24,3,0)</f>
        <v>#N/A</v>
      </c>
      <c r="AD172" s="71" t="str">
        <f t="shared" si="68"/>
        <v>0811-03</v>
      </c>
      <c r="AE172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2" s="128" t="str">
        <f t="shared" si="70"/>
        <v>"C:\Program Files (x86)\AstroGrep\AstroGrep.exe" /spath="%USERPROFILE%\AppData\Local\Temp\OnboardLogs" /stypes="*4007*20160803*" /stext=" 14:.+((SYSTEM_STATE.+slice.+state.+changed )|(ment ac)|(system.+state.+changed )|(\|lc)|(penalty)|(\[timeout)|(PRM\|1\|D)|(kpr)|(kdp))" /e /r /s</v>
      </c>
      <c r="AG172" s="1" t="str">
        <f t="shared" si="71"/>
        <v>NW</v>
      </c>
      <c r="AH172" s="132" t="str">
        <f>refinertdcruntimes&amp;" --tripid "&amp;A172&amp;" --locoid "&amp;B172&amp;" --swversion "&amp;C172&amp;" --startMP "&amp;D172&amp;" --initTime "&amp;TEXT(E172,"yyyy-mm-ddTHH:MM:SS")&amp;" --startdatetime "&amp;TEXT(F172,"yyyy-mm-ddTHH:MM:SS")&amp;" --delay "&amp;G172&amp;" --endMP "&amp;H172&amp;" --enddatetime "&amp;TEXT(I172,"yyyy-mm-ddTHH:MM:SS")&amp;" --enforcementcount "&amp;J172&amp;" &gt;&gt; "&amp;TEXT(Variables!$A$2,"yyyy-mm-dd")&amp;"-refined-runtimes.txt"</f>
        <v>"%USERPROFILE%\Documents\GitHub\eaglep3\Utilities\RefineRTDCRunTimes.py" --tripid 811-03 --locoid 4007 --swversion DE.1.0.7.0 --startMP 204:981 --initTime 2016-08-03T08:14:43 --startdatetime 2016-08-03T08:15:53 --delay 1 --endMP 300:58950 --enddatetime 2016-08-03T08:37:51 --enforcementcount 0 &gt;&gt; 2016-08-03-refined-runtimes.txt</v>
      </c>
    </row>
    <row r="173" spans="1:34" x14ac:dyDescent="0.25">
      <c r="A173" s="44" t="s">
        <v>735</v>
      </c>
      <c r="B173" s="7">
        <v>4008</v>
      </c>
      <c r="C173" s="25" t="s">
        <v>163</v>
      </c>
      <c r="D173" s="25" t="s">
        <v>736</v>
      </c>
      <c r="E173" s="16">
        <v>42585.360590277778</v>
      </c>
      <c r="F173" s="16">
        <v>42585.361585648148</v>
      </c>
      <c r="G173" s="7">
        <v>1</v>
      </c>
      <c r="H173" s="16" t="s">
        <v>447</v>
      </c>
      <c r="I173" s="16">
        <v>42585.371967592589</v>
      </c>
      <c r="J173" s="7">
        <v>0</v>
      </c>
      <c r="K173" s="121" t="str">
        <f t="shared" si="58"/>
        <v>4007/4008</v>
      </c>
      <c r="L173" s="25" t="str">
        <f>VLOOKUP(A173,'Trips&amp;Operators'!$C$1:$E$10000,3,FALSE)</f>
        <v>ISHMAEL</v>
      </c>
      <c r="M173" s="6">
        <f t="shared" si="59"/>
        <v>1.0381944441178348E-2</v>
      </c>
      <c r="N173" s="7">
        <f t="shared" si="57"/>
        <v>14.949999995296821</v>
      </c>
      <c r="O173" s="7"/>
      <c r="P173" s="7"/>
      <c r="Q173" s="26"/>
      <c r="R173" s="26"/>
      <c r="S173" s="40">
        <f t="shared" si="60"/>
        <v>1</v>
      </c>
      <c r="T173" s="57" t="str">
        <f t="shared" si="61"/>
        <v>Southbound</v>
      </c>
      <c r="U173" s="82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07:39:15-0600',mode:absolute,to:'2016-08-03 09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3" s="62" t="str">
        <f t="shared" si="63"/>
        <v>N</v>
      </c>
      <c r="X173" s="124">
        <f t="shared" si="64"/>
        <v>1</v>
      </c>
      <c r="Y173" s="77">
        <f t="shared" si="65"/>
        <v>5.8619000000000003</v>
      </c>
      <c r="Z173" s="77">
        <f t="shared" si="66"/>
        <v>6.8500000000000005E-2</v>
      </c>
      <c r="AA173" s="77">
        <f t="shared" si="67"/>
        <v>5.7934000000000001</v>
      </c>
      <c r="AB173" s="74" t="e">
        <f>VLOOKUP(A173,Enforcements!$C$7:$J$24,8,0)</f>
        <v>#N/A</v>
      </c>
      <c r="AC173" s="70" t="e">
        <f>VLOOKUP(A173,Enforcements!$C$7:$E$24,3,0)</f>
        <v>#N/A</v>
      </c>
      <c r="AD173" s="71" t="str">
        <f t="shared" si="68"/>
        <v>0812-03</v>
      </c>
      <c r="AE173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3" s="128" t="str">
        <f t="shared" si="70"/>
        <v>"C:\Program Files (x86)\AstroGrep\AstroGrep.exe" /spath="%USERPROFILE%\AppData\Local\Temp\OnboardLogs" /stypes="*4008*20160803*" /stext=" 14:.+((SYSTEM_STATE.+slice.+state.+changed )|(ment ac)|(system.+state.+changed )|(\|lc)|(penalty)|(\[timeout)|(PRM\|1\|D)|(kpr)|(kdp))" /e /r /s</v>
      </c>
      <c r="AG173" s="1" t="str">
        <f t="shared" si="71"/>
        <v>NW</v>
      </c>
      <c r="AH173" s="132" t="str">
        <f>refinertdcruntimes&amp;" --tripid "&amp;A173&amp;" --locoid "&amp;B173&amp;" --swversion "&amp;C173&amp;" --startMP "&amp;D173&amp;" --initTime "&amp;TEXT(E173,"yyyy-mm-ddTHH:MM:SS")&amp;" --startdatetime "&amp;TEXT(F173,"yyyy-mm-ddTHH:MM:SS")&amp;" --delay "&amp;G173&amp;" --endMP "&amp;H173&amp;" --enddatetime "&amp;TEXT(I173,"yyyy-mm-ddTHH:MM:SS")&amp;" --enforcementcount "&amp;J173&amp;" &gt;&gt; "&amp;TEXT(Variables!$A$2,"yyyy-mm-dd")&amp;"-refined-runtimes.txt"</f>
        <v>"%USERPROFILE%\Documents\GitHub\eaglep3\Utilities\RefineRTDCRunTimes.py" --tripid 812-03 --locoid 4008 --swversion DE.1.0.7.0 --startMP 300:58619 --initTime 2016-08-03T08:39:15 --startdatetime 2016-08-03T08:40:41 --delay 1 --endMP 204:685 --enddatetime 2016-08-03T08:55:38 --enforcementcount 0 &gt;&gt; 2016-08-03-refined-runtimes.txt</v>
      </c>
    </row>
    <row r="174" spans="1:34" x14ac:dyDescent="0.25">
      <c r="A174" s="44" t="s">
        <v>500</v>
      </c>
      <c r="B174" s="7">
        <v>4007</v>
      </c>
      <c r="C174" s="25" t="s">
        <v>163</v>
      </c>
      <c r="D174" s="25" t="s">
        <v>737</v>
      </c>
      <c r="E174" s="16">
        <v>42585.386087962965</v>
      </c>
      <c r="F174" s="16">
        <v>42585.387118055558</v>
      </c>
      <c r="G174" s="7">
        <v>1</v>
      </c>
      <c r="H174" s="16" t="s">
        <v>437</v>
      </c>
      <c r="I174" s="16">
        <v>42585.400752314818</v>
      </c>
      <c r="J174" s="7">
        <v>1</v>
      </c>
      <c r="K174" s="121" t="str">
        <f t="shared" si="58"/>
        <v>4007/4008</v>
      </c>
      <c r="L174" s="25" t="str">
        <f>VLOOKUP(A174,'Trips&amp;Operators'!$C$1:$E$10000,3,FALSE)</f>
        <v>ISHMAEL</v>
      </c>
      <c r="M174" s="6">
        <f t="shared" si="59"/>
        <v>1.3634259259561077E-2</v>
      </c>
      <c r="N174" s="7">
        <f t="shared" si="57"/>
        <v>19.633333333767951</v>
      </c>
      <c r="O174" s="7"/>
      <c r="P174" s="7"/>
      <c r="Q174" s="26"/>
      <c r="R174" s="26"/>
      <c r="S174" s="40">
        <f t="shared" si="60"/>
        <v>1</v>
      </c>
      <c r="T174" s="57" t="str">
        <f t="shared" si="61"/>
        <v>NorthBound</v>
      </c>
      <c r="U174" s="82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08:15:58-0600',mode:absolute,to:'2016-08-03 10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4" s="62" t="str">
        <f t="shared" si="63"/>
        <v>N</v>
      </c>
      <c r="X174" s="124">
        <f t="shared" si="64"/>
        <v>1</v>
      </c>
      <c r="Y174" s="77">
        <f t="shared" si="65"/>
        <v>9.8299999999999998E-2</v>
      </c>
      <c r="Z174" s="77">
        <f t="shared" si="66"/>
        <v>5.8914</v>
      </c>
      <c r="AA174" s="77">
        <f t="shared" si="67"/>
        <v>5.7930999999999999</v>
      </c>
      <c r="AB174" s="74" t="e">
        <f>VLOOKUP(A174,Enforcements!$C$7:$J$24,8,0)</f>
        <v>#N/A</v>
      </c>
      <c r="AC174" s="70" t="e">
        <f>VLOOKUP(A174,Enforcements!$C$7:$E$24,3,0)</f>
        <v>#N/A</v>
      </c>
      <c r="AD174" s="71" t="str">
        <f t="shared" si="68"/>
        <v>0813-03</v>
      </c>
      <c r="AE174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4" s="128" t="str">
        <f t="shared" si="70"/>
        <v>"C:\Program Files (x86)\AstroGrep\AstroGrep.exe" /spath="%USERPROFILE%\AppData\Local\Temp\OnboardLogs" /stypes="*4007*20160803*" /stext=" 15:.+((SYSTEM_STATE.+slice.+state.+changed )|(ment ac)|(system.+state.+changed )|(\|lc)|(penalty)|(\[timeout)|(PRM\|1\|D)|(kpr)|(kdp))" /e /r /s</v>
      </c>
      <c r="AG174" s="1" t="str">
        <f t="shared" si="71"/>
        <v>NW</v>
      </c>
      <c r="AH174" s="132" t="str">
        <f>refinertdcruntimes&amp;" --tripid "&amp;A174&amp;" --locoid "&amp;B174&amp;" --swversion "&amp;C174&amp;" --startMP "&amp;D174&amp;" --initTime "&amp;TEXT(E174,"yyyy-mm-ddTHH:MM:SS")&amp;" --startdatetime "&amp;TEXT(F174,"yyyy-mm-ddTHH:MM:SS")&amp;" --delay "&amp;G174&amp;" --endMP "&amp;H174&amp;" --enddatetime "&amp;TEXT(I174,"yyyy-mm-ddTHH:MM:SS")&amp;" --enforcementcount "&amp;J174&amp;" &gt;&gt; "&amp;TEXT(Variables!$A$2,"yyyy-mm-dd")&amp;"-refined-runtimes.txt"</f>
        <v>"%USERPROFILE%\Documents\GitHub\eaglep3\Utilities\RefineRTDCRunTimes.py" --tripid 813-03 --locoid 4007 --swversion DE.1.0.7.0 --startMP 204:983 --initTime 2016-08-03T09:15:58 --startdatetime 2016-08-03T09:17:27 --delay 1 --endMP 300:58914 --enddatetime 2016-08-03T09:37:05 --enforcementcount 1 &gt;&gt; 2016-08-03-refined-runtimes.txt</v>
      </c>
    </row>
    <row r="175" spans="1:34" x14ac:dyDescent="0.25">
      <c r="A175" s="44" t="s">
        <v>502</v>
      </c>
      <c r="B175" s="7">
        <v>4008</v>
      </c>
      <c r="C175" s="25" t="s">
        <v>163</v>
      </c>
      <c r="D175" s="25" t="s">
        <v>738</v>
      </c>
      <c r="E175" s="16">
        <v>42585.401979166665</v>
      </c>
      <c r="F175" s="16">
        <v>42585.402766203704</v>
      </c>
      <c r="G175" s="7">
        <v>1</v>
      </c>
      <c r="H175" s="16" t="s">
        <v>739</v>
      </c>
      <c r="I175" s="16">
        <v>42585.41443287037</v>
      </c>
      <c r="J175" s="7">
        <v>1</v>
      </c>
      <c r="K175" s="121" t="str">
        <f t="shared" si="58"/>
        <v>4007/4008</v>
      </c>
      <c r="L175" s="25" t="str">
        <f>VLOOKUP(A175,'Trips&amp;Operators'!$C$1:$E$10000,3,FALSE)</f>
        <v>ISHMAEL</v>
      </c>
      <c r="M175" s="6">
        <f t="shared" si="59"/>
        <v>1.1666666665405501E-2</v>
      </c>
      <c r="N175" s="7">
        <f t="shared" si="57"/>
        <v>16.799999998183921</v>
      </c>
      <c r="O175" s="7"/>
      <c r="P175" s="7"/>
      <c r="Q175" s="26"/>
      <c r="R175" s="26"/>
      <c r="S175" s="40">
        <f t="shared" si="60"/>
        <v>1</v>
      </c>
      <c r="T175" s="57" t="str">
        <f t="shared" si="61"/>
        <v>Southbound</v>
      </c>
      <c r="U175" s="82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08:38:51-0600',mode:absolute,to:'2016-08-03 10:56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5" s="62" t="str">
        <f t="shared" si="63"/>
        <v>N</v>
      </c>
      <c r="X175" s="124">
        <f t="shared" si="64"/>
        <v>1</v>
      </c>
      <c r="Y175" s="77">
        <f t="shared" si="65"/>
        <v>5.8589000000000002</v>
      </c>
      <c r="Z175" s="77">
        <f t="shared" si="66"/>
        <v>6.9199999999999998E-2</v>
      </c>
      <c r="AA175" s="77">
        <f t="shared" si="67"/>
        <v>5.7896999999999998</v>
      </c>
      <c r="AB175" s="74" t="e">
        <f>VLOOKUP(A175,Enforcements!$C$7:$J$24,8,0)</f>
        <v>#N/A</v>
      </c>
      <c r="AC175" s="70" t="e">
        <f>VLOOKUP(A175,Enforcements!$C$7:$E$24,3,0)</f>
        <v>#N/A</v>
      </c>
      <c r="AD175" s="71" t="str">
        <f t="shared" si="68"/>
        <v>0814-03</v>
      </c>
      <c r="AE175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5" s="128" t="str">
        <f t="shared" si="70"/>
        <v>"C:\Program Files (x86)\AstroGrep\AstroGrep.exe" /spath="%USERPROFILE%\AppData\Local\Temp\OnboardLogs" /stypes="*4008*20160803*" /stext=" 15:.+((SYSTEM_STATE.+slice.+state.+changed )|(ment ac)|(system.+state.+changed )|(\|lc)|(penalty)|(\[timeout)|(PRM\|1\|D)|(kpr)|(kdp))" /e /r /s</v>
      </c>
      <c r="AG175" s="1" t="str">
        <f t="shared" si="71"/>
        <v>NW</v>
      </c>
      <c r="AH175" s="132" t="str">
        <f>refinertdcruntimes&amp;" --tripid "&amp;A175&amp;" --locoid "&amp;B175&amp;" --swversion "&amp;C175&amp;" --startMP "&amp;D175&amp;" --initTime "&amp;TEXT(E175,"yyyy-mm-ddTHH:MM:SS")&amp;" --startdatetime "&amp;TEXT(F175,"yyyy-mm-ddTHH:MM:SS")&amp;" --delay "&amp;G175&amp;" --endMP "&amp;H175&amp;" --enddatetime "&amp;TEXT(I175,"yyyy-mm-ddTHH:MM:SS")&amp;" --enforcementcount "&amp;J175&amp;" &gt;&gt; "&amp;TEXT(Variables!$A$2,"yyyy-mm-dd")&amp;"-refined-runtimes.txt"</f>
        <v>"%USERPROFILE%\Documents\GitHub\eaglep3\Utilities\RefineRTDCRunTimes.py" --tripid 814-03 --locoid 4008 --swversion DE.1.0.7.0 --startMP 300:58589 --initTime 2016-08-03T09:38:51 --startdatetime 2016-08-03T09:39:59 --delay 1 --endMP 204:692 --enddatetime 2016-08-03T09:56:47 --enforcementcount 1 &gt;&gt; 2016-08-03-refined-runtimes.txt</v>
      </c>
    </row>
    <row r="176" spans="1:34" x14ac:dyDescent="0.25">
      <c r="A176" s="44" t="s">
        <v>740</v>
      </c>
      <c r="B176" s="7">
        <v>4007</v>
      </c>
      <c r="C176" s="25" t="s">
        <v>163</v>
      </c>
      <c r="D176" s="25" t="s">
        <v>741</v>
      </c>
      <c r="E176" s="16">
        <v>42585.424687500003</v>
      </c>
      <c r="F176" s="16">
        <v>42585.425555555557</v>
      </c>
      <c r="G176" s="7">
        <v>1</v>
      </c>
      <c r="H176" s="16" t="s">
        <v>437</v>
      </c>
      <c r="I176" s="16">
        <v>42585.443368055552</v>
      </c>
      <c r="J176" s="7">
        <v>0</v>
      </c>
      <c r="K176" s="121" t="str">
        <f t="shared" si="58"/>
        <v>4007/4008</v>
      </c>
      <c r="L176" s="25" t="str">
        <f>VLOOKUP(A176,'Trips&amp;Operators'!$C$1:$E$10000,3,FALSE)</f>
        <v>ISHMAEL</v>
      </c>
      <c r="M176" s="6">
        <f t="shared" si="59"/>
        <v>1.7812499994761311E-2</v>
      </c>
      <c r="N176" s="7">
        <f t="shared" si="57"/>
        <v>25.649999992456287</v>
      </c>
      <c r="O176" s="7"/>
      <c r="P176" s="7"/>
      <c r="Q176" s="26"/>
      <c r="R176" s="26"/>
      <c r="S176" s="40">
        <f t="shared" si="60"/>
        <v>1</v>
      </c>
      <c r="T176" s="57" t="str">
        <f t="shared" si="61"/>
        <v>NorthBound</v>
      </c>
      <c r="U176" s="82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09:11:33-0600',mode:absolute,to:'2016-08-03 11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6" s="62" t="str">
        <f t="shared" si="63"/>
        <v>N</v>
      </c>
      <c r="X176" s="124">
        <f t="shared" si="64"/>
        <v>1</v>
      </c>
      <c r="Y176" s="77">
        <f t="shared" si="65"/>
        <v>9.8599999999999993E-2</v>
      </c>
      <c r="Z176" s="77">
        <f t="shared" si="66"/>
        <v>5.8914</v>
      </c>
      <c r="AA176" s="77">
        <f t="shared" si="67"/>
        <v>5.7927999999999997</v>
      </c>
      <c r="AB176" s="74" t="e">
        <f>VLOOKUP(A176,Enforcements!$C$7:$J$24,8,0)</f>
        <v>#N/A</v>
      </c>
      <c r="AC176" s="70" t="e">
        <f>VLOOKUP(A176,Enforcements!$C$7:$E$24,3,0)</f>
        <v>#N/A</v>
      </c>
      <c r="AD176" s="71" t="str">
        <f t="shared" si="68"/>
        <v>0815-03</v>
      </c>
      <c r="AE176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6" s="128" t="str">
        <f t="shared" si="70"/>
        <v>"C:\Program Files (x86)\AstroGrep\AstroGrep.exe" /spath="%USERPROFILE%\AppData\Local\Temp\OnboardLogs" /stypes="*4007*20160803*" /stext=" 16:.+((SYSTEM_STATE.+slice.+state.+changed )|(ment ac)|(system.+state.+changed )|(\|lc)|(penalty)|(\[timeout)|(PRM\|1\|D)|(kpr)|(kdp))" /e /r /s</v>
      </c>
      <c r="AG176" s="1" t="str">
        <f t="shared" si="71"/>
        <v>NW</v>
      </c>
      <c r="AH176" s="132" t="str">
        <f>refinertdcruntimes&amp;" --tripid "&amp;A176&amp;" --locoid "&amp;B176&amp;" --swversion "&amp;C176&amp;" --startMP "&amp;D176&amp;" --initTime "&amp;TEXT(E176,"yyyy-mm-ddTHH:MM:SS")&amp;" --startdatetime "&amp;TEXT(F176,"yyyy-mm-ddTHH:MM:SS")&amp;" --delay "&amp;G176&amp;" --endMP "&amp;H176&amp;" --enddatetime "&amp;TEXT(I176,"yyyy-mm-ddTHH:MM:SS")&amp;" --enforcementcount "&amp;J176&amp;" &gt;&gt; "&amp;TEXT(Variables!$A$2,"yyyy-mm-dd")&amp;"-refined-runtimes.txt"</f>
        <v>"%USERPROFILE%\Documents\GitHub\eaglep3\Utilities\RefineRTDCRunTimes.py" --tripid 815-03 --locoid 4007 --swversion DE.1.0.7.0 --startMP 204:986 --initTime 2016-08-03T10:11:33 --startdatetime 2016-08-03T10:12:48 --delay 1 --endMP 300:58914 --enddatetime 2016-08-03T10:38:27 --enforcementcount 0 &gt;&gt; 2016-08-03-refined-runtimes.txt</v>
      </c>
    </row>
    <row r="177" spans="1:34" x14ac:dyDescent="0.25">
      <c r="A177" s="44" t="s">
        <v>742</v>
      </c>
      <c r="B177" s="7">
        <v>4008</v>
      </c>
      <c r="C177" s="25" t="s">
        <v>163</v>
      </c>
      <c r="D177" s="25" t="s">
        <v>441</v>
      </c>
      <c r="E177" s="16">
        <v>42585.44431712963</v>
      </c>
      <c r="F177" s="16">
        <v>42585.445231481484</v>
      </c>
      <c r="G177" s="7">
        <v>1</v>
      </c>
      <c r="H177" s="16" t="s">
        <v>714</v>
      </c>
      <c r="I177" s="16">
        <v>42585.457384259258</v>
      </c>
      <c r="J177" s="7">
        <v>0</v>
      </c>
      <c r="K177" s="121" t="str">
        <f t="shared" si="58"/>
        <v>4007/4008</v>
      </c>
      <c r="L177" s="25" t="str">
        <f>VLOOKUP(A177,'Trips&amp;Operators'!$C$1:$E$10000,3,FALSE)</f>
        <v>ISHMAEL</v>
      </c>
      <c r="M177" s="6">
        <f t="shared" si="59"/>
        <v>1.2152777773735579E-2</v>
      </c>
      <c r="N177" s="7">
        <f t="shared" si="57"/>
        <v>17.499999994179234</v>
      </c>
      <c r="O177" s="7"/>
      <c r="P177" s="7"/>
      <c r="Q177" s="26"/>
      <c r="R177" s="26"/>
      <c r="S177" s="40">
        <f t="shared" si="60"/>
        <v>1</v>
      </c>
      <c r="T177" s="57" t="str">
        <f t="shared" si="61"/>
        <v>Southbound</v>
      </c>
      <c r="U177" s="82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09:39:49-0600',mode:absolute,to:'2016-08-03 11:58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7" s="62" t="str">
        <f t="shared" si="63"/>
        <v>N</v>
      </c>
      <c r="X177" s="124">
        <f t="shared" si="64"/>
        <v>1</v>
      </c>
      <c r="Y177" s="77">
        <f t="shared" si="65"/>
        <v>5.8597999999999999</v>
      </c>
      <c r="Z177" s="77">
        <f t="shared" si="66"/>
        <v>6.4000000000000001E-2</v>
      </c>
      <c r="AA177" s="77">
        <f t="shared" si="67"/>
        <v>5.7957999999999998</v>
      </c>
      <c r="AB177" s="74" t="e">
        <f>VLOOKUP(A177,Enforcements!$C$7:$J$24,8,0)</f>
        <v>#N/A</v>
      </c>
      <c r="AC177" s="70" t="e">
        <f>VLOOKUP(A177,Enforcements!$C$7:$E$24,3,0)</f>
        <v>#N/A</v>
      </c>
      <c r="AD177" s="71" t="str">
        <f t="shared" si="68"/>
        <v>0816-03</v>
      </c>
      <c r="AE177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7" s="128" t="str">
        <f t="shared" si="70"/>
        <v>"C:\Program Files (x86)\AstroGrep\AstroGrep.exe" /spath="%USERPROFILE%\AppData\Local\Temp\OnboardLogs" /stypes="*4008*20160803*" /stext=" 16:.+((SYSTEM_STATE.+slice.+state.+changed )|(ment ac)|(system.+state.+changed )|(\|lc)|(penalty)|(\[timeout)|(PRM\|1\|D)|(kpr)|(kdp))" /e /r /s</v>
      </c>
      <c r="AG177" s="1" t="str">
        <f t="shared" si="71"/>
        <v>NW</v>
      </c>
      <c r="AH177" s="132" t="str">
        <f>refinertdcruntimes&amp;" --tripid "&amp;A177&amp;" --locoid "&amp;B177&amp;" --swversion "&amp;C177&amp;" --startMP "&amp;D177&amp;" --initTime "&amp;TEXT(E177,"yyyy-mm-ddTHH:MM:SS")&amp;" --startdatetime "&amp;TEXT(F177,"yyyy-mm-ddTHH:MM:SS")&amp;" --delay "&amp;G177&amp;" --endMP "&amp;H177&amp;" --enddatetime "&amp;TEXT(I177,"yyyy-mm-ddTHH:MM:SS")&amp;" --enforcementcount "&amp;J177&amp;" &gt;&gt; "&amp;TEXT(Variables!$A$2,"yyyy-mm-dd")&amp;"-refined-runtimes.txt"</f>
        <v>"%USERPROFILE%\Documents\GitHub\eaglep3\Utilities\RefineRTDCRunTimes.py" --tripid 816-03 --locoid 4008 --swversion DE.1.0.7.0 --startMP 300:58598 --initTime 2016-08-03T10:39:49 --startdatetime 2016-08-03T10:41:08 --delay 1 --endMP 204:640 --enddatetime 2016-08-03T10:58:38 --enforcementcount 0 &gt;&gt; 2016-08-03-refined-runtimes.txt</v>
      </c>
    </row>
    <row r="178" spans="1:34" x14ac:dyDescent="0.25">
      <c r="A178" s="44" t="s">
        <v>743</v>
      </c>
      <c r="B178" s="7">
        <v>4007</v>
      </c>
      <c r="C178" s="25" t="s">
        <v>163</v>
      </c>
      <c r="D178" s="25" t="s">
        <v>713</v>
      </c>
      <c r="E178" s="16">
        <v>42585.462939814817</v>
      </c>
      <c r="F178" s="16">
        <v>42585.463946759257</v>
      </c>
      <c r="G178" s="7">
        <v>1</v>
      </c>
      <c r="H178" s="16" t="s">
        <v>734</v>
      </c>
      <c r="I178" s="16">
        <v>42585.483425925922</v>
      </c>
      <c r="J178" s="7">
        <v>0</v>
      </c>
      <c r="K178" s="121" t="str">
        <f t="shared" si="58"/>
        <v>4007/4008</v>
      </c>
      <c r="L178" s="25" t="str">
        <f>VLOOKUP(A178,'Trips&amp;Operators'!$C$1:$E$10000,3,FALSE)</f>
        <v>ISHMAEL</v>
      </c>
      <c r="M178" s="6">
        <f t="shared" si="59"/>
        <v>1.9479166665405501E-2</v>
      </c>
      <c r="N178" s="7">
        <f t="shared" si="57"/>
        <v>28.049999998183921</v>
      </c>
      <c r="O178" s="7"/>
      <c r="P178" s="7"/>
      <c r="Q178" s="26"/>
      <c r="R178" s="26"/>
      <c r="S178" s="40">
        <f t="shared" si="60"/>
        <v>1</v>
      </c>
      <c r="T178" s="57" t="str">
        <f t="shared" si="61"/>
        <v>NorthBound</v>
      </c>
      <c r="U178" s="82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10:06:38-0600',mode:absolute,to:'2016-08-03 12:36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78" s="62" t="str">
        <f t="shared" si="63"/>
        <v>N</v>
      </c>
      <c r="X178" s="124">
        <f t="shared" si="64"/>
        <v>1</v>
      </c>
      <c r="Y178" s="77">
        <f t="shared" si="65"/>
        <v>9.4100000000000003E-2</v>
      </c>
      <c r="Z178" s="77">
        <f t="shared" si="66"/>
        <v>5.8949999999999996</v>
      </c>
      <c r="AA178" s="77">
        <f t="shared" si="67"/>
        <v>5.8008999999999995</v>
      </c>
      <c r="AB178" s="74" t="e">
        <f>VLOOKUP(A178,Enforcements!$C$7:$J$24,8,0)</f>
        <v>#N/A</v>
      </c>
      <c r="AC178" s="70" t="e">
        <f>VLOOKUP(A178,Enforcements!$C$7:$E$24,3,0)</f>
        <v>#N/A</v>
      </c>
      <c r="AD178" s="71" t="str">
        <f t="shared" si="68"/>
        <v>0817-03</v>
      </c>
      <c r="AE178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78" s="128" t="str">
        <f t="shared" si="70"/>
        <v>"C:\Program Files (x86)\AstroGrep\AstroGrep.exe" /spath="%USERPROFILE%\AppData\Local\Temp\OnboardLogs" /stypes="*4007*20160803*" /stext=" 17:.+((SYSTEM_STATE.+slice.+state.+changed )|(ment ac)|(system.+state.+changed )|(\|lc)|(penalty)|(\[timeout)|(PRM\|1\|D)|(kpr)|(kdp))" /e /r /s</v>
      </c>
      <c r="AG178" s="1" t="str">
        <f t="shared" si="71"/>
        <v>NW</v>
      </c>
      <c r="AH178" s="132" t="str">
        <f>refinertdcruntimes&amp;" --tripid "&amp;A178&amp;" --locoid "&amp;B178&amp;" --swversion "&amp;C178&amp;" --startMP "&amp;D178&amp;" --initTime "&amp;TEXT(E178,"yyyy-mm-ddTHH:MM:SS")&amp;" --startdatetime "&amp;TEXT(F178,"yyyy-mm-ddTHH:MM:SS")&amp;" --delay "&amp;G178&amp;" --endMP "&amp;H178&amp;" --enddatetime "&amp;TEXT(I178,"yyyy-mm-ddTHH:MM:SS")&amp;" --enforcementcount "&amp;J178&amp;" &gt;&gt; "&amp;TEXT(Variables!$A$2,"yyyy-mm-dd")&amp;"-refined-runtimes.txt"</f>
        <v>"%USERPROFILE%\Documents\GitHub\eaglep3\Utilities\RefineRTDCRunTimes.py" --tripid 817-03 --locoid 4007 --swversion DE.1.0.7.0 --startMP 204:941 --initTime 2016-08-03T11:06:38 --startdatetime 2016-08-03T11:08:05 --delay 1 --endMP 300:58950 --enddatetime 2016-08-03T11:36:08 --enforcementcount 0 &gt;&gt; 2016-08-03-refined-runtimes.txt</v>
      </c>
    </row>
    <row r="179" spans="1:34" x14ac:dyDescent="0.25">
      <c r="A179" s="44" t="s">
        <v>744</v>
      </c>
      <c r="B179" s="7">
        <v>4008</v>
      </c>
      <c r="C179" s="25" t="s">
        <v>163</v>
      </c>
      <c r="D179" s="25" t="s">
        <v>745</v>
      </c>
      <c r="E179" s="16">
        <v>42585.484467592592</v>
      </c>
      <c r="F179" s="16">
        <v>42585.485300925924</v>
      </c>
      <c r="G179" s="7">
        <v>1</v>
      </c>
      <c r="H179" s="16" t="s">
        <v>383</v>
      </c>
      <c r="I179" s="16">
        <v>42585.497349537036</v>
      </c>
      <c r="J179" s="7">
        <v>0</v>
      </c>
      <c r="K179" s="121" t="str">
        <f t="shared" si="58"/>
        <v>4007/4008</v>
      </c>
      <c r="L179" s="25" t="str">
        <f>VLOOKUP(A179,'Trips&amp;Operators'!$C$1:$E$10000,3,FALSE)</f>
        <v>ISHMAEL</v>
      </c>
      <c r="M179" s="6">
        <f t="shared" si="59"/>
        <v>1.2048611111822538E-2</v>
      </c>
      <c r="N179" s="7">
        <f t="shared" si="57"/>
        <v>17.350000001024455</v>
      </c>
      <c r="O179" s="7"/>
      <c r="P179" s="7"/>
      <c r="Q179" s="26"/>
      <c r="R179" s="26"/>
      <c r="S179" s="40">
        <f t="shared" si="60"/>
        <v>1</v>
      </c>
      <c r="T179" s="57" t="str">
        <f t="shared" si="61"/>
        <v>Southbound</v>
      </c>
      <c r="U179" s="82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10:37:38-0600',mode:absolute,to:'2016-08-03 12:56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79" s="62" t="str">
        <f t="shared" si="63"/>
        <v>N</v>
      </c>
      <c r="X179" s="124">
        <f t="shared" si="64"/>
        <v>1</v>
      </c>
      <c r="Y179" s="77">
        <f t="shared" si="65"/>
        <v>5.8634000000000004</v>
      </c>
      <c r="Z179" s="77">
        <f t="shared" si="66"/>
        <v>7.0099999999999996E-2</v>
      </c>
      <c r="AA179" s="77">
        <f t="shared" si="67"/>
        <v>5.7933000000000003</v>
      </c>
      <c r="AB179" s="74" t="e">
        <f>VLOOKUP(A179,Enforcements!$C$7:$J$24,8,0)</f>
        <v>#N/A</v>
      </c>
      <c r="AC179" s="70" t="e">
        <f>VLOOKUP(A179,Enforcements!$C$7:$E$24,3,0)</f>
        <v>#N/A</v>
      </c>
      <c r="AD179" s="71" t="str">
        <f t="shared" si="68"/>
        <v>0818-03</v>
      </c>
      <c r="AE179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79" s="128" t="str">
        <f t="shared" si="70"/>
        <v>"C:\Program Files (x86)\AstroGrep\AstroGrep.exe" /spath="%USERPROFILE%\AppData\Local\Temp\OnboardLogs" /stypes="*4008*20160803*" /stext=" 17:.+((SYSTEM_STATE.+slice.+state.+changed )|(ment ac)|(system.+state.+changed )|(\|lc)|(penalty)|(\[timeout)|(PRM\|1\|D)|(kpr)|(kdp))" /e /r /s</v>
      </c>
      <c r="AG179" s="1" t="str">
        <f t="shared" si="71"/>
        <v>NW</v>
      </c>
      <c r="AH179" s="132" t="str">
        <f>refinertdcruntimes&amp;" --tripid "&amp;A179&amp;" --locoid "&amp;B179&amp;" --swversion "&amp;C179&amp;" --startMP "&amp;D179&amp;" --initTime "&amp;TEXT(E179,"yyyy-mm-ddTHH:MM:SS")&amp;" --startdatetime "&amp;TEXT(F179,"yyyy-mm-ddTHH:MM:SS")&amp;" --delay "&amp;G179&amp;" --endMP "&amp;H179&amp;" --enddatetime "&amp;TEXT(I179,"yyyy-mm-ddTHH:MM:SS")&amp;" --enforcementcount "&amp;J179&amp;" &gt;&gt; "&amp;TEXT(Variables!$A$2,"yyyy-mm-dd")&amp;"-refined-runtimes.txt"</f>
        <v>"%USERPROFILE%\Documents\GitHub\eaglep3\Utilities\RefineRTDCRunTimes.py" --tripid 818-03 --locoid 4008 --swversion DE.1.0.7.0 --startMP 300:58634 --initTime 2016-08-03T11:37:38 --startdatetime 2016-08-03T11:38:50 --delay 1 --endMP 204:701 --enddatetime 2016-08-03T11:56:11 --enforcementcount 0 &gt;&gt; 2016-08-03-refined-runtimes.txt</v>
      </c>
    </row>
    <row r="180" spans="1:34" x14ac:dyDescent="0.25">
      <c r="A180" s="44" t="s">
        <v>746</v>
      </c>
      <c r="B180" s="7">
        <v>4007</v>
      </c>
      <c r="C180" s="25" t="s">
        <v>163</v>
      </c>
      <c r="D180" s="25" t="s">
        <v>747</v>
      </c>
      <c r="E180" s="16">
        <v>42585.50984953704</v>
      </c>
      <c r="F180" s="16">
        <v>42585.510648148149</v>
      </c>
      <c r="G180" s="7">
        <v>1</v>
      </c>
      <c r="H180" s="16" t="s">
        <v>436</v>
      </c>
      <c r="I180" s="16">
        <v>42585.526192129626</v>
      </c>
      <c r="J180" s="7">
        <v>0</v>
      </c>
      <c r="K180" s="121" t="str">
        <f t="shared" si="58"/>
        <v>4007/4008</v>
      </c>
      <c r="L180" s="25" t="str">
        <f>VLOOKUP(A180,'Trips&amp;Operators'!$C$1:$E$10000,3,FALSE)</f>
        <v>ISHMAEL</v>
      </c>
      <c r="M180" s="6">
        <f t="shared" si="59"/>
        <v>1.5543981477094349E-2</v>
      </c>
      <c r="N180" s="7">
        <f t="shared" si="57"/>
        <v>22.383333327015862</v>
      </c>
      <c r="O180" s="7"/>
      <c r="P180" s="7"/>
      <c r="Q180" s="26"/>
      <c r="R180" s="26"/>
      <c r="S180" s="40">
        <f t="shared" si="60"/>
        <v>1</v>
      </c>
      <c r="T180" s="57" t="str">
        <f t="shared" si="61"/>
        <v>NorthBound</v>
      </c>
      <c r="U180" s="82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11:14:11-0600',mode:absolute,to:'2016-08-03 13:37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0" s="62" t="str">
        <f t="shared" si="63"/>
        <v>N</v>
      </c>
      <c r="X180" s="124">
        <f t="shared" si="64"/>
        <v>1</v>
      </c>
      <c r="Y180" s="77">
        <f t="shared" si="65"/>
        <v>9.7900000000000001E-2</v>
      </c>
      <c r="Z180" s="77">
        <f t="shared" si="66"/>
        <v>5.8906999999999998</v>
      </c>
      <c r="AA180" s="77">
        <f t="shared" si="67"/>
        <v>5.7927999999999997</v>
      </c>
      <c r="AB180" s="74" t="e">
        <f>VLOOKUP(A180,Enforcements!$C$7:$J$24,8,0)</f>
        <v>#N/A</v>
      </c>
      <c r="AC180" s="70" t="e">
        <f>VLOOKUP(A180,Enforcements!$C$7:$E$24,3,0)</f>
        <v>#N/A</v>
      </c>
      <c r="AD180" s="71" t="str">
        <f t="shared" si="68"/>
        <v>0819-03</v>
      </c>
      <c r="AE180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0" s="128" t="str">
        <f t="shared" si="70"/>
        <v>"C:\Program Files (x86)\AstroGrep\AstroGrep.exe" /spath="%USERPROFILE%\AppData\Local\Temp\OnboardLogs" /stypes="*4007*20160803*" /stext=" 18:.+((SYSTEM_STATE.+slice.+state.+changed )|(ment ac)|(system.+state.+changed )|(\|lc)|(penalty)|(\[timeout)|(PRM\|1\|D)|(kpr)|(kdp))" /e /r /s</v>
      </c>
      <c r="AG180" s="1" t="str">
        <f t="shared" si="71"/>
        <v>NW</v>
      </c>
      <c r="AH180" s="132" t="str">
        <f>refinertdcruntimes&amp;" --tripid "&amp;A180&amp;" --locoid "&amp;B180&amp;" --swversion "&amp;C180&amp;" --startMP "&amp;D180&amp;" --initTime "&amp;TEXT(E180,"yyyy-mm-ddTHH:MM:SS")&amp;" --startdatetime "&amp;TEXT(F180,"yyyy-mm-ddTHH:MM:SS")&amp;" --delay "&amp;G180&amp;" --endMP "&amp;H180&amp;" --enddatetime "&amp;TEXT(I180,"yyyy-mm-ddTHH:MM:SS")&amp;" --enforcementcount "&amp;J180&amp;" &gt;&gt; "&amp;TEXT(Variables!$A$2,"yyyy-mm-dd")&amp;"-refined-runtimes.txt"</f>
        <v>"%USERPROFILE%\Documents\GitHub\eaglep3\Utilities\RefineRTDCRunTimes.py" --tripid 819-03 --locoid 4007 --swversion DE.1.0.7.0 --startMP 204:979 --initTime 2016-08-03T12:14:11 --startdatetime 2016-08-03T12:15:20 --delay 1 --endMP 300:58907 --enddatetime 2016-08-03T12:37:43 --enforcementcount 0 &gt;&gt; 2016-08-03-refined-runtimes.txt</v>
      </c>
    </row>
    <row r="181" spans="1:34" x14ac:dyDescent="0.25">
      <c r="A181" s="44" t="s">
        <v>748</v>
      </c>
      <c r="B181" s="7">
        <v>4008</v>
      </c>
      <c r="C181" s="25" t="s">
        <v>163</v>
      </c>
      <c r="D181" s="25" t="s">
        <v>439</v>
      </c>
      <c r="E181" s="16">
        <v>42585.527499999997</v>
      </c>
      <c r="F181" s="16">
        <v>42585.528379629628</v>
      </c>
      <c r="G181" s="7">
        <v>1</v>
      </c>
      <c r="H181" s="16" t="s">
        <v>749</v>
      </c>
      <c r="I181" s="16">
        <v>42585.539166666669</v>
      </c>
      <c r="J181" s="7">
        <v>0</v>
      </c>
      <c r="K181" s="121" t="str">
        <f t="shared" si="58"/>
        <v>4007/4008</v>
      </c>
      <c r="L181" s="25" t="str">
        <f>VLOOKUP(A181,'Trips&amp;Operators'!$C$1:$E$10000,3,FALSE)</f>
        <v>ISHMAEL</v>
      </c>
      <c r="M181" s="6">
        <f t="shared" si="59"/>
        <v>1.078703704115469E-2</v>
      </c>
      <c r="N181" s="7">
        <f t="shared" si="57"/>
        <v>15.533333339262754</v>
      </c>
      <c r="O181" s="7"/>
      <c r="P181" s="7"/>
      <c r="Q181" s="26"/>
      <c r="R181" s="26"/>
      <c r="S181" s="40">
        <f t="shared" si="60"/>
        <v>1</v>
      </c>
      <c r="T181" s="57" t="str">
        <f t="shared" si="61"/>
        <v>Southbound</v>
      </c>
      <c r="U181" s="82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11:39:36-0600',mode:absolute,to:'2016-08-03 13:56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1" s="62" t="str">
        <f t="shared" si="63"/>
        <v>N</v>
      </c>
      <c r="X181" s="124">
        <f t="shared" si="64"/>
        <v>1</v>
      </c>
      <c r="Y181" s="77">
        <f t="shared" si="65"/>
        <v>5.8593999999999999</v>
      </c>
      <c r="Z181" s="77">
        <f t="shared" si="66"/>
        <v>6.9099999999999995E-2</v>
      </c>
      <c r="AA181" s="77">
        <f t="shared" si="67"/>
        <v>5.7903000000000002</v>
      </c>
      <c r="AB181" s="74" t="e">
        <f>VLOOKUP(A181,Enforcements!$C$7:$J$24,8,0)</f>
        <v>#N/A</v>
      </c>
      <c r="AC181" s="70" t="e">
        <f>VLOOKUP(A181,Enforcements!$C$7:$E$24,3,0)</f>
        <v>#N/A</v>
      </c>
      <c r="AD181" s="71" t="str">
        <f t="shared" si="68"/>
        <v>0820-03</v>
      </c>
      <c r="AE181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1" s="128" t="str">
        <f t="shared" si="70"/>
        <v>"C:\Program Files (x86)\AstroGrep\AstroGrep.exe" /spath="%USERPROFILE%\AppData\Local\Temp\OnboardLogs" /stypes="*4008*20160803*" /stext=" 18:.+((SYSTEM_STATE.+slice.+state.+changed )|(ment ac)|(system.+state.+changed )|(\|lc)|(penalty)|(\[timeout)|(PRM\|1\|D)|(kpr)|(kdp))" /e /r /s</v>
      </c>
      <c r="AG181" s="1" t="str">
        <f t="shared" si="71"/>
        <v>NW</v>
      </c>
      <c r="AH181" s="132" t="str">
        <f>refinertdcruntimes&amp;" --tripid "&amp;A181&amp;" --locoid "&amp;B181&amp;" --swversion "&amp;C181&amp;" --startMP "&amp;D181&amp;" --initTime "&amp;TEXT(E181,"yyyy-mm-ddTHH:MM:SS")&amp;" --startdatetime "&amp;TEXT(F181,"yyyy-mm-ddTHH:MM:SS")&amp;" --delay "&amp;G181&amp;" --endMP "&amp;H181&amp;" --enddatetime "&amp;TEXT(I181,"yyyy-mm-ddTHH:MM:SS")&amp;" --enforcementcount "&amp;J181&amp;" &gt;&gt; "&amp;TEXT(Variables!$A$2,"yyyy-mm-dd")&amp;"-refined-runtimes.txt"</f>
        <v>"%USERPROFILE%\Documents\GitHub\eaglep3\Utilities\RefineRTDCRunTimes.py" --tripid 820-03 --locoid 4008 --swversion DE.1.0.7.0 --startMP 300:58594 --initTime 2016-08-03T12:39:36 --startdatetime 2016-08-03T12:40:52 --delay 1 --endMP 204:691 --enddatetime 2016-08-03T12:56:24 --enforcementcount 0 &gt;&gt; 2016-08-03-refined-runtimes.txt</v>
      </c>
    </row>
    <row r="182" spans="1:34" x14ac:dyDescent="0.25">
      <c r="A182" s="44" t="s">
        <v>750</v>
      </c>
      <c r="B182" s="7">
        <v>4007</v>
      </c>
      <c r="C182" s="25" t="s">
        <v>163</v>
      </c>
      <c r="D182" s="25" t="s">
        <v>751</v>
      </c>
      <c r="E182" s="16">
        <v>42585.544942129629</v>
      </c>
      <c r="F182" s="16">
        <v>42585.546273148146</v>
      </c>
      <c r="G182" s="7">
        <v>1</v>
      </c>
      <c r="H182" s="16" t="s">
        <v>328</v>
      </c>
      <c r="I182" s="16">
        <v>42585.56894675926</v>
      </c>
      <c r="J182" s="7">
        <v>0</v>
      </c>
      <c r="K182" s="121" t="str">
        <f t="shared" si="58"/>
        <v>4007/4008</v>
      </c>
      <c r="L182" s="25" t="str">
        <f>VLOOKUP(A182,'Trips&amp;Operators'!$C$1:$E$10000,3,FALSE)</f>
        <v>MOSES</v>
      </c>
      <c r="M182" s="6">
        <f t="shared" si="59"/>
        <v>2.2673611114441883E-2</v>
      </c>
      <c r="N182" s="7">
        <f t="shared" si="57"/>
        <v>32.650000004796311</v>
      </c>
      <c r="O182" s="7"/>
      <c r="P182" s="7"/>
      <c r="Q182" s="26"/>
      <c r="R182" s="26"/>
      <c r="S182" s="40">
        <f t="shared" si="60"/>
        <v>1</v>
      </c>
      <c r="T182" s="57" t="str">
        <f t="shared" si="61"/>
        <v>NorthBound</v>
      </c>
      <c r="U182" s="82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12:04:43-0600',mode:absolute,to:'2016-08-03 14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2" s="62" t="str">
        <f t="shared" si="63"/>
        <v>N</v>
      </c>
      <c r="X182" s="124">
        <f t="shared" si="64"/>
        <v>1</v>
      </c>
      <c r="Y182" s="77">
        <f t="shared" si="65"/>
        <v>9.9500000000000005E-2</v>
      </c>
      <c r="Z182" s="77">
        <f t="shared" si="66"/>
        <v>5.8924000000000003</v>
      </c>
      <c r="AA182" s="77">
        <f t="shared" si="67"/>
        <v>5.7929000000000004</v>
      </c>
      <c r="AB182" s="74" t="e">
        <f>VLOOKUP(A182,Enforcements!$C$7:$J$24,8,0)</f>
        <v>#N/A</v>
      </c>
      <c r="AC182" s="70" t="e">
        <f>VLOOKUP(A182,Enforcements!$C$7:$E$24,3,0)</f>
        <v>#N/A</v>
      </c>
      <c r="AD182" s="71" t="str">
        <f t="shared" si="68"/>
        <v>0821-03</v>
      </c>
      <c r="AE182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2" s="128" t="str">
        <f t="shared" si="70"/>
        <v>"C:\Program Files (x86)\AstroGrep\AstroGrep.exe" /spath="%USERPROFILE%\AppData\Local\Temp\OnboardLogs" /stypes="*4007*20160803*" /stext=" 19:.+((SYSTEM_STATE.+slice.+state.+changed )|(ment ac)|(system.+state.+changed )|(\|lc)|(penalty)|(\[timeout)|(PRM\|1\|D)|(kpr)|(kdp))" /e /r /s</v>
      </c>
      <c r="AG182" s="1" t="str">
        <f t="shared" si="71"/>
        <v>NW</v>
      </c>
      <c r="AH182" s="132" t="str">
        <f>refinertdcruntimes&amp;" --tripid "&amp;A182&amp;" --locoid "&amp;B182&amp;" --swversion "&amp;C182&amp;" --startMP "&amp;D182&amp;" --initTime "&amp;TEXT(E182,"yyyy-mm-ddTHH:MM:SS")&amp;" --startdatetime "&amp;TEXT(F182,"yyyy-mm-ddTHH:MM:SS")&amp;" --delay "&amp;G182&amp;" --endMP "&amp;H182&amp;" --enddatetime "&amp;TEXT(I182,"yyyy-mm-ddTHH:MM:SS")&amp;" --enforcementcount "&amp;J182&amp;" &gt;&gt; "&amp;TEXT(Variables!$A$2,"yyyy-mm-dd")&amp;"-refined-runtimes.txt"</f>
        <v>"%USERPROFILE%\Documents\GitHub\eaglep3\Utilities\RefineRTDCRunTimes.py" --tripid 821-03 --locoid 4007 --swversion DE.1.0.7.0 --startMP 204:995 --initTime 2016-08-03T13:04:43 --startdatetime 2016-08-03T13:06:38 --delay 1 --endMP 300:58924 --enddatetime 2016-08-03T13:39:17 --enforcementcount 0 &gt;&gt; 2016-08-03-refined-runtimes.txt</v>
      </c>
    </row>
    <row r="183" spans="1:34" x14ac:dyDescent="0.25">
      <c r="A183" s="44" t="s">
        <v>752</v>
      </c>
      <c r="B183" s="7">
        <v>4008</v>
      </c>
      <c r="C183" s="25" t="s">
        <v>163</v>
      </c>
      <c r="D183" s="25" t="s">
        <v>736</v>
      </c>
      <c r="E183" s="16">
        <v>42585.569872685184</v>
      </c>
      <c r="F183" s="16">
        <v>42585.570960648147</v>
      </c>
      <c r="G183" s="7">
        <v>1</v>
      </c>
      <c r="H183" s="16" t="s">
        <v>722</v>
      </c>
      <c r="I183" s="16">
        <v>42585.582453703704</v>
      </c>
      <c r="J183" s="7">
        <v>0</v>
      </c>
      <c r="K183" s="121" t="str">
        <f t="shared" si="58"/>
        <v>4007/4008</v>
      </c>
      <c r="L183" s="25" t="str">
        <f>VLOOKUP(A183,'Trips&amp;Operators'!$C$1:$E$10000,3,FALSE)</f>
        <v>MOSES</v>
      </c>
      <c r="M183" s="6">
        <f t="shared" si="59"/>
        <v>1.1493055557366461E-2</v>
      </c>
      <c r="N183" s="7">
        <f t="shared" si="57"/>
        <v>16.550000002607703</v>
      </c>
      <c r="O183" s="7"/>
      <c r="P183" s="7"/>
      <c r="Q183" s="26"/>
      <c r="R183" s="26"/>
      <c r="S183" s="40">
        <f t="shared" si="60"/>
        <v>1</v>
      </c>
      <c r="T183" s="57" t="str">
        <f t="shared" si="61"/>
        <v>Southbound</v>
      </c>
      <c r="U183" s="82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12:40:37-0600',mode:absolute,to:'2016-08-03 14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3" s="62" t="str">
        <f t="shared" si="63"/>
        <v>N</v>
      </c>
      <c r="X183" s="124">
        <f t="shared" si="64"/>
        <v>1</v>
      </c>
      <c r="Y183" s="77">
        <f t="shared" si="65"/>
        <v>5.8619000000000003</v>
      </c>
      <c r="Z183" s="77">
        <f t="shared" si="66"/>
        <v>6.6100000000000006E-2</v>
      </c>
      <c r="AA183" s="77">
        <f t="shared" si="67"/>
        <v>5.7958000000000007</v>
      </c>
      <c r="AB183" s="74" t="e">
        <f>VLOOKUP(A183,Enforcements!$C$7:$J$24,8,0)</f>
        <v>#N/A</v>
      </c>
      <c r="AC183" s="70" t="e">
        <f>VLOOKUP(A183,Enforcements!$C$7:$E$24,3,0)</f>
        <v>#N/A</v>
      </c>
      <c r="AD183" s="71" t="str">
        <f t="shared" si="68"/>
        <v>0822-03</v>
      </c>
      <c r="AE183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3" s="128" t="str">
        <f t="shared" si="70"/>
        <v>"C:\Program Files (x86)\AstroGrep\AstroGrep.exe" /spath="%USERPROFILE%\AppData\Local\Temp\OnboardLogs" /stypes="*4008*20160803*" /stext=" 19:.+((SYSTEM_STATE.+slice.+state.+changed )|(ment ac)|(system.+state.+changed )|(\|lc)|(penalty)|(\[timeout)|(PRM\|1\|D)|(kpr)|(kdp))" /e /r /s</v>
      </c>
      <c r="AG183" s="1" t="str">
        <f t="shared" si="71"/>
        <v>NW</v>
      </c>
      <c r="AH183" s="132" t="str">
        <f>refinertdcruntimes&amp;" --tripid "&amp;A183&amp;" --locoid "&amp;B183&amp;" --swversion "&amp;C183&amp;" --startMP "&amp;D183&amp;" --initTime "&amp;TEXT(E183,"yyyy-mm-ddTHH:MM:SS")&amp;" --startdatetime "&amp;TEXT(F183,"yyyy-mm-ddTHH:MM:SS")&amp;" --delay "&amp;G183&amp;" --endMP "&amp;H183&amp;" --enddatetime "&amp;TEXT(I183,"yyyy-mm-ddTHH:MM:SS")&amp;" --enforcementcount "&amp;J183&amp;" &gt;&gt; "&amp;TEXT(Variables!$A$2,"yyyy-mm-dd")&amp;"-refined-runtimes.txt"</f>
        <v>"%USERPROFILE%\Documents\GitHub\eaglep3\Utilities\RefineRTDCRunTimes.py" --tripid 822-03 --locoid 4008 --swversion DE.1.0.7.0 --startMP 300:58619 --initTime 2016-08-03T13:40:37 --startdatetime 2016-08-03T13:42:11 --delay 1 --endMP 204:661 --enddatetime 2016-08-03T13:58:44 --enforcementcount 0 &gt;&gt; 2016-08-03-refined-runtimes.txt</v>
      </c>
    </row>
    <row r="184" spans="1:34" x14ac:dyDescent="0.25">
      <c r="A184" s="44" t="s">
        <v>513</v>
      </c>
      <c r="B184" s="7">
        <v>4007</v>
      </c>
      <c r="C184" s="25" t="s">
        <v>163</v>
      </c>
      <c r="D184" s="25" t="s">
        <v>753</v>
      </c>
      <c r="E184" s="16">
        <v>42585.593113425923</v>
      </c>
      <c r="F184" s="16">
        <v>42585.593981481485</v>
      </c>
      <c r="G184" s="7">
        <v>1</v>
      </c>
      <c r="H184" s="16" t="s">
        <v>754</v>
      </c>
      <c r="I184" s="16">
        <v>42585.604317129626</v>
      </c>
      <c r="J184" s="7">
        <v>8</v>
      </c>
      <c r="K184" s="121" t="str">
        <f t="shared" si="58"/>
        <v>4007/4008</v>
      </c>
      <c r="L184" s="25" t="str">
        <f>VLOOKUP(A184,'Trips&amp;Operators'!$C$1:$E$10000,3,FALSE)</f>
        <v>MOSES</v>
      </c>
      <c r="M184" s="6">
        <f t="shared" si="59"/>
        <v>1.0335648141335696E-2</v>
      </c>
      <c r="N184" s="7"/>
      <c r="O184" s="7"/>
      <c r="P184" s="7">
        <f t="shared" si="57"/>
        <v>14.883333323523402</v>
      </c>
      <c r="Q184" s="26"/>
      <c r="R184" s="26" t="s">
        <v>844</v>
      </c>
      <c r="S184" s="40">
        <f t="shared" si="60"/>
        <v>0</v>
      </c>
      <c r="T184" s="57" t="str">
        <f t="shared" si="61"/>
        <v>NorthBound</v>
      </c>
      <c r="U184" s="82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0</v>
      </c>
      <c r="V18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4" s="62" t="str">
        <f t="shared" si="63"/>
        <v>Y</v>
      </c>
      <c r="X184" s="124">
        <f t="shared" si="64"/>
        <v>1</v>
      </c>
      <c r="Y184" s="77">
        <f t="shared" si="65"/>
        <v>9.5500000000000002E-2</v>
      </c>
      <c r="Z184" s="77">
        <f t="shared" si="66"/>
        <v>0.2883</v>
      </c>
      <c r="AA184" s="77">
        <f t="shared" si="67"/>
        <v>0.1928</v>
      </c>
      <c r="AB184" s="74" t="e">
        <f>VLOOKUP(A184,Enforcements!$C$7:$J$24,8,0)</f>
        <v>#N/A</v>
      </c>
      <c r="AC184" s="70" t="e">
        <f>VLOOKUP(A184,Enforcements!$C$7:$E$24,3,0)</f>
        <v>#N/A</v>
      </c>
      <c r="AD184" s="71" t="str">
        <f t="shared" si="68"/>
        <v>0823-03</v>
      </c>
      <c r="AE184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4" s="128" t="str">
        <f t="shared" si="70"/>
        <v>"C:\Program Files (x86)\AstroGrep\AstroGrep.exe" /spath="%USERPROFILE%\AppData\Local\Temp\OnboardLogs" /stypes="*4007*20160803*" /stext=" 20:.+((SYSTEM_STATE.+slice.+state.+changed )|(ment ac)|(system.+state.+changed )|(\|lc)|(penalty)|(\[timeout)|(PRM\|1\|D)|(kpr)|(kdp))" /e /r /s</v>
      </c>
      <c r="AG184" s="1" t="str">
        <f t="shared" si="71"/>
        <v>NW</v>
      </c>
      <c r="AH184" s="132" t="str">
        <f>refinertdcruntimes&amp;" --tripid "&amp;A184&amp;" --locoid "&amp;B184&amp;" --swversion "&amp;C184&amp;" --startMP "&amp;D184&amp;" --initTime "&amp;TEXT(E184,"yyyy-mm-ddTHH:MM:SS")&amp;" --startdatetime "&amp;TEXT(F184,"yyyy-mm-ddTHH:MM:SS")&amp;" --delay "&amp;G184&amp;" --endMP "&amp;H184&amp;" --enddatetime "&amp;TEXT(I184,"yyyy-mm-ddTHH:MM:SS")&amp;" --enforcementcount "&amp;J184&amp;" &gt;&gt; "&amp;TEXT(Variables!$A$2,"yyyy-mm-dd")&amp;"-refined-runtimes.txt"</f>
        <v>"%USERPROFILE%\Documents\GitHub\eaglep3\Utilities\RefineRTDCRunTimes.py" --tripid 823-03 --locoid 4007 --swversion DE.1.0.7.0 --startMP 204:955 --initTime 2016-08-03T14:14:05 --startdatetime 2016-08-03T14:15:20 --delay 1 --endMP 204:2883 --enddatetime 2016-08-03T14:30:13 --enforcementcount 8 &gt;&gt; 2016-08-03-refined-runtimes.txt</v>
      </c>
    </row>
    <row r="185" spans="1:34" x14ac:dyDescent="0.25">
      <c r="A185" s="44" t="s">
        <v>755</v>
      </c>
      <c r="B185" s="7">
        <v>4008</v>
      </c>
      <c r="C185" s="25" t="s">
        <v>163</v>
      </c>
      <c r="D185" s="25" t="s">
        <v>745</v>
      </c>
      <c r="E185" s="16">
        <v>42585.617199074077</v>
      </c>
      <c r="F185" s="16">
        <v>42585.617986111109</v>
      </c>
      <c r="G185" s="7">
        <v>1</v>
      </c>
      <c r="H185" s="16" t="s">
        <v>712</v>
      </c>
      <c r="I185" s="16">
        <v>42585.628750000003</v>
      </c>
      <c r="J185" s="7">
        <v>0</v>
      </c>
      <c r="K185" s="121" t="str">
        <f t="shared" si="58"/>
        <v>4007/4008</v>
      </c>
      <c r="L185" s="25" t="str">
        <f>VLOOKUP(A185,'Trips&amp;Operators'!$C$1:$E$10000,3,FALSE)</f>
        <v>MOSES</v>
      </c>
      <c r="M185" s="6">
        <f t="shared" si="59"/>
        <v>1.0763888894871343E-2</v>
      </c>
      <c r="N185" s="7">
        <f t="shared" si="57"/>
        <v>15.500000008614734</v>
      </c>
      <c r="O185" s="7"/>
      <c r="P185" s="7"/>
      <c r="Q185" s="26"/>
      <c r="R185" s="26"/>
      <c r="S185" s="40">
        <f t="shared" si="60"/>
        <v>1</v>
      </c>
      <c r="T185" s="57" t="str">
        <f t="shared" si="61"/>
        <v>Southbound</v>
      </c>
      <c r="U185" s="82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13:48:46-0600',mode:absolute,to:'2016-08-03 16:05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5" s="62" t="str">
        <f t="shared" si="63"/>
        <v>N</v>
      </c>
      <c r="X185" s="124">
        <f t="shared" si="64"/>
        <v>1</v>
      </c>
      <c r="Y185" s="77">
        <f t="shared" si="65"/>
        <v>5.8634000000000004</v>
      </c>
      <c r="Z185" s="77">
        <f t="shared" si="66"/>
        <v>6.5699999999999995E-2</v>
      </c>
      <c r="AA185" s="77">
        <f t="shared" si="67"/>
        <v>5.7977000000000007</v>
      </c>
      <c r="AB185" s="74" t="e">
        <f>VLOOKUP(A185,Enforcements!$C$7:$J$24,8,0)</f>
        <v>#N/A</v>
      </c>
      <c r="AC185" s="70" t="e">
        <f>VLOOKUP(A185,Enforcements!$C$7:$E$24,3,0)</f>
        <v>#N/A</v>
      </c>
      <c r="AD185" s="71" t="str">
        <f t="shared" si="68"/>
        <v>0824-03</v>
      </c>
      <c r="AE185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5" s="128" t="str">
        <f t="shared" si="70"/>
        <v>"C:\Program Files (x86)\AstroGrep\AstroGrep.exe" /spath="%USERPROFILE%\AppData\Local\Temp\OnboardLogs" /stypes="*4008*20160803*" /stext=" 21:.+((SYSTEM_STATE.+slice.+state.+changed )|(ment ac)|(system.+state.+changed )|(\|lc)|(penalty)|(\[timeout)|(PRM\|1\|D)|(kpr)|(kdp))" /e /r /s</v>
      </c>
      <c r="AG185" s="1" t="str">
        <f t="shared" si="71"/>
        <v>NW</v>
      </c>
      <c r="AH185" s="132" t="str">
        <f>refinertdcruntimes&amp;" --tripid "&amp;A185&amp;" --locoid "&amp;B185&amp;" --swversion "&amp;C185&amp;" --startMP "&amp;D185&amp;" --initTime "&amp;TEXT(E185,"yyyy-mm-ddTHH:MM:SS")&amp;" --startdatetime "&amp;TEXT(F185,"yyyy-mm-ddTHH:MM:SS")&amp;" --delay "&amp;G185&amp;" --endMP "&amp;H185&amp;" --enddatetime "&amp;TEXT(I185,"yyyy-mm-ddTHH:MM:SS")&amp;" --enforcementcount "&amp;J185&amp;" &gt;&gt; "&amp;TEXT(Variables!$A$2,"yyyy-mm-dd")&amp;"-refined-runtimes.txt"</f>
        <v>"%USERPROFILE%\Documents\GitHub\eaglep3\Utilities\RefineRTDCRunTimes.py" --tripid 824-03 --locoid 4008 --swversion DE.1.0.7.0 --startMP 300:58634 --initTime 2016-08-03T14:48:46 --startdatetime 2016-08-03T14:49:54 --delay 1 --endMP 204:657 --enddatetime 2016-08-03T15:05:24 --enforcementcount 0 &gt;&gt; 2016-08-03-refined-runtimes.txt</v>
      </c>
    </row>
    <row r="186" spans="1:34" x14ac:dyDescent="0.25">
      <c r="A186" s="44" t="s">
        <v>517</v>
      </c>
      <c r="B186" s="7">
        <v>4007</v>
      </c>
      <c r="C186" s="25" t="s">
        <v>163</v>
      </c>
      <c r="D186" s="25" t="s">
        <v>756</v>
      </c>
      <c r="E186" s="16">
        <v>42585.631747685184</v>
      </c>
      <c r="F186" s="16">
        <v>42585.632789351854</v>
      </c>
      <c r="G186" s="7">
        <v>1</v>
      </c>
      <c r="H186" s="16" t="s">
        <v>757</v>
      </c>
      <c r="I186" s="16">
        <v>42585.654293981483</v>
      </c>
      <c r="J186" s="7">
        <v>2</v>
      </c>
      <c r="K186" s="121" t="str">
        <f t="shared" si="58"/>
        <v>4007/4008</v>
      </c>
      <c r="L186" s="25" t="str">
        <f>VLOOKUP(A186,'Trips&amp;Operators'!$C$1:$E$10000,3,FALSE)</f>
        <v>MOSES</v>
      </c>
      <c r="M186" s="6">
        <f t="shared" si="59"/>
        <v>2.1504629628907423E-2</v>
      </c>
      <c r="N186" s="7">
        <f t="shared" si="57"/>
        <v>30.96666666562669</v>
      </c>
      <c r="O186" s="7"/>
      <c r="P186" s="7"/>
      <c r="Q186" s="26"/>
      <c r="R186" s="26"/>
      <c r="S186" s="40">
        <f t="shared" si="60"/>
        <v>1</v>
      </c>
      <c r="T186" s="57" t="str">
        <f t="shared" si="61"/>
        <v>NorthBound</v>
      </c>
      <c r="U186" s="82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86" s="62" t="str">
        <f t="shared" si="63"/>
        <v>N</v>
      </c>
      <c r="X186" s="124">
        <f t="shared" si="64"/>
        <v>1</v>
      </c>
      <c r="Y186" s="77">
        <f t="shared" si="65"/>
        <v>9.4600000000000004E-2</v>
      </c>
      <c r="Z186" s="77">
        <f t="shared" si="66"/>
        <v>5.8939000000000004</v>
      </c>
      <c r="AA186" s="77">
        <f t="shared" si="67"/>
        <v>5.7993000000000006</v>
      </c>
      <c r="AB186" s="74" t="e">
        <f>VLOOKUP(A186,Enforcements!$C$7:$J$24,8,0)</f>
        <v>#N/A</v>
      </c>
      <c r="AC186" s="70" t="e">
        <f>VLOOKUP(A186,Enforcements!$C$7:$E$24,3,0)</f>
        <v>#N/A</v>
      </c>
      <c r="AD186" s="71" t="str">
        <f t="shared" si="68"/>
        <v>0825-03</v>
      </c>
      <c r="AE186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86" s="128" t="str">
        <f t="shared" si="70"/>
        <v>"C:\Program Files (x86)\AstroGrep\AstroGrep.exe" /spath="%USERPROFILE%\AppData\Local\Temp\OnboardLogs" /stypes="*4007*20160803*" /stext=" 21:.+((SYSTEM_STATE.+slice.+state.+changed )|(ment ac)|(system.+state.+changed )|(\|lc)|(penalty)|(\[timeout)|(PRM\|1\|D)|(kpr)|(kdp))" /e /r /s</v>
      </c>
      <c r="AG186" s="1" t="str">
        <f t="shared" si="71"/>
        <v>NW</v>
      </c>
      <c r="AH186" s="132" t="str">
        <f>refinertdcruntimes&amp;" --tripid "&amp;A186&amp;" --locoid "&amp;B186&amp;" --swversion "&amp;C186&amp;" --startMP "&amp;D186&amp;" --initTime "&amp;TEXT(E186,"yyyy-mm-ddTHH:MM:SS")&amp;" --startdatetime "&amp;TEXT(F186,"yyyy-mm-ddTHH:MM:SS")&amp;" --delay "&amp;G186&amp;" --endMP "&amp;H186&amp;" --enddatetime "&amp;TEXT(I186,"yyyy-mm-ddTHH:MM:SS")&amp;" --enforcementcount "&amp;J186&amp;" &gt;&gt; "&amp;TEXT(Variables!$A$2,"yyyy-mm-dd")&amp;"-refined-runtimes.txt"</f>
        <v>"%USERPROFILE%\Documents\GitHub\eaglep3\Utilities\RefineRTDCRunTimes.py" --tripid 825-03 --locoid 4007 --swversion DE.1.0.7.0 --startMP 204:946 --initTime 2016-08-03T15:09:43 --startdatetime 2016-08-03T15:11:13 --delay 1 --endMP 300:58939 --enddatetime 2016-08-03T15:42:11 --enforcementcount 2 &gt;&gt; 2016-08-03-refined-runtimes.txt</v>
      </c>
    </row>
    <row r="187" spans="1:34" x14ac:dyDescent="0.25">
      <c r="A187" s="44" t="s">
        <v>758</v>
      </c>
      <c r="B187" s="7">
        <v>4008</v>
      </c>
      <c r="C187" s="25" t="s">
        <v>163</v>
      </c>
      <c r="D187" s="25" t="s">
        <v>759</v>
      </c>
      <c r="E187" s="16">
        <v>42585.655543981484</v>
      </c>
      <c r="F187" s="16">
        <v>42585.656631944446</v>
      </c>
      <c r="G187" s="7">
        <v>1</v>
      </c>
      <c r="H187" s="16" t="s">
        <v>760</v>
      </c>
      <c r="I187" s="16">
        <v>42585.667881944442</v>
      </c>
      <c r="J187" s="7">
        <v>0</v>
      </c>
      <c r="K187" s="121" t="str">
        <f t="shared" si="58"/>
        <v>4007/4008</v>
      </c>
      <c r="L187" s="25" t="str">
        <f>VLOOKUP(A187,'Trips&amp;Operators'!$C$1:$E$10000,3,FALSE)</f>
        <v>MOSES</v>
      </c>
      <c r="M187" s="6">
        <f t="shared" si="59"/>
        <v>1.1249999995925464E-2</v>
      </c>
      <c r="N187" s="7">
        <f t="shared" si="57"/>
        <v>16.199999994132668</v>
      </c>
      <c r="O187" s="7"/>
      <c r="P187" s="7"/>
      <c r="Q187" s="26"/>
      <c r="R187" s="26"/>
      <c r="S187" s="40">
        <f t="shared" si="60"/>
        <v>1</v>
      </c>
      <c r="T187" s="57" t="str">
        <f t="shared" si="61"/>
        <v>Southbound</v>
      </c>
      <c r="U187" s="82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14:43:59-0600',mode:absolute,to:'2016-08-03 17:01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7" s="62" t="str">
        <f t="shared" si="63"/>
        <v>N</v>
      </c>
      <c r="X187" s="124">
        <f t="shared" si="64"/>
        <v>1</v>
      </c>
      <c r="Y187" s="77">
        <f t="shared" si="65"/>
        <v>5.8623000000000003</v>
      </c>
      <c r="Z187" s="77">
        <f t="shared" si="66"/>
        <v>6.7500000000000004E-2</v>
      </c>
      <c r="AA187" s="77">
        <f t="shared" si="67"/>
        <v>5.7948000000000004</v>
      </c>
      <c r="AB187" s="74" t="e">
        <f>VLOOKUP(A187,Enforcements!$C$7:$J$24,8,0)</f>
        <v>#N/A</v>
      </c>
      <c r="AC187" s="70" t="e">
        <f>VLOOKUP(A187,Enforcements!$C$7:$E$24,3,0)</f>
        <v>#N/A</v>
      </c>
      <c r="AD187" s="71" t="str">
        <f t="shared" si="68"/>
        <v>0826-03</v>
      </c>
      <c r="AE187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87" s="128" t="str">
        <f t="shared" si="70"/>
        <v>"C:\Program Files (x86)\AstroGrep\AstroGrep.exe" /spath="%USERPROFILE%\AppData\Local\Temp\OnboardLogs" /stypes="*4008*20160803*" /stext=" 22:.+((SYSTEM_STATE.+slice.+state.+changed )|(ment ac)|(system.+state.+changed )|(\|lc)|(penalty)|(\[timeout)|(PRM\|1\|D)|(kpr)|(kdp))" /e /r /s</v>
      </c>
      <c r="AG187" s="1" t="str">
        <f t="shared" si="71"/>
        <v>NW</v>
      </c>
      <c r="AH187" s="132" t="str">
        <f>refinertdcruntimes&amp;" --tripid "&amp;A187&amp;" --locoid "&amp;B187&amp;" --swversion "&amp;C187&amp;" --startMP "&amp;D187&amp;" --initTime "&amp;TEXT(E187,"yyyy-mm-ddTHH:MM:SS")&amp;" --startdatetime "&amp;TEXT(F187,"yyyy-mm-ddTHH:MM:SS")&amp;" --delay "&amp;G187&amp;" --endMP "&amp;H187&amp;" --enddatetime "&amp;TEXT(I187,"yyyy-mm-ddTHH:MM:SS")&amp;" --enforcementcount "&amp;J187&amp;" &gt;&gt; "&amp;TEXT(Variables!$A$2,"yyyy-mm-dd")&amp;"-refined-runtimes.txt"</f>
        <v>"%USERPROFILE%\Documents\GitHub\eaglep3\Utilities\RefineRTDCRunTimes.py" --tripid 826-03 --locoid 4008 --swversion DE.1.0.7.0 --startMP 300:58623 --initTime 2016-08-03T15:43:59 --startdatetime 2016-08-03T15:45:33 --delay 1 --endMP 204:675 --enddatetime 2016-08-03T16:01:45 --enforcementcount 0 &gt;&gt; 2016-08-03-refined-runtimes.txt</v>
      </c>
    </row>
    <row r="188" spans="1:34" x14ac:dyDescent="0.25">
      <c r="A188" s="44" t="s">
        <v>761</v>
      </c>
      <c r="B188" s="7">
        <v>4016</v>
      </c>
      <c r="C188" s="25" t="s">
        <v>163</v>
      </c>
      <c r="D188" s="25" t="s">
        <v>762</v>
      </c>
      <c r="E188" s="16">
        <v>42585.657488425924</v>
      </c>
      <c r="F188" s="16">
        <v>42585.658414351848</v>
      </c>
      <c r="G188" s="7">
        <v>1</v>
      </c>
      <c r="H188" s="16" t="s">
        <v>328</v>
      </c>
      <c r="I188" s="16">
        <v>42585.673564814817</v>
      </c>
      <c r="J188" s="7">
        <v>0</v>
      </c>
      <c r="K188" s="121" t="str">
        <f t="shared" si="58"/>
        <v>4015/4016</v>
      </c>
      <c r="L188" s="25" t="str">
        <f>VLOOKUP(A188,'Trips&amp;Operators'!$C$1:$E$10000,3,FALSE)</f>
        <v>ROBINSON</v>
      </c>
      <c r="M188" s="6">
        <f t="shared" si="59"/>
        <v>1.5150462968449574E-2</v>
      </c>
      <c r="N188" s="7">
        <f t="shared" si="57"/>
        <v>21.816666674567387</v>
      </c>
      <c r="O188" s="7"/>
      <c r="P188" s="7"/>
      <c r="Q188" s="26"/>
      <c r="R188" s="26"/>
      <c r="S188" s="40">
        <f t="shared" si="60"/>
        <v>1</v>
      </c>
      <c r="T188" s="57" t="str">
        <f t="shared" si="61"/>
        <v>NorthBound</v>
      </c>
      <c r="U188" s="82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14:46:47-0600',mode:absolute,to:'2016-08-03 17:09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88" s="62" t="str">
        <f t="shared" si="63"/>
        <v>N</v>
      </c>
      <c r="X188" s="124">
        <f t="shared" si="64"/>
        <v>1</v>
      </c>
      <c r="Y188" s="77">
        <f t="shared" si="65"/>
        <v>9.0200000000000002E-2</v>
      </c>
      <c r="Z188" s="77">
        <f t="shared" si="66"/>
        <v>5.8924000000000003</v>
      </c>
      <c r="AA188" s="77">
        <f t="shared" si="67"/>
        <v>5.8022</v>
      </c>
      <c r="AB188" s="74" t="e">
        <f>VLOOKUP(A188,Enforcements!$C$7:$J$24,8,0)</f>
        <v>#N/A</v>
      </c>
      <c r="AC188" s="70" t="e">
        <f>VLOOKUP(A188,Enforcements!$C$7:$E$24,3,0)</f>
        <v>#N/A</v>
      </c>
      <c r="AD188" s="71" t="str">
        <f t="shared" si="68"/>
        <v>0827-03</v>
      </c>
      <c r="AE188" s="131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88" s="128" t="str">
        <f t="shared" si="70"/>
        <v>"C:\Program Files (x86)\AstroGrep\AstroGrep.exe" /spath="%USERPROFILE%\AppData\Local\Temp\OnboardLogs" /stypes="*4016*20160803*" /stext=" 22:.+((SYSTEM_STATE.+slice.+state.+changed )|(ment ac)|(system.+state.+changed )|(\|lc)|(penalty)|(\[timeout)|(PRM\|1\|D)|(kpr)|(kdp))" /e /r /s</v>
      </c>
      <c r="AG188" s="1" t="str">
        <f t="shared" si="71"/>
        <v>NW</v>
      </c>
      <c r="AH188" s="132" t="str">
        <f>refinertdcruntimes&amp;" --tripid "&amp;A188&amp;" --locoid "&amp;B188&amp;" --swversion "&amp;C188&amp;" --startMP "&amp;D188&amp;" --initTime "&amp;TEXT(E188,"yyyy-mm-ddTHH:MM:SS")&amp;" --startdatetime "&amp;TEXT(F188,"yyyy-mm-ddTHH:MM:SS")&amp;" --delay "&amp;G188&amp;" --endMP "&amp;H188&amp;" --enddatetime "&amp;TEXT(I188,"yyyy-mm-ddTHH:MM:SS")&amp;" --enforcementcount "&amp;J188&amp;" &gt;&gt; "&amp;TEXT(Variables!$A$2,"yyyy-mm-dd")&amp;"-refined-runtimes.txt"</f>
        <v>"%USERPROFILE%\Documents\GitHub\eaglep3\Utilities\RefineRTDCRunTimes.py" --tripid 827-03 --locoid 4016 --swversion DE.1.0.7.0 --startMP 204:902 --initTime 2016-08-03T15:46:47 --startdatetime 2016-08-03T15:48:07 --delay 1 --endMP 300:58924 --enddatetime 2016-08-03T16:09:56 --enforcementcount 0 &gt;&gt; 2016-08-03-refined-runtimes.txt</v>
      </c>
    </row>
    <row r="189" spans="1:34" x14ac:dyDescent="0.25">
      <c r="A189" s="44" t="s">
        <v>522</v>
      </c>
      <c r="B189" s="7">
        <v>4015</v>
      </c>
      <c r="C189" s="25" t="s">
        <v>163</v>
      </c>
      <c r="D189" s="25" t="s">
        <v>441</v>
      </c>
      <c r="E189" s="16">
        <v>42585.674803240741</v>
      </c>
      <c r="F189" s="16">
        <v>42585.675555555557</v>
      </c>
      <c r="G189" s="7">
        <v>1</v>
      </c>
      <c r="H189" s="16" t="s">
        <v>732</v>
      </c>
      <c r="I189" s="16">
        <v>42585.686701388891</v>
      </c>
      <c r="J189" s="7">
        <v>1</v>
      </c>
      <c r="K189" s="121" t="str">
        <f t="shared" si="58"/>
        <v>4015/4016</v>
      </c>
      <c r="L189" s="25" t="str">
        <f>VLOOKUP(A189,'Trips&amp;Operators'!$C$1:$E$10000,3,FALSE)</f>
        <v>ROBINSON</v>
      </c>
      <c r="M189" s="6">
        <f t="shared" si="59"/>
        <v>1.1145833334012423E-2</v>
      </c>
      <c r="N189" s="7">
        <f t="shared" si="57"/>
        <v>16.050000000977889</v>
      </c>
      <c r="O189" s="7"/>
      <c r="P189" s="7"/>
      <c r="Q189" s="26"/>
      <c r="R189" s="26"/>
      <c r="S189" s="40">
        <f t="shared" si="60"/>
        <v>1</v>
      </c>
      <c r="T189" s="57" t="str">
        <f t="shared" si="61"/>
        <v>Southbound</v>
      </c>
      <c r="U189" s="82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15:11:43-0600',mode:absolute,to:'2016-08-03 17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89" s="62" t="str">
        <f t="shared" si="63"/>
        <v>N</v>
      </c>
      <c r="X189" s="124">
        <f t="shared" si="64"/>
        <v>1</v>
      </c>
      <c r="Y189" s="77">
        <f t="shared" si="65"/>
        <v>5.8597999999999999</v>
      </c>
      <c r="Z189" s="77">
        <f t="shared" si="66"/>
        <v>6.8000000000000005E-2</v>
      </c>
      <c r="AA189" s="77">
        <f t="shared" si="67"/>
        <v>5.7918000000000003</v>
      </c>
      <c r="AB189" s="74" t="e">
        <f>VLOOKUP(A189,Enforcements!$C$7:$J$24,8,0)</f>
        <v>#N/A</v>
      </c>
      <c r="AC189" s="70" t="e">
        <f>VLOOKUP(A189,Enforcements!$C$7:$E$24,3,0)</f>
        <v>#N/A</v>
      </c>
      <c r="AD189" s="71" t="str">
        <f t="shared" si="68"/>
        <v>0828-03</v>
      </c>
      <c r="AE189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89" s="128" t="str">
        <f t="shared" si="70"/>
        <v>"C:\Program Files (x86)\AstroGrep\AstroGrep.exe" /spath="%USERPROFILE%\AppData\Local\Temp\OnboardLogs" /stypes="*4015*20160803*" /stext=" 22:.+((SYSTEM_STATE.+slice.+state.+changed )|(ment ac)|(system.+state.+changed )|(\|lc)|(penalty)|(\[timeout)|(PRM\|1\|D)|(kpr)|(kdp))" /e /r /s</v>
      </c>
      <c r="AG189" s="1" t="str">
        <f t="shared" si="71"/>
        <v>NW</v>
      </c>
      <c r="AH189" s="132" t="str">
        <f>refinertdcruntimes&amp;" --tripid "&amp;A189&amp;" --locoid "&amp;B189&amp;" --swversion "&amp;C189&amp;" --startMP "&amp;D189&amp;" --initTime "&amp;TEXT(E189,"yyyy-mm-ddTHH:MM:SS")&amp;" --startdatetime "&amp;TEXT(F189,"yyyy-mm-ddTHH:MM:SS")&amp;" --delay "&amp;G189&amp;" --endMP "&amp;H189&amp;" --enddatetime "&amp;TEXT(I189,"yyyy-mm-ddTHH:MM:SS")&amp;" --enforcementcount "&amp;J189&amp;" &gt;&gt; "&amp;TEXT(Variables!$A$2,"yyyy-mm-dd")&amp;"-refined-runtimes.txt"</f>
        <v>"%USERPROFILE%\Documents\GitHub\eaglep3\Utilities\RefineRTDCRunTimes.py" --tripid 828-03 --locoid 4015 --swversion DE.1.0.7.0 --startMP 300:58598 --initTime 2016-08-03T16:11:43 --startdatetime 2016-08-03T16:12:48 --delay 1 --endMP 204:680 --enddatetime 2016-08-03T16:28:51 --enforcementcount 1 &gt;&gt; 2016-08-03-refined-runtimes.txt</v>
      </c>
    </row>
    <row r="190" spans="1:34" x14ac:dyDescent="0.25">
      <c r="A190" s="44" t="s">
        <v>523</v>
      </c>
      <c r="B190" s="7">
        <v>4007</v>
      </c>
      <c r="C190" s="25" t="s">
        <v>163</v>
      </c>
      <c r="D190" s="25" t="s">
        <v>763</v>
      </c>
      <c r="E190" s="16">
        <v>42585.677569444444</v>
      </c>
      <c r="F190" s="16">
        <v>42585.678495370368</v>
      </c>
      <c r="G190" s="7">
        <v>1</v>
      </c>
      <c r="H190" s="16" t="s">
        <v>764</v>
      </c>
      <c r="I190" s="16">
        <v>42585.693333333336</v>
      </c>
      <c r="J190" s="7">
        <v>1</v>
      </c>
      <c r="K190" s="121" t="str">
        <f t="shared" si="58"/>
        <v>4007/4008</v>
      </c>
      <c r="L190" s="25" t="str">
        <f>VLOOKUP(A190,'Trips&amp;Operators'!$C$1:$E$10000,3,FALSE)</f>
        <v>MOSES</v>
      </c>
      <c r="M190" s="6">
        <f t="shared" si="59"/>
        <v>1.4837962968158536E-2</v>
      </c>
      <c r="N190" s="7">
        <f t="shared" si="57"/>
        <v>21.366666674148291</v>
      </c>
      <c r="O190" s="7"/>
      <c r="P190" s="7"/>
      <c r="Q190" s="26"/>
      <c r="R190" s="26"/>
      <c r="S190" s="40">
        <f t="shared" si="60"/>
        <v>1</v>
      </c>
      <c r="T190" s="57" t="str">
        <f t="shared" si="61"/>
        <v>NorthBound</v>
      </c>
      <c r="U190" s="82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15:15:42-0600',mode:absolute,to:'2016-08-03 17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0" s="62" t="str">
        <f t="shared" si="63"/>
        <v>N</v>
      </c>
      <c r="X190" s="124">
        <f t="shared" si="64"/>
        <v>1</v>
      </c>
      <c r="Y190" s="77">
        <f t="shared" si="65"/>
        <v>9.5100000000000004E-2</v>
      </c>
      <c r="Z190" s="77">
        <f t="shared" si="66"/>
        <v>5.8853999999999997</v>
      </c>
      <c r="AA190" s="77">
        <f t="shared" si="67"/>
        <v>5.7902999999999993</v>
      </c>
      <c r="AB190" s="74" t="e">
        <f>VLOOKUP(A190,Enforcements!$C$7:$J$24,8,0)</f>
        <v>#N/A</v>
      </c>
      <c r="AC190" s="70" t="e">
        <f>VLOOKUP(A190,Enforcements!$C$7:$E$24,3,0)</f>
        <v>#N/A</v>
      </c>
      <c r="AD190" s="71" t="str">
        <f t="shared" si="68"/>
        <v>0829-03</v>
      </c>
      <c r="AE190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90" s="128" t="str">
        <f t="shared" si="70"/>
        <v>"C:\Program Files (x86)\AstroGrep\AstroGrep.exe" /spath="%USERPROFILE%\AppData\Local\Temp\OnboardLogs" /stypes="*4007*20160803*" /stext=" 22:.+((SYSTEM_STATE.+slice.+state.+changed )|(ment ac)|(system.+state.+changed )|(\|lc)|(penalty)|(\[timeout)|(PRM\|1\|D)|(kpr)|(kdp))" /e /r /s</v>
      </c>
      <c r="AG190" s="1" t="str">
        <f t="shared" si="71"/>
        <v>NW</v>
      </c>
      <c r="AH190" s="132" t="str">
        <f>refinertdcruntimes&amp;" --tripid "&amp;A190&amp;" --locoid "&amp;B190&amp;" --swversion "&amp;C190&amp;" --startMP "&amp;D190&amp;" --initTime "&amp;TEXT(E190,"yyyy-mm-ddTHH:MM:SS")&amp;" --startdatetime "&amp;TEXT(F190,"yyyy-mm-ddTHH:MM:SS")&amp;" --delay "&amp;G190&amp;" --endMP "&amp;H190&amp;" --enddatetime "&amp;TEXT(I190,"yyyy-mm-ddTHH:MM:SS")&amp;" --enforcementcount "&amp;J190&amp;" &gt;&gt; "&amp;TEXT(Variables!$A$2,"yyyy-mm-dd")&amp;"-refined-runtimes.txt"</f>
        <v>"%USERPROFILE%\Documents\GitHub\eaglep3\Utilities\RefineRTDCRunTimes.py" --tripid 829-03 --locoid 4007 --swversion DE.1.0.7.0 --startMP 204:951 --initTime 2016-08-03T16:15:42 --startdatetime 2016-08-03T16:17:02 --delay 1 --endMP 300:58854 --enddatetime 2016-08-03T16:38:24 --enforcementcount 1 &gt;&gt; 2016-08-03-refined-runtimes.txt</v>
      </c>
    </row>
    <row r="191" spans="1:34" x14ac:dyDescent="0.25">
      <c r="A191" s="25" t="s">
        <v>765</v>
      </c>
      <c r="B191" s="94">
        <v>4008</v>
      </c>
      <c r="C191" s="95" t="s">
        <v>163</v>
      </c>
      <c r="D191" s="95" t="s">
        <v>745</v>
      </c>
      <c r="E191" s="96">
        <v>42585.694641203707</v>
      </c>
      <c r="F191" s="96">
        <v>42585.695706018516</v>
      </c>
      <c r="G191" s="94">
        <v>1</v>
      </c>
      <c r="H191" s="96" t="s">
        <v>391</v>
      </c>
      <c r="I191" s="96">
        <v>42585.706828703704</v>
      </c>
      <c r="J191" s="94">
        <v>0</v>
      </c>
      <c r="K191" s="121" t="str">
        <f t="shared" si="58"/>
        <v>4007/4008</v>
      </c>
      <c r="L191" s="25" t="str">
        <f>VLOOKUP(A191,'Trips&amp;Operators'!$C$1:$E$10000,3,FALSE)</f>
        <v>MOSES</v>
      </c>
      <c r="M191" s="6">
        <f t="shared" si="59"/>
        <v>1.1122685187729076E-2</v>
      </c>
      <c r="N191" s="7">
        <f t="shared" si="57"/>
        <v>16.016666670329869</v>
      </c>
      <c r="O191" s="7"/>
      <c r="P191" s="7"/>
      <c r="Q191" s="26"/>
      <c r="R191" s="26"/>
      <c r="S191" s="40">
        <f t="shared" si="60"/>
        <v>1</v>
      </c>
      <c r="T191" s="57" t="str">
        <f t="shared" si="61"/>
        <v>Southbound</v>
      </c>
      <c r="U191" s="82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15:40:17-0600',mode:absolute,to:'2016-08-03 17:57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91" s="62" t="str">
        <f t="shared" si="63"/>
        <v>N</v>
      </c>
      <c r="X191" s="124">
        <f t="shared" si="64"/>
        <v>1</v>
      </c>
      <c r="Y191" s="77">
        <f t="shared" si="65"/>
        <v>5.8634000000000004</v>
      </c>
      <c r="Z191" s="77">
        <f t="shared" si="66"/>
        <v>6.5000000000000002E-2</v>
      </c>
      <c r="AA191" s="77">
        <f t="shared" si="67"/>
        <v>5.7984</v>
      </c>
      <c r="AB191" s="74" t="e">
        <f>VLOOKUP(A191,Enforcements!$C$7:$J$24,8,0)</f>
        <v>#N/A</v>
      </c>
      <c r="AC191" s="70" t="e">
        <f>VLOOKUP(A191,Enforcements!$C$7:$E$24,3,0)</f>
        <v>#N/A</v>
      </c>
      <c r="AD191" s="71" t="str">
        <f t="shared" si="68"/>
        <v>0830-03</v>
      </c>
      <c r="AE191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91" s="128" t="str">
        <f t="shared" si="70"/>
        <v>"C:\Program Files (x86)\AstroGrep\AstroGrep.exe" /spath="%USERPROFILE%\AppData\Local\Temp\OnboardLogs" /stypes="*4008*20160803*" /stext=" 22:.+((SYSTEM_STATE.+slice.+state.+changed )|(ment ac)|(system.+state.+changed )|(\|lc)|(penalty)|(\[timeout)|(PRM\|1\|D)|(kpr)|(kdp))" /e /r /s</v>
      </c>
      <c r="AG191" s="1" t="str">
        <f t="shared" si="71"/>
        <v>NW</v>
      </c>
      <c r="AH191" s="132" t="str">
        <f>refinertdcruntimes&amp;" --tripid "&amp;A191&amp;" --locoid "&amp;B191&amp;" --swversion "&amp;C191&amp;" --startMP "&amp;D191&amp;" --initTime "&amp;TEXT(E191,"yyyy-mm-ddTHH:MM:SS")&amp;" --startdatetime "&amp;TEXT(F191,"yyyy-mm-ddTHH:MM:SS")&amp;" --delay "&amp;G191&amp;" --endMP "&amp;H191&amp;" --enddatetime "&amp;TEXT(I191,"yyyy-mm-ddTHH:MM:SS")&amp;" --enforcementcount "&amp;J191&amp;" &gt;&gt; "&amp;TEXT(Variables!$A$2,"yyyy-mm-dd")&amp;"-refined-runtimes.txt"</f>
        <v>"%USERPROFILE%\Documents\GitHub\eaglep3\Utilities\RefineRTDCRunTimes.py" --tripid 830-03 --locoid 4008 --swversion DE.1.0.7.0 --startMP 300:58634 --initTime 2016-08-03T16:40:17 --startdatetime 2016-08-03T16:41:49 --delay 1 --endMP 204:650 --enddatetime 2016-08-03T16:57:50 --enforcementcount 0 &gt;&gt; 2016-08-03-refined-runtimes.txt</v>
      </c>
    </row>
    <row r="192" spans="1:34" x14ac:dyDescent="0.25">
      <c r="A192" s="25" t="s">
        <v>766</v>
      </c>
      <c r="B192" s="94">
        <v>4016</v>
      </c>
      <c r="C192" s="95" t="s">
        <v>163</v>
      </c>
      <c r="D192" s="95" t="s">
        <v>452</v>
      </c>
      <c r="E192" s="96">
        <v>42585.693842592591</v>
      </c>
      <c r="F192" s="96">
        <v>42585.694664351853</v>
      </c>
      <c r="G192" s="94">
        <v>1</v>
      </c>
      <c r="H192" s="96" t="s">
        <v>440</v>
      </c>
      <c r="I192" s="96">
        <v>42585.714988425927</v>
      </c>
      <c r="J192" s="94">
        <v>0</v>
      </c>
      <c r="K192" s="121" t="str">
        <f t="shared" si="58"/>
        <v>4015/4016</v>
      </c>
      <c r="L192" s="25" t="str">
        <f>VLOOKUP(A192,'Trips&amp;Operators'!$C$1:$E$10000,3,FALSE)</f>
        <v>ROBINSON</v>
      </c>
      <c r="M192" s="6">
        <f t="shared" si="59"/>
        <v>2.0324074073869269E-2</v>
      </c>
      <c r="N192" s="7">
        <f t="shared" si="57"/>
        <v>29.266666666371748</v>
      </c>
      <c r="O192" s="7"/>
      <c r="P192" s="7"/>
      <c r="Q192" s="26"/>
      <c r="R192" s="26"/>
      <c r="S192" s="40">
        <f t="shared" si="60"/>
        <v>1</v>
      </c>
      <c r="T192" s="57" t="str">
        <f t="shared" si="61"/>
        <v>NorthBound</v>
      </c>
      <c r="U192" s="82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15:39:08-0600',mode:absolute,to:'2016-08-03 18:09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2" s="62" t="str">
        <f t="shared" si="63"/>
        <v>N</v>
      </c>
      <c r="X192" s="124">
        <f t="shared" si="64"/>
        <v>1</v>
      </c>
      <c r="Y192" s="77">
        <f t="shared" si="65"/>
        <v>9.7799999999999998E-2</v>
      </c>
      <c r="Z192" s="77">
        <f t="shared" si="66"/>
        <v>5.8916000000000004</v>
      </c>
      <c r="AA192" s="77">
        <f t="shared" si="67"/>
        <v>5.7938000000000001</v>
      </c>
      <c r="AB192" s="74" t="e">
        <f>VLOOKUP(A192,Enforcements!$C$7:$J$24,8,0)</f>
        <v>#N/A</v>
      </c>
      <c r="AC192" s="70" t="e">
        <f>VLOOKUP(A192,Enforcements!$C$7:$E$24,3,0)</f>
        <v>#N/A</v>
      </c>
      <c r="AD192" s="71" t="str">
        <f t="shared" si="68"/>
        <v>0831-03</v>
      </c>
      <c r="AE192" s="131" t="str">
        <f t="shared" si="69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92" s="128" t="str">
        <f t="shared" si="70"/>
        <v>"C:\Program Files (x86)\AstroGrep\AstroGrep.exe" /spath="%USERPROFILE%\AppData\Local\Temp\OnboardLogs" /stypes="*4016*20160803*" /stext=" 23:.+((SYSTEM_STATE.+slice.+state.+changed )|(ment ac)|(system.+state.+changed )|(\|lc)|(penalty)|(\[timeout)|(PRM\|1\|D)|(kpr)|(kdp))" /e /r /s</v>
      </c>
      <c r="AG192" s="1" t="str">
        <f t="shared" si="71"/>
        <v>NW</v>
      </c>
      <c r="AH192" s="132" t="str">
        <f>refinertdcruntimes&amp;" --tripid "&amp;A192&amp;" --locoid "&amp;B192&amp;" --swversion "&amp;C192&amp;" --startMP "&amp;D192&amp;" --initTime "&amp;TEXT(E192,"yyyy-mm-ddTHH:MM:SS")&amp;" --startdatetime "&amp;TEXT(F192,"yyyy-mm-ddTHH:MM:SS")&amp;" --delay "&amp;G192&amp;" --endMP "&amp;H192&amp;" --enddatetime "&amp;TEXT(I192,"yyyy-mm-ddTHH:MM:SS")&amp;" --enforcementcount "&amp;J192&amp;" &gt;&gt; "&amp;TEXT(Variables!$A$2,"yyyy-mm-dd")&amp;"-refined-runtimes.txt"</f>
        <v>"%USERPROFILE%\Documents\GitHub\eaglep3\Utilities\RefineRTDCRunTimes.py" --tripid 831-03 --locoid 4016 --swversion DE.1.0.7.0 --startMP 204:978 --initTime 2016-08-03T16:39:08 --startdatetime 2016-08-03T16:40:19 --delay 1 --endMP 300:58916 --enddatetime 2016-08-03T17:09:35 --enforcementcount 0 &gt;&gt; 2016-08-03-refined-runtimes.txt</v>
      </c>
    </row>
    <row r="193" spans="1:34" x14ac:dyDescent="0.25">
      <c r="A193" s="25" t="s">
        <v>527</v>
      </c>
      <c r="B193" s="94">
        <v>4015</v>
      </c>
      <c r="C193" s="95" t="s">
        <v>163</v>
      </c>
      <c r="D193" s="95" t="s">
        <v>441</v>
      </c>
      <c r="E193" s="96">
        <v>42585.715648148151</v>
      </c>
      <c r="F193" s="96">
        <v>42585.716689814813</v>
      </c>
      <c r="G193" s="94">
        <v>1</v>
      </c>
      <c r="H193" s="96" t="s">
        <v>383</v>
      </c>
      <c r="I193" s="96">
        <v>42585.728067129632</v>
      </c>
      <c r="J193" s="94">
        <v>1</v>
      </c>
      <c r="K193" s="121" t="str">
        <f t="shared" si="58"/>
        <v>4015/4016</v>
      </c>
      <c r="L193" s="25" t="str">
        <f>VLOOKUP(A193,'Trips&amp;Operators'!$C$1:$E$10000,3,FALSE)</f>
        <v>ROBINSON</v>
      </c>
      <c r="M193" s="6">
        <f t="shared" si="59"/>
        <v>1.1377314818673767E-2</v>
      </c>
      <c r="N193" s="7">
        <f t="shared" si="57"/>
        <v>16.383333338890225</v>
      </c>
      <c r="O193" s="7"/>
      <c r="P193" s="7"/>
      <c r="Q193" s="26"/>
      <c r="R193" s="26"/>
      <c r="S193" s="40">
        <f t="shared" si="60"/>
        <v>1</v>
      </c>
      <c r="T193" s="57" t="str">
        <f t="shared" si="61"/>
        <v>Southbound</v>
      </c>
      <c r="U193" s="82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16:10:32-0600',mode:absolute,to:'2016-08-03 18:28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93" s="62" t="str">
        <f t="shared" si="63"/>
        <v>N</v>
      </c>
      <c r="X193" s="124">
        <f t="shared" si="64"/>
        <v>1</v>
      </c>
      <c r="Y193" s="77">
        <f t="shared" si="65"/>
        <v>5.8597999999999999</v>
      </c>
      <c r="Z193" s="77">
        <f t="shared" si="66"/>
        <v>7.0099999999999996E-2</v>
      </c>
      <c r="AA193" s="77">
        <f t="shared" si="67"/>
        <v>5.7896999999999998</v>
      </c>
      <c r="AB193" s="74" t="e">
        <f>VLOOKUP(A193,Enforcements!$C$7:$J$24,8,0)</f>
        <v>#N/A</v>
      </c>
      <c r="AC193" s="70" t="e">
        <f>VLOOKUP(A193,Enforcements!$C$7:$E$24,3,0)</f>
        <v>#N/A</v>
      </c>
      <c r="AD193" s="71" t="str">
        <f t="shared" si="68"/>
        <v>0832-03</v>
      </c>
      <c r="AE193" s="131" t="str">
        <f t="shared" si="69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93" s="128" t="str">
        <f t="shared" si="70"/>
        <v>"C:\Program Files (x86)\AstroGrep\AstroGrep.exe" /spath="%USERPROFILE%\AppData\Local\Temp\OnboardLogs" /stypes="*4015*20160803*" /stext=" 23:.+((SYSTEM_STATE.+slice.+state.+changed )|(ment ac)|(system.+state.+changed )|(\|lc)|(penalty)|(\[timeout)|(PRM\|1\|D)|(kpr)|(kdp))" /e /r /s</v>
      </c>
      <c r="AG193" s="1" t="str">
        <f t="shared" si="71"/>
        <v>NW</v>
      </c>
      <c r="AH193" s="132" t="str">
        <f>refinertdcruntimes&amp;" --tripid "&amp;A193&amp;" --locoid "&amp;B193&amp;" --swversion "&amp;C193&amp;" --startMP "&amp;D193&amp;" --initTime "&amp;TEXT(E193,"yyyy-mm-ddTHH:MM:SS")&amp;" --startdatetime "&amp;TEXT(F193,"yyyy-mm-ddTHH:MM:SS")&amp;" --delay "&amp;G193&amp;" --endMP "&amp;H193&amp;" --enddatetime "&amp;TEXT(I193,"yyyy-mm-ddTHH:MM:SS")&amp;" --enforcementcount "&amp;J193&amp;" &gt;&gt; "&amp;TEXT(Variables!$A$2,"yyyy-mm-dd")&amp;"-refined-runtimes.txt"</f>
        <v>"%USERPROFILE%\Documents\GitHub\eaglep3\Utilities\RefineRTDCRunTimes.py" --tripid 832-03 --locoid 4015 --swversion DE.1.0.7.0 --startMP 300:58598 --initTime 2016-08-03T17:10:32 --startdatetime 2016-08-03T17:12:02 --delay 1 --endMP 204:701 --enddatetime 2016-08-03T17:28:25 --enforcementcount 1 &gt;&gt; 2016-08-03-refined-runtimes.txt</v>
      </c>
    </row>
    <row r="194" spans="1:34" x14ac:dyDescent="0.25">
      <c r="A194" s="25" t="s">
        <v>529</v>
      </c>
      <c r="B194" s="94">
        <v>4007</v>
      </c>
      <c r="C194" s="95" t="s">
        <v>163</v>
      </c>
      <c r="D194" s="95" t="s">
        <v>713</v>
      </c>
      <c r="E194" s="96">
        <v>42585.719155092593</v>
      </c>
      <c r="F194" s="96">
        <v>42585.720057870371</v>
      </c>
      <c r="G194" s="94">
        <v>1</v>
      </c>
      <c r="H194" s="96" t="s">
        <v>438</v>
      </c>
      <c r="I194" s="96">
        <v>42585.734675925924</v>
      </c>
      <c r="J194" s="94">
        <v>1</v>
      </c>
      <c r="K194" s="121" t="str">
        <f t="shared" si="58"/>
        <v>4007/4008</v>
      </c>
      <c r="L194" s="25" t="str">
        <f>VLOOKUP(A194,'Trips&amp;Operators'!$C$1:$E$10000,3,FALSE)</f>
        <v>MOSES</v>
      </c>
      <c r="M194" s="6">
        <f t="shared" si="59"/>
        <v>1.4618055553000886E-2</v>
      </c>
      <c r="N194" s="7">
        <f t="shared" ref="N194:N215" si="72">24*60*SUM($M194:$M194)</f>
        <v>21.049999996321276</v>
      </c>
      <c r="O194" s="7"/>
      <c r="P194" s="7"/>
      <c r="Q194" s="26"/>
      <c r="R194" s="26"/>
      <c r="S194" s="40">
        <f t="shared" si="60"/>
        <v>1</v>
      </c>
      <c r="T194" s="57" t="str">
        <f t="shared" si="61"/>
        <v>NorthBound</v>
      </c>
      <c r="U194" s="82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4" s="62" t="str">
        <f t="shared" si="63"/>
        <v>N</v>
      </c>
      <c r="X194" s="124">
        <f t="shared" si="64"/>
        <v>1</v>
      </c>
      <c r="Y194" s="77">
        <f t="shared" si="65"/>
        <v>9.4100000000000003E-2</v>
      </c>
      <c r="Z194" s="77">
        <f t="shared" si="66"/>
        <v>5.8935000000000004</v>
      </c>
      <c r="AA194" s="77">
        <f t="shared" si="67"/>
        <v>5.7994000000000003</v>
      </c>
      <c r="AB194" s="74" t="e">
        <f>VLOOKUP(A194,Enforcements!$C$7:$J$24,8,0)</f>
        <v>#N/A</v>
      </c>
      <c r="AC194" s="70" t="e">
        <f>VLOOKUP(A194,Enforcements!$C$7:$E$24,3,0)</f>
        <v>#N/A</v>
      </c>
      <c r="AD194" s="71" t="str">
        <f t="shared" si="68"/>
        <v>0833-03</v>
      </c>
      <c r="AE194" s="131" t="str">
        <f t="shared" si="69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194" s="128" t="str">
        <f t="shared" si="70"/>
        <v>"C:\Program Files (x86)\AstroGrep\AstroGrep.exe" /spath="%USERPROFILE%\AppData\Local\Temp\OnboardLogs" /stypes="*4007*20160803*" /stext=" 23:.+((SYSTEM_STATE.+slice.+state.+changed )|(ment ac)|(system.+state.+changed )|(\|lc)|(penalty)|(\[timeout)|(PRM\|1\|D)|(kpr)|(kdp))" /e /r /s</v>
      </c>
      <c r="AG194" s="1" t="str">
        <f t="shared" si="71"/>
        <v>NW</v>
      </c>
      <c r="AH194" s="132" t="str">
        <f>refinertdcruntimes&amp;" --tripid "&amp;A194&amp;" --locoid "&amp;B194&amp;" --swversion "&amp;C194&amp;" --startMP "&amp;D194&amp;" --initTime "&amp;TEXT(E194,"yyyy-mm-ddTHH:MM:SS")&amp;" --startdatetime "&amp;TEXT(F194,"yyyy-mm-ddTHH:MM:SS")&amp;" --delay "&amp;G194&amp;" --endMP "&amp;H194&amp;" --enddatetime "&amp;TEXT(I194,"yyyy-mm-ddTHH:MM:SS")&amp;" --enforcementcount "&amp;J194&amp;" &gt;&gt; "&amp;TEXT(Variables!$A$2,"yyyy-mm-dd")&amp;"-refined-runtimes.txt"</f>
        <v>"%USERPROFILE%\Documents\GitHub\eaglep3\Utilities\RefineRTDCRunTimes.py" --tripid 833-03 --locoid 4007 --swversion DE.1.0.7.0 --startMP 204:941 --initTime 2016-08-03T17:15:35 --startdatetime 2016-08-03T17:16:53 --delay 1 --endMP 300:58935 --enddatetime 2016-08-03T17:37:56 --enforcementcount 1 &gt;&gt; 2016-08-03-refined-runtimes.txt</v>
      </c>
    </row>
    <row r="195" spans="1:34" x14ac:dyDescent="0.25">
      <c r="A195" s="25" t="s">
        <v>767</v>
      </c>
      <c r="B195" s="94">
        <v>4008</v>
      </c>
      <c r="C195" s="95" t="s">
        <v>163</v>
      </c>
      <c r="D195" s="95" t="s">
        <v>768</v>
      </c>
      <c r="E195" s="96">
        <v>42585.736018518517</v>
      </c>
      <c r="F195" s="96">
        <v>42585.736956018518</v>
      </c>
      <c r="G195" s="94">
        <v>1</v>
      </c>
      <c r="H195" s="96" t="s">
        <v>769</v>
      </c>
      <c r="I195" s="96">
        <v>42585.782002314816</v>
      </c>
      <c r="J195" s="94">
        <v>0</v>
      </c>
      <c r="K195" s="121" t="str">
        <f t="shared" si="58"/>
        <v>4007/4008</v>
      </c>
      <c r="L195" s="25" t="str">
        <f>VLOOKUP(A195,'Trips&amp;Operators'!$C$1:$E$10000,3,FALSE)</f>
        <v>MOSES</v>
      </c>
      <c r="M195" s="6">
        <f t="shared" si="59"/>
        <v>4.5046296298096422E-2</v>
      </c>
      <c r="N195" s="7">
        <f t="shared" si="72"/>
        <v>64.866666669258848</v>
      </c>
      <c r="O195" s="7"/>
      <c r="P195" s="7"/>
      <c r="Q195" s="26"/>
      <c r="R195" s="26"/>
      <c r="S195" s="40">
        <f t="shared" si="60"/>
        <v>1</v>
      </c>
      <c r="T195" s="57" t="str">
        <f t="shared" si="61"/>
        <v>Southbound</v>
      </c>
      <c r="U195" s="82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138" t="str">
        <f t="shared" si="62"/>
        <v>https://search-rtdc-monitor-bjffxe2xuh6vdkpspy63sjmuny.us-east-1.es.amazonaws.com/_plugin/kibana/#/discover/Steve-Slow-Train-Analysis-(2080s-and-2083s)?_g=(refreshInterval:(display:Off,section:0,value:0),time:(from:'2016-08-03 16:39:52-0600',mode:absolute,to:'2016-08-03 19:46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95" s="62" t="str">
        <f t="shared" si="63"/>
        <v>N</v>
      </c>
      <c r="X195" s="124">
        <f t="shared" si="64"/>
        <v>1</v>
      </c>
      <c r="Y195" s="77">
        <f t="shared" si="65"/>
        <v>5.8624000000000001</v>
      </c>
      <c r="Z195" s="77">
        <f t="shared" si="66"/>
        <v>1.46E-2</v>
      </c>
      <c r="AA195" s="77">
        <f t="shared" si="67"/>
        <v>5.8478000000000003</v>
      </c>
      <c r="AB195" s="74" t="e">
        <f>VLOOKUP(A195,Enforcements!$C$7:$J$24,8,0)</f>
        <v>#N/A</v>
      </c>
      <c r="AC195" s="70" t="e">
        <f>VLOOKUP(A195,Enforcements!$C$7:$E$24,3,0)</f>
        <v>#N/A</v>
      </c>
      <c r="AD195" s="71" t="str">
        <f t="shared" si="68"/>
        <v>0834-03</v>
      </c>
      <c r="AE195" s="131" t="str">
        <f t="shared" si="69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195" s="128" t="str">
        <f t="shared" si="70"/>
        <v>"C:\Program Files (x86)\AstroGrep\AstroGrep.exe" /spath="%USERPROFILE%\AppData\Local\Temp\OnboardLogs" /stypes="*4008*20160804*" /stext=" 00:.+((SYSTEM_STATE.+slice.+state.+changed )|(ment ac)|(system.+state.+changed )|(\|lc)|(penalty)|(\[timeout)|(PRM\|1\|D)|(kpr)|(kdp))" /e /r /s</v>
      </c>
      <c r="AG195" s="1" t="str">
        <f t="shared" si="71"/>
        <v>NW</v>
      </c>
      <c r="AH195" s="132" t="str">
        <f>refinertdcruntimes&amp;" --tripid "&amp;A195&amp;" --locoid "&amp;B195&amp;" --swversion "&amp;C195&amp;" --startMP "&amp;D195&amp;" --initTime "&amp;TEXT(E195,"yyyy-mm-ddTHH:MM:SS")&amp;" --startdatetime "&amp;TEXT(F195,"yyyy-mm-ddTHH:MM:SS")&amp;" --delay "&amp;G195&amp;" --endMP "&amp;H195&amp;" --enddatetime "&amp;TEXT(I195,"yyyy-mm-ddTHH:MM:SS")&amp;" --enforcementcount "&amp;J195&amp;" &gt;&gt; "&amp;TEXT(Variables!$A$2,"yyyy-mm-dd")&amp;"-refined-runtimes.txt"</f>
        <v>"%USERPROFILE%\Documents\GitHub\eaglep3\Utilities\RefineRTDCRunTimes.py" --tripid 834-03 --locoid 4008 --swversion DE.1.0.7.0 --startMP 300:58624 --initTime 2016-08-03T17:39:52 --startdatetime 2016-08-03T17:41:13 --delay 1 --endMP 204:146 --enddatetime 2016-08-03T18:46:05 --enforcementcount 0 &gt;&gt; 2016-08-03-refined-runtimes.txt</v>
      </c>
    </row>
    <row r="196" spans="1:34" x14ac:dyDescent="0.25">
      <c r="A196" s="25" t="s">
        <v>770</v>
      </c>
      <c r="B196" s="94">
        <v>4016</v>
      </c>
      <c r="C196" s="95" t="s">
        <v>163</v>
      </c>
      <c r="D196" s="95" t="s">
        <v>737</v>
      </c>
      <c r="E196" s="96">
        <v>42585.737893518519</v>
      </c>
      <c r="F196" s="96">
        <v>42585.738796296297</v>
      </c>
      <c r="G196" s="94">
        <v>1</v>
      </c>
      <c r="H196" s="96" t="s">
        <v>436</v>
      </c>
      <c r="I196" s="96">
        <v>42585.796527777777</v>
      </c>
      <c r="J196" s="94">
        <v>0</v>
      </c>
      <c r="K196" s="121" t="str">
        <f t="shared" ref="K196:K215" si="73">IF(ISEVEN(B196),(B196-1)&amp;"/"&amp;B196,B196&amp;"/"&amp;(B196+1))</f>
        <v>4015/4016</v>
      </c>
      <c r="L196" s="25" t="str">
        <f>VLOOKUP(A196,'Trips&amp;Operators'!$C$1:$E$10000,3,FALSE)</f>
        <v>ROBINSON</v>
      </c>
      <c r="M196" s="6">
        <f t="shared" ref="M196:M215" si="74">I196-F196</f>
        <v>5.7731481480004732E-2</v>
      </c>
      <c r="N196" s="7">
        <f t="shared" si="72"/>
        <v>83.133333331206813</v>
      </c>
      <c r="O196" s="7"/>
      <c r="P196" s="7"/>
      <c r="Q196" s="26"/>
      <c r="R196" s="26"/>
      <c r="S196" s="40">
        <f t="shared" ref="S196:S215" si="75">SUM(U196:U196)/IF(AG196="EC",12,1)</f>
        <v>1</v>
      </c>
      <c r="T196" s="57" t="str">
        <f t="shared" ref="T196:T215" si="76">IF(ISEVEN(LEFT(AD196,4)),"Southbound","NorthBound")</f>
        <v>NorthBound</v>
      </c>
      <c r="U196" s="82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138" t="str">
        <f t="shared" ref="V196:V215" si="77">"https://search-rtdc-monitor-bjffxe2xuh6vdkpspy63sjmuny.us-east-1.es.amazonaws.com/_plugin/kibana/#/discover/Steve-Slow-Train-Analysis-(2080s-and-2083s)?_g=(refreshInterval:(display:Off,section:0,value:0),time:(from:'"&amp;TEXT(E196-1/24,"yyyy-MM-DD hh:mm:ss")&amp;"-0600',mode:absolute,to:'"&amp;TEXT(I196+1/24,"yyyy-MM-DD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196&amp;"%22')),sort:!(Time,asc))"</f>
        <v>https://search-rtdc-monitor-bjffxe2xuh6vdkpspy63sjmuny.us-east-1.es.amazonaws.com/_plugin/kibana/#/discover/Steve-Slow-Train-Analysis-(2080s-and-2083s)?_g=(refreshInterval:(display:Off,section:0,value:0),time:(from:'2016-08-03 16:42:34-0600',mode:absolute,to:'2016-08-03 20:07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6" s="62" t="str">
        <f t="shared" ref="W196:W215" si="78">IF(AA196&lt;IF(AG196="EC",23,5.65),"Y","N")</f>
        <v>N</v>
      </c>
      <c r="X196" s="124">
        <f t="shared" ref="X196:X215" si="79">VALUE(LEFT(AD196,4))-VALUE(LEFT(AD195,4))</f>
        <v>1</v>
      </c>
      <c r="Y196" s="77">
        <f t="shared" ref="Y196:Y215" si="80">RIGHT(D196,LEN(D196)-4)/10000</f>
        <v>9.8299999999999998E-2</v>
      </c>
      <c r="Z196" s="77">
        <f t="shared" ref="Z196:Z215" si="81">RIGHT(H196,LEN(H196)-4)/10000</f>
        <v>5.8906999999999998</v>
      </c>
      <c r="AA196" s="77">
        <f t="shared" ref="AA196:AA215" si="82">ABS(Z196-Y196)</f>
        <v>5.7923999999999998</v>
      </c>
      <c r="AB196" s="74" t="e">
        <f>VLOOKUP(A196,Enforcements!$C$7:$J$24,8,0)</f>
        <v>#N/A</v>
      </c>
      <c r="AC196" s="70" t="e">
        <f>VLOOKUP(A196,Enforcements!$C$7:$E$24,3,0)</f>
        <v>#N/A</v>
      </c>
      <c r="AD196" s="71" t="str">
        <f t="shared" ref="AD196:AD215" si="83">IF(LEN(A196)=6,"0"&amp;A196,A196)</f>
        <v>0835-03</v>
      </c>
      <c r="AE196" s="131" t="str">
        <f t="shared" ref="AE196:AE215" si="84">"aws s3 cp "&amp;s3_bucket&amp;"/RTDC"&amp;B196&amp;"/"&amp;TEXT(F196,"YYYY-MM-DD")&amp;"/ "&amp;search_path&amp;"\RTDC"&amp;B196&amp;"\"&amp;TEXT(F196,"YYYY-MM-DD")&amp;" --recursive &amp; """&amp;walkandungz&amp;""" "&amp;search_path&amp;"\RTDC"&amp;B196&amp;"\"&amp;TEXT(F196,"YYYY-MM-DD")
&amp;" &amp; "&amp;"aws s3 cp "&amp;s3_bucket&amp;"/RTDC"&amp;B196&amp;"/"&amp;TEXT(F196+1,"YYYY-MM-DD")&amp;"/ "&amp;search_path&amp;"\RTDC"&amp;B196&amp;"\"&amp;TEXT(F196+1,"YYYY-MM-DD")&amp;" --recursive &amp; """&amp;walkandungz&amp;""" "&amp;search_path&amp;"\RTDC"&amp;B196&amp;"\"&amp;TEXT(F196+1,"YYYY-MM-DD")</f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196" s="128" t="str">
        <f t="shared" ref="AF196:AF215" si="85">astrogrep_path&amp;" /spath="&amp;search_path&amp;" /stypes=""*"&amp;B196&amp;"*"&amp;TEXT(I196-utc_offset/24,"YYYYMMDD")&amp;"*"" /stext="" "&amp;TEXT(I196-utc_offset/24,"HH")&amp;search_regexp&amp;""" /e /r /s"</f>
        <v>"C:\Program Files (x86)\AstroGrep\AstroGrep.exe" /spath="%USERPROFILE%\AppData\Local\Temp\OnboardLogs" /stypes="*4016*20160804*" /stext=" 01:.+((SYSTEM_STATE.+slice.+state.+changed )|(ment ac)|(system.+state.+changed )|(\|lc)|(penalty)|(\[timeout)|(PRM\|1\|D)|(kpr)|(kdp))" /e /r /s</v>
      </c>
      <c r="AG196" s="1" t="str">
        <f t="shared" ref="AG196:AG215" si="86">IF(VALUE(LEFT(AD196,2))&lt;=2,"EC",IF(OR(VALUE(LEFT(AD196,2))=8,VALUE(LEFT(AD196,2))=18),"NW","GL"))</f>
        <v>NW</v>
      </c>
      <c r="AH196" s="132" t="str">
        <f>refinertdcruntimes&amp;" --tripid "&amp;A196&amp;" --locoid "&amp;B196&amp;" --swversion "&amp;C196&amp;" --startMP "&amp;D196&amp;" --initTime "&amp;TEXT(E196,"yyyy-mm-ddTHH:MM:SS")&amp;" --startdatetime "&amp;TEXT(F196,"yyyy-mm-ddTHH:MM:SS")&amp;" --delay "&amp;G196&amp;" --endMP "&amp;H196&amp;" --enddatetime "&amp;TEXT(I196,"yyyy-mm-ddTHH:MM:SS")&amp;" --enforcementcount "&amp;J196&amp;" &gt;&gt; "&amp;TEXT(Variables!$A$2,"yyyy-mm-dd")&amp;"-refined-runtimes.txt"</f>
        <v>"%USERPROFILE%\Documents\GitHub\eaglep3\Utilities\RefineRTDCRunTimes.py" --tripid 835-03 --locoid 4016 --swversion DE.1.0.7.0 --startMP 204:983 --initTime 2016-08-03T17:42:34 --startdatetime 2016-08-03T17:43:52 --delay 1 --endMP 300:58907 --enddatetime 2016-08-03T19:07:00 --enforcementcount 0 &gt;&gt; 2016-08-03-refined-runtimes.txt</v>
      </c>
    </row>
    <row r="197" spans="1:34" x14ac:dyDescent="0.25">
      <c r="A197" s="25" t="s">
        <v>771</v>
      </c>
      <c r="B197" s="94">
        <v>4015</v>
      </c>
      <c r="C197" s="95" t="s">
        <v>163</v>
      </c>
      <c r="D197" s="95" t="s">
        <v>439</v>
      </c>
      <c r="E197" s="96">
        <v>42585.797407407408</v>
      </c>
      <c r="F197" s="96">
        <v>42585.798229166663</v>
      </c>
      <c r="G197" s="94">
        <v>1</v>
      </c>
      <c r="H197" s="96" t="s">
        <v>772</v>
      </c>
      <c r="I197" s="96">
        <v>42585.81</v>
      </c>
      <c r="J197" s="94">
        <v>0</v>
      </c>
      <c r="K197" s="121" t="str">
        <f t="shared" si="73"/>
        <v>4015/4016</v>
      </c>
      <c r="L197" s="25" t="str">
        <f>VLOOKUP(A197,'Trips&amp;Operators'!$C$1:$E$10000,3,FALSE)</f>
        <v>ROBINSON</v>
      </c>
      <c r="M197" s="6">
        <f t="shared" si="74"/>
        <v>1.1770833334594499E-2</v>
      </c>
      <c r="N197" s="7">
        <f t="shared" si="72"/>
        <v>16.950000001816079</v>
      </c>
      <c r="O197" s="7"/>
      <c r="P197" s="7"/>
      <c r="Q197" s="26"/>
      <c r="R197" s="26"/>
      <c r="S197" s="40">
        <f t="shared" si="75"/>
        <v>1</v>
      </c>
      <c r="T197" s="57" t="str">
        <f t="shared" si="76"/>
        <v>Southbound</v>
      </c>
      <c r="U197" s="82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18:08:16-0600',mode:absolute,to:'2016-08-03 20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97" s="62" t="str">
        <f t="shared" si="78"/>
        <v>N</v>
      </c>
      <c r="X197" s="124">
        <f t="shared" si="79"/>
        <v>1</v>
      </c>
      <c r="Y197" s="77">
        <f t="shared" si="80"/>
        <v>5.8593999999999999</v>
      </c>
      <c r="Z197" s="77">
        <f t="shared" si="81"/>
        <v>8.9200000000000002E-2</v>
      </c>
      <c r="AA197" s="77">
        <f t="shared" si="82"/>
        <v>5.7702</v>
      </c>
      <c r="AB197" s="74" t="e">
        <f>VLOOKUP(A197,Enforcements!$C$7:$J$24,8,0)</f>
        <v>#N/A</v>
      </c>
      <c r="AC197" s="70" t="e">
        <f>VLOOKUP(A197,Enforcements!$C$7:$E$24,3,0)</f>
        <v>#N/A</v>
      </c>
      <c r="AD197" s="71" t="str">
        <f t="shared" si="83"/>
        <v>0836-03</v>
      </c>
      <c r="AE197" s="131" t="str">
        <f t="shared" si="84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197" s="128" t="str">
        <f t="shared" si="85"/>
        <v>"C:\Program Files (x86)\AstroGrep\AstroGrep.exe" /spath="%USERPROFILE%\AppData\Local\Temp\OnboardLogs" /stypes="*4015*20160804*" /stext=" 01:.+((SYSTEM_STATE.+slice.+state.+changed )|(ment ac)|(system.+state.+changed )|(\|lc)|(penalty)|(\[timeout)|(PRM\|1\|D)|(kpr)|(kdp))" /e /r /s</v>
      </c>
      <c r="AG197" s="1" t="str">
        <f t="shared" si="86"/>
        <v>NW</v>
      </c>
      <c r="AH197" s="132" t="str">
        <f>refinertdcruntimes&amp;" --tripid "&amp;A197&amp;" --locoid "&amp;B197&amp;" --swversion "&amp;C197&amp;" --startMP "&amp;D197&amp;" --initTime "&amp;TEXT(E197,"yyyy-mm-ddTHH:MM:SS")&amp;" --startdatetime "&amp;TEXT(F197,"yyyy-mm-ddTHH:MM:SS")&amp;" --delay "&amp;G197&amp;" --endMP "&amp;H197&amp;" --enddatetime "&amp;TEXT(I197,"yyyy-mm-ddTHH:MM:SS")&amp;" --enforcementcount "&amp;J197&amp;" &gt;&gt; "&amp;TEXT(Variables!$A$2,"yyyy-mm-dd")&amp;"-refined-runtimes.txt"</f>
        <v>"%USERPROFILE%\Documents\GitHub\eaglep3\Utilities\RefineRTDCRunTimes.py" --tripid 836-03 --locoid 4015 --swversion DE.1.0.7.0 --startMP 300:58594 --initTime 2016-08-03T19:08:16 --startdatetime 2016-08-03T19:09:27 --delay 1 --endMP 204:892 --enddatetime 2016-08-03T19:26:24 --enforcementcount 0 &gt;&gt; 2016-08-03-refined-runtimes.txt</v>
      </c>
    </row>
    <row r="198" spans="1:34" s="24" customFormat="1" x14ac:dyDescent="0.25">
      <c r="A198" s="25" t="s">
        <v>836</v>
      </c>
      <c r="B198" s="94">
        <v>4007</v>
      </c>
      <c r="C198" s="95" t="s">
        <v>163</v>
      </c>
      <c r="D198" s="95" t="s">
        <v>439</v>
      </c>
      <c r="E198" s="96">
        <v>42585.797407407408</v>
      </c>
      <c r="F198" s="96"/>
      <c r="G198" s="94"/>
      <c r="H198" s="96"/>
      <c r="I198" s="96"/>
      <c r="J198" s="94"/>
      <c r="K198" s="121" t="str">
        <f t="shared" ref="K198:K200" si="87">IF(ISEVEN(B198),(B198-1)&amp;"/"&amp;B198,B198&amp;"/"&amp;(B198+1))</f>
        <v>4007/4008</v>
      </c>
      <c r="L198" s="25" t="s">
        <v>840</v>
      </c>
      <c r="M198" s="6">
        <f t="shared" ref="M198:M200" si="88">I198-F198</f>
        <v>0</v>
      </c>
      <c r="N198" s="7">
        <f t="shared" si="72"/>
        <v>0</v>
      </c>
      <c r="O198" s="7"/>
      <c r="P198" s="7">
        <v>1</v>
      </c>
      <c r="Q198" s="26"/>
      <c r="R198" s="26" t="s">
        <v>492</v>
      </c>
      <c r="S198" s="40">
        <f t="shared" ref="S198:S199" si="89">SUM(U198:U198)/IF(AG198="EC",12,1)</f>
        <v>0</v>
      </c>
      <c r="T198" s="57" t="str">
        <f t="shared" ref="T198:T199" si="90">IF(ISEVEN(LEFT(AD198,4)),"Southbound","NorthBound")</f>
        <v>Southbound</v>
      </c>
      <c r="U198" s="82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0</v>
      </c>
      <c r="V198" s="138" t="str">
        <f t="shared" ref="V198:V199" si="91">"https://search-rtdc-monitor-bjffxe2xuh6vdkpspy63sjmuny.us-east-1.es.amazonaws.com/_plugin/kibana/#/discover/Steve-Slow-Train-Analysis-(2080s-and-2083s)?_g=(refreshInterval:(display:Off,section:0,value:0),time:(from:'"&amp;TEXT(E198-1/24,"yyyy-MM-DD hh:mm:ss")&amp;"-0600',mode:absolute,to:'"&amp;TEXT(I198+1/24,"yyyy-MM-DD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198&amp;"%22')),sort:!(Time,asc))"</f>
        <v>https://search-rtdc-monitor-bjffxe2xuh6vdkpspy63sjmuny.us-east-1.es.amazonaws.com/_plugin/kibana/#/discover/Steve-Slow-Train-Analysis-(2080s-and-2083s)?_g=(refreshInterval:(display:Off,section:0,value:0),time:(from:'2016-08-03 18:08:16-0600',mode:absolute,to:'1900-01-00 01:00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8" s="62" t="e">
        <f t="shared" ref="W198:W199" si="92">IF(AA198&lt;IF(AG198="EC",23,5.65),"Y","N")</f>
        <v>#VALUE!</v>
      </c>
      <c r="X198" s="124" t="e">
        <f>VALUE(LEFT(AD198,4))-VALUE(LEFT(#REF!,4))</f>
        <v>#REF!</v>
      </c>
      <c r="Y198" s="77">
        <f t="shared" ref="Y198:Y199" si="93">RIGHT(D198,LEN(D198)-4)/10000</f>
        <v>5.8593999999999999</v>
      </c>
      <c r="Z198" s="77" t="e">
        <f t="shared" ref="Z198:Z199" si="94">RIGHT(H198,LEN(H198)-4)/10000</f>
        <v>#VALUE!</v>
      </c>
      <c r="AA198" s="77" t="e">
        <f t="shared" ref="AA198:AA199" si="95">ABS(Z198-Y198)</f>
        <v>#VALUE!</v>
      </c>
      <c r="AB198" s="74" t="e">
        <f>VLOOKUP(A198,Enforcements!$C$7:$J$24,8,0)</f>
        <v>#N/A</v>
      </c>
      <c r="AC198" s="70" t="e">
        <f>VLOOKUP(A198,Enforcements!$C$7:$E$24,3,0)</f>
        <v>#N/A</v>
      </c>
      <c r="AD198" s="71" t="str">
        <f t="shared" ref="AD198:AD199" si="96">IF(LEN(A198)=6,"0"&amp;A198,A198)</f>
        <v>0838-03</v>
      </c>
      <c r="AE198" s="131" t="str">
        <f t="shared" ref="AE198:AE199" si="97">"aws s3 cp "&amp;s3_bucket&amp;"/RTDC"&amp;B198&amp;"/"&amp;TEXT(F198,"YYYY-MM-DD")&amp;"/ "&amp;search_path&amp;"\RTDC"&amp;B198&amp;"\"&amp;TEXT(F198,"YYYY-MM-DD")&amp;" --recursive &amp; """&amp;walkandungz&amp;""" "&amp;search_path&amp;"\RTDC"&amp;B198&amp;"\"&amp;TEXT(F198,"YYYY-MM-DD")
&amp;" &amp; "&amp;"aws s3 cp "&amp;s3_bucket&amp;"/RTDC"&amp;B198&amp;"/"&amp;TEXT(F198+1,"YYYY-MM-DD")&amp;"/ "&amp;search_path&amp;"\RTDC"&amp;B198&amp;"\"&amp;TEXT(F198+1,"YYYY-MM-DD")&amp;" --recursive &amp; """&amp;walkandungz&amp;""" "&amp;search_path&amp;"\RTDC"&amp;B198&amp;"\"&amp;TEXT(F198+1,"YYYY-MM-DD")</f>
        <v>aws s3 cp s3://rtdc.mdm.uploadarchive/RTDC4007/1900-01-00/ "%USERPROFILE%\AppData\Local\Temp\OnboardLogs"\RTDC4007\1900-01-00 --recursive &amp; "%USERPROFILE%\Documents\GitHub\mrs-test-scripts\Headless Mode &amp; Sideloading\WalkAndUnGZ.bat" "%USERPROFILE%\AppData\Local\Temp\OnboardLogs"\RTDC4007\1900-01-00 &amp; aws s3 cp s3://rtdc.mdm.uploadarchive/RTDC4007/1900-01-01/ "%USERPROFILE%\AppData\Local\Temp\OnboardLogs"\RTDC4007\1900-01-01 --recursive &amp; "%USERPROFILE%\Documents\GitHub\mrs-test-scripts\Headless Mode &amp; Sideloading\WalkAndUnGZ.bat" "%USERPROFILE%\AppData\Local\Temp\OnboardLogs"\RTDC4007\1900-01-01</v>
      </c>
      <c r="AF198" s="128" t="str">
        <f t="shared" ref="AF198:AF199" si="98">astrogrep_path&amp;" /spath="&amp;search_path&amp;" /stypes=""*"&amp;B198&amp;"*"&amp;TEXT(I198-utc_offset/24,"YYYYMMDD")&amp;"*"" /stext="" "&amp;TEXT(I198-utc_offset/24,"HH")&amp;search_regexp&amp;""" /e /r /s"</f>
        <v>"C:\Program Files (x86)\AstroGrep\AstroGrep.exe" /spath="%USERPROFILE%\AppData\Local\Temp\OnboardLogs" /stypes="*4007*19000100*" /stext=" 06:.+((SYSTEM_STATE.+slice.+state.+changed )|(ment ac)|(system.+state.+changed )|(\|lc)|(penalty)|(\[timeout)|(PRM\|1\|D)|(kpr)|(kdp))" /e /r /s</v>
      </c>
      <c r="AG198" s="1" t="str">
        <f t="shared" ref="AG198:AG199" si="99">IF(VALUE(LEFT(AD198,2))&lt;=2,"EC",IF(OR(VALUE(LEFT(AD198,2))=8,VALUE(LEFT(AD198,2))=18),"NW","GL"))</f>
        <v>NW</v>
      </c>
      <c r="AH198" s="132" t="str">
        <f>refinertdcruntimes&amp;" --tripid "&amp;A198&amp;" --locoid "&amp;B198&amp;" --swversion "&amp;C198&amp;" --startMP "&amp;D198&amp;" --initTime "&amp;TEXT(E198,"yyyy-mm-ddTHH:MM:SS")&amp;" --startdatetime "&amp;TEXT(F198,"yyyy-mm-ddTHH:MM:SS")&amp;" --delay "&amp;G198&amp;" --endMP "&amp;H198&amp;" --enddatetime "&amp;TEXT(I198,"yyyy-mm-ddTHH:MM:SS")&amp;" --enforcementcount "&amp;J198&amp;" &gt;&gt; "&amp;TEXT(Variables!$A$2,"yyyy-mm-dd")&amp;"-refined-runtimes.txt"</f>
        <v>"%USERPROFILE%\Documents\GitHub\eaglep3\Utilities\RefineRTDCRunTimes.py" --tripid 838-03 --locoid 4007 --swversion DE.1.0.7.0 --startMP 300:58594 --initTime 2016-08-03T19:08:16 --startdatetime 1900-01-00T00:00:00 --delay  --endMP  --enddatetime 1900-01-00T00:00:00 --enforcementcount  &gt;&gt; 2016-08-03-refined-runtimes.txt</v>
      </c>
    </row>
    <row r="199" spans="1:34" s="24" customFormat="1" x14ac:dyDescent="0.25">
      <c r="A199" s="25" t="s">
        <v>837</v>
      </c>
      <c r="B199" s="94">
        <v>4016</v>
      </c>
      <c r="C199" s="95" t="s">
        <v>163</v>
      </c>
      <c r="D199" s="95" t="s">
        <v>439</v>
      </c>
      <c r="E199" s="96">
        <v>42585.797407407408</v>
      </c>
      <c r="F199" s="96"/>
      <c r="G199" s="94"/>
      <c r="H199" s="96"/>
      <c r="I199" s="96"/>
      <c r="J199" s="94"/>
      <c r="K199" s="121" t="str">
        <f t="shared" si="87"/>
        <v>4015/4016</v>
      </c>
      <c r="L199" s="25" t="s">
        <v>840</v>
      </c>
      <c r="M199" s="6">
        <f t="shared" si="88"/>
        <v>0</v>
      </c>
      <c r="N199" s="7">
        <f t="shared" si="72"/>
        <v>0</v>
      </c>
      <c r="O199" s="7"/>
      <c r="P199" s="7">
        <v>1</v>
      </c>
      <c r="Q199" s="26"/>
      <c r="R199" s="26" t="s">
        <v>842</v>
      </c>
      <c r="S199" s="40">
        <f t="shared" si="89"/>
        <v>0</v>
      </c>
      <c r="T199" s="57" t="str">
        <f t="shared" si="90"/>
        <v>NorthBound</v>
      </c>
      <c r="U199" s="82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0</v>
      </c>
      <c r="V199" s="138" t="str">
        <f t="shared" si="91"/>
        <v>https://search-rtdc-monitor-bjffxe2xuh6vdkpspy63sjmuny.us-east-1.es.amazonaws.com/_plugin/kibana/#/discover/Steve-Slow-Train-Analysis-(2080s-and-2083s)?_g=(refreshInterval:(display:Off,section:0,value:0),time:(from:'2016-08-03 18:08:16-0600',mode:absolute,to:'1900-01-00 01:00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9" s="62" t="e">
        <f t="shared" si="92"/>
        <v>#VALUE!</v>
      </c>
      <c r="X199" s="124">
        <f t="shared" si="79"/>
        <v>1</v>
      </c>
      <c r="Y199" s="77">
        <f t="shared" si="93"/>
        <v>5.8593999999999999</v>
      </c>
      <c r="Z199" s="77" t="e">
        <f t="shared" si="94"/>
        <v>#VALUE!</v>
      </c>
      <c r="AA199" s="77" t="e">
        <f t="shared" si="95"/>
        <v>#VALUE!</v>
      </c>
      <c r="AB199" s="74" t="e">
        <f>VLOOKUP(A199,Enforcements!$C$7:$J$24,8,0)</f>
        <v>#N/A</v>
      </c>
      <c r="AC199" s="70" t="e">
        <f>VLOOKUP(A199,Enforcements!$C$7:$E$24,3,0)</f>
        <v>#N/A</v>
      </c>
      <c r="AD199" s="71" t="str">
        <f t="shared" si="96"/>
        <v>0839-03</v>
      </c>
      <c r="AE199" s="131" t="str">
        <f t="shared" si="97"/>
        <v>aws s3 cp s3://rtdc.mdm.uploadarchive/RTDC4016/1900-01-00/ "%USERPROFILE%\AppData\Local\Temp\OnboardLogs"\RTDC4016\1900-01-00 --recursive &amp; "%USERPROFILE%\Documents\GitHub\mrs-test-scripts\Headless Mode &amp; Sideloading\WalkAndUnGZ.bat" "%USERPROFILE%\AppData\Local\Temp\OnboardLogs"\RTDC4016\1900-01-00 &amp; aws s3 cp s3://rtdc.mdm.uploadarchive/RTDC4016/1900-01-01/ "%USERPROFILE%\AppData\Local\Temp\OnboardLogs"\RTDC4016\1900-01-01 --recursive &amp; "%USERPROFILE%\Documents\GitHub\mrs-test-scripts\Headless Mode &amp; Sideloading\WalkAndUnGZ.bat" "%USERPROFILE%\AppData\Local\Temp\OnboardLogs"\RTDC4016\1900-01-01</v>
      </c>
      <c r="AF199" s="128" t="str">
        <f t="shared" si="98"/>
        <v>"C:\Program Files (x86)\AstroGrep\AstroGrep.exe" /spath="%USERPROFILE%\AppData\Local\Temp\OnboardLogs" /stypes="*4016*19000100*" /stext=" 06:.+((SYSTEM_STATE.+slice.+state.+changed )|(ment ac)|(system.+state.+changed )|(\|lc)|(penalty)|(\[timeout)|(PRM\|1\|D)|(kpr)|(kdp))" /e /r /s</v>
      </c>
      <c r="AG199" s="1" t="str">
        <f t="shared" si="99"/>
        <v>NW</v>
      </c>
      <c r="AH199" s="132" t="str">
        <f>refinertdcruntimes&amp;" --tripid "&amp;A199&amp;" --locoid "&amp;B199&amp;" --swversion "&amp;C199&amp;" --startMP "&amp;D199&amp;" --initTime "&amp;TEXT(E199,"yyyy-mm-ddTHH:MM:SS")&amp;" --startdatetime "&amp;TEXT(F199,"yyyy-mm-ddTHH:MM:SS")&amp;" --delay "&amp;G199&amp;" --endMP "&amp;H199&amp;" --enddatetime "&amp;TEXT(I199,"yyyy-mm-ddTHH:MM:SS")&amp;" --enforcementcount "&amp;J199&amp;" &gt;&gt; "&amp;TEXT(Variables!$A$2,"yyyy-mm-dd")&amp;"-refined-runtimes.txt"</f>
        <v>"%USERPROFILE%\Documents\GitHub\eaglep3\Utilities\RefineRTDCRunTimes.py" --tripid 839-03 --locoid 4016 --swversion DE.1.0.7.0 --startMP 300:58594 --initTime 2016-08-03T19:08:16 --startdatetime 1900-01-00T00:00:00 --delay  --endMP  --enddatetime 1900-01-00T00:00:00 --enforcementcount  &gt;&gt; 2016-08-03-refined-runtimes.txt</v>
      </c>
    </row>
    <row r="200" spans="1:34" x14ac:dyDescent="0.25">
      <c r="A200" s="25" t="s">
        <v>536</v>
      </c>
      <c r="B200" s="94">
        <v>4008</v>
      </c>
      <c r="C200" s="95" t="s">
        <v>163</v>
      </c>
      <c r="D200" s="95" t="s">
        <v>768</v>
      </c>
      <c r="E200" s="96">
        <v>42585.81858796296</v>
      </c>
      <c r="F200" s="96">
        <v>42585.81962962963</v>
      </c>
      <c r="G200" s="94">
        <v>1</v>
      </c>
      <c r="H200" s="96" t="s">
        <v>773</v>
      </c>
      <c r="I200" s="96">
        <v>42585.830717592595</v>
      </c>
      <c r="J200" s="94">
        <v>1</v>
      </c>
      <c r="K200" s="121" t="str">
        <f t="shared" si="87"/>
        <v>4007/4008</v>
      </c>
      <c r="L200" s="25" t="str">
        <f>VLOOKUP(A200,'Trips&amp;Operators'!$C$1:$E$10000,3,FALSE)</f>
        <v>MOSES</v>
      </c>
      <c r="M200" s="6">
        <f t="shared" si="88"/>
        <v>1.1087962964666076E-2</v>
      </c>
      <c r="N200" s="7">
        <f t="shared" si="72"/>
        <v>15.966666669119149</v>
      </c>
      <c r="O200" s="7"/>
      <c r="P200" s="7"/>
      <c r="Q200" s="26"/>
      <c r="R200" s="26"/>
      <c r="S200" s="40">
        <f t="shared" si="75"/>
        <v>1</v>
      </c>
      <c r="T200" s="57" t="str">
        <f t="shared" si="76"/>
        <v>Southbound</v>
      </c>
      <c r="U200" s="82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18:38:46-0600',mode:absolute,to:'2016-08-03 20:56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0" s="62" t="str">
        <f t="shared" si="78"/>
        <v>N</v>
      </c>
      <c r="X200" s="124">
        <f t="shared" si="79"/>
        <v>1</v>
      </c>
      <c r="Y200" s="77">
        <f t="shared" si="80"/>
        <v>5.8624000000000001</v>
      </c>
      <c r="Z200" s="77">
        <f t="shared" si="81"/>
        <v>1.55E-2</v>
      </c>
      <c r="AA200" s="77">
        <f t="shared" si="82"/>
        <v>5.8468999999999998</v>
      </c>
      <c r="AB200" s="74" t="e">
        <f>VLOOKUP(A200,Enforcements!$C$7:$J$24,8,0)</f>
        <v>#N/A</v>
      </c>
      <c r="AC200" s="70" t="e">
        <f>VLOOKUP(A200,Enforcements!$C$7:$E$24,3,0)</f>
        <v>#N/A</v>
      </c>
      <c r="AD200" s="71" t="str">
        <f t="shared" si="83"/>
        <v>0840-03</v>
      </c>
      <c r="AE200" s="131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0" s="128" t="str">
        <f t="shared" si="85"/>
        <v>"C:\Program Files (x86)\AstroGrep\AstroGrep.exe" /spath="%USERPROFILE%\AppData\Local\Temp\OnboardLogs" /stypes="*4008*20160804*" /stext=" 01:.+((SYSTEM_STATE.+slice.+state.+changed )|(ment ac)|(system.+state.+changed )|(\|lc)|(penalty)|(\[timeout)|(PRM\|1\|D)|(kpr)|(kdp))" /e /r /s</v>
      </c>
      <c r="AG200" s="1" t="str">
        <f t="shared" si="86"/>
        <v>NW</v>
      </c>
      <c r="AH200" s="132" t="str">
        <f>refinertdcruntimes&amp;" --tripid "&amp;A200&amp;" --locoid "&amp;B200&amp;" --swversion "&amp;C200&amp;" --startMP "&amp;D200&amp;" --initTime "&amp;TEXT(E200,"yyyy-mm-ddTHH:MM:SS")&amp;" --startdatetime "&amp;TEXT(F200,"yyyy-mm-ddTHH:MM:SS")&amp;" --delay "&amp;G200&amp;" --endMP "&amp;H200&amp;" --enddatetime "&amp;TEXT(I200,"yyyy-mm-ddTHH:MM:SS")&amp;" --enforcementcount "&amp;J200&amp;" &gt;&gt; "&amp;TEXT(Variables!$A$2,"yyyy-mm-dd")&amp;"-refined-runtimes.txt"</f>
        <v>"%USERPROFILE%\Documents\GitHub\eaglep3\Utilities\RefineRTDCRunTimes.py" --tripid 840-03 --locoid 4008 --swversion DE.1.0.7.0 --startMP 300:58624 --initTime 2016-08-03T19:38:46 --startdatetime 2016-08-03T19:40:16 --delay 1 --endMP 204:155 --enddatetime 2016-08-03T19:56:14 --enforcementcount 1 &gt;&gt; 2016-08-03-refined-runtimes.txt</v>
      </c>
    </row>
    <row r="201" spans="1:34" x14ac:dyDescent="0.25">
      <c r="A201" s="25" t="s">
        <v>774</v>
      </c>
      <c r="B201" s="94">
        <v>4007</v>
      </c>
      <c r="C201" s="95" t="s">
        <v>163</v>
      </c>
      <c r="D201" s="95" t="s">
        <v>192</v>
      </c>
      <c r="E201" s="96">
        <v>42585.800162037034</v>
      </c>
      <c r="F201" s="96">
        <v>42585.801157407404</v>
      </c>
      <c r="G201" s="94">
        <v>1</v>
      </c>
      <c r="H201" s="96" t="s">
        <v>368</v>
      </c>
      <c r="I201" s="96">
        <v>42585.817303240743</v>
      </c>
      <c r="J201" s="94">
        <v>0</v>
      </c>
      <c r="K201" s="121" t="str">
        <f t="shared" si="73"/>
        <v>4007/4008</v>
      </c>
      <c r="L201" s="25" t="str">
        <f>VLOOKUP(A201,'Trips&amp;Operators'!$C$1:$E$10000,3,FALSE)</f>
        <v>MOSES</v>
      </c>
      <c r="M201" s="6">
        <f t="shared" si="74"/>
        <v>1.6145833338669036E-2</v>
      </c>
      <c r="N201" s="7">
        <f t="shared" si="72"/>
        <v>23.250000007683411</v>
      </c>
      <c r="O201" s="7"/>
      <c r="P201" s="7"/>
      <c r="Q201" s="26"/>
      <c r="R201" s="26"/>
      <c r="S201" s="40">
        <f t="shared" si="75"/>
        <v>1</v>
      </c>
      <c r="T201" s="57" t="str">
        <f t="shared" si="76"/>
        <v>NorthBound</v>
      </c>
      <c r="U201" s="82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18:12:14-0600',mode:absolute,to:'2016-08-03 20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1" s="62" t="str">
        <f t="shared" si="78"/>
        <v>N</v>
      </c>
      <c r="X201" s="124">
        <f t="shared" si="79"/>
        <v>1</v>
      </c>
      <c r="Y201" s="77">
        <f t="shared" si="80"/>
        <v>4.4200000000000003E-2</v>
      </c>
      <c r="Z201" s="77">
        <f t="shared" si="81"/>
        <v>5.8930999999999996</v>
      </c>
      <c r="AA201" s="77">
        <f t="shared" si="82"/>
        <v>5.8488999999999995</v>
      </c>
      <c r="AB201" s="74" t="e">
        <f>VLOOKUP(A201,Enforcements!$C$7:$J$24,8,0)</f>
        <v>#N/A</v>
      </c>
      <c r="AC201" s="70" t="e">
        <f>VLOOKUP(A201,Enforcements!$C$7:$E$24,3,0)</f>
        <v>#N/A</v>
      </c>
      <c r="AD201" s="71" t="str">
        <f t="shared" si="83"/>
        <v>0841-03</v>
      </c>
      <c r="AE201" s="131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1" s="128" t="str">
        <f t="shared" si="85"/>
        <v>"C:\Program Files (x86)\AstroGrep\AstroGrep.exe" /spath="%USERPROFILE%\AppData\Local\Temp\OnboardLogs" /stypes="*4007*20160804*" /stext=" 01:.+((SYSTEM_STATE.+slice.+state.+changed )|(ment ac)|(system.+state.+changed )|(\|lc)|(penalty)|(\[timeout)|(PRM\|1\|D)|(kpr)|(kdp))" /e /r /s</v>
      </c>
      <c r="AG201" s="1" t="str">
        <f t="shared" si="86"/>
        <v>NW</v>
      </c>
      <c r="AH201" s="132" t="str">
        <f>refinertdcruntimes&amp;" --tripid "&amp;A201&amp;" --locoid "&amp;B201&amp;" --swversion "&amp;C201&amp;" --startMP "&amp;D201&amp;" --initTime "&amp;TEXT(E201,"yyyy-mm-ddTHH:MM:SS")&amp;" --startdatetime "&amp;TEXT(F201,"yyyy-mm-ddTHH:MM:SS")&amp;" --delay "&amp;G201&amp;" --endMP "&amp;H201&amp;" --enddatetime "&amp;TEXT(I201,"yyyy-mm-ddTHH:MM:SS")&amp;" --enforcementcount "&amp;J201&amp;" &gt;&gt; "&amp;TEXT(Variables!$A$2,"yyyy-mm-dd")&amp;"-refined-runtimes.txt"</f>
        <v>"%USERPROFILE%\Documents\GitHub\eaglep3\Utilities\RefineRTDCRunTimes.py" --tripid 841-03 --locoid 4007 --swversion DE.1.0.7.0 --startMP 204:442 --initTime 2016-08-03T19:12:14 --startdatetime 2016-08-03T19:13:40 --delay 1 --endMP 300:58931 --enddatetime 2016-08-03T19:36:55 --enforcementcount 0 &gt;&gt; 2016-08-03-refined-runtimes.txt</v>
      </c>
    </row>
    <row r="202" spans="1:34" x14ac:dyDescent="0.25">
      <c r="A202" s="25" t="s">
        <v>537</v>
      </c>
      <c r="B202" s="94">
        <v>4008</v>
      </c>
      <c r="C202" s="95" t="s">
        <v>163</v>
      </c>
      <c r="D202" s="95" t="s">
        <v>775</v>
      </c>
      <c r="E202" s="96">
        <v>42585.861226851855</v>
      </c>
      <c r="F202" s="96">
        <v>42585.862060185187</v>
      </c>
      <c r="G202" s="94">
        <v>1</v>
      </c>
      <c r="H202" s="96" t="s">
        <v>732</v>
      </c>
      <c r="I202" s="96">
        <v>42585.872662037036</v>
      </c>
      <c r="J202" s="94">
        <v>1</v>
      </c>
      <c r="K202" s="121" t="str">
        <f t="shared" si="73"/>
        <v>4007/4008</v>
      </c>
      <c r="L202" s="25" t="str">
        <f>VLOOKUP(A202,'Trips&amp;Operators'!$C$1:$E$10000,3,FALSE)</f>
        <v>MOSES</v>
      </c>
      <c r="M202" s="6">
        <f t="shared" si="74"/>
        <v>1.060185184906004E-2</v>
      </c>
      <c r="N202" s="7">
        <f t="shared" si="72"/>
        <v>15.266666662646458</v>
      </c>
      <c r="O202" s="7"/>
      <c r="P202" s="7"/>
      <c r="Q202" s="26"/>
      <c r="R202" s="26"/>
      <c r="S202" s="40">
        <f t="shared" si="75"/>
        <v>1</v>
      </c>
      <c r="T202" s="57" t="str">
        <f t="shared" si="76"/>
        <v>Southbound</v>
      </c>
      <c r="U202" s="82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19:40:10-0600',mode:absolute,to:'2016-08-03 21:56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2" s="62" t="str">
        <f t="shared" si="78"/>
        <v>N</v>
      </c>
      <c r="X202" s="124">
        <f t="shared" si="79"/>
        <v>1</v>
      </c>
      <c r="Y202" s="77">
        <f t="shared" si="80"/>
        <v>5.8620999999999999</v>
      </c>
      <c r="Z202" s="77">
        <f t="shared" si="81"/>
        <v>6.8000000000000005E-2</v>
      </c>
      <c r="AA202" s="77">
        <f t="shared" si="82"/>
        <v>5.7941000000000003</v>
      </c>
      <c r="AB202" s="74" t="e">
        <f>VLOOKUP(A202,Enforcements!$C$7:$J$24,8,0)</f>
        <v>#N/A</v>
      </c>
      <c r="AC202" s="70" t="e">
        <f>VLOOKUP(A202,Enforcements!$C$7:$E$24,3,0)</f>
        <v>#N/A</v>
      </c>
      <c r="AD202" s="71" t="str">
        <f t="shared" si="83"/>
        <v>0842-03</v>
      </c>
      <c r="AE202" s="131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2" s="128" t="str">
        <f t="shared" si="85"/>
        <v>"C:\Program Files (x86)\AstroGrep\AstroGrep.exe" /spath="%USERPROFILE%\AppData\Local\Temp\OnboardLogs" /stypes="*4008*20160804*" /stext=" 02:.+((SYSTEM_STATE.+slice.+state.+changed )|(ment ac)|(system.+state.+changed )|(\|lc)|(penalty)|(\[timeout)|(PRM\|1\|D)|(kpr)|(kdp))" /e /r /s</v>
      </c>
      <c r="AG202" s="1" t="str">
        <f t="shared" si="86"/>
        <v>NW</v>
      </c>
      <c r="AH202" s="132" t="str">
        <f>refinertdcruntimes&amp;" --tripid "&amp;A202&amp;" --locoid "&amp;B202&amp;" --swversion "&amp;C202&amp;" --startMP "&amp;D202&amp;" --initTime "&amp;TEXT(E202,"yyyy-mm-ddTHH:MM:SS")&amp;" --startdatetime "&amp;TEXT(F202,"yyyy-mm-ddTHH:MM:SS")&amp;" --delay "&amp;G202&amp;" --endMP "&amp;H202&amp;" --enddatetime "&amp;TEXT(I202,"yyyy-mm-ddTHH:MM:SS")&amp;" --enforcementcount "&amp;J202&amp;" &gt;&gt; "&amp;TEXT(Variables!$A$2,"yyyy-mm-dd")&amp;"-refined-runtimes.txt"</f>
        <v>"%USERPROFILE%\Documents\GitHub\eaglep3\Utilities\RefineRTDCRunTimes.py" --tripid 842-03 --locoid 4008 --swversion DE.1.0.7.0 --startMP 300:58621 --initTime 2016-08-03T20:40:10 --startdatetime 2016-08-03T20:41:22 --delay 1 --endMP 204:680 --enddatetime 2016-08-03T20:56:38 --enforcementcount 1 &gt;&gt; 2016-08-03-refined-runtimes.txt</v>
      </c>
    </row>
    <row r="203" spans="1:34" x14ac:dyDescent="0.25">
      <c r="A203" s="44" t="s">
        <v>776</v>
      </c>
      <c r="B203" s="7">
        <v>4007</v>
      </c>
      <c r="C203" s="25" t="s">
        <v>163</v>
      </c>
      <c r="D203" s="25" t="s">
        <v>777</v>
      </c>
      <c r="E203" s="16">
        <v>42585.845613425925</v>
      </c>
      <c r="F203" s="16">
        <v>42585.846724537034</v>
      </c>
      <c r="G203" s="7">
        <v>1</v>
      </c>
      <c r="H203" s="16" t="s">
        <v>778</v>
      </c>
      <c r="I203" s="16">
        <v>42585.859606481485</v>
      </c>
      <c r="J203" s="7">
        <v>0</v>
      </c>
      <c r="K203" s="121" t="str">
        <f t="shared" si="73"/>
        <v>4007/4008</v>
      </c>
      <c r="L203" s="25" t="str">
        <f>VLOOKUP(A203,'Trips&amp;Operators'!$C$1:$E$10000,3,FALSE)</f>
        <v>MOSES</v>
      </c>
      <c r="M203" s="6">
        <f t="shared" si="74"/>
        <v>1.2881944450782612E-2</v>
      </c>
      <c r="N203" s="7">
        <f t="shared" si="72"/>
        <v>18.550000009126961</v>
      </c>
      <c r="O203" s="7"/>
      <c r="P203" s="7"/>
      <c r="Q203" s="26"/>
      <c r="R203" s="26"/>
      <c r="S203" s="40">
        <f t="shared" si="75"/>
        <v>1</v>
      </c>
      <c r="T203" s="57" t="str">
        <f t="shared" si="76"/>
        <v>NorthBound</v>
      </c>
      <c r="U203" s="82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19:17:41-0600',mode:absolute,to:'2016-08-03 21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3" s="62" t="str">
        <f t="shared" si="78"/>
        <v>N</v>
      </c>
      <c r="X203" s="124">
        <f t="shared" si="79"/>
        <v>1</v>
      </c>
      <c r="Y203" s="77">
        <f t="shared" si="80"/>
        <v>4.3900000000000002E-2</v>
      </c>
      <c r="Z203" s="77">
        <f t="shared" si="81"/>
        <v>5.8940999999999999</v>
      </c>
      <c r="AA203" s="77">
        <f t="shared" si="82"/>
        <v>5.8502000000000001</v>
      </c>
      <c r="AB203" s="74" t="e">
        <f>VLOOKUP(A203,Enforcements!$C$7:$J$24,8,0)</f>
        <v>#N/A</v>
      </c>
      <c r="AC203" s="70" t="e">
        <f>VLOOKUP(A203,Enforcements!$C$7:$E$24,3,0)</f>
        <v>#N/A</v>
      </c>
      <c r="AD203" s="71" t="str">
        <f t="shared" si="83"/>
        <v>0843-03</v>
      </c>
      <c r="AE203" s="131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3" s="128" t="str">
        <f t="shared" si="85"/>
        <v>"C:\Program Files (x86)\AstroGrep\AstroGrep.exe" /spath="%USERPROFILE%\AppData\Local\Temp\OnboardLogs" /stypes="*4007*20160804*" /stext=" 02:.+((SYSTEM_STATE.+slice.+state.+changed )|(ment ac)|(system.+state.+changed )|(\|lc)|(penalty)|(\[timeout)|(PRM\|1\|D)|(kpr)|(kdp))" /e /r /s</v>
      </c>
      <c r="AG203" s="1" t="str">
        <f t="shared" si="86"/>
        <v>NW</v>
      </c>
      <c r="AH203" s="132" t="str">
        <f>refinertdcruntimes&amp;" --tripid "&amp;A203&amp;" --locoid "&amp;B203&amp;" --swversion "&amp;C203&amp;" --startMP "&amp;D203&amp;" --initTime "&amp;TEXT(E203,"yyyy-mm-ddTHH:MM:SS")&amp;" --startdatetime "&amp;TEXT(F203,"yyyy-mm-ddTHH:MM:SS")&amp;" --delay "&amp;G203&amp;" --endMP "&amp;H203&amp;" --enddatetime "&amp;TEXT(I203,"yyyy-mm-ddTHH:MM:SS")&amp;" --enforcementcount "&amp;J203&amp;" &gt;&gt; "&amp;TEXT(Variables!$A$2,"yyyy-mm-dd")&amp;"-refined-runtimes.txt"</f>
        <v>"%USERPROFILE%\Documents\GitHub\eaglep3\Utilities\RefineRTDCRunTimes.py" --tripid 843-03 --locoid 4007 --swversion DE.1.0.7.0 --startMP 204:439 --initTime 2016-08-03T20:17:41 --startdatetime 2016-08-03T20:19:17 --delay 1 --endMP 300:58941 --enddatetime 2016-08-03T20:37:50 --enforcementcount 0 &gt;&gt; 2016-08-03-refined-runtimes.txt</v>
      </c>
    </row>
    <row r="204" spans="1:34" x14ac:dyDescent="0.25">
      <c r="A204" s="44" t="s">
        <v>779</v>
      </c>
      <c r="B204" s="7">
        <v>4008</v>
      </c>
      <c r="C204" s="25" t="s">
        <v>163</v>
      </c>
      <c r="D204" s="25" t="s">
        <v>780</v>
      </c>
      <c r="E204" s="16">
        <v>42585.902037037034</v>
      </c>
      <c r="F204" s="16">
        <v>42585.903078703705</v>
      </c>
      <c r="G204" s="7">
        <v>1</v>
      </c>
      <c r="H204" s="16" t="s">
        <v>781</v>
      </c>
      <c r="I204" s="16">
        <v>42585.916041666664</v>
      </c>
      <c r="J204" s="7">
        <v>0</v>
      </c>
      <c r="K204" s="121" t="str">
        <f t="shared" si="73"/>
        <v>4007/4008</v>
      </c>
      <c r="L204" s="25" t="str">
        <f>VLOOKUP(A204,'Trips&amp;Operators'!$C$1:$E$10000,3,FALSE)</f>
        <v>ROBINSON</v>
      </c>
      <c r="M204" s="6">
        <f t="shared" si="74"/>
        <v>1.2962962959136348E-2</v>
      </c>
      <c r="N204" s="7">
        <f t="shared" si="72"/>
        <v>18.666666661156341</v>
      </c>
      <c r="O204" s="7"/>
      <c r="P204" s="7"/>
      <c r="Q204" s="26"/>
      <c r="R204" s="26"/>
      <c r="S204" s="40">
        <f t="shared" si="75"/>
        <v>1</v>
      </c>
      <c r="T204" s="57" t="str">
        <f t="shared" si="76"/>
        <v>Southbound</v>
      </c>
      <c r="U204" s="82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20:38:56-0600',mode:absolute,to:'2016-08-03 22:59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4" s="62" t="str">
        <f t="shared" si="78"/>
        <v>N</v>
      </c>
      <c r="X204" s="124">
        <f t="shared" si="79"/>
        <v>1</v>
      </c>
      <c r="Y204" s="77">
        <f t="shared" si="80"/>
        <v>5.8585000000000003</v>
      </c>
      <c r="Z204" s="77">
        <f t="shared" si="81"/>
        <v>7.1999999999999995E-2</v>
      </c>
      <c r="AA204" s="77">
        <f t="shared" si="82"/>
        <v>5.7865000000000002</v>
      </c>
      <c r="AB204" s="74" t="e">
        <f>VLOOKUP(A204,Enforcements!$C$7:$J$24,8,0)</f>
        <v>#N/A</v>
      </c>
      <c r="AC204" s="70" t="e">
        <f>VLOOKUP(A204,Enforcements!$C$7:$E$24,3,0)</f>
        <v>#N/A</v>
      </c>
      <c r="AD204" s="71" t="str">
        <f t="shared" si="83"/>
        <v>0844-03</v>
      </c>
      <c r="AE204" s="131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04" s="128" t="str">
        <f t="shared" si="85"/>
        <v>"C:\Program Files (x86)\AstroGrep\AstroGrep.exe" /spath="%USERPROFILE%\AppData\Local\Temp\OnboardLogs" /stypes="*4008*20160804*" /stext=" 03:.+((SYSTEM_STATE.+slice.+state.+changed )|(ment ac)|(system.+state.+changed )|(\|lc)|(penalty)|(\[timeout)|(PRM\|1\|D)|(kpr)|(kdp))" /e /r /s</v>
      </c>
      <c r="AG204" s="1" t="str">
        <f t="shared" si="86"/>
        <v>NW</v>
      </c>
      <c r="AH204" s="132" t="str">
        <f>refinertdcruntimes&amp;" --tripid "&amp;A204&amp;" --locoid "&amp;B204&amp;" --swversion "&amp;C204&amp;" --startMP "&amp;D204&amp;" --initTime "&amp;TEXT(E204,"yyyy-mm-ddTHH:MM:SS")&amp;" --startdatetime "&amp;TEXT(F204,"yyyy-mm-ddTHH:MM:SS")&amp;" --delay "&amp;G204&amp;" --endMP "&amp;H204&amp;" --enddatetime "&amp;TEXT(I204,"yyyy-mm-ddTHH:MM:SS")&amp;" --enforcementcount "&amp;J204&amp;" &gt;&gt; "&amp;TEXT(Variables!$A$2,"yyyy-mm-dd")&amp;"-refined-runtimes.txt"</f>
        <v>"%USERPROFILE%\Documents\GitHub\eaglep3\Utilities\RefineRTDCRunTimes.py" --tripid 844-03 --locoid 4008 --swversion DE.1.0.7.0 --startMP 300:58585 --initTime 2016-08-03T21:38:56 --startdatetime 2016-08-03T21:40:26 --delay 1 --endMP 204:720 --enddatetime 2016-08-03T21:59:06 --enforcementcount 0 &gt;&gt; 2016-08-03-refined-runtimes.txt</v>
      </c>
    </row>
    <row r="205" spans="1:34" x14ac:dyDescent="0.25">
      <c r="A205" s="44" t="s">
        <v>782</v>
      </c>
      <c r="B205" s="7">
        <v>4007</v>
      </c>
      <c r="C205" s="25" t="s">
        <v>163</v>
      </c>
      <c r="D205" s="25" t="s">
        <v>783</v>
      </c>
      <c r="E205" s="16">
        <v>42585.878935185188</v>
      </c>
      <c r="F205" s="16">
        <v>42585.880115740743</v>
      </c>
      <c r="G205" s="7">
        <v>1</v>
      </c>
      <c r="H205" s="16" t="s">
        <v>784</v>
      </c>
      <c r="I205" s="16">
        <v>42585.901087962964</v>
      </c>
      <c r="J205" s="7">
        <v>0</v>
      </c>
      <c r="K205" s="121" t="str">
        <f t="shared" si="73"/>
        <v>4007/4008</v>
      </c>
      <c r="L205" s="25" t="str">
        <f>VLOOKUP(A205,'Trips&amp;Operators'!$C$1:$E$10000,3,FALSE)</f>
        <v>ROBINSON</v>
      </c>
      <c r="M205" s="6">
        <f t="shared" si="74"/>
        <v>2.0972222220734693E-2</v>
      </c>
      <c r="N205" s="7">
        <f t="shared" si="72"/>
        <v>30.199999997857958</v>
      </c>
      <c r="O205" s="7"/>
      <c r="P205" s="7"/>
      <c r="Q205" s="26"/>
      <c r="R205" s="26"/>
      <c r="S205" s="40">
        <f t="shared" si="75"/>
        <v>1</v>
      </c>
      <c r="T205" s="57" t="str">
        <f t="shared" si="76"/>
        <v>NorthBound</v>
      </c>
      <c r="U205" s="82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20:05:40-0600',mode:absolute,to:'2016-08-03 22:37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5" s="62" t="str">
        <f t="shared" si="78"/>
        <v>N</v>
      </c>
      <c r="X205" s="124">
        <f t="shared" si="79"/>
        <v>1</v>
      </c>
      <c r="Y205" s="77">
        <f t="shared" si="80"/>
        <v>9.7600000000000006E-2</v>
      </c>
      <c r="Z205" s="77">
        <f t="shared" si="81"/>
        <v>5.8905000000000003</v>
      </c>
      <c r="AA205" s="77">
        <f t="shared" si="82"/>
        <v>5.7929000000000004</v>
      </c>
      <c r="AB205" s="74" t="e">
        <f>VLOOKUP(A205,Enforcements!$C$7:$J$24,8,0)</f>
        <v>#N/A</v>
      </c>
      <c r="AC205" s="70" t="e">
        <f>VLOOKUP(A205,Enforcements!$C$7:$E$24,3,0)</f>
        <v>#N/A</v>
      </c>
      <c r="AD205" s="71" t="str">
        <f t="shared" si="83"/>
        <v>0845-03</v>
      </c>
      <c r="AE205" s="131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5" s="128" t="str">
        <f t="shared" si="85"/>
        <v>"C:\Program Files (x86)\AstroGrep\AstroGrep.exe" /spath="%USERPROFILE%\AppData\Local\Temp\OnboardLogs" /stypes="*4007*20160804*" /stext=" 03:.+((SYSTEM_STATE.+slice.+state.+changed )|(ment ac)|(system.+state.+changed )|(\|lc)|(penalty)|(\[timeout)|(PRM\|1\|D)|(kpr)|(kdp))" /e /r /s</v>
      </c>
      <c r="AG205" s="1" t="str">
        <f t="shared" si="86"/>
        <v>NW</v>
      </c>
      <c r="AH205" s="132" t="str">
        <f>refinertdcruntimes&amp;" --tripid "&amp;A205&amp;" --locoid "&amp;B205&amp;" --swversion "&amp;C205&amp;" --startMP "&amp;D205&amp;" --initTime "&amp;TEXT(E205,"yyyy-mm-ddTHH:MM:SS")&amp;" --startdatetime "&amp;TEXT(F205,"yyyy-mm-ddTHH:MM:SS")&amp;" --delay "&amp;G205&amp;" --endMP "&amp;H205&amp;" --enddatetime "&amp;TEXT(I205,"yyyy-mm-ddTHH:MM:SS")&amp;" --enforcementcount "&amp;J205&amp;" &gt;&gt; "&amp;TEXT(Variables!$A$2,"yyyy-mm-dd")&amp;"-refined-runtimes.txt"</f>
        <v>"%USERPROFILE%\Documents\GitHub\eaglep3\Utilities\RefineRTDCRunTimes.py" --tripid 845-03 --locoid 4007 --swversion DE.1.0.7.0 --startMP 204:976 --initTime 2016-08-03T21:05:40 --startdatetime 2016-08-03T21:07:22 --delay 1 --endMP 300:58905 --enddatetime 2016-08-03T21:37:34 --enforcementcount 0 &gt;&gt; 2016-08-03-refined-runtimes.txt</v>
      </c>
    </row>
    <row r="206" spans="1:34" x14ac:dyDescent="0.25">
      <c r="A206" s="25" t="s">
        <v>785</v>
      </c>
      <c r="B206" s="94">
        <v>4007</v>
      </c>
      <c r="C206" s="95" t="s">
        <v>163</v>
      </c>
      <c r="D206" s="95" t="s">
        <v>454</v>
      </c>
      <c r="E206" s="96">
        <v>42585.924097222225</v>
      </c>
      <c r="F206" s="96">
        <v>42585.925370370373</v>
      </c>
      <c r="G206" s="94">
        <v>1</v>
      </c>
      <c r="H206" s="96" t="s">
        <v>442</v>
      </c>
      <c r="I206" s="96">
        <v>42585.943009259259</v>
      </c>
      <c r="J206" s="94">
        <v>0</v>
      </c>
      <c r="K206" s="121" t="str">
        <f t="shared" si="73"/>
        <v>4007/4008</v>
      </c>
      <c r="L206" s="25" t="str">
        <f>VLOOKUP(A206,'Trips&amp;Operators'!$C$1:$E$10000,3,FALSE)</f>
        <v>ROBINSON</v>
      </c>
      <c r="M206" s="6">
        <f t="shared" si="74"/>
        <v>1.763888888672227E-2</v>
      </c>
      <c r="N206" s="7">
        <f t="shared" si="72"/>
        <v>25.399999996880069</v>
      </c>
      <c r="O206" s="7"/>
      <c r="P206" s="7"/>
      <c r="Q206" s="26"/>
      <c r="R206" s="26"/>
      <c r="S206" s="40">
        <f t="shared" si="75"/>
        <v>1</v>
      </c>
      <c r="T206" s="57" t="str">
        <f t="shared" si="76"/>
        <v>NorthBound</v>
      </c>
      <c r="U206" s="82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21:10:42-0600',mode:absolute,to:'2016-08-03 23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06" s="62" t="str">
        <f t="shared" si="78"/>
        <v>N</v>
      </c>
      <c r="X206" s="124">
        <f t="shared" si="79"/>
        <v>2</v>
      </c>
      <c r="Y206" s="77">
        <f t="shared" si="80"/>
        <v>0.10199999999999999</v>
      </c>
      <c r="Z206" s="77">
        <f t="shared" si="81"/>
        <v>5.8912000000000004</v>
      </c>
      <c r="AA206" s="77">
        <f t="shared" si="82"/>
        <v>5.7892000000000001</v>
      </c>
      <c r="AB206" s="74" t="e">
        <f>VLOOKUP(A206,Enforcements!$C$7:$J$24,8,0)</f>
        <v>#N/A</v>
      </c>
      <c r="AC206" s="70" t="e">
        <f>VLOOKUP(A206,Enforcements!$C$7:$E$24,3,0)</f>
        <v>#N/A</v>
      </c>
      <c r="AD206" s="71" t="str">
        <f t="shared" si="83"/>
        <v>0847-03</v>
      </c>
      <c r="AE206" s="131" t="str">
        <f t="shared" si="84"/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AF206" s="128" t="str">
        <f t="shared" si="85"/>
        <v>"C:\Program Files (x86)\AstroGrep\AstroGrep.exe" /spath="%USERPROFILE%\AppData\Local\Temp\OnboardLogs" /stypes="*4007*20160804*" /stext=" 04:.+((SYSTEM_STATE.+slice.+state.+changed )|(ment ac)|(system.+state.+changed )|(\|lc)|(penalty)|(\[timeout)|(PRM\|1\|D)|(kpr)|(kdp))" /e /r /s</v>
      </c>
      <c r="AG206" s="1" t="str">
        <f t="shared" si="86"/>
        <v>NW</v>
      </c>
      <c r="AH206" s="132" t="str">
        <f>refinertdcruntimes&amp;" --tripid "&amp;A206&amp;" --locoid "&amp;B206&amp;" --swversion "&amp;C206&amp;" --startMP "&amp;D206&amp;" --initTime "&amp;TEXT(E206,"yyyy-mm-ddTHH:MM:SS")&amp;" --startdatetime "&amp;TEXT(F206,"yyyy-mm-ddTHH:MM:SS")&amp;" --delay "&amp;G206&amp;" --endMP "&amp;H206&amp;" --enddatetime "&amp;TEXT(I206,"yyyy-mm-ddTHH:MM:SS")&amp;" --enforcementcount "&amp;J206&amp;" &gt;&gt; "&amp;TEXT(Variables!$A$2,"yyyy-mm-dd")&amp;"-refined-runtimes.txt"</f>
        <v>"%USERPROFILE%\Documents\GitHub\eaglep3\Utilities\RefineRTDCRunTimes.py" --tripid 847-03 --locoid 4007 --swversion DE.1.0.7.0 --startMP 204:1020 --initTime 2016-08-03T22:10:42 --startdatetime 2016-08-03T22:12:32 --delay 1 --endMP 300:58912 --enddatetime 2016-08-03T22:37:56 --enforcementcount 0 &gt;&gt; 2016-08-03-refined-runtimes.txt</v>
      </c>
    </row>
    <row r="207" spans="1:34" x14ac:dyDescent="0.25">
      <c r="A207" s="25" t="s">
        <v>701</v>
      </c>
      <c r="B207" s="94">
        <v>4011</v>
      </c>
      <c r="C207" s="95" t="s">
        <v>163</v>
      </c>
      <c r="D207" s="95" t="s">
        <v>702</v>
      </c>
      <c r="E207" s="96">
        <v>42585.825474537036</v>
      </c>
      <c r="F207" s="96">
        <v>42585.82644675926</v>
      </c>
      <c r="G207" s="94">
        <v>1</v>
      </c>
      <c r="H207" s="96" t="s">
        <v>703</v>
      </c>
      <c r="I207" s="96">
        <v>42585.836550925924</v>
      </c>
      <c r="J207" s="94">
        <v>0</v>
      </c>
      <c r="K207" s="121" t="str">
        <f t="shared" ref="K207:K212" si="100">IF(ISEVEN(B207),(B207-1)&amp;"/"&amp;B207,B207&amp;"/"&amp;(B207+1))</f>
        <v>4011/4012</v>
      </c>
      <c r="L207" s="25" t="str">
        <f>VLOOKUP(A207,'Trips&amp;Operators'!$C$1:$E$10000,3,FALSE)</f>
        <v>SWANSON</v>
      </c>
      <c r="M207" s="6">
        <f t="shared" ref="M207:M212" si="101">I207-F207</f>
        <v>1.0104166663950309E-2</v>
      </c>
      <c r="N207" s="7">
        <f t="shared" ref="N207:N212" si="102">24*60*SUM($M207:$M207)</f>
        <v>14.549999996088445</v>
      </c>
      <c r="O207" s="7"/>
      <c r="P207" s="7"/>
      <c r="Q207" s="26"/>
      <c r="R207" s="26"/>
      <c r="S207" s="40">
        <f t="shared" ref="S207:S212" si="103">SUM(U207:U207)/IF(AG207="EC",12,1)</f>
        <v>1</v>
      </c>
      <c r="T207" s="57" t="str">
        <f t="shared" ref="T207:T212" si="104">IF(ISEVEN(LEFT(AD207,4)),"Southbound","NorthBound")</f>
        <v>NorthBound</v>
      </c>
      <c r="U207" s="82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138" t="str">
        <f t="shared" ref="V207:V212" si="105">"https://search-rtdc-monitor-bjffxe2xuh6vdkpspy63sjmuny.us-east-1.es.amazonaws.com/_plugin/kibana/#/discover/Steve-Slow-Train-Analysis-(2080s-and-2083s)?_g=(refreshInterval:(display:Off,section:0,value:0),time:(from:'"&amp;TEXT(E207-1/24,"yyyy-MM-DD hh:mm:ss")&amp;"-0600',mode:absolute,to:'"&amp;TEXT(I207+1/24,"yyyy-MM-DD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207&amp;"%22')),sort:!(Time,asc))"</f>
        <v>https://search-rtdc-monitor-bjffxe2xuh6vdkpspy63sjmuny.us-east-1.es.amazonaws.com/_plugin/kibana/#/discover/Steve-Slow-Train-Analysis-(2080s-and-2083s)?_g=(refreshInterval:(display:Off,section:0,value:0),time:(from:'2016-08-03 18:48:41-0600',mode:absolute,to:'2016-08-03 21:04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07" s="62" t="str">
        <f t="shared" ref="W207:W212" si="106">IF(AA207&lt;IF(AG207="EC",23,5.65),"Y","N")</f>
        <v>Y</v>
      </c>
      <c r="X207" s="124">
        <f>VALUE(LEFT(AD207,4))-VALUE(LEFT(AD160,4))</f>
        <v>63</v>
      </c>
      <c r="Y207" s="77">
        <f t="shared" ref="Y207:Y212" si="107">RIGHT(D207,LEN(D207)-4)/10000</f>
        <v>4.9099999999999998E-2</v>
      </c>
      <c r="Z207" s="77">
        <f t="shared" ref="Z207:Z212" si="108">RIGHT(H207,LEN(H207)-4)/10000</f>
        <v>2.3336999999999999</v>
      </c>
      <c r="AA207" s="77">
        <f t="shared" ref="AA207:AA212" si="109">ABS(Z207-Y207)</f>
        <v>2.2845999999999997</v>
      </c>
      <c r="AB207" s="74" t="e">
        <f>VLOOKUP(A207,Enforcements!$C$7:$J$24,8,0)</f>
        <v>#N/A</v>
      </c>
      <c r="AC207" s="70" t="e">
        <f>VLOOKUP(A207,Enforcements!$C$7:$E$24,3,0)</f>
        <v>#N/A</v>
      </c>
      <c r="AD207" s="71" t="str">
        <f t="shared" ref="AD207:AD212" si="110">IF(LEN(A207)=6,"0"&amp;A207,A207)</f>
        <v>0307-03</v>
      </c>
      <c r="AE207" s="131" t="str">
        <f t="shared" ref="AE207:AE212" si="111">"aws s3 cp "&amp;s3_bucket&amp;"/RTDC"&amp;B207&amp;"/"&amp;TEXT(F207,"YYYY-MM-DD")&amp;"/ "&amp;search_path&amp;"\RTDC"&amp;B207&amp;"\"&amp;TEXT(F207,"YYYY-MM-DD")&amp;" --recursive &amp; """&amp;walkandungz&amp;""" "&amp;search_path&amp;"\RTDC"&amp;B207&amp;"\"&amp;TEXT(F207,"YYYY-MM-DD")
&amp;" &amp; "&amp;"aws s3 cp "&amp;s3_bucket&amp;"/RTDC"&amp;B207&amp;"/"&amp;TEXT(F207+1,"YYYY-MM-DD")&amp;"/ "&amp;search_path&amp;"\RTDC"&amp;B207&amp;"\"&amp;TEXT(F207+1,"YYYY-MM-DD")&amp;" --recursive &amp; """&amp;walkandungz&amp;""" "&amp;search_path&amp;"\RTDC"&amp;B207&amp;"\"&amp;TEXT(F207+1,"YYYY-MM-DD")</f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AF207" s="128" t="str">
        <f t="shared" ref="AF207:AF212" si="112">astrogrep_path&amp;" /spath="&amp;search_path&amp;" /stypes=""*"&amp;B207&amp;"*"&amp;TEXT(I207-utc_offset/24,"YYYYMMDD")&amp;"*"" /stext="" "&amp;TEXT(I207-utc_offset/24,"HH")&amp;search_regexp&amp;""" /e /r /s"</f>
        <v>"C:\Program Files (x86)\AstroGrep\AstroGrep.exe" /spath="%USERPROFILE%\AppData\Local\Temp\OnboardLogs" /stypes="*4011*20160804*" /stext=" 02:.+((SYSTEM_STATE.+slice.+state.+changed )|(ment ac)|(system.+state.+changed )|(\|lc)|(penalty)|(\[timeout)|(PRM\|1\|D)|(kpr)|(kdp))" /e /r /s</v>
      </c>
      <c r="AG207" s="1" t="str">
        <f t="shared" ref="AG207:AG212" si="113">IF(VALUE(LEFT(AD207,2))&lt;=2,"EC",IF(OR(VALUE(LEFT(AD207,2))=8,VALUE(LEFT(AD207,2))=18),"NW","GL"))</f>
        <v>GL</v>
      </c>
      <c r="AH207" s="132" t="str">
        <f>refinertdcruntimes&amp;" --tripid "&amp;A207&amp;" --locoid "&amp;B207&amp;" --swversion "&amp;C207&amp;" --startMP "&amp;D207&amp;" --initTime "&amp;TEXT(E207,"yyyy-mm-ddTHH:MM:SS")&amp;" --startdatetime "&amp;TEXT(F207,"yyyy-mm-ddTHH:MM:SS")&amp;" --delay "&amp;G207&amp;" --endMP "&amp;H207&amp;" --enddatetime "&amp;TEXT(I207,"yyyy-mm-ddTHH:MM:SS")&amp;" --enforcementcount "&amp;J207&amp;" &gt;&gt; "&amp;TEXT(Variables!$A$2,"yyyy-mm-dd")&amp;"-refined-runtimes.txt"</f>
        <v>"%USERPROFILE%\Documents\GitHub\eaglep3\Utilities\RefineRTDCRunTimes.py" --tripid 307-03 --locoid 4011 --swversion DE.1.0.7.0 --startMP 204:491 --initTime 2016-08-03T19:48:41 --startdatetime 2016-08-03T19:50:05 --delay 1 --endMP 300:23337 --enddatetime 2016-08-03T20:04:38 --enforcementcount 0 &gt;&gt; 2016-08-03-refined-runtimes.txt</v>
      </c>
    </row>
    <row r="208" spans="1:34" x14ac:dyDescent="0.25">
      <c r="A208" s="25" t="s">
        <v>704</v>
      </c>
      <c r="B208" s="94">
        <v>4025</v>
      </c>
      <c r="C208" s="95" t="s">
        <v>163</v>
      </c>
      <c r="D208" s="95" t="s">
        <v>138</v>
      </c>
      <c r="E208" s="96">
        <v>42586.027731481481</v>
      </c>
      <c r="F208" s="96">
        <v>42586.028622685182</v>
      </c>
      <c r="G208" s="94">
        <v>1</v>
      </c>
      <c r="H208" s="96" t="s">
        <v>705</v>
      </c>
      <c r="I208" s="96">
        <v>42586.039479166669</v>
      </c>
      <c r="J208" s="94">
        <v>0</v>
      </c>
      <c r="K208" s="121" t="str">
        <f t="shared" si="100"/>
        <v>4025/4026</v>
      </c>
      <c r="L208" s="25" t="str">
        <f>VLOOKUP(A208,'Trips&amp;Operators'!$C$1:$E$10000,3,FALSE)</f>
        <v>STURGEON</v>
      </c>
      <c r="M208" s="6">
        <f t="shared" si="101"/>
        <v>1.0856481487280689E-2</v>
      </c>
      <c r="N208" s="7">
        <f t="shared" si="102"/>
        <v>15.633333341684192</v>
      </c>
      <c r="O208" s="7"/>
      <c r="P208" s="7"/>
      <c r="Q208" s="26"/>
      <c r="R208" s="26"/>
      <c r="S208" s="40">
        <f t="shared" si="103"/>
        <v>1</v>
      </c>
      <c r="T208" s="57" t="str">
        <f t="shared" si="104"/>
        <v>NorthBound</v>
      </c>
      <c r="U208" s="82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138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23:39:56-0600',mode:absolute,to:'2016-08-04 01:56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8" s="62" t="str">
        <f t="shared" si="106"/>
        <v>Y</v>
      </c>
      <c r="X208" s="124">
        <f>VALUE(LEFT(AD208,4))-VALUE(LEFT(AD207,4))</f>
        <v>2</v>
      </c>
      <c r="Y208" s="77">
        <f t="shared" si="107"/>
        <v>4.6399999999999997E-2</v>
      </c>
      <c r="Z208" s="77">
        <f t="shared" si="108"/>
        <v>2.3313999999999999</v>
      </c>
      <c r="AA208" s="77">
        <f t="shared" si="109"/>
        <v>2.2850000000000001</v>
      </c>
      <c r="AB208" s="74" t="e">
        <f>VLOOKUP(A208,Enforcements!$C$7:$J$24,8,0)</f>
        <v>#N/A</v>
      </c>
      <c r="AC208" s="70" t="e">
        <f>VLOOKUP(A208,Enforcements!$C$7:$E$24,3,0)</f>
        <v>#N/A</v>
      </c>
      <c r="AD208" s="71" t="str">
        <f t="shared" si="110"/>
        <v>0309-03</v>
      </c>
      <c r="AE208" s="131" t="str">
        <f t="shared" si="111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208" s="128" t="str">
        <f t="shared" si="112"/>
        <v>"C:\Program Files (x86)\AstroGrep\AstroGrep.exe" /spath="%USERPROFILE%\AppData\Local\Temp\OnboardLogs" /stypes="*4025*20160804*" /stext=" 06:.+((SYSTEM_STATE.+slice.+state.+changed )|(ment ac)|(system.+state.+changed )|(\|lc)|(penalty)|(\[timeout)|(PRM\|1\|D)|(kpr)|(kdp))" /e /r /s</v>
      </c>
      <c r="AG208" s="1" t="str">
        <f t="shared" si="113"/>
        <v>GL</v>
      </c>
      <c r="AH208" s="132" t="str">
        <f>refinertdcruntimes&amp;" --tripid "&amp;A208&amp;" --locoid "&amp;B208&amp;" --swversion "&amp;C208&amp;" --startMP "&amp;D208&amp;" --initTime "&amp;TEXT(E208,"yyyy-mm-ddTHH:MM:SS")&amp;" --startdatetime "&amp;TEXT(F208,"yyyy-mm-ddTHH:MM:SS")&amp;" --delay "&amp;G208&amp;" --endMP "&amp;H208&amp;" --enddatetime "&amp;TEXT(I208,"yyyy-mm-ddTHH:MM:SS")&amp;" --enforcementcount "&amp;J208&amp;" &gt;&gt; "&amp;TEXT(Variables!$A$2,"yyyy-mm-dd")&amp;"-refined-runtimes.txt"</f>
        <v>"%USERPROFILE%\Documents\GitHub\eaglep3\Utilities\RefineRTDCRunTimes.py" --tripid 309-03 --locoid 4025 --swversion DE.1.0.7.0 --startMP 204:464 --initTime 2016-08-04T00:39:56 --startdatetime 2016-08-04T00:41:13 --delay 1 --endMP 300:23314 --enddatetime 2016-08-04T00:56:51 --enforcementcount 0 &gt;&gt; 2016-08-03-refined-runtimes.txt</v>
      </c>
    </row>
    <row r="209" spans="1:34" x14ac:dyDescent="0.25">
      <c r="A209" s="25" t="s">
        <v>486</v>
      </c>
      <c r="B209" s="94">
        <v>4026</v>
      </c>
      <c r="C209" s="95" t="s">
        <v>163</v>
      </c>
      <c r="D209" s="95" t="s">
        <v>706</v>
      </c>
      <c r="E209" s="96">
        <v>42585.182013888887</v>
      </c>
      <c r="F209" s="96">
        <v>42585.183171296296</v>
      </c>
      <c r="G209" s="94">
        <v>1</v>
      </c>
      <c r="H209" s="96" t="s">
        <v>590</v>
      </c>
      <c r="I209" s="96">
        <v>42585.191099537034</v>
      </c>
      <c r="J209" s="94">
        <v>0</v>
      </c>
      <c r="K209" s="121" t="str">
        <f t="shared" si="100"/>
        <v>4025/4026</v>
      </c>
      <c r="L209" s="25" t="str">
        <f>VLOOKUP(A209,'Trips&amp;Operators'!$C$1:$E$10000,3,FALSE)</f>
        <v>HELVIE</v>
      </c>
      <c r="M209" s="6">
        <f t="shared" si="101"/>
        <v>7.9282407386926934E-3</v>
      </c>
      <c r="N209" s="7">
        <f t="shared" si="102"/>
        <v>11.416666663717479</v>
      </c>
      <c r="O209" s="7"/>
      <c r="P209" s="7"/>
      <c r="Q209" s="26"/>
      <c r="R209" s="26"/>
      <c r="S209" s="40">
        <f t="shared" si="103"/>
        <v>1</v>
      </c>
      <c r="T209" s="57" t="str">
        <f t="shared" si="104"/>
        <v>Southbound</v>
      </c>
      <c r="U209" s="82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138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03:22:06-0600',mode:absolute,to:'2016-08-03 05:35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9" s="62" t="str">
        <f t="shared" si="106"/>
        <v>Y</v>
      </c>
      <c r="X209" s="124">
        <f>VALUE(LEFT(AD209,4))-VALUE(LEFT(AD208,4))</f>
        <v>1</v>
      </c>
      <c r="Y209" s="77">
        <f t="shared" si="107"/>
        <v>2.4197000000000002</v>
      </c>
      <c r="Z209" s="77">
        <f t="shared" si="108"/>
        <v>1.5800000000000002E-2</v>
      </c>
      <c r="AA209" s="77">
        <f t="shared" si="109"/>
        <v>2.4039000000000001</v>
      </c>
      <c r="AB209" s="74" t="e">
        <f>VLOOKUP(A209,Enforcements!$C$7:$J$24,8,0)</f>
        <v>#N/A</v>
      </c>
      <c r="AC209" s="70" t="e">
        <f>VLOOKUP(A209,Enforcements!$C$7:$E$24,3,0)</f>
        <v>#N/A</v>
      </c>
      <c r="AD209" s="71" t="str">
        <f t="shared" si="110"/>
        <v>0310-03</v>
      </c>
      <c r="AE209" s="131" t="str">
        <f t="shared" si="111"/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AF209" s="128" t="str">
        <f t="shared" si="112"/>
        <v>"C:\Program Files (x86)\AstroGrep\AstroGrep.exe" /spath="%USERPROFILE%\AppData\Local\Temp\OnboardLogs" /stypes="*4026*20160803*" /stext=" 10:.+((SYSTEM_STATE.+slice.+state.+changed )|(ment ac)|(system.+state.+changed )|(\|lc)|(penalty)|(\[timeout)|(PRM\|1\|D)|(kpr)|(kdp))" /e /r /s</v>
      </c>
      <c r="AG209" s="1" t="str">
        <f t="shared" si="113"/>
        <v>GL</v>
      </c>
      <c r="AH209" s="132" t="str">
        <f>refinertdcruntimes&amp;" --tripid "&amp;A209&amp;" --locoid "&amp;B209&amp;" --swversion "&amp;C209&amp;" --startMP "&amp;D209&amp;" --initTime "&amp;TEXT(E209,"yyyy-mm-ddTHH:MM:SS")&amp;" --startdatetime "&amp;TEXT(F209,"yyyy-mm-ddTHH:MM:SS")&amp;" --delay "&amp;G209&amp;" --endMP "&amp;H209&amp;" --enddatetime "&amp;TEXT(I209,"yyyy-mm-ddTHH:MM:SS")&amp;" --enforcementcount "&amp;J209&amp;" &gt;&gt; "&amp;TEXT(Variables!$A$2,"yyyy-mm-dd")&amp;"-refined-runtimes.txt"</f>
        <v>"%USERPROFILE%\Documents\GitHub\eaglep3\Utilities\RefineRTDCRunTimes.py" --tripid 310-03 --locoid 4026 --swversion DE.1.0.7.0 --startMP 300:24197 --initTime 2016-08-03T04:22:06 --startdatetime 2016-08-03T04:23:46 --delay 1 --endMP 204:158 --enddatetime 2016-08-03T04:35:11 --enforcementcount 0 &gt;&gt; 2016-08-03-refined-runtimes.txt</v>
      </c>
    </row>
    <row r="210" spans="1:34" x14ac:dyDescent="0.25">
      <c r="A210" s="25" t="s">
        <v>707</v>
      </c>
      <c r="B210" s="94">
        <v>4014</v>
      </c>
      <c r="C210" s="95" t="s">
        <v>163</v>
      </c>
      <c r="D210" s="95" t="s">
        <v>344</v>
      </c>
      <c r="E210" s="96">
        <v>42586.046620370369</v>
      </c>
      <c r="F210" s="96">
        <v>42586.047847222224</v>
      </c>
      <c r="G210" s="94">
        <v>1</v>
      </c>
      <c r="H210" s="96" t="s">
        <v>708</v>
      </c>
      <c r="I210" s="96">
        <v>42586.052812499998</v>
      </c>
      <c r="J210" s="94">
        <v>0</v>
      </c>
      <c r="K210" s="121" t="str">
        <f t="shared" si="100"/>
        <v>4013/4014</v>
      </c>
      <c r="L210" s="25" t="str">
        <f>VLOOKUP(A210,'Trips&amp;Operators'!$C$1:$E$10000,3,FALSE)</f>
        <v>HAITHCOX</v>
      </c>
      <c r="M210" s="6">
        <f t="shared" si="101"/>
        <v>4.9652777743176557E-3</v>
      </c>
      <c r="N210" s="7">
        <f t="shared" si="102"/>
        <v>7.1499999950174242</v>
      </c>
      <c r="O210" s="7"/>
      <c r="P210" s="7"/>
      <c r="Q210" s="26"/>
      <c r="R210" s="26"/>
      <c r="S210" s="40">
        <f t="shared" si="103"/>
        <v>1</v>
      </c>
      <c r="T210" s="57" t="str">
        <f t="shared" si="104"/>
        <v>NorthBound</v>
      </c>
      <c r="U210" s="82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138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https://search-rtdc-monitor-bjffxe2xuh6vdkpspy63sjmuny.us-east-1.es.amazonaws.com/_plugin/kibana/#/discover/Steve-Slow-Train-Analysis-(2080s-and-2083s)?_g=(refreshInterval:(display:Off,section:0,value:0),time:(from:'2016-08-04 00:07:08-0600',mode:absolute,to:'2016-08-04 02:16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0" s="62" t="str">
        <f t="shared" si="106"/>
        <v>Y</v>
      </c>
      <c r="X210" s="124">
        <f>VALUE(LEFT(AD210,4))-VALUE(LEFT(AD209,4))</f>
        <v>1</v>
      </c>
      <c r="Y210" s="77">
        <f t="shared" si="107"/>
        <v>4.4900000000000002E-2</v>
      </c>
      <c r="Z210" s="77">
        <f t="shared" si="108"/>
        <v>2.3081</v>
      </c>
      <c r="AA210" s="77">
        <f t="shared" si="109"/>
        <v>2.2631999999999999</v>
      </c>
      <c r="AB210" s="74" t="e">
        <f>VLOOKUP(A210,Enforcements!$C$7:$J$24,8,0)</f>
        <v>#N/A</v>
      </c>
      <c r="AC210" s="70" t="e">
        <f>VLOOKUP(A210,Enforcements!$C$7:$E$24,3,0)</f>
        <v>#N/A</v>
      </c>
      <c r="AD210" s="71" t="str">
        <f t="shared" si="110"/>
        <v>0311-03</v>
      </c>
      <c r="AE210" s="131" t="str">
        <f t="shared" si="111"/>
        <v>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 &amp; aws s3 cp s3://rtdc.mdm.uploadarchive/RTDC4014/2016-08-05/ "%USERPROFILE%\AppData\Local\Temp\OnboardLogs"\RTDC4014\2016-08-05 --recursive &amp; "%USERPROFILE%\Documents\GitHub\mrs-test-scripts\Headless Mode &amp; Sideloading\WalkAndUnGZ.bat" "%USERPROFILE%\AppData\Local\Temp\OnboardLogs"\RTDC4014\2016-08-05</v>
      </c>
      <c r="AF210" s="128" t="str">
        <f t="shared" si="112"/>
        <v>"C:\Program Files (x86)\AstroGrep\AstroGrep.exe" /spath="%USERPROFILE%\AppData\Local\Temp\OnboardLogs" /stypes="*4014*20160804*" /stext=" 07:.+((SYSTEM_STATE.+slice.+state.+changed )|(ment ac)|(system.+state.+changed )|(\|lc)|(penalty)|(\[timeout)|(PRM\|1\|D)|(kpr)|(kdp))" /e /r /s</v>
      </c>
      <c r="AG210" s="1" t="str">
        <f t="shared" si="113"/>
        <v>GL</v>
      </c>
      <c r="AH210" s="132" t="str">
        <f>refinertdcruntimes&amp;" --tripid "&amp;A210&amp;" --locoid "&amp;B210&amp;" --swversion "&amp;C210&amp;" --startMP "&amp;D210&amp;" --initTime "&amp;TEXT(E210,"yyyy-mm-ddTHH:MM:SS")&amp;" --startdatetime "&amp;TEXT(F210,"yyyy-mm-ddTHH:MM:SS")&amp;" --delay "&amp;G210&amp;" --endMP "&amp;H210&amp;" --enddatetime "&amp;TEXT(I210,"yyyy-mm-ddTHH:MM:SS")&amp;" --enforcementcount "&amp;J210&amp;" &gt;&gt; "&amp;TEXT(Variables!$A$2,"yyyy-mm-dd")&amp;"-refined-runtimes.txt"</f>
        <v>"%USERPROFILE%\Documents\GitHub\eaglep3\Utilities\RefineRTDCRunTimes.py" --tripid 311-03 --locoid 4014 --swversion DE.1.0.7.0 --startMP 204:449 --initTime 2016-08-04T01:07:08 --startdatetime 2016-08-04T01:08:54 --delay 1 --endMP 300:23081 --enddatetime 2016-08-04T01:16:03 --enforcementcount 0 &gt;&gt; 2016-08-03-refined-runtimes.txt</v>
      </c>
    </row>
    <row r="211" spans="1:34" x14ac:dyDescent="0.25">
      <c r="A211" s="25" t="s">
        <v>435</v>
      </c>
      <c r="B211" s="94">
        <v>4009</v>
      </c>
      <c r="C211" s="95" t="s">
        <v>163</v>
      </c>
      <c r="D211" s="95" t="s">
        <v>385</v>
      </c>
      <c r="E211" s="96">
        <v>42585.096851851849</v>
      </c>
      <c r="F211" s="96">
        <v>42585.097858796296</v>
      </c>
      <c r="G211" s="94">
        <v>1</v>
      </c>
      <c r="H211" s="96" t="s">
        <v>367</v>
      </c>
      <c r="I211" s="96">
        <v>42585.104953703703</v>
      </c>
      <c r="J211" s="94">
        <v>0</v>
      </c>
      <c r="K211" s="121" t="str">
        <f t="shared" si="100"/>
        <v>4009/4010</v>
      </c>
      <c r="L211" s="25" t="str">
        <f>VLOOKUP(A211,'Trips&amp;Operators'!$C$1:$E$10000,3,FALSE)</f>
        <v>CHANDLER</v>
      </c>
      <c r="M211" s="6">
        <f t="shared" si="101"/>
        <v>7.0949074070085771E-3</v>
      </c>
      <c r="N211" s="7">
        <f t="shared" si="102"/>
        <v>10.216666666092351</v>
      </c>
      <c r="O211" s="7"/>
      <c r="P211" s="7"/>
      <c r="Q211" s="26"/>
      <c r="R211" s="26"/>
      <c r="S211" s="40">
        <f t="shared" si="103"/>
        <v>1</v>
      </c>
      <c r="T211" s="57" t="str">
        <f t="shared" si="104"/>
        <v>NorthBound</v>
      </c>
      <c r="U211" s="82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138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https://search-rtdc-monitor-bjffxe2xuh6vdkpspy63sjmuny.us-east-1.es.amazonaws.com/_plugin/kibana/#/discover/Steve-Slow-Train-Analysis-(2080s-and-2083s)?_g=(refreshInterval:(display:Off,section:0,value:0),time:(from:'2016-08-03 01:19:28-0600',mode:absolute,to:'2016-08-03 03:31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11" s="62" t="str">
        <f t="shared" si="106"/>
        <v>Y</v>
      </c>
      <c r="X211" s="124">
        <f>VALUE(LEFT(AD211,4))-VALUE(LEFT(AD210,4))</f>
        <v>4</v>
      </c>
      <c r="Y211" s="77">
        <f t="shared" si="107"/>
        <v>4.7500000000000001E-2</v>
      </c>
      <c r="Z211" s="77">
        <f t="shared" si="108"/>
        <v>2.3304</v>
      </c>
      <c r="AA211" s="77">
        <f t="shared" si="109"/>
        <v>2.2829000000000002</v>
      </c>
      <c r="AB211" s="74" t="e">
        <f>VLOOKUP(A211,Enforcements!$C$7:$J$24,8,0)</f>
        <v>#N/A</v>
      </c>
      <c r="AC211" s="70" t="e">
        <f>VLOOKUP(A211,Enforcements!$C$7:$E$24,3,0)</f>
        <v>#N/A</v>
      </c>
      <c r="AD211" s="71" t="str">
        <f t="shared" si="110"/>
        <v>0315-02</v>
      </c>
      <c r="AE211" s="131" t="str">
        <f t="shared" si="111"/>
        <v>aws s3 cp s3://rtdc.mdm.uploadarchive/RTDC4009/2016-08-03/ "%USERPROFILE%\AppData\Local\Temp\OnboardLogs"\RTDC4009\2016-08-03 --recursive &amp; "%USERPROFILE%\Documents\GitHub\mrs-test-scripts\Headless Mode &amp; Sideloading\WalkAndUnGZ.bat" "%USERPROFILE%\AppData\Local\Temp\OnboardLogs"\RTDC4009\2016-08-03 &amp; aws s3 cp s3://rtdc.mdm.uploadarchive/RTDC4009/2016-08-04/ "%USERPROFILE%\AppData\Local\Temp\OnboardLogs"\RTDC4009\2016-08-04 --recursive &amp; "%USERPROFILE%\Documents\GitHub\mrs-test-scripts\Headless Mode &amp; Sideloading\WalkAndUnGZ.bat" "%USERPROFILE%\AppData\Local\Temp\OnboardLogs"\RTDC4009\2016-08-04</v>
      </c>
      <c r="AF211" s="128" t="str">
        <f t="shared" si="112"/>
        <v>"C:\Program Files (x86)\AstroGrep\AstroGrep.exe" /spath="%USERPROFILE%\AppData\Local\Temp\OnboardLogs" /stypes="*4009*20160803*" /stext=" 08:.+((SYSTEM_STATE.+slice.+state.+changed )|(ment ac)|(system.+state.+changed )|(\|lc)|(penalty)|(\[timeout)|(PRM\|1\|D)|(kpr)|(kdp))" /e /r /s</v>
      </c>
      <c r="AG211" s="1" t="str">
        <f t="shared" si="113"/>
        <v>GL</v>
      </c>
      <c r="AH211" s="132" t="str">
        <f>refinertdcruntimes&amp;" --tripid "&amp;A211&amp;" --locoid "&amp;B211&amp;" --swversion "&amp;C211&amp;" --startMP "&amp;D211&amp;" --initTime "&amp;TEXT(E211,"yyyy-mm-ddTHH:MM:SS")&amp;" --startdatetime "&amp;TEXT(F211,"yyyy-mm-ddTHH:MM:SS")&amp;" --delay "&amp;G211&amp;" --endMP "&amp;H211&amp;" --enddatetime "&amp;TEXT(I211,"yyyy-mm-ddTHH:MM:SS")&amp;" --enforcementcount "&amp;J211&amp;" &gt;&gt; "&amp;TEXT(Variables!$A$2,"yyyy-mm-dd")&amp;"-refined-runtimes.txt"</f>
        <v>"%USERPROFILE%\Documents\GitHub\eaglep3\Utilities\RefineRTDCRunTimes.py" --tripid 315-02 --locoid 4009 --swversion DE.1.0.7.0 --startMP 204:475 --initTime 2016-08-03T02:19:28 --startdatetime 2016-08-03T02:20:55 --delay 1 --endMP 300:23304 --enddatetime 2016-08-03T02:31:08 --enforcementcount 0 &gt;&gt; 2016-08-03-refined-runtimes.txt</v>
      </c>
    </row>
    <row r="212" spans="1:34" x14ac:dyDescent="0.25">
      <c r="A212" s="44" t="s">
        <v>709</v>
      </c>
      <c r="B212" s="7">
        <v>4040</v>
      </c>
      <c r="C212" s="25" t="s">
        <v>163</v>
      </c>
      <c r="D212" s="25" t="s">
        <v>396</v>
      </c>
      <c r="E212" s="16">
        <v>42586.088495370372</v>
      </c>
      <c r="F212" s="16">
        <v>42586.089618055557</v>
      </c>
      <c r="G212" s="7">
        <v>1</v>
      </c>
      <c r="H212" s="16" t="s">
        <v>710</v>
      </c>
      <c r="I212" s="16">
        <v>42586.095289351855</v>
      </c>
      <c r="J212" s="7">
        <v>0</v>
      </c>
      <c r="K212" s="121" t="str">
        <f t="shared" si="100"/>
        <v>4039/4040</v>
      </c>
      <c r="L212" s="25" t="str">
        <f>VLOOKUP(A212,'Trips&amp;Operators'!$C$1:$E$10000,3,FALSE)</f>
        <v>COOLAHAN</v>
      </c>
      <c r="M212" s="6">
        <f t="shared" si="101"/>
        <v>5.6712962978053838E-3</v>
      </c>
      <c r="N212" s="7">
        <f t="shared" si="102"/>
        <v>8.1666666688397527</v>
      </c>
      <c r="O212" s="7"/>
      <c r="P212" s="7"/>
      <c r="Q212" s="26"/>
      <c r="R212" s="26"/>
      <c r="S212" s="40">
        <f t="shared" si="103"/>
        <v>1</v>
      </c>
      <c r="T212" s="57" t="str">
        <f t="shared" si="104"/>
        <v>NorthBound</v>
      </c>
      <c r="U212" s="82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138" t="str">
        <f t="shared" si="105"/>
        <v>https://search-rtdc-monitor-bjffxe2xuh6vdkpspy63sjmuny.us-east-1.es.amazonaws.com/_plugin/kibana/#/discover/Steve-Slow-Train-Analysis-(2080s-and-2083s)?_g=(refreshInterval:(display:Off,section:0,value:0),time:(from:'2016-08-04 01:07:26-0600',mode:absolute,to:'2016-08-04 03:17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12" s="62" t="str">
        <f t="shared" si="106"/>
        <v>Y</v>
      </c>
      <c r="X212" s="124">
        <f>VALUE(LEFT(AD212,4))-VALUE(LEFT(AD211,4))</f>
        <v>0</v>
      </c>
      <c r="Y212" s="77">
        <f t="shared" si="107"/>
        <v>4.8800000000000003E-2</v>
      </c>
      <c r="Z212" s="77">
        <f t="shared" si="108"/>
        <v>2.2282000000000002</v>
      </c>
      <c r="AA212" s="77">
        <f t="shared" si="109"/>
        <v>2.1794000000000002</v>
      </c>
      <c r="AB212" s="74" t="e">
        <f>VLOOKUP(A212,Enforcements!$C$7:$J$24,8,0)</f>
        <v>#N/A</v>
      </c>
      <c r="AC212" s="70" t="e">
        <f>VLOOKUP(A212,Enforcements!$C$7:$E$24,3,0)</f>
        <v>#N/A</v>
      </c>
      <c r="AD212" s="71" t="str">
        <f t="shared" si="110"/>
        <v>0315-03</v>
      </c>
      <c r="AE212" s="131" t="str">
        <f t="shared" si="111"/>
        <v>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 &amp; aws s3 cp s3://rtdc.mdm.uploadarchive/RTDC4040/2016-08-05/ "%USERPROFILE%\AppData\Local\Temp\OnboardLogs"\RTDC4040\2016-08-05 --recursive &amp; "%USERPROFILE%\Documents\GitHub\mrs-test-scripts\Headless Mode &amp; Sideloading\WalkAndUnGZ.bat" "%USERPROFILE%\AppData\Local\Temp\OnboardLogs"\RTDC4040\2016-08-05</v>
      </c>
      <c r="AF212" s="128" t="str">
        <f t="shared" si="112"/>
        <v>"C:\Program Files (x86)\AstroGrep\AstroGrep.exe" /spath="%USERPROFILE%\AppData\Local\Temp\OnboardLogs" /stypes="*4040*20160804*" /stext=" 08:.+((SYSTEM_STATE.+slice.+state.+changed )|(ment ac)|(system.+state.+changed )|(\|lc)|(penalty)|(\[timeout)|(PRM\|1\|D)|(kpr)|(kdp))" /e /r /s</v>
      </c>
      <c r="AG212" s="1" t="str">
        <f t="shared" si="113"/>
        <v>GL</v>
      </c>
      <c r="AH212" s="132" t="str">
        <f>refinertdcruntimes&amp;" --tripid "&amp;A212&amp;" --locoid "&amp;B212&amp;" --swversion "&amp;C212&amp;" --startMP "&amp;D212&amp;" --initTime "&amp;TEXT(E212,"yyyy-mm-ddTHH:MM:SS")&amp;" --startdatetime "&amp;TEXT(F212,"yyyy-mm-ddTHH:MM:SS")&amp;" --delay "&amp;G212&amp;" --endMP "&amp;H212&amp;" --enddatetime "&amp;TEXT(I212,"yyyy-mm-ddTHH:MM:SS")&amp;" --enforcementcount "&amp;J212&amp;" &gt;&gt; "&amp;TEXT(Variables!$A$2,"yyyy-mm-dd")&amp;"-refined-runtimes.txt"</f>
        <v>"%USERPROFILE%\Documents\GitHub\eaglep3\Utilities\RefineRTDCRunTimes.py" --tripid 315-03 --locoid 4040 --swversion DE.1.0.7.0 --startMP 204:488 --initTime 2016-08-04T02:07:26 --startdatetime 2016-08-04T02:09:03 --delay 1 --endMP 300:22282 --enddatetime 2016-08-04T02:17:13 --enforcementcount 0 &gt;&gt; 2016-08-03-refined-runtimes.txt</v>
      </c>
    </row>
    <row r="213" spans="1:34" x14ac:dyDescent="0.25">
      <c r="A213" s="25" t="s">
        <v>786</v>
      </c>
      <c r="B213" s="94">
        <v>4016</v>
      </c>
      <c r="C213" s="95" t="s">
        <v>163</v>
      </c>
      <c r="D213" s="95" t="s">
        <v>787</v>
      </c>
      <c r="E213" s="96">
        <v>42585.354942129627</v>
      </c>
      <c r="F213" s="96">
        <v>42585.355729166666</v>
      </c>
      <c r="G213" s="94">
        <v>1</v>
      </c>
      <c r="H213" s="96" t="s">
        <v>788</v>
      </c>
      <c r="I213" s="96">
        <v>42585.363009259258</v>
      </c>
      <c r="J213" s="94">
        <v>0</v>
      </c>
      <c r="K213" s="121" t="str">
        <f t="shared" si="73"/>
        <v>4015/4016</v>
      </c>
      <c r="L213" s="25" t="str">
        <f>VLOOKUP(A213,'Trips&amp;Operators'!$C$1:$E$10000,3,FALSE)</f>
        <v>DAVIS</v>
      </c>
      <c r="M213" s="6">
        <f t="shared" si="74"/>
        <v>7.2800925918272696E-3</v>
      </c>
      <c r="N213" s="7">
        <f t="shared" si="72"/>
        <v>10.483333332231268</v>
      </c>
      <c r="O213" s="7"/>
      <c r="P213" s="7"/>
      <c r="Q213" s="26"/>
      <c r="R213" s="26"/>
      <c r="S213" s="40">
        <f t="shared" si="75"/>
        <v>1</v>
      </c>
      <c r="T213" s="57" t="str">
        <f t="shared" si="76"/>
        <v>NorthBound</v>
      </c>
      <c r="U213" s="82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07:31:07-0600',mode:absolute,to:'2016-08-03 09:42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13" s="62" t="str">
        <f t="shared" si="78"/>
        <v>Y</v>
      </c>
      <c r="X213" s="124">
        <f>VALUE(LEFT(AD213,4))-VALUE(LEFT(AD206,4))</f>
        <v>56</v>
      </c>
      <c r="Y213" s="77">
        <f t="shared" si="80"/>
        <v>9.7199999999999995E-2</v>
      </c>
      <c r="Z213" s="77">
        <f t="shared" si="81"/>
        <v>2.4178000000000002</v>
      </c>
      <c r="AA213" s="77">
        <f t="shared" si="82"/>
        <v>2.3206000000000002</v>
      </c>
      <c r="AB213" s="74" t="e">
        <f>VLOOKUP(A213,Enforcements!$C$7:$J$24,8,0)</f>
        <v>#N/A</v>
      </c>
      <c r="AC213" s="70" t="e">
        <f>VLOOKUP(A213,Enforcements!$C$7:$E$24,3,0)</f>
        <v>#N/A</v>
      </c>
      <c r="AD213" s="71" t="str">
        <f t="shared" si="83"/>
        <v>0903-03</v>
      </c>
      <c r="AE213" s="131" t="str">
        <f t="shared" si="84"/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AF213" s="128" t="str">
        <f t="shared" si="85"/>
        <v>"C:\Program Files (x86)\AstroGrep\AstroGrep.exe" /spath="%USERPROFILE%\AppData\Local\Temp\OnboardLogs" /stypes="*4016*20160803*" /stext=" 14:.+((SYSTEM_STATE.+slice.+state.+changed )|(ment ac)|(system.+state.+changed )|(\|lc)|(penalty)|(\[timeout)|(PRM\|1\|D)|(kpr)|(kdp))" /e /r /s</v>
      </c>
      <c r="AG213" s="1" t="str">
        <f t="shared" si="86"/>
        <v>GL</v>
      </c>
      <c r="AH213" s="132" t="str">
        <f>refinertdcruntimes&amp;" --tripid "&amp;A213&amp;" --locoid "&amp;B213&amp;" --swversion "&amp;C213&amp;" --startMP "&amp;D213&amp;" --initTime "&amp;TEXT(E213,"yyyy-mm-ddTHH:MM:SS")&amp;" --startdatetime "&amp;TEXT(F213,"yyyy-mm-ddTHH:MM:SS")&amp;" --delay "&amp;G213&amp;" --endMP "&amp;H213&amp;" --enddatetime "&amp;TEXT(I213,"yyyy-mm-ddTHH:MM:SS")&amp;" --enforcementcount "&amp;J213&amp;" &gt;&gt; "&amp;TEXT(Variables!$A$2,"yyyy-mm-dd")&amp;"-refined-runtimes.txt"</f>
        <v>"%USERPROFILE%\Documents\GitHub\eaglep3\Utilities\RefineRTDCRunTimes.py" --tripid 903-03 --locoid 4016 --swversion DE.1.0.7.0 --startMP 204:972 --initTime 2016-08-03T08:31:07 --startdatetime 2016-08-03T08:32:15 --delay 1 --endMP 300:24178 --enddatetime 2016-08-03T08:42:44 --enforcementcount 0 &gt;&gt; 2016-08-03-refined-runtimes.txt</v>
      </c>
    </row>
    <row r="214" spans="1:34" x14ac:dyDescent="0.25">
      <c r="A214" s="25" t="s">
        <v>518</v>
      </c>
      <c r="B214" s="94">
        <v>4015</v>
      </c>
      <c r="C214" s="95" t="s">
        <v>163</v>
      </c>
      <c r="D214" s="95" t="s">
        <v>789</v>
      </c>
      <c r="E214" s="96">
        <v>42585.644375000003</v>
      </c>
      <c r="F214" s="96">
        <v>42585.645636574074</v>
      </c>
      <c r="G214" s="94">
        <v>1</v>
      </c>
      <c r="H214" s="96" t="s">
        <v>790</v>
      </c>
      <c r="I214" s="96">
        <v>42585.649467592593</v>
      </c>
      <c r="J214" s="94">
        <v>1</v>
      </c>
      <c r="K214" s="121" t="str">
        <f t="shared" si="73"/>
        <v>4015/4016</v>
      </c>
      <c r="L214" s="25" t="str">
        <f>VLOOKUP(A214,'Trips&amp;Operators'!$C$1:$E$10000,3,FALSE)</f>
        <v>ROBINSON</v>
      </c>
      <c r="M214" s="6">
        <f t="shared" si="74"/>
        <v>3.8310185191221535E-3</v>
      </c>
      <c r="N214" s="7">
        <f t="shared" si="72"/>
        <v>5.5166666675359011</v>
      </c>
      <c r="O214" s="7"/>
      <c r="P214" s="7"/>
      <c r="Q214" s="26"/>
      <c r="R214" s="26"/>
      <c r="S214" s="40">
        <f t="shared" si="75"/>
        <v>0</v>
      </c>
      <c r="T214" s="57" t="str">
        <f t="shared" si="76"/>
        <v>Southbound</v>
      </c>
      <c r="U214" s="82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14:27:54-0600',mode:absolute,to:'2016-08-03 16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14" s="62" t="str">
        <f t="shared" si="78"/>
        <v>Y</v>
      </c>
      <c r="X214" s="124">
        <f t="shared" si="79"/>
        <v>1</v>
      </c>
      <c r="Y214" s="77">
        <f t="shared" si="80"/>
        <v>2.4476</v>
      </c>
      <c r="Z214" s="77">
        <f t="shared" si="81"/>
        <v>2.4079999999999999</v>
      </c>
      <c r="AA214" s="77">
        <f t="shared" si="82"/>
        <v>3.960000000000008E-2</v>
      </c>
      <c r="AB214" s="74" t="e">
        <f>VLOOKUP(A214,Enforcements!$C$7:$J$24,8,0)</f>
        <v>#N/A</v>
      </c>
      <c r="AC214" s="70" t="e">
        <f>VLOOKUP(A214,Enforcements!$C$7:$E$24,3,0)</f>
        <v>#N/A</v>
      </c>
      <c r="AD214" s="71" t="str">
        <f t="shared" si="83"/>
        <v>0904-03</v>
      </c>
      <c r="AE214" s="131" t="str">
        <f t="shared" si="84"/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AF214" s="128" t="str">
        <f t="shared" si="85"/>
        <v>"C:\Program Files (x86)\AstroGrep\AstroGrep.exe" /spath="%USERPROFILE%\AppData\Local\Temp\OnboardLogs" /stypes="*4015*20160803*" /stext=" 21:.+((SYSTEM_STATE.+slice.+state.+changed )|(ment ac)|(system.+state.+changed )|(\|lc)|(penalty)|(\[timeout)|(PRM\|1\|D)|(kpr)|(kdp))" /e /r /s</v>
      </c>
      <c r="AG214" s="1" t="str">
        <f t="shared" si="86"/>
        <v>GL</v>
      </c>
      <c r="AH214" s="132" t="str">
        <f>refinertdcruntimes&amp;" --tripid "&amp;A214&amp;" --locoid "&amp;B214&amp;" --swversion "&amp;C214&amp;" --startMP "&amp;D214&amp;" --initTime "&amp;TEXT(E214,"yyyy-mm-ddTHH:MM:SS")&amp;" --startdatetime "&amp;TEXT(F214,"yyyy-mm-ddTHH:MM:SS")&amp;" --delay "&amp;G214&amp;" --endMP "&amp;H214&amp;" --enddatetime "&amp;TEXT(I214,"yyyy-mm-ddTHH:MM:SS")&amp;" --enforcementcount "&amp;J214&amp;" &gt;&gt; "&amp;TEXT(Variables!$A$2,"yyyy-mm-dd")&amp;"-refined-runtimes.txt"</f>
        <v>"%USERPROFILE%\Documents\GitHub\eaglep3\Utilities\RefineRTDCRunTimes.py" --tripid 904-03 --locoid 4015 --swversion DE.1.0.7.0 --startMP 300:24476 --initTime 2016-08-03T15:27:54 --startdatetime 2016-08-03T15:29:43 --delay 1 --endMP 300:24080 --enddatetime 2016-08-03T15:35:14 --enforcementcount 1 &gt;&gt; 2016-08-03-refined-runtimes.txt</v>
      </c>
    </row>
    <row r="215" spans="1:34" x14ac:dyDescent="0.25">
      <c r="A215" s="25" t="s">
        <v>791</v>
      </c>
      <c r="B215" s="94">
        <v>4008</v>
      </c>
      <c r="C215" s="95" t="s">
        <v>163</v>
      </c>
      <c r="D215" s="95" t="s">
        <v>792</v>
      </c>
      <c r="E215" s="96">
        <v>42585.945185185185</v>
      </c>
      <c r="F215" s="96">
        <v>42585.94599537037</v>
      </c>
      <c r="G215" s="94">
        <v>1</v>
      </c>
      <c r="H215" s="96" t="s">
        <v>793</v>
      </c>
      <c r="I215" s="96">
        <v>42585.954710648148</v>
      </c>
      <c r="J215" s="94">
        <v>0</v>
      </c>
      <c r="K215" s="121" t="str">
        <f t="shared" si="73"/>
        <v>4007/4008</v>
      </c>
      <c r="L215" s="25" t="str">
        <f>VLOOKUP(A215,'Trips&amp;Operators'!$C$1:$E$10000,3,FALSE)</f>
        <v>ROBINSON</v>
      </c>
      <c r="M215" s="6">
        <f t="shared" si="74"/>
        <v>8.7152777778101154E-3</v>
      </c>
      <c r="N215" s="7">
        <f t="shared" si="72"/>
        <v>12.550000000046566</v>
      </c>
      <c r="O215" s="7"/>
      <c r="P215" s="7"/>
      <c r="Q215" s="26"/>
      <c r="R215" s="26"/>
      <c r="S215" s="40">
        <f t="shared" si="75"/>
        <v>0</v>
      </c>
      <c r="T215" s="57" t="str">
        <f t="shared" si="76"/>
        <v>Southbound</v>
      </c>
      <c r="U215" s="82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0</v>
      </c>
      <c r="V215" s="138" t="str">
        <f t="shared" si="77"/>
        <v>https://search-rtdc-monitor-bjffxe2xuh6vdkpspy63sjmuny.us-east-1.es.amazonaws.com/_plugin/kibana/#/discover/Steve-Slow-Train-Analysis-(2080s-and-2083s)?_g=(refreshInterval:(display:Off,section:0,value:0),time:(from:'2016-08-03 21:41:04-0600',mode:absolute,to:'2016-08-03 23:54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15" s="62" t="str">
        <f t="shared" si="78"/>
        <v>Y</v>
      </c>
      <c r="X215" s="124">
        <f t="shared" si="79"/>
        <v>4</v>
      </c>
      <c r="Y215" s="77">
        <f t="shared" si="80"/>
        <v>5.8592000000000004</v>
      </c>
      <c r="Z215" s="77">
        <f t="shared" si="81"/>
        <v>2.1793</v>
      </c>
      <c r="AA215" s="77">
        <f t="shared" si="82"/>
        <v>3.6799000000000004</v>
      </c>
      <c r="AB215" s="74" t="e">
        <f>VLOOKUP(A215,Enforcements!$C$7:$J$24,8,0)</f>
        <v>#N/A</v>
      </c>
      <c r="AC215" s="70" t="e">
        <f>VLOOKUP(A215,Enforcements!$C$7:$E$24,3,0)</f>
        <v>#N/A</v>
      </c>
      <c r="AD215" s="71" t="str">
        <f t="shared" si="83"/>
        <v>0908-03</v>
      </c>
      <c r="AE215" s="131" t="str">
        <f t="shared" si="84"/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AF215" s="128" t="str">
        <f t="shared" si="85"/>
        <v>"C:\Program Files (x86)\AstroGrep\AstroGrep.exe" /spath="%USERPROFILE%\AppData\Local\Temp\OnboardLogs" /stypes="*4008*20160804*" /stext=" 04:.+((SYSTEM_STATE.+slice.+state.+changed )|(ment ac)|(system.+state.+changed )|(\|lc)|(penalty)|(\[timeout)|(PRM\|1\|D)|(kpr)|(kdp))" /e /r /s</v>
      </c>
      <c r="AG215" s="1" t="str">
        <f t="shared" si="86"/>
        <v>GL</v>
      </c>
      <c r="AH215" s="132" t="str">
        <f>refinertdcruntimes&amp;" --tripid "&amp;A215&amp;" --locoid "&amp;B215&amp;" --swversion "&amp;C215&amp;" --startMP "&amp;D215&amp;" --initTime "&amp;TEXT(E215,"yyyy-mm-ddTHH:MM:SS")&amp;" --startdatetime "&amp;TEXT(F215,"yyyy-mm-ddTHH:MM:SS")&amp;" --delay "&amp;G215&amp;" --endMP "&amp;H215&amp;" --enddatetime "&amp;TEXT(I215,"yyyy-mm-ddTHH:MM:SS")&amp;" --enforcementcount "&amp;J215&amp;" &gt;&gt; "&amp;TEXT(Variables!$A$2,"yyyy-mm-dd")&amp;"-refined-runtimes.txt"</f>
        <v>"%USERPROFILE%\Documents\GitHub\eaglep3\Utilities\RefineRTDCRunTimes.py" --tripid 908-03 --locoid 4008 --swversion DE.1.0.7.0 --startMP 300:58592 --initTime 2016-08-03T22:41:04 --startdatetime 2016-08-03T22:42:14 --delay 1 --endMP 300:21793 --enddatetime 2016-08-03T22:54:47 --enforcementcount 0 &gt;&gt; 2016-08-03-refined-runtimes.txt</v>
      </c>
    </row>
  </sheetData>
  <autoFilter ref="A12:AG215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11" priority="79" operator="equal">
      <formula>"Y"</formula>
    </cfRule>
  </conditionalFormatting>
  <conditionalFormatting sqref="X13:X1048576">
    <cfRule type="cellIs" dxfId="10" priority="62" operator="greaterThan">
      <formula>1</formula>
    </cfRule>
  </conditionalFormatting>
  <conditionalFormatting sqref="X12:X1048576">
    <cfRule type="cellIs" dxfId="9" priority="59" operator="equal">
      <formula>0</formula>
    </cfRule>
  </conditionalFormatting>
  <conditionalFormatting sqref="A203:J205 A13:S14 K15:S48 S49 K49:Q49 A15:J152 A155:J191 A207:J212 A195:J199 K50:S215">
    <cfRule type="expression" dxfId="8" priority="55">
      <formula>$O13&gt;0</formula>
    </cfRule>
  </conditionalFormatting>
  <conditionalFormatting sqref="A203:J205 A13:S14 K15:S48 S49 K49:Q49 A15:J152 A155:J191 A207:J212 A195:J199 K50:S215">
    <cfRule type="expression" dxfId="7" priority="54">
      <formula>$P13&gt;0</formula>
    </cfRule>
  </conditionalFormatting>
  <conditionalFormatting sqref="R49">
    <cfRule type="expression" dxfId="6" priority="3">
      <formula>$O49&gt;0</formula>
    </cfRule>
  </conditionalFormatting>
  <conditionalFormatting sqref="R49">
    <cfRule type="expression" dxfId="5" priority="2">
      <formula>$P49&gt;0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A203:J205 A13:S14 K15:S48 S49 K49:Q49 A15:J152 A155:J191 A207:J212 A195:J199 K50:S215</xm:sqref>
        </x14:conditionalFormatting>
        <x14:conditionalFormatting xmlns:xm="http://schemas.microsoft.com/office/excel/2006/main">
          <x14:cfRule type="expression" priority="1" id="{ABADED30-2F86-4DF6-BCEA-DDDE6411FBB8}">
            <xm:f>IF($AG49="EC",$N49&gt;'[Train Runs and Enforcements 2016-08-02.xlsx]Variables'!#REF!,$N49&gt;'[Train Runs and Enforcements 2016-08-02.xlsx]Variables'!#REF!)</xm:f>
            <x14:dxf>
              <fill>
                <patternFill>
                  <bgColor theme="5" tint="0.79998168889431442"/>
                </patternFill>
              </fill>
            </x14:dxf>
          </x14:cfRule>
          <xm:sqref>R49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/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3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29" customWidth="1"/>
    <col min="18" max="18" width="6" customWidth="1"/>
    <col min="19" max="19" width="5.28515625" customWidth="1"/>
    <col min="20" max="20" width="20" style="55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3"/>
      <c r="Q1" s="29"/>
      <c r="T1" s="55"/>
    </row>
    <row r="2" spans="1:22" s="24" customFormat="1" ht="30" x14ac:dyDescent="0.25">
      <c r="A2" s="8"/>
      <c r="F2" s="2"/>
      <c r="G2" s="2"/>
      <c r="H2" s="2"/>
      <c r="J2" s="2"/>
      <c r="K2" s="41" t="s">
        <v>98</v>
      </c>
      <c r="L2" s="84"/>
      <c r="M2" s="86">
        <f>COUNTIF($M$7:$M$499,"=Y")</f>
        <v>44</v>
      </c>
      <c r="Q2" s="29"/>
      <c r="T2" s="55"/>
    </row>
    <row r="3" spans="1:22" s="24" customFormat="1" ht="15.75" thickBot="1" x14ac:dyDescent="0.3">
      <c r="A3" s="8"/>
      <c r="F3" s="2"/>
      <c r="G3" s="2"/>
      <c r="H3" s="2"/>
      <c r="J3" s="2"/>
      <c r="K3" s="42" t="s">
        <v>99</v>
      </c>
      <c r="L3" s="85"/>
      <c r="M3" s="87">
        <f>COUNTA($M$7:$M$499)-M2</f>
        <v>33</v>
      </c>
      <c r="Q3" s="29"/>
      <c r="T3" s="55"/>
    </row>
    <row r="4" spans="1:22" s="24" customFormat="1" x14ac:dyDescent="0.25">
      <c r="A4" s="8"/>
      <c r="F4" s="2"/>
      <c r="G4" s="2"/>
      <c r="H4" s="2"/>
      <c r="J4" s="2"/>
      <c r="L4" s="33"/>
      <c r="Q4" s="29"/>
      <c r="T4" s="55"/>
    </row>
    <row r="5" spans="1:22" s="12" customFormat="1" ht="15" customHeight="1" x14ac:dyDescent="0.25">
      <c r="A5" s="140" t="str">
        <f>"Eagle P3 Braking Events - "&amp;TEXT(Variables!$A$2,"YYYY-mm-dd")</f>
        <v>Eagle P3 Braking Events - 2016-08-03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3"/>
      <c r="Q5" s="28"/>
      <c r="T5" s="56"/>
    </row>
    <row r="6" spans="1:22" s="1" customFormat="1" ht="105" x14ac:dyDescent="0.25">
      <c r="A6" s="11" t="s">
        <v>38</v>
      </c>
      <c r="B6" s="88" t="s">
        <v>37</v>
      </c>
      <c r="C6" s="88" t="s">
        <v>36</v>
      </c>
      <c r="D6" s="88" t="s">
        <v>35</v>
      </c>
      <c r="E6" s="88" t="s">
        <v>34</v>
      </c>
      <c r="F6" s="89" t="s">
        <v>33</v>
      </c>
      <c r="G6" s="89" t="s">
        <v>32</v>
      </c>
      <c r="H6" s="89" t="s">
        <v>31</v>
      </c>
      <c r="I6" s="88" t="s">
        <v>30</v>
      </c>
      <c r="J6" s="89" t="s">
        <v>29</v>
      </c>
      <c r="K6" s="88" t="s">
        <v>28</v>
      </c>
      <c r="L6" s="17" t="s">
        <v>47</v>
      </c>
      <c r="M6" s="88" t="s">
        <v>27</v>
      </c>
      <c r="N6" s="88" t="s">
        <v>24</v>
      </c>
      <c r="O6" s="57"/>
      <c r="P6" s="90" t="s">
        <v>124</v>
      </c>
      <c r="Q6" s="90" t="s">
        <v>66</v>
      </c>
      <c r="R6" s="91" t="s">
        <v>123</v>
      </c>
      <c r="S6" s="88" t="s">
        <v>118</v>
      </c>
      <c r="T6" s="92" t="s">
        <v>119</v>
      </c>
      <c r="U6" s="57" t="s">
        <v>135</v>
      </c>
      <c r="V6" s="57" t="s">
        <v>141</v>
      </c>
    </row>
    <row r="7" spans="1:22" s="1" customFormat="1" x14ac:dyDescent="0.25">
      <c r="A7" s="43">
        <v>42585.715520833335</v>
      </c>
      <c r="B7" s="36" t="s">
        <v>200</v>
      </c>
      <c r="C7" s="36" t="s">
        <v>524</v>
      </c>
      <c r="D7" s="36" t="s">
        <v>49</v>
      </c>
      <c r="E7" s="36" t="s">
        <v>131</v>
      </c>
      <c r="F7" s="54">
        <v>0</v>
      </c>
      <c r="G7" s="54">
        <v>227</v>
      </c>
      <c r="H7" s="54">
        <v>33297</v>
      </c>
      <c r="I7" s="36" t="s">
        <v>132</v>
      </c>
      <c r="J7" s="54">
        <v>33257</v>
      </c>
      <c r="K7" s="36" t="s">
        <v>53</v>
      </c>
      <c r="L7" s="122" t="str">
        <f>VLOOKUP(C7,'Trips&amp;Operators'!$C$1:$E$9999,3,0)</f>
        <v>STORY</v>
      </c>
      <c r="M7" s="9" t="s">
        <v>96</v>
      </c>
      <c r="N7" s="10"/>
      <c r="O7" s="36"/>
      <c r="P7" s="60" t="str">
        <f>VLOOKUP(C7,'Train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7" s="58" t="str">
        <f>VLOOKUP(C7,'Train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7" s="59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/spath="%USERPROFILE%\AppData\Local\Temp\OnboardLogs" /stypes="*4037*201608032*" /stext=" 23:.+((SYSTEM_STATE.+slice.+state.+changed )|(ment ac)|(system.+state.+changed )|(\|lc)|(penalty)|(\[timeout)|(PRM\|1\|D)|(kpr)|(kdp))" /e /r /s</v>
      </c>
      <c r="S7" s="9" t="str">
        <f t="shared" ref="S7:S38" si="1">MID(B7,13,4)</f>
        <v>4037</v>
      </c>
      <c r="T7" s="43">
        <f t="shared" ref="T7:T38" si="2">A7+6/24</f>
        <v>42585.965520833335</v>
      </c>
      <c r="U7" s="57" t="str">
        <f t="shared" ref="U7:U38" si="3">IF(VALUE(LEFT(IF(LEN(C7)=6,"0"&amp;C7,C7),2))&lt;=2,"EC",IF(OR(VALUE(LEFT(IF(LEN(C7)=6,"0"&amp;C7,C7),2))=8,VALUE(LEFT(IF(LEN(C7)=6,"0"&amp;C7,C7),2))=18),"NW","GL"))</f>
        <v>EC</v>
      </c>
      <c r="V7" s="57" t="str">
        <f t="shared" ref="V7:V38" si="4">IF(AND(E7="TRACK WARRANT AUTHORITY",G7&lt;10),"OMIT","KEEP")</f>
        <v>KEEP</v>
      </c>
    </row>
    <row r="8" spans="1:22" s="1" customFormat="1" x14ac:dyDescent="0.25">
      <c r="A8" s="43">
        <v>42585.792685185188</v>
      </c>
      <c r="B8" s="36" t="s">
        <v>70</v>
      </c>
      <c r="C8" s="36" t="s">
        <v>532</v>
      </c>
      <c r="D8" s="36" t="s">
        <v>49</v>
      </c>
      <c r="E8" s="36" t="s">
        <v>131</v>
      </c>
      <c r="F8" s="54">
        <v>0</v>
      </c>
      <c r="G8" s="54">
        <v>253</v>
      </c>
      <c r="H8" s="54">
        <v>33391</v>
      </c>
      <c r="I8" s="36" t="s">
        <v>132</v>
      </c>
      <c r="J8" s="54">
        <v>33257</v>
      </c>
      <c r="K8" s="36" t="s">
        <v>53</v>
      </c>
      <c r="L8" s="122" t="str">
        <f>VLOOKUP(C8,'Trips&amp;Operators'!$C$1:$E$9999,3,0)</f>
        <v>STORY</v>
      </c>
      <c r="M8" s="9" t="s">
        <v>96</v>
      </c>
      <c r="N8" s="10"/>
      <c r="O8" s="36"/>
      <c r="P8" s="60" t="str">
        <f>VLOOKUP(C8,'Train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8" s="58" t="str">
        <f>VLOOKUP(C8,'Train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8" s="59" t="str">
        <f t="shared" si="0"/>
        <v>"C:\Program Files (x86)\AstroGrep\AstroGrep.exe" /spath="%USERPROFILE%\AppData\Local\Temp\OnboardLogs" /stypes="*4017*201608040*" /stext=" 01:.+((SYSTEM_STATE.+slice.+state.+changed )|(ment ac)|(system.+state.+changed )|(\|lc)|(penalty)|(\[timeout)|(PRM\|1\|D)|(kpr)|(kdp))" /e /r /s</v>
      </c>
      <c r="S8" s="9" t="str">
        <f t="shared" si="1"/>
        <v>4017</v>
      </c>
      <c r="T8" s="43">
        <f t="shared" si="2"/>
        <v>42586.042685185188</v>
      </c>
      <c r="U8" s="57" t="str">
        <f t="shared" si="3"/>
        <v>EC</v>
      </c>
      <c r="V8" s="57" t="str">
        <f t="shared" si="4"/>
        <v>KEEP</v>
      </c>
    </row>
    <row r="9" spans="1:22" s="1" customFormat="1" x14ac:dyDescent="0.25">
      <c r="A9" s="43">
        <v>42585.55574074074</v>
      </c>
      <c r="B9" s="36" t="s">
        <v>200</v>
      </c>
      <c r="C9" s="36" t="s">
        <v>510</v>
      </c>
      <c r="D9" s="36" t="s">
        <v>49</v>
      </c>
      <c r="E9" s="36" t="s">
        <v>131</v>
      </c>
      <c r="F9" s="54">
        <v>100</v>
      </c>
      <c r="G9" s="54">
        <v>410</v>
      </c>
      <c r="H9" s="54">
        <v>65682</v>
      </c>
      <c r="I9" s="36" t="s">
        <v>132</v>
      </c>
      <c r="J9" s="54">
        <v>63309</v>
      </c>
      <c r="K9" s="36" t="s">
        <v>53</v>
      </c>
      <c r="L9" s="122" t="str">
        <f>VLOOKUP(C9,'Trips&amp;Operators'!$C$1:$E$9999,3,0)</f>
        <v>STORY</v>
      </c>
      <c r="M9" s="9" t="s">
        <v>96</v>
      </c>
      <c r="N9" s="10"/>
      <c r="O9" s="36"/>
      <c r="P9" s="60" t="str">
        <f>VLOOKUP(C9,'Train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9" s="58" t="str">
        <f>VLOOKUP(C9,'Train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59" t="str">
        <f t="shared" si="0"/>
        <v>"C:\Program Files (x86)\AstroGrep\AstroGrep.exe" /spath="%USERPROFILE%\AppData\Local\Temp\OnboardLogs" /stypes="*4037*201608031*" /stext=" 19:.+((SYSTEM_STATE.+slice.+state.+changed )|(ment ac)|(system.+state.+changed )|(\|lc)|(penalty)|(\[timeout)|(PRM\|1\|D)|(kpr)|(kdp))" /e /r /s</v>
      </c>
      <c r="S9" s="9" t="str">
        <f t="shared" si="1"/>
        <v>4037</v>
      </c>
      <c r="T9" s="43">
        <f t="shared" si="2"/>
        <v>42585.80574074074</v>
      </c>
      <c r="U9" s="57" t="str">
        <f t="shared" si="3"/>
        <v>EC</v>
      </c>
      <c r="V9" s="57" t="str">
        <f t="shared" si="4"/>
        <v>KEEP</v>
      </c>
    </row>
    <row r="10" spans="1:22" s="1" customFormat="1" x14ac:dyDescent="0.25">
      <c r="A10" s="43">
        <v>42585.757974537039</v>
      </c>
      <c r="B10" s="36" t="s">
        <v>373</v>
      </c>
      <c r="C10" s="36" t="s">
        <v>530</v>
      </c>
      <c r="D10" s="36" t="s">
        <v>49</v>
      </c>
      <c r="E10" s="36" t="s">
        <v>131</v>
      </c>
      <c r="F10" s="54">
        <v>140</v>
      </c>
      <c r="G10" s="54">
        <v>194</v>
      </c>
      <c r="H10" s="54">
        <v>63746</v>
      </c>
      <c r="I10" s="36" t="s">
        <v>132</v>
      </c>
      <c r="J10" s="54">
        <v>63309</v>
      </c>
      <c r="K10" s="36" t="s">
        <v>53</v>
      </c>
      <c r="L10" s="122" t="str">
        <f>VLOOKUP(C10,'Trips&amp;Operators'!$C$1:$E$9999,3,0)</f>
        <v>ARNOLD</v>
      </c>
      <c r="M10" s="9" t="s">
        <v>96</v>
      </c>
      <c r="N10" s="10"/>
      <c r="O10" s="36"/>
      <c r="P10" s="60" t="str">
        <f>VLOOKUP(C10,'Train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10" s="58" t="str">
        <f>VLOOKUP(C10,'Train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10" s="59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10" s="9" t="str">
        <f t="shared" si="1"/>
        <v>4039</v>
      </c>
      <c r="T10" s="43">
        <f t="shared" si="2"/>
        <v>42586.007974537039</v>
      </c>
      <c r="U10" s="57" t="str">
        <f t="shared" si="3"/>
        <v>EC</v>
      </c>
      <c r="V10" s="57" t="str">
        <f t="shared" si="4"/>
        <v>KEEP</v>
      </c>
    </row>
    <row r="11" spans="1:22" s="1" customFormat="1" x14ac:dyDescent="0.25">
      <c r="A11" s="43">
        <v>42585.683287037034</v>
      </c>
      <c r="B11" s="36" t="s">
        <v>162</v>
      </c>
      <c r="C11" s="36" t="s">
        <v>521</v>
      </c>
      <c r="D11" s="36" t="s">
        <v>49</v>
      </c>
      <c r="E11" s="36" t="s">
        <v>131</v>
      </c>
      <c r="F11" s="54">
        <v>0</v>
      </c>
      <c r="G11" s="54">
        <v>105</v>
      </c>
      <c r="H11" s="54">
        <v>77827</v>
      </c>
      <c r="I11" s="36" t="s">
        <v>132</v>
      </c>
      <c r="J11" s="54">
        <v>78349</v>
      </c>
      <c r="K11" s="36" t="s">
        <v>52</v>
      </c>
      <c r="L11" s="122" t="str">
        <f>VLOOKUP(C11,'Trips&amp;Operators'!$C$1:$E$9999,3,0)</f>
        <v>SWANSON</v>
      </c>
      <c r="M11" s="9" t="s">
        <v>96</v>
      </c>
      <c r="N11" s="10"/>
      <c r="O11" s="36"/>
      <c r="P11" s="60" t="str">
        <f>VLOOKUP(C11,'Train Runs'!$A$13:$AE$683,31,0)</f>
        <v>aws s3 cp s3://rtdc.mdm.uploadarchive/RTDC4014/2016-08-03/ "%USERPROFILE%\AppData\Local\Temp\OnboardLogs"\RTDC4014\2016-08-03 --recursive &amp; "%USERPROFILE%\Documents\GitHub\mrs-test-scripts\Headless Mode &amp; Sideloading\WalkAndUnGZ.bat" "%USERPROFILE%\AppData\Local\Temp\OnboardLogs"\RTDC4014\2016-08-03 &amp; aws s3 cp s3://rtdc.mdm.uploadarchive/RTDC4014/2016-08-04/ "%USERPROFILE%\AppData\Local\Temp\OnboardLogs"\RTDC4014\2016-08-04 --recursive &amp; "%USERPROFILE%\Documents\GitHub\mrs-test-scripts\Headless Mode &amp; Sideloading\WalkAndUnGZ.bat" "%USERPROFILE%\AppData\Local\Temp\OnboardLogs"\RTDC4014\2016-08-04</v>
      </c>
      <c r="Q11" s="58" t="str">
        <f>VLOOKUP(C11,'Train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15:02:03-0600',mode:absolute,to:'2016-08-03 17:51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11" s="59" t="str">
        <f t="shared" si="0"/>
        <v>"C:\Program Files (x86)\AstroGrep\AstroGrep.exe" /spath="%USERPROFILE%\AppData\Local\Temp\OnboardLogs" /stypes="*4014*201608032*" /stext=" 22:.+((SYSTEM_STATE.+slice.+state.+changed )|(ment ac)|(system.+state.+changed )|(\|lc)|(penalty)|(\[timeout)|(PRM\|1\|D)|(kpr)|(kdp))" /e /r /s</v>
      </c>
      <c r="S11" s="9" t="str">
        <f t="shared" si="1"/>
        <v>4014</v>
      </c>
      <c r="T11" s="43">
        <f t="shared" si="2"/>
        <v>42585.933287037034</v>
      </c>
      <c r="U11" s="57" t="str">
        <f t="shared" si="3"/>
        <v>EC</v>
      </c>
      <c r="V11" s="57" t="str">
        <f t="shared" si="4"/>
        <v>KEEP</v>
      </c>
    </row>
    <row r="12" spans="1:22" s="1" customFormat="1" x14ac:dyDescent="0.25">
      <c r="A12" s="43">
        <v>42585.621215277781</v>
      </c>
      <c r="B12" s="36" t="s">
        <v>153</v>
      </c>
      <c r="C12" s="36" t="s">
        <v>516</v>
      </c>
      <c r="D12" s="36" t="s">
        <v>49</v>
      </c>
      <c r="E12" s="36" t="s">
        <v>131</v>
      </c>
      <c r="F12" s="54">
        <v>0</v>
      </c>
      <c r="G12" s="54">
        <v>54</v>
      </c>
      <c r="H12" s="54">
        <v>108458</v>
      </c>
      <c r="I12" s="36" t="s">
        <v>132</v>
      </c>
      <c r="J12" s="54">
        <v>108954</v>
      </c>
      <c r="K12" s="36" t="s">
        <v>52</v>
      </c>
      <c r="L12" s="122" t="str">
        <f>VLOOKUP(C12,'Trips&amp;Operators'!$C$1:$E$9999,3,0)</f>
        <v>OUN</v>
      </c>
      <c r="M12" s="9" t="s">
        <v>96</v>
      </c>
      <c r="N12" s="10"/>
      <c r="O12" s="36"/>
      <c r="P12" s="60" t="str">
        <f>VLOOKUP(C12,'Train Runs'!$A$13:$AE$683,31,0)</f>
        <v>aws s3 cp s3://rtdc.mdm.uploadarchive/RTDC4011/2016-08-03/ "%USERPROFILE%\AppData\Local\Temp\OnboardLogs"\RTDC4011\2016-08-03 --recursive &amp; "%USERPROFILE%\Documents\GitHub\mrs-test-scripts\Headless Mode &amp; Sideloading\WalkAndUnGZ.bat" "%USERPROFILE%\AppData\Local\Temp\OnboardLogs"\RTDC4011\2016-08-03 &amp; 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</v>
      </c>
      <c r="Q12" s="58" t="str">
        <f>VLOOKUP(C12,'Train Runs'!$A$13:$AE$683,22,0)</f>
        <v>https://search-rtdc-monitor-bjffxe2xuh6vdkpspy63sjmuny.us-east-1.es.amazonaws.com/_plugin/kibana/#/discover/Steve-Slow-Train-Analysis-(2080s-and-2083s)?_g=(refreshInterval:(display:Off,section:0,value:0),time:(from:'2016-08-03 13:28:31-0600',mode:absolute,to:'2016-08-03 16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12" s="59" t="str">
        <f t="shared" si="0"/>
        <v>"C:\Program Files (x86)\AstroGrep\AstroGrep.exe" /spath="%USERPROFILE%\AppData\Local\Temp\OnboardLogs" /stypes="*4011*201608032*" /stext=" 20:.+((SYSTEM_STATE.+slice.+state.+changed )|(ment ac)|(system.+state.+changed )|(\|lc)|(penalty)|(\[timeout)|(PRM\|1\|D)|(kpr)|(kdp))" /e /r /s</v>
      </c>
      <c r="S12" s="9" t="str">
        <f t="shared" si="1"/>
        <v>4011</v>
      </c>
      <c r="T12" s="43">
        <f t="shared" si="2"/>
        <v>42585.871215277781</v>
      </c>
      <c r="U12" s="57" t="str">
        <f t="shared" si="3"/>
        <v>EC</v>
      </c>
      <c r="V12" s="57" t="str">
        <f t="shared" si="4"/>
        <v>KEEP</v>
      </c>
    </row>
    <row r="13" spans="1:22" s="1" customFormat="1" x14ac:dyDescent="0.25">
      <c r="A13" s="43">
        <v>42585.66479166667</v>
      </c>
      <c r="B13" s="36" t="s">
        <v>101</v>
      </c>
      <c r="C13" s="36" t="s">
        <v>519</v>
      </c>
      <c r="D13" s="36" t="s">
        <v>49</v>
      </c>
      <c r="E13" s="36" t="s">
        <v>131</v>
      </c>
      <c r="F13" s="54">
        <v>0</v>
      </c>
      <c r="G13" s="54">
        <v>255</v>
      </c>
      <c r="H13" s="54">
        <v>107216</v>
      </c>
      <c r="I13" s="36" t="s">
        <v>132</v>
      </c>
      <c r="J13" s="54">
        <v>108954</v>
      </c>
      <c r="K13" s="36" t="s">
        <v>52</v>
      </c>
      <c r="L13" s="122" t="str">
        <f>VLOOKUP(C13,'Trips&amp;Operators'!$C$1:$E$9999,3,0)</f>
        <v>STORY</v>
      </c>
      <c r="M13" s="9" t="s">
        <v>96</v>
      </c>
      <c r="N13" s="10"/>
      <c r="O13" s="36"/>
      <c r="P13" s="60" t="str">
        <f>VLOOKUP(C13,'Train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13" s="58" t="str">
        <f>VLOOKUP(C13,'Train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3" s="59" t="str">
        <f t="shared" si="0"/>
        <v>"C:\Program Files (x86)\AstroGrep\AstroGrep.exe" /spath="%USERPROFILE%\AppData\Local\Temp\OnboardLogs" /stypes="*4038*201608032*" /stext=" 21:.+((SYSTEM_STATE.+slice.+state.+changed )|(ment ac)|(system.+state.+changed )|(\|lc)|(penalty)|(\[timeout)|(PRM\|1\|D)|(kpr)|(kdp))" /e /r /s</v>
      </c>
      <c r="S13" s="9" t="str">
        <f t="shared" si="1"/>
        <v>4038</v>
      </c>
      <c r="T13" s="43">
        <f t="shared" si="2"/>
        <v>42585.91479166667</v>
      </c>
      <c r="U13" s="57" t="str">
        <f t="shared" si="3"/>
        <v>EC</v>
      </c>
      <c r="V13" s="57" t="str">
        <f t="shared" si="4"/>
        <v>KEEP</v>
      </c>
    </row>
    <row r="14" spans="1:22" s="1" customFormat="1" x14ac:dyDescent="0.25">
      <c r="A14" s="43">
        <v>42585.684930555559</v>
      </c>
      <c r="B14" s="36" t="s">
        <v>146</v>
      </c>
      <c r="C14" s="36" t="s">
        <v>520</v>
      </c>
      <c r="D14" s="36" t="s">
        <v>49</v>
      </c>
      <c r="E14" s="36" t="s">
        <v>131</v>
      </c>
      <c r="F14" s="54">
        <v>0</v>
      </c>
      <c r="G14" s="54">
        <v>228</v>
      </c>
      <c r="H14" s="54">
        <v>110154</v>
      </c>
      <c r="I14" s="36" t="s">
        <v>132</v>
      </c>
      <c r="J14" s="54">
        <v>109135</v>
      </c>
      <c r="K14" s="36" t="s">
        <v>53</v>
      </c>
      <c r="L14" s="122" t="str">
        <f>VLOOKUP(C14,'Trips&amp;Operators'!$C$1:$E$9999,3,0)</f>
        <v>KILLION</v>
      </c>
      <c r="M14" s="9" t="s">
        <v>96</v>
      </c>
      <c r="N14" s="10"/>
      <c r="O14" s="36"/>
      <c r="P14" s="60" t="str">
        <f>VLOOKUP(C14,'Train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14" s="58" t="str">
        <f>VLOOKUP(C14,'Train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4" s="59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14" s="9" t="str">
        <f t="shared" si="1"/>
        <v>4041</v>
      </c>
      <c r="T14" s="43">
        <f t="shared" si="2"/>
        <v>42585.934930555559</v>
      </c>
      <c r="U14" s="57" t="str">
        <f t="shared" si="3"/>
        <v>EC</v>
      </c>
      <c r="V14" s="57" t="str">
        <f t="shared" si="4"/>
        <v>KEEP</v>
      </c>
    </row>
    <row r="15" spans="1:22" s="1" customFormat="1" x14ac:dyDescent="0.25">
      <c r="A15" s="43">
        <v>42585.68546296296</v>
      </c>
      <c r="B15" s="36" t="s">
        <v>146</v>
      </c>
      <c r="C15" s="36" t="s">
        <v>520</v>
      </c>
      <c r="D15" s="36" t="s">
        <v>49</v>
      </c>
      <c r="E15" s="36" t="s">
        <v>131</v>
      </c>
      <c r="F15" s="54">
        <v>40</v>
      </c>
      <c r="G15" s="54">
        <v>93</v>
      </c>
      <c r="H15" s="54">
        <v>109358</v>
      </c>
      <c r="I15" s="36" t="s">
        <v>132</v>
      </c>
      <c r="J15" s="54">
        <v>109135</v>
      </c>
      <c r="K15" s="36" t="s">
        <v>53</v>
      </c>
      <c r="L15" s="122" t="str">
        <f>VLOOKUP(C15,'Trips&amp;Operators'!$C$1:$E$9999,3,0)</f>
        <v>KILLION</v>
      </c>
      <c r="M15" s="9" t="s">
        <v>96</v>
      </c>
      <c r="N15" s="10"/>
      <c r="O15" s="36"/>
      <c r="P15" s="60" t="str">
        <f>VLOOKUP(C15,'Train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15" s="58" t="str">
        <f>VLOOKUP(C15,'Train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15" s="59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15" s="9" t="str">
        <f t="shared" si="1"/>
        <v>4041</v>
      </c>
      <c r="T15" s="43">
        <f t="shared" si="2"/>
        <v>42585.93546296296</v>
      </c>
      <c r="U15" s="57" t="str">
        <f t="shared" si="3"/>
        <v>EC</v>
      </c>
      <c r="V15" s="57" t="str">
        <f t="shared" si="4"/>
        <v>KEEP</v>
      </c>
    </row>
    <row r="16" spans="1:22" s="1" customFormat="1" x14ac:dyDescent="0.25">
      <c r="A16" s="43">
        <v>42585.702835648146</v>
      </c>
      <c r="B16" s="36" t="s">
        <v>200</v>
      </c>
      <c r="C16" s="36" t="s">
        <v>524</v>
      </c>
      <c r="D16" s="36" t="s">
        <v>49</v>
      </c>
      <c r="E16" s="36" t="s">
        <v>131</v>
      </c>
      <c r="F16" s="54">
        <v>0</v>
      </c>
      <c r="G16" s="54">
        <v>223</v>
      </c>
      <c r="H16" s="54">
        <v>110136</v>
      </c>
      <c r="I16" s="36" t="s">
        <v>132</v>
      </c>
      <c r="J16" s="54">
        <v>109135</v>
      </c>
      <c r="K16" s="36" t="s">
        <v>53</v>
      </c>
      <c r="L16" s="122" t="str">
        <f>VLOOKUP(C16,'Trips&amp;Operators'!$C$1:$E$9999,3,0)</f>
        <v>STORY</v>
      </c>
      <c r="M16" s="9" t="s">
        <v>96</v>
      </c>
      <c r="N16" s="10"/>
      <c r="O16" s="36"/>
      <c r="P16" s="60" t="str">
        <f>VLOOKUP(C16,'Train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16" s="58" t="str">
        <f>VLOOKUP(C16,'Train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6" s="59" t="str">
        <f t="shared" si="0"/>
        <v>"C:\Program Files (x86)\AstroGrep\AstroGrep.exe" /spath="%USERPROFILE%\AppData\Local\Temp\OnboardLogs" /stypes="*4037*201608032*" /stext=" 22:.+((SYSTEM_STATE.+slice.+state.+changed )|(ment ac)|(system.+state.+changed )|(\|lc)|(penalty)|(\[timeout)|(PRM\|1\|D)|(kpr)|(kdp))" /e /r /s</v>
      </c>
      <c r="S16" s="9" t="str">
        <f t="shared" si="1"/>
        <v>4037</v>
      </c>
      <c r="T16" s="43">
        <f t="shared" si="2"/>
        <v>42585.952835648146</v>
      </c>
      <c r="U16" s="57" t="str">
        <f t="shared" si="3"/>
        <v>EC</v>
      </c>
      <c r="V16" s="57" t="str">
        <f t="shared" si="4"/>
        <v>KEEP</v>
      </c>
    </row>
    <row r="17" spans="1:22" s="1" customFormat="1" x14ac:dyDescent="0.25">
      <c r="A17" s="43">
        <v>42585.707280092596</v>
      </c>
      <c r="B17" s="36" t="s">
        <v>70</v>
      </c>
      <c r="C17" s="36" t="s">
        <v>525</v>
      </c>
      <c r="D17" s="36" t="s">
        <v>49</v>
      </c>
      <c r="E17" s="36" t="s">
        <v>131</v>
      </c>
      <c r="F17" s="54">
        <v>0</v>
      </c>
      <c r="G17" s="54">
        <v>248</v>
      </c>
      <c r="H17" s="54">
        <v>110249</v>
      </c>
      <c r="I17" s="36" t="s">
        <v>132</v>
      </c>
      <c r="J17" s="54">
        <v>109135</v>
      </c>
      <c r="K17" s="36" t="s">
        <v>53</v>
      </c>
      <c r="L17" s="122" t="str">
        <f>VLOOKUP(C17,'Trips&amp;Operators'!$C$1:$E$9999,3,0)</f>
        <v>BRUDER</v>
      </c>
      <c r="M17" s="9" t="s">
        <v>96</v>
      </c>
      <c r="N17" s="10"/>
      <c r="O17" s="36"/>
      <c r="P17" s="60" t="str">
        <f>VLOOKUP(C17,'Train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17" s="58" t="str">
        <f>VLOOKUP(C17,'Train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7" s="59" t="str">
        <f t="shared" si="0"/>
        <v>"C:\Program Files (x86)\AstroGrep\AstroGrep.exe" /spath="%USERPROFILE%\AppData\Local\Temp\OnboardLogs" /stypes="*4017*201608032*" /stext=" 22:.+((SYSTEM_STATE.+slice.+state.+changed )|(ment ac)|(system.+state.+changed )|(\|lc)|(penalty)|(\[timeout)|(PRM\|1\|D)|(kpr)|(kdp))" /e /r /s</v>
      </c>
      <c r="S17" s="9" t="str">
        <f t="shared" si="1"/>
        <v>4017</v>
      </c>
      <c r="T17" s="43">
        <f t="shared" si="2"/>
        <v>42585.957280092596</v>
      </c>
      <c r="U17" s="57" t="str">
        <f t="shared" si="3"/>
        <v>EC</v>
      </c>
      <c r="V17" s="57" t="str">
        <f t="shared" si="4"/>
        <v>KEEP</v>
      </c>
    </row>
    <row r="18" spans="1:22" s="1" customFormat="1" x14ac:dyDescent="0.25">
      <c r="A18" s="43">
        <v>42585.707696759258</v>
      </c>
      <c r="B18" s="36" t="s">
        <v>70</v>
      </c>
      <c r="C18" s="36" t="s">
        <v>525</v>
      </c>
      <c r="D18" s="36" t="s">
        <v>49</v>
      </c>
      <c r="E18" s="36" t="s">
        <v>131</v>
      </c>
      <c r="F18" s="54">
        <v>40</v>
      </c>
      <c r="G18" s="54">
        <v>103</v>
      </c>
      <c r="H18" s="54">
        <v>109454</v>
      </c>
      <c r="I18" s="36" t="s">
        <v>132</v>
      </c>
      <c r="J18" s="54">
        <v>109135</v>
      </c>
      <c r="K18" s="36" t="s">
        <v>53</v>
      </c>
      <c r="L18" s="122" t="str">
        <f>VLOOKUP(C18,'Trips&amp;Operators'!$C$1:$E$9999,3,0)</f>
        <v>BRUDER</v>
      </c>
      <c r="M18" s="9" t="s">
        <v>96</v>
      </c>
      <c r="N18" s="10"/>
      <c r="O18" s="36"/>
      <c r="P18" s="60" t="str">
        <f>VLOOKUP(C18,'Train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18" s="58" t="str">
        <f>VLOOKUP(C18,'Train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8" s="59" t="str">
        <f t="shared" si="0"/>
        <v>"C:\Program Files (x86)\AstroGrep\AstroGrep.exe" /spath="%USERPROFILE%\AppData\Local\Temp\OnboardLogs" /stypes="*4017*201608032*" /stext=" 22:.+((SYSTEM_STATE.+slice.+state.+changed )|(ment ac)|(system.+state.+changed )|(\|lc)|(penalty)|(\[timeout)|(PRM\|1\|D)|(kpr)|(kdp))" /e /r /s</v>
      </c>
      <c r="S18" s="9" t="str">
        <f t="shared" si="1"/>
        <v>4017</v>
      </c>
      <c r="T18" s="43">
        <f t="shared" si="2"/>
        <v>42585.957696759258</v>
      </c>
      <c r="U18" s="57" t="str">
        <f t="shared" si="3"/>
        <v>EC</v>
      </c>
      <c r="V18" s="57" t="str">
        <f t="shared" si="4"/>
        <v>KEEP</v>
      </c>
    </row>
    <row r="19" spans="1:22" s="1" customFormat="1" x14ac:dyDescent="0.25">
      <c r="A19" s="43">
        <v>42585.730983796297</v>
      </c>
      <c r="B19" s="36" t="s">
        <v>155</v>
      </c>
      <c r="C19" s="36" t="s">
        <v>528</v>
      </c>
      <c r="D19" s="36" t="s">
        <v>49</v>
      </c>
      <c r="E19" s="36" t="s">
        <v>131</v>
      </c>
      <c r="F19" s="54">
        <v>0</v>
      </c>
      <c r="G19" s="54">
        <v>34</v>
      </c>
      <c r="H19" s="54">
        <v>109243</v>
      </c>
      <c r="I19" s="36" t="s">
        <v>132</v>
      </c>
      <c r="J19" s="54">
        <v>109135</v>
      </c>
      <c r="K19" s="36" t="s">
        <v>53</v>
      </c>
      <c r="L19" s="122" t="str">
        <f>VLOOKUP(C19,'Trips&amp;Operators'!$C$1:$E$9999,3,0)</f>
        <v>OUN</v>
      </c>
      <c r="M19" s="9" t="s">
        <v>96</v>
      </c>
      <c r="N19" s="10"/>
      <c r="O19" s="36"/>
      <c r="P19" s="60" t="str">
        <f>VLOOKUP(C19,'Train Runs'!$A$13:$AE$683,31,0)</f>
        <v>aws s3 cp s3://rtdc.mdm.uploadarchive/RTDC4012/2016-08-03/ "%USERPROFILE%\AppData\Local\Temp\OnboardLogs"\RTDC4012\2016-08-03 --recursive &amp; "%USERPROFILE%\Documents\GitHub\mrs-test-scripts\Headless Mode &amp; Sideloading\WalkAndUnGZ.bat" "%USERPROFILE%\AppData\Local\Temp\OnboardLogs"\RTDC4012\2016-08-03 &amp; 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</v>
      </c>
      <c r="Q19" s="58" t="str">
        <f>VLOOKUP(C19,'Train Runs'!$A$13:$AE$683,22,0)</f>
        <v>https://search-rtdc-monitor-bjffxe2xuh6vdkpspy63sjmuny.us-east-1.es.amazonaws.com/_plugin/kibana/#/discover/Steve-Slow-Train-Analysis-(2080s-and-2083s)?_g=(refreshInterval:(display:Off,section:0,value:0),time:(from:'2016-08-03 16:07:03-0600',mode:absolute,to:'2016-08-03 18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9" s="59" t="str">
        <f t="shared" si="0"/>
        <v>"C:\Program Files (x86)\AstroGrep\AstroGrep.exe" /spath="%USERPROFILE%\AppData\Local\Temp\OnboardLogs" /stypes="*4012*201608032*" /stext=" 23:.+((SYSTEM_STATE.+slice.+state.+changed )|(ment ac)|(system.+state.+changed )|(\|lc)|(penalty)|(\[timeout)|(PRM\|1\|D)|(kpr)|(kdp))" /e /r /s</v>
      </c>
      <c r="S19" s="9" t="str">
        <f t="shared" si="1"/>
        <v>4012</v>
      </c>
      <c r="T19" s="43">
        <f t="shared" si="2"/>
        <v>42585.980983796297</v>
      </c>
      <c r="U19" s="57" t="str">
        <f t="shared" si="3"/>
        <v>EC</v>
      </c>
      <c r="V19" s="57" t="str">
        <f t="shared" si="4"/>
        <v>KEEP</v>
      </c>
    </row>
    <row r="20" spans="1:22" s="1" customFormat="1" x14ac:dyDescent="0.25">
      <c r="A20" s="43">
        <v>42585.751018518517</v>
      </c>
      <c r="B20" s="36" t="s">
        <v>373</v>
      </c>
      <c r="C20" s="36" t="s">
        <v>530</v>
      </c>
      <c r="D20" s="36" t="s">
        <v>49</v>
      </c>
      <c r="E20" s="36" t="s">
        <v>131</v>
      </c>
      <c r="F20" s="54">
        <v>0</v>
      </c>
      <c r="G20" s="54">
        <v>297</v>
      </c>
      <c r="H20" s="54">
        <v>110491</v>
      </c>
      <c r="I20" s="36" t="s">
        <v>132</v>
      </c>
      <c r="J20" s="54">
        <v>109135</v>
      </c>
      <c r="K20" s="36" t="s">
        <v>53</v>
      </c>
      <c r="L20" s="122" t="str">
        <f>VLOOKUP(C20,'Trips&amp;Operators'!$C$1:$E$9999,3,0)</f>
        <v>ARNOLD</v>
      </c>
      <c r="M20" s="9" t="s">
        <v>96</v>
      </c>
      <c r="N20" s="10"/>
      <c r="O20" s="36"/>
      <c r="P20" s="60" t="str">
        <f>VLOOKUP(C20,'Train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0" s="58" t="str">
        <f>VLOOKUP(C20,'Train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0" s="59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20" s="9" t="str">
        <f t="shared" si="1"/>
        <v>4039</v>
      </c>
      <c r="T20" s="43">
        <f t="shared" si="2"/>
        <v>42586.001018518517</v>
      </c>
      <c r="U20" s="57" t="str">
        <f t="shared" si="3"/>
        <v>EC</v>
      </c>
      <c r="V20" s="57" t="str">
        <f t="shared" si="4"/>
        <v>KEEP</v>
      </c>
    </row>
    <row r="21" spans="1:22" s="1" customFormat="1" x14ac:dyDescent="0.25">
      <c r="A21" s="43">
        <v>42585.751469907409</v>
      </c>
      <c r="B21" s="36" t="s">
        <v>373</v>
      </c>
      <c r="C21" s="36" t="s">
        <v>530</v>
      </c>
      <c r="D21" s="36" t="s">
        <v>49</v>
      </c>
      <c r="E21" s="36" t="s">
        <v>131</v>
      </c>
      <c r="F21" s="54">
        <v>50</v>
      </c>
      <c r="G21" s="54">
        <v>118</v>
      </c>
      <c r="H21" s="54">
        <v>109550</v>
      </c>
      <c r="I21" s="36" t="s">
        <v>132</v>
      </c>
      <c r="J21" s="54">
        <v>109135</v>
      </c>
      <c r="K21" s="36" t="s">
        <v>53</v>
      </c>
      <c r="L21" s="122" t="str">
        <f>VLOOKUP(C21,'Trips&amp;Operators'!$C$1:$E$9999,3,0)</f>
        <v>ARNOLD</v>
      </c>
      <c r="M21" s="9" t="s">
        <v>96</v>
      </c>
      <c r="N21" s="10"/>
      <c r="O21" s="36"/>
      <c r="P21" s="60" t="str">
        <f>VLOOKUP(C21,'Train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1" s="58" t="str">
        <f>VLOOKUP(C21,'Train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1" s="59" t="str">
        <f t="shared" si="0"/>
        <v>"C:\Program Files (x86)\AstroGrep\AstroGrep.exe" /spath="%USERPROFILE%\AppData\Local\Temp\OnboardLogs" /stypes="*4039*201608040*" /stext=" 00:.+((SYSTEM_STATE.+slice.+state.+changed )|(ment ac)|(system.+state.+changed )|(\|lc)|(penalty)|(\[timeout)|(PRM\|1\|D)|(kpr)|(kdp))" /e /r /s</v>
      </c>
      <c r="S21" s="9" t="str">
        <f t="shared" si="1"/>
        <v>4039</v>
      </c>
      <c r="T21" s="43">
        <f t="shared" si="2"/>
        <v>42586.001469907409</v>
      </c>
      <c r="U21" s="57" t="str">
        <f t="shared" si="3"/>
        <v>EC</v>
      </c>
      <c r="V21" s="57" t="str">
        <f t="shared" si="4"/>
        <v>KEEP</v>
      </c>
    </row>
    <row r="22" spans="1:22" s="1" customFormat="1" x14ac:dyDescent="0.25">
      <c r="A22" s="43">
        <v>42585.821793981479</v>
      </c>
      <c r="B22" s="36" t="s">
        <v>373</v>
      </c>
      <c r="C22" s="36" t="s">
        <v>535</v>
      </c>
      <c r="D22" s="36" t="s">
        <v>49</v>
      </c>
      <c r="E22" s="36" t="s">
        <v>131</v>
      </c>
      <c r="F22" s="54">
        <v>0</v>
      </c>
      <c r="G22" s="54">
        <v>246</v>
      </c>
      <c r="H22" s="54">
        <v>110209</v>
      </c>
      <c r="I22" s="36" t="s">
        <v>132</v>
      </c>
      <c r="J22" s="54">
        <v>109135</v>
      </c>
      <c r="K22" s="36" t="s">
        <v>53</v>
      </c>
      <c r="L22" s="122" t="str">
        <f>VLOOKUP(C22,'Trips&amp;Operators'!$C$1:$E$9999,3,0)</f>
        <v>COOLAHAN</v>
      </c>
      <c r="M22" s="9" t="s">
        <v>96</v>
      </c>
      <c r="N22" s="10"/>
      <c r="O22" s="36"/>
      <c r="P22" s="60" t="str">
        <f>VLOOKUP(C22,'Train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2" s="58" t="str">
        <f>VLOOKUP(C22,'Train Runs'!$A$13:$AE$683,22,0)</f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2" s="59" t="str">
        <f t="shared" si="0"/>
        <v>"C:\Program Files (x86)\AstroGrep\AstroGrep.exe" /spath="%USERPROFILE%\AppData\Local\Temp\OnboardLogs" /stypes="*4039*201608040*" /stext=" 01:.+((SYSTEM_STATE.+slice.+state.+changed )|(ment ac)|(system.+state.+changed )|(\|lc)|(penalty)|(\[timeout)|(PRM\|1\|D)|(kpr)|(kdp))" /e /r /s</v>
      </c>
      <c r="S22" s="9" t="str">
        <f t="shared" si="1"/>
        <v>4039</v>
      </c>
      <c r="T22" s="43">
        <f t="shared" si="2"/>
        <v>42586.071793981479</v>
      </c>
      <c r="U22" s="57" t="str">
        <f t="shared" si="3"/>
        <v>EC</v>
      </c>
      <c r="V22" s="57" t="str">
        <f t="shared" si="4"/>
        <v>KEEP</v>
      </c>
    </row>
    <row r="23" spans="1:22" x14ac:dyDescent="0.25">
      <c r="A23" s="43">
        <v>42585.822326388887</v>
      </c>
      <c r="B23" s="36" t="s">
        <v>373</v>
      </c>
      <c r="C23" s="36" t="s">
        <v>535</v>
      </c>
      <c r="D23" s="36" t="s">
        <v>49</v>
      </c>
      <c r="E23" s="36" t="s">
        <v>131</v>
      </c>
      <c r="F23" s="54">
        <v>50</v>
      </c>
      <c r="G23" s="54">
        <v>116</v>
      </c>
      <c r="H23" s="54">
        <v>109396</v>
      </c>
      <c r="I23" s="36" t="s">
        <v>132</v>
      </c>
      <c r="J23" s="54">
        <v>109135</v>
      </c>
      <c r="K23" s="36" t="s">
        <v>53</v>
      </c>
      <c r="L23" s="122" t="str">
        <f>VLOOKUP(C23,'Trips&amp;Operators'!$C$1:$E$9999,3,0)</f>
        <v>COOLAHAN</v>
      </c>
      <c r="M23" s="9" t="s">
        <v>96</v>
      </c>
      <c r="N23" s="10"/>
      <c r="O23" s="36"/>
      <c r="P23" s="60" t="str">
        <f>VLOOKUP(C23,'Train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23" s="58" t="str">
        <f>VLOOKUP(C23,'Train Runs'!$A$13:$AE$683,22,0)</f>
        <v>https://search-rtdc-monitor-bjffxe2xuh6vdkpspy63sjmuny.us-east-1.es.amazonaws.com/_plugin/kibana/#/discover/Steve-Slow-Train-Analysis-(2080s-and-2083s)?_g=(refreshInterval:(display:Off,section:0,value:0),time:(from:'2016-08-03 18:21:06-0600',mode:absolute,to:'2016-08-03 21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23" s="59" t="str">
        <f t="shared" si="0"/>
        <v>"C:\Program Files (x86)\AstroGrep\AstroGrep.exe" /spath="%USERPROFILE%\AppData\Local\Temp\OnboardLogs" /stypes="*4039*201608040*" /stext=" 01:.+((SYSTEM_STATE.+slice.+state.+changed )|(ment ac)|(system.+state.+changed )|(\|lc)|(penalty)|(\[timeout)|(PRM\|1\|D)|(kpr)|(kdp))" /e /r /s</v>
      </c>
      <c r="S23" s="9" t="str">
        <f t="shared" si="1"/>
        <v>4039</v>
      </c>
      <c r="T23" s="43">
        <f t="shared" si="2"/>
        <v>42586.072326388887</v>
      </c>
      <c r="U23" s="57" t="str">
        <f t="shared" si="3"/>
        <v>EC</v>
      </c>
      <c r="V23" s="57" t="str">
        <f t="shared" si="4"/>
        <v>KEEP</v>
      </c>
    </row>
    <row r="24" spans="1:22" s="1" customFormat="1" x14ac:dyDescent="0.25">
      <c r="A24" s="43">
        <v>42585.582881944443</v>
      </c>
      <c r="B24" s="36" t="s">
        <v>105</v>
      </c>
      <c r="C24" s="36" t="s">
        <v>512</v>
      </c>
      <c r="D24" s="36" t="s">
        <v>49</v>
      </c>
      <c r="E24" s="36" t="s">
        <v>131</v>
      </c>
      <c r="F24" s="54">
        <v>0</v>
      </c>
      <c r="G24" s="54">
        <v>443</v>
      </c>
      <c r="H24" s="54">
        <v>126730</v>
      </c>
      <c r="I24" s="36" t="s">
        <v>132</v>
      </c>
      <c r="J24" s="54">
        <v>127562</v>
      </c>
      <c r="K24" s="36" t="s">
        <v>52</v>
      </c>
      <c r="L24" s="122" t="str">
        <f>VLOOKUP(C24,'Trips&amp;Operators'!$C$1:$E$9999,3,0)</f>
        <v>REBOLETTI</v>
      </c>
      <c r="M24" s="9" t="s">
        <v>96</v>
      </c>
      <c r="N24" s="10"/>
      <c r="O24" s="36"/>
      <c r="P24" s="60" t="str">
        <f>VLOOKUP(C24,'Train Runs'!$A$13:$AE$683,31,0)</f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Q24" s="58" t="str">
        <f>VLOOKUP(C24,'Train Runs'!$A$13:$AE$683,22,0)</f>
        <v>https://search-rtdc-monitor-bjffxe2xuh6vdkpspy63sjmuny.us-east-1.es.amazonaws.com/_plugin/kibana/#/discover/Steve-Slow-Train-Analysis-(2080s-and-2083s)?_g=(refreshInterval:(display:Off,section:0,value:0),time:(from:'2016-08-03 12:35:59-0600',mode:absolute,to:'2016-08-03 15:17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4" s="59" t="str">
        <f t="shared" si="0"/>
        <v>"C:\Program Files (x86)\AstroGrep\AstroGrep.exe" /spath="%USERPROFILE%\AppData\Local\Temp\OnboardLogs" /stypes="*4025*201608031*" /stext=" 19:.+((SYSTEM_STATE.+slice.+state.+changed )|(ment ac)|(system.+state.+changed )|(\|lc)|(penalty)|(\[timeout)|(PRM\|1\|D)|(kpr)|(kdp))" /e /r /s</v>
      </c>
      <c r="S24" s="9" t="str">
        <f t="shared" si="1"/>
        <v>4025</v>
      </c>
      <c r="T24" s="43">
        <f t="shared" si="2"/>
        <v>42585.832881944443</v>
      </c>
      <c r="U24" s="57" t="str">
        <f t="shared" si="3"/>
        <v>EC</v>
      </c>
      <c r="V24" s="57" t="str">
        <f t="shared" si="4"/>
        <v>KEEP</v>
      </c>
    </row>
    <row r="25" spans="1:22" x14ac:dyDescent="0.25">
      <c r="A25" s="43">
        <v>42585.980196759258</v>
      </c>
      <c r="B25" s="36" t="s">
        <v>311</v>
      </c>
      <c r="C25" s="36" t="s">
        <v>538</v>
      </c>
      <c r="D25" s="36" t="s">
        <v>49</v>
      </c>
      <c r="E25" s="36" t="s">
        <v>56</v>
      </c>
      <c r="F25" s="54">
        <v>150</v>
      </c>
      <c r="G25" s="54">
        <v>202</v>
      </c>
      <c r="H25" s="54">
        <v>5075</v>
      </c>
      <c r="I25" s="36" t="s">
        <v>57</v>
      </c>
      <c r="J25" s="54">
        <v>4677</v>
      </c>
      <c r="K25" s="36" t="s">
        <v>53</v>
      </c>
      <c r="L25" s="122" t="str">
        <f>VLOOKUP(C25,'Trips&amp;Operators'!$C$1:$E$9999,3,0)</f>
        <v>LEVIN</v>
      </c>
      <c r="M25" s="9" t="s">
        <v>97</v>
      </c>
      <c r="N25" s="10"/>
      <c r="O25" s="36"/>
      <c r="P25" s="60" t="str">
        <f>VLOOKUP(C25,'Train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25" s="58" t="str">
        <f>VLOOKUP(C25,'Train Runs'!$A$13:$AE$683,22,0)</f>
        <v>https://search-rtdc-monitor-bjffxe2xuh6vdkpspy63sjmuny.us-east-1.es.amazonaws.com/_plugin/kibana/#/discover/Steve-Slow-Train-Analysis-(2080s-and-2083s)?_g=(refreshInterval:(display:Off,section:0,value:0),time:(from:'2016-08-03 21:46:51-0600',mode:absolute,to:'2016-08-04 00:27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5" s="59" t="str">
        <f t="shared" si="0"/>
        <v>"C:\Program Files (x86)\AstroGrep\AstroGrep.exe" /spath="%USERPROFILE%\AppData\Local\Temp\OnboardLogs" /stypes="*4043*201608040*" /stext=" 05:.+((SYSTEM_STATE.+slice.+state.+changed )|(ment ac)|(system.+state.+changed )|(\|lc)|(penalty)|(\[timeout)|(PRM\|1\|D)|(kpr)|(kdp))" /e /r /s</v>
      </c>
      <c r="S25" s="9" t="str">
        <f t="shared" si="1"/>
        <v>4043</v>
      </c>
      <c r="T25" s="43">
        <f t="shared" si="2"/>
        <v>42586.230196759258</v>
      </c>
      <c r="U25" s="57" t="str">
        <f t="shared" si="3"/>
        <v>EC</v>
      </c>
      <c r="V25" s="57" t="str">
        <f t="shared" si="4"/>
        <v>KEEP</v>
      </c>
    </row>
    <row r="26" spans="1:22" x14ac:dyDescent="0.25">
      <c r="A26" s="43">
        <v>42585.441689814812</v>
      </c>
      <c r="B26" s="36" t="s">
        <v>311</v>
      </c>
      <c r="C26" s="36" t="s">
        <v>504</v>
      </c>
      <c r="D26" s="36" t="s">
        <v>49</v>
      </c>
      <c r="E26" s="36" t="s">
        <v>56</v>
      </c>
      <c r="F26" s="54">
        <v>450</v>
      </c>
      <c r="G26" s="54">
        <v>686</v>
      </c>
      <c r="H26" s="54">
        <v>159487</v>
      </c>
      <c r="I26" s="36" t="s">
        <v>57</v>
      </c>
      <c r="J26" s="54">
        <v>156300</v>
      </c>
      <c r="K26" s="36" t="s">
        <v>53</v>
      </c>
      <c r="L26" s="122" t="str">
        <f>VLOOKUP(C26,'Trips&amp;Operators'!$C$1:$E$9999,3,0)</f>
        <v>STRICKLAND</v>
      </c>
      <c r="M26" s="9" t="s">
        <v>97</v>
      </c>
      <c r="N26" s="10"/>
      <c r="O26" s="36"/>
      <c r="P26" s="60" t="str">
        <f>VLOOKUP(C26,'Train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26" s="58" t="str">
        <f>VLOOKUP(C26,'Train Runs'!$A$13:$AE$683,22,0)</f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6" s="59" t="str">
        <f t="shared" si="0"/>
        <v>"C:\Program Files (x86)\AstroGrep\AstroGrep.exe" /spath="%USERPROFILE%\AppData\Local\Temp\OnboardLogs" /stypes="*4043*201608031*" /stext=" 16:.+((SYSTEM_STATE.+slice.+state.+changed )|(ment ac)|(system.+state.+changed )|(\|lc)|(penalty)|(\[timeout)|(PRM\|1\|D)|(kpr)|(kdp))" /e /r /s</v>
      </c>
      <c r="S26" s="9" t="str">
        <f t="shared" si="1"/>
        <v>4043</v>
      </c>
      <c r="T26" s="43">
        <f t="shared" si="2"/>
        <v>42585.691689814812</v>
      </c>
      <c r="U26" s="57" t="str">
        <f t="shared" si="3"/>
        <v>EC</v>
      </c>
      <c r="V26" s="57" t="str">
        <f t="shared" si="4"/>
        <v>KEEP</v>
      </c>
    </row>
    <row r="27" spans="1:22" x14ac:dyDescent="0.25">
      <c r="A27" s="43">
        <v>42585.617071759261</v>
      </c>
      <c r="B27" s="36" t="s">
        <v>200</v>
      </c>
      <c r="C27" s="36" t="s">
        <v>515</v>
      </c>
      <c r="D27" s="36" t="s">
        <v>142</v>
      </c>
      <c r="E27" s="36" t="s">
        <v>56</v>
      </c>
      <c r="F27" s="54">
        <v>600</v>
      </c>
      <c r="G27" s="54">
        <v>659</v>
      </c>
      <c r="H27" s="54">
        <v>184033</v>
      </c>
      <c r="I27" s="36" t="s">
        <v>57</v>
      </c>
      <c r="J27" s="54">
        <v>190834</v>
      </c>
      <c r="K27" s="36" t="s">
        <v>53</v>
      </c>
      <c r="L27" s="122" t="str">
        <f>VLOOKUP(C27,'Trips&amp;Operators'!$C$1:$E$9999,3,0)</f>
        <v>STORY</v>
      </c>
      <c r="M27" s="9" t="s">
        <v>97</v>
      </c>
      <c r="N27" s="10"/>
      <c r="O27" s="36"/>
      <c r="P27" s="60" t="str">
        <f>VLOOKUP(C27,'Train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27" s="58" t="str">
        <f>VLOOKUP(C27,'Train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7" s="59" t="str">
        <f t="shared" si="0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27" s="9" t="str">
        <f t="shared" si="1"/>
        <v>4037</v>
      </c>
      <c r="T27" s="43">
        <f t="shared" si="2"/>
        <v>42585.867071759261</v>
      </c>
      <c r="U27" s="57" t="str">
        <f t="shared" si="3"/>
        <v>EC</v>
      </c>
      <c r="V27" s="57" t="str">
        <f t="shared" si="4"/>
        <v>KEEP</v>
      </c>
    </row>
    <row r="28" spans="1:22" x14ac:dyDescent="0.25">
      <c r="A28" s="43">
        <v>42585.774409722224</v>
      </c>
      <c r="B28" s="36" t="s">
        <v>70</v>
      </c>
      <c r="C28" s="36" t="s">
        <v>532</v>
      </c>
      <c r="D28" s="36" t="s">
        <v>142</v>
      </c>
      <c r="E28" s="36" t="s">
        <v>56</v>
      </c>
      <c r="F28" s="54">
        <v>600</v>
      </c>
      <c r="G28" s="54">
        <v>651</v>
      </c>
      <c r="H28" s="54">
        <v>184213</v>
      </c>
      <c r="I28" s="36" t="s">
        <v>57</v>
      </c>
      <c r="J28" s="54">
        <v>190834</v>
      </c>
      <c r="K28" s="36" t="s">
        <v>53</v>
      </c>
      <c r="L28" s="122" t="str">
        <f>VLOOKUP(C28,'Trips&amp;Operators'!$C$1:$E$9999,3,0)</f>
        <v>STORY</v>
      </c>
      <c r="M28" s="9" t="s">
        <v>97</v>
      </c>
      <c r="N28" s="10"/>
      <c r="O28" s="36"/>
      <c r="P28" s="60" t="str">
        <f>VLOOKUP(C28,'Train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28" s="58" t="str">
        <f>VLOOKUP(C28,'Train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28" s="59" t="str">
        <f t="shared" si="0"/>
        <v>"C:\Program Files (x86)\AstroGrep\AstroGrep.exe" /spath="%USERPROFILE%\AppData\Local\Temp\OnboardLogs" /stypes="*4017*201608040*" /stext=" 00:.+((SYSTEM_STATE.+slice.+state.+changed )|(ment ac)|(system.+state.+changed )|(\|lc)|(penalty)|(\[timeout)|(PRM\|1\|D)|(kpr)|(kdp))" /e /r /s</v>
      </c>
      <c r="S28" s="9" t="str">
        <f t="shared" si="1"/>
        <v>4017</v>
      </c>
      <c r="T28" s="43">
        <f t="shared" si="2"/>
        <v>42586.024409722224</v>
      </c>
      <c r="U28" s="57" t="str">
        <f t="shared" si="3"/>
        <v>EC</v>
      </c>
      <c r="V28" s="57" t="str">
        <f t="shared" si="4"/>
        <v>KEEP</v>
      </c>
    </row>
    <row r="29" spans="1:22" x14ac:dyDescent="0.25">
      <c r="A29" s="43">
        <v>42585.221226851849</v>
      </c>
      <c r="B29" s="36" t="s">
        <v>105</v>
      </c>
      <c r="C29" s="36" t="s">
        <v>482</v>
      </c>
      <c r="D29" s="36" t="s">
        <v>49</v>
      </c>
      <c r="E29" s="36" t="s">
        <v>56</v>
      </c>
      <c r="F29" s="54">
        <v>550</v>
      </c>
      <c r="G29" s="54">
        <v>666</v>
      </c>
      <c r="H29" s="54">
        <v>220582</v>
      </c>
      <c r="I29" s="36" t="s">
        <v>57</v>
      </c>
      <c r="J29" s="54">
        <v>222090</v>
      </c>
      <c r="K29" s="36" t="s">
        <v>52</v>
      </c>
      <c r="L29" s="122" t="str">
        <f>VLOOKUP(C29,'Trips&amp;Operators'!$C$1:$E$9999,3,0)</f>
        <v>HELVIE</v>
      </c>
      <c r="M29" s="9" t="s">
        <v>97</v>
      </c>
      <c r="N29" s="10"/>
      <c r="O29" s="36"/>
      <c r="P29" s="60" t="str">
        <f>VLOOKUP(C29,'Train Runs'!$A$13:$AE$683,31,0)</f>
        <v>aws s3 cp s3://rtdc.mdm.uploadarchive/RTDC4025/2016-08-03/ "%USERPROFILE%\AppData\Local\Temp\OnboardLogs"\RTDC4025\2016-08-03 --recursive &amp; "%USERPROFILE%\Documents\GitHub\mrs-test-scripts\Headless Mode &amp; Sideloading\WalkAndUnGZ.bat" "%USERPROFILE%\AppData\Local\Temp\OnboardLogs"\RTDC4025\2016-08-03 &amp; 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</v>
      </c>
      <c r="Q29" s="58" t="str">
        <f>VLOOKUP(C29,'Train Runs'!$A$13:$AE$683,22,0)</f>
        <v>https://search-rtdc-monitor-bjffxe2xuh6vdkpspy63sjmuny.us-east-1.es.amazonaws.com/_plugin/kibana/#/discover/Steve-Slow-Train-Analysis-(2080s-and-2083s)?_g=(refreshInterval:(display:Off,section:0,value:0),time:(from:'2016-08-03 03:37:21-0600',mode:absolute,to:'2016-08-03 06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29" s="59" t="str">
        <f t="shared" si="0"/>
        <v>"C:\Program Files (x86)\AstroGrep\AstroGrep.exe" /spath="%USERPROFILE%\AppData\Local\Temp\OnboardLogs" /stypes="*4025*201608031*" /stext=" 11:.+((SYSTEM_STATE.+slice.+state.+changed )|(ment ac)|(system.+state.+changed )|(\|lc)|(penalty)|(\[timeout)|(PRM\|1\|D)|(kpr)|(kdp))" /e /r /s</v>
      </c>
      <c r="S29" s="9" t="str">
        <f t="shared" si="1"/>
        <v>4025</v>
      </c>
      <c r="T29" s="43">
        <f t="shared" si="2"/>
        <v>42585.471226851849</v>
      </c>
      <c r="U29" s="57" t="str">
        <f t="shared" si="3"/>
        <v>EC</v>
      </c>
      <c r="V29" s="57" t="str">
        <f t="shared" si="4"/>
        <v>KEEP</v>
      </c>
    </row>
    <row r="30" spans="1:22" x14ac:dyDescent="0.25">
      <c r="A30" s="43">
        <v>42585.523113425923</v>
      </c>
      <c r="B30" s="36" t="s">
        <v>101</v>
      </c>
      <c r="C30" s="36" t="s">
        <v>506</v>
      </c>
      <c r="D30" s="36" t="s">
        <v>49</v>
      </c>
      <c r="E30" s="36" t="s">
        <v>56</v>
      </c>
      <c r="F30" s="54">
        <v>350</v>
      </c>
      <c r="G30" s="54">
        <v>491</v>
      </c>
      <c r="H30" s="54">
        <v>222912</v>
      </c>
      <c r="I30" s="36" t="s">
        <v>57</v>
      </c>
      <c r="J30" s="54">
        <v>224578</v>
      </c>
      <c r="K30" s="36" t="s">
        <v>52</v>
      </c>
      <c r="L30" s="122" t="str">
        <f>VLOOKUP(C30,'Trips&amp;Operators'!$C$1:$E$9999,3,0)</f>
        <v>STORY</v>
      </c>
      <c r="M30" s="9" t="s">
        <v>97</v>
      </c>
      <c r="N30" s="10"/>
      <c r="O30" s="36"/>
      <c r="P30" s="60" t="str">
        <f>VLOOKUP(C30,'Train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30" s="58" t="str">
        <f>VLOOKUP(C30,'Train Runs'!$A$13:$AE$683,22,0)</f>
        <v>https://search-rtdc-monitor-bjffxe2xuh6vdkpspy63sjmuny.us-east-1.es.amazonaws.com/_plugin/kibana/#/discover/Steve-Slow-Train-Analysis-(2080s-and-2083s)?_g=(refreshInterval:(display:Off,section:0,value:0),time:(from:'2016-08-03 10:53:09-0600',mode:absolute,to:'2016-08-03 13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0" s="59" t="str">
        <f t="shared" si="0"/>
        <v>"C:\Program Files (x86)\AstroGrep\AstroGrep.exe" /spath="%USERPROFILE%\AppData\Local\Temp\OnboardLogs" /stypes="*4038*201608031*" /stext=" 18:.+((SYSTEM_STATE.+slice.+state.+changed )|(ment ac)|(system.+state.+changed )|(\|lc)|(penalty)|(\[timeout)|(PRM\|1\|D)|(kpr)|(kdp))" /e /r /s</v>
      </c>
      <c r="S30" s="9" t="str">
        <f t="shared" si="1"/>
        <v>4038</v>
      </c>
      <c r="T30" s="43">
        <f t="shared" si="2"/>
        <v>42585.773113425923</v>
      </c>
      <c r="U30" s="57" t="str">
        <f t="shared" si="3"/>
        <v>EC</v>
      </c>
      <c r="V30" s="57" t="str">
        <f t="shared" si="4"/>
        <v>KEEP</v>
      </c>
    </row>
    <row r="31" spans="1:22" x14ac:dyDescent="0.25">
      <c r="A31" s="43">
        <v>42585.675393518519</v>
      </c>
      <c r="B31" s="36" t="s">
        <v>101</v>
      </c>
      <c r="C31" s="36" t="s">
        <v>519</v>
      </c>
      <c r="D31" s="36" t="s">
        <v>49</v>
      </c>
      <c r="E31" s="36" t="s">
        <v>56</v>
      </c>
      <c r="F31" s="54">
        <v>350</v>
      </c>
      <c r="G31" s="54">
        <v>528</v>
      </c>
      <c r="H31" s="54">
        <v>222805</v>
      </c>
      <c r="I31" s="36" t="s">
        <v>57</v>
      </c>
      <c r="J31" s="54">
        <v>224578</v>
      </c>
      <c r="K31" s="36" t="s">
        <v>52</v>
      </c>
      <c r="L31" s="122" t="str">
        <f>VLOOKUP(C31,'Trips&amp;Operators'!$C$1:$E$9999,3,0)</f>
        <v>STORY</v>
      </c>
      <c r="M31" s="9" t="s">
        <v>97</v>
      </c>
      <c r="N31" s="10"/>
      <c r="O31" s="36"/>
      <c r="P31" s="60" t="str">
        <f>VLOOKUP(C31,'Train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31" s="58" t="str">
        <f>VLOOKUP(C31,'Train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1" s="59" t="str">
        <f t="shared" si="0"/>
        <v>"C:\Program Files (x86)\AstroGrep\AstroGrep.exe" /spath="%USERPROFILE%\AppData\Local\Temp\OnboardLogs" /stypes="*4038*201608032*" /stext=" 22:.+((SYSTEM_STATE.+slice.+state.+changed )|(ment ac)|(system.+state.+changed )|(\|lc)|(penalty)|(\[timeout)|(PRM\|1\|D)|(kpr)|(kdp))" /e /r /s</v>
      </c>
      <c r="S31" s="9" t="str">
        <f t="shared" si="1"/>
        <v>4038</v>
      </c>
      <c r="T31" s="43">
        <f t="shared" si="2"/>
        <v>42585.925393518519</v>
      </c>
      <c r="U31" s="57" t="str">
        <f t="shared" si="3"/>
        <v>EC</v>
      </c>
      <c r="V31" s="57" t="str">
        <f t="shared" si="4"/>
        <v>KEEP</v>
      </c>
    </row>
    <row r="32" spans="1:22" x14ac:dyDescent="0.25">
      <c r="A32" s="43">
        <v>42585.325798611113</v>
      </c>
      <c r="B32" s="36" t="s">
        <v>200</v>
      </c>
      <c r="C32" s="36" t="s">
        <v>497</v>
      </c>
      <c r="D32" s="36" t="s">
        <v>142</v>
      </c>
      <c r="E32" s="36" t="s">
        <v>56</v>
      </c>
      <c r="F32" s="54">
        <v>350</v>
      </c>
      <c r="G32" s="54">
        <v>411</v>
      </c>
      <c r="H32" s="54">
        <v>224933</v>
      </c>
      <c r="I32" s="36" t="s">
        <v>57</v>
      </c>
      <c r="J32" s="54">
        <v>228668</v>
      </c>
      <c r="K32" s="36" t="s">
        <v>53</v>
      </c>
      <c r="L32" s="122" t="str">
        <f>VLOOKUP(C32,'Trips&amp;Operators'!$C$1:$E$9999,3,0)</f>
        <v>ROCHA</v>
      </c>
      <c r="M32" s="9" t="s">
        <v>97</v>
      </c>
      <c r="N32" s="10"/>
      <c r="O32" s="36"/>
      <c r="P32" s="60" t="str">
        <f>VLOOKUP(C32,'Train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32" s="58" t="str">
        <f>VLOOKUP(C32,'Train Runs'!$A$13:$AE$683,22,0)</f>
        <v>https://search-rtdc-monitor-bjffxe2xuh6vdkpspy63sjmuny.us-east-1.es.amazonaws.com/_plugin/kibana/#/discover/Steve-Slow-Train-Analysis-(2080s-and-2083s)?_g=(refreshInterval:(display:Off,section:0,value:0),time:(from:'2016-08-03 06:39:25-0600',mode:absolute,to:'2016-08-03 09:24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2" s="59" t="str">
        <f t="shared" si="0"/>
        <v>"C:\Program Files (x86)\AstroGrep\AstroGrep.exe" /spath="%USERPROFILE%\AppData\Local\Temp\OnboardLogs" /stypes="*4037*201608031*" /stext=" 13:.+((SYSTEM_STATE.+slice.+state.+changed )|(ment ac)|(system.+state.+changed )|(\|lc)|(penalty)|(\[timeout)|(PRM\|1\|D)|(kpr)|(kdp))" /e /r /s</v>
      </c>
      <c r="S32" s="9" t="str">
        <f t="shared" si="1"/>
        <v>4037</v>
      </c>
      <c r="T32" s="43">
        <f t="shared" si="2"/>
        <v>42585.575798611113</v>
      </c>
      <c r="U32" s="57" t="str">
        <f t="shared" si="3"/>
        <v>EC</v>
      </c>
      <c r="V32" s="57" t="str">
        <f t="shared" si="4"/>
        <v>KEEP</v>
      </c>
    </row>
    <row r="33" spans="1:22" x14ac:dyDescent="0.25">
      <c r="A33" s="43">
        <v>42585.739293981482</v>
      </c>
      <c r="B33" s="36" t="s">
        <v>373</v>
      </c>
      <c r="C33" s="36" t="s">
        <v>530</v>
      </c>
      <c r="D33" s="36" t="s">
        <v>142</v>
      </c>
      <c r="E33" s="36" t="s">
        <v>56</v>
      </c>
      <c r="F33" s="54">
        <v>350</v>
      </c>
      <c r="G33" s="54">
        <v>403</v>
      </c>
      <c r="H33" s="54">
        <v>225878</v>
      </c>
      <c r="I33" s="36" t="s">
        <v>57</v>
      </c>
      <c r="J33" s="54">
        <v>228668</v>
      </c>
      <c r="K33" s="36" t="s">
        <v>53</v>
      </c>
      <c r="L33" s="122" t="str">
        <f>VLOOKUP(C33,'Trips&amp;Operators'!$C$1:$E$9999,3,0)</f>
        <v>ARNOLD</v>
      </c>
      <c r="M33" s="9" t="s">
        <v>97</v>
      </c>
      <c r="N33" s="10"/>
      <c r="O33" s="36"/>
      <c r="P33" s="60" t="str">
        <f>VLOOKUP(C33,'Train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33" s="58" t="str">
        <f>VLOOKUP(C33,'Train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16:36:31-0600',mode:absolute,to:'2016-08-03 19:26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33" s="59" t="str">
        <f t="shared" si="0"/>
        <v>"C:\Program Files (x86)\AstroGrep\AstroGrep.exe" /spath="%USERPROFILE%\AppData\Local\Temp\OnboardLogs" /stypes="*4039*201608032*" /stext=" 23:.+((SYSTEM_STATE.+slice.+state.+changed )|(ment ac)|(system.+state.+changed )|(\|lc)|(penalty)|(\[timeout)|(PRM\|1\|D)|(kpr)|(kdp))" /e /r /s</v>
      </c>
      <c r="S33" s="9" t="str">
        <f t="shared" si="1"/>
        <v>4039</v>
      </c>
      <c r="T33" s="43">
        <f t="shared" si="2"/>
        <v>42585.989293981482</v>
      </c>
      <c r="U33" s="57" t="str">
        <f t="shared" si="3"/>
        <v>EC</v>
      </c>
      <c r="V33" s="57" t="str">
        <f t="shared" si="4"/>
        <v>KEEP</v>
      </c>
    </row>
    <row r="34" spans="1:22" x14ac:dyDescent="0.25">
      <c r="A34" s="43">
        <v>42585.276319444441</v>
      </c>
      <c r="B34" s="36" t="s">
        <v>371</v>
      </c>
      <c r="C34" s="36" t="s">
        <v>465</v>
      </c>
      <c r="D34" s="36" t="s">
        <v>49</v>
      </c>
      <c r="E34" s="36" t="s">
        <v>56</v>
      </c>
      <c r="F34" s="54">
        <v>150</v>
      </c>
      <c r="G34" s="54">
        <v>271</v>
      </c>
      <c r="H34" s="54">
        <v>229375</v>
      </c>
      <c r="I34" s="36" t="s">
        <v>57</v>
      </c>
      <c r="J34" s="54">
        <v>230436</v>
      </c>
      <c r="K34" s="36" t="s">
        <v>52</v>
      </c>
      <c r="L34" s="122" t="str">
        <f>VLOOKUP(C34,'Trips&amp;Operators'!$C$1:$E$9999,3,0)</f>
        <v>STRICKLAND</v>
      </c>
      <c r="M34" s="9" t="s">
        <v>97</v>
      </c>
      <c r="N34" s="10"/>
      <c r="O34" s="36"/>
      <c r="P34" s="60" t="str">
        <f>VLOOKUP(C34,'Train Runs'!$A$13:$AE$683,31,0)</f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Q34" s="58" t="str">
        <f>VLOOKUP(C34,'Train Runs'!$A$13:$AE$683,22,0)</f>
        <v>https://search-rtdc-monitor-bjffxe2xuh6vdkpspy63sjmuny.us-east-1.es.amazonaws.com/_plugin/kibana/#/discover/Steve-Slow-Train-Analysis-(2080s-and-2083s)?_g=(refreshInterval:(display:Off,section:0,value:0),time:(from:'2016-08-03 04:57:35-0600',mode:absolute,to:'2016-08-03 07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34" s="59" t="str">
        <f t="shared" si="0"/>
        <v>"C:\Program Files (x86)\AstroGrep\AstroGrep.exe" /spath="%USERPROFILE%\AppData\Local\Temp\OnboardLogs" /stypes="*4044*201608031*" /stext=" 12:.+((SYSTEM_STATE.+slice.+state.+changed )|(ment ac)|(system.+state.+changed )|(\|lc)|(penalty)|(\[timeout)|(PRM\|1\|D)|(kpr)|(kdp))" /e /r /s</v>
      </c>
      <c r="S34" s="9" t="str">
        <f t="shared" si="1"/>
        <v>4044</v>
      </c>
      <c r="T34" s="43">
        <f t="shared" si="2"/>
        <v>42585.526319444441</v>
      </c>
      <c r="U34" s="57" t="str">
        <f t="shared" si="3"/>
        <v>EC</v>
      </c>
      <c r="V34" s="57" t="str">
        <f t="shared" si="4"/>
        <v>KEEP</v>
      </c>
    </row>
    <row r="35" spans="1:22" x14ac:dyDescent="0.25">
      <c r="A35" s="43">
        <v>42585.674293981479</v>
      </c>
      <c r="B35" s="36" t="s">
        <v>146</v>
      </c>
      <c r="C35" s="36" t="s">
        <v>520</v>
      </c>
      <c r="D35" s="36" t="s">
        <v>142</v>
      </c>
      <c r="E35" s="36" t="s">
        <v>56</v>
      </c>
      <c r="F35" s="54">
        <v>350</v>
      </c>
      <c r="G35" s="54">
        <v>406</v>
      </c>
      <c r="H35" s="54">
        <v>224686</v>
      </c>
      <c r="I35" s="36" t="s">
        <v>57</v>
      </c>
      <c r="J35" s="54">
        <v>232107</v>
      </c>
      <c r="K35" s="36" t="s">
        <v>53</v>
      </c>
      <c r="L35" s="122" t="str">
        <f>VLOOKUP(C35,'Trips&amp;Operators'!$C$1:$E$9999,3,0)</f>
        <v>KILLION</v>
      </c>
      <c r="M35" s="9" t="s">
        <v>97</v>
      </c>
      <c r="N35" s="10"/>
      <c r="O35" s="36"/>
      <c r="P35" s="60" t="str">
        <f>VLOOKUP(C35,'Train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35" s="58" t="str">
        <f>VLOOKUP(C35,'Train Runs'!$A$13:$AE$683,22,0)</f>
        <v>https://search-rtdc-monitor-bjffxe2xuh6vdkpspy63sjmuny.us-east-1.es.amazonaws.com/_plugin/kibana/#/discover/Steve-Slow-Train-Analysis-(2080s-and-2083s)?_g=(refreshInterval:(display:Off,section:0,value:0),time:(from:'2016-08-03 15:04:52-0600',mode:absolute,to:'2016-08-03 17:55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5" s="59" t="str">
        <f t="shared" si="0"/>
        <v>"C:\Program Files (x86)\AstroGrep\AstroGrep.exe" /spath="%USERPROFILE%\AppData\Local\Temp\OnboardLogs" /stypes="*4041*201608032*" /stext=" 22:.+((SYSTEM_STATE.+slice.+state.+changed )|(ment ac)|(system.+state.+changed )|(\|lc)|(penalty)|(\[timeout)|(PRM\|1\|D)|(kpr)|(kdp))" /e /r /s</v>
      </c>
      <c r="S35" s="9" t="str">
        <f t="shared" si="1"/>
        <v>4041</v>
      </c>
      <c r="T35" s="43">
        <f t="shared" si="2"/>
        <v>42585.924293981479</v>
      </c>
      <c r="U35" s="57" t="str">
        <f t="shared" si="3"/>
        <v>EC</v>
      </c>
      <c r="V35" s="57" t="str">
        <f t="shared" si="4"/>
        <v>KEEP</v>
      </c>
    </row>
    <row r="36" spans="1:22" x14ac:dyDescent="0.25">
      <c r="A36" s="43">
        <v>42585.720347222225</v>
      </c>
      <c r="B36" s="36" t="s">
        <v>70</v>
      </c>
      <c r="C36" s="36" t="s">
        <v>525</v>
      </c>
      <c r="D36" s="36" t="s">
        <v>49</v>
      </c>
      <c r="E36" s="36" t="s">
        <v>54</v>
      </c>
      <c r="F36" s="54">
        <v>0</v>
      </c>
      <c r="G36" s="54">
        <v>43</v>
      </c>
      <c r="H36" s="54">
        <v>58042</v>
      </c>
      <c r="I36" s="36" t="s">
        <v>55</v>
      </c>
      <c r="J36" s="54">
        <v>57897</v>
      </c>
      <c r="K36" s="36" t="s">
        <v>53</v>
      </c>
      <c r="L36" s="122" t="str">
        <f>VLOOKUP(C36,'Trips&amp;Operators'!$C$1:$E$9999,3,0)</f>
        <v>BRUDER</v>
      </c>
      <c r="M36" s="9" t="s">
        <v>96</v>
      </c>
      <c r="N36" s="10"/>
      <c r="O36" s="36"/>
      <c r="P36" s="60" t="str">
        <f>VLOOKUP(C36,'Train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36" s="58" t="str">
        <f>VLOOKUP(C36,'Train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15:34:29-0600',mode:absolute,to:'2016-08-03 18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36" s="59" t="str">
        <f t="shared" si="0"/>
        <v>"C:\Program Files (x86)\AstroGrep\AstroGrep.exe" /spath="%USERPROFILE%\AppData\Local\Temp\OnboardLogs" /stypes="*4017*201608032*" /stext=" 23:.+((SYSTEM_STATE.+slice.+state.+changed )|(ment ac)|(system.+state.+changed )|(\|lc)|(penalty)|(\[timeout)|(PRM\|1\|D)|(kpr)|(kdp))" /e /r /s</v>
      </c>
      <c r="S36" s="9" t="str">
        <f t="shared" si="1"/>
        <v>4017</v>
      </c>
      <c r="T36" s="43">
        <f t="shared" si="2"/>
        <v>42585.970347222225</v>
      </c>
      <c r="U36" s="57" t="str">
        <f t="shared" si="3"/>
        <v>EC</v>
      </c>
      <c r="V36" s="57" t="str">
        <f t="shared" si="4"/>
        <v>KEEP</v>
      </c>
    </row>
    <row r="37" spans="1:22" ht="15" customHeight="1" x14ac:dyDescent="0.25">
      <c r="A37" s="43">
        <v>42585.751435185186</v>
      </c>
      <c r="B37" s="36" t="s">
        <v>69</v>
      </c>
      <c r="C37" s="36" t="s">
        <v>531</v>
      </c>
      <c r="D37" s="36" t="s">
        <v>49</v>
      </c>
      <c r="E37" s="36" t="s">
        <v>54</v>
      </c>
      <c r="F37" s="54">
        <v>0</v>
      </c>
      <c r="G37" s="54">
        <v>567</v>
      </c>
      <c r="H37" s="54">
        <v>104314</v>
      </c>
      <c r="I37" s="36" t="s">
        <v>55</v>
      </c>
      <c r="J37" s="54">
        <v>107939</v>
      </c>
      <c r="K37" s="36" t="s">
        <v>52</v>
      </c>
      <c r="L37" s="122" t="str">
        <f>VLOOKUP(C37,'Trips&amp;Operators'!$C$1:$E$9999,3,0)</f>
        <v>STORY</v>
      </c>
      <c r="M37" s="9" t="s">
        <v>96</v>
      </c>
      <c r="N37" s="10"/>
      <c r="O37" s="36"/>
      <c r="P37" s="60" t="str">
        <f>VLOOKUP(C37,'Train Runs'!$A$13:$AE$683,31,0)</f>
        <v>aws s3 cp s3://rtdc.mdm.uploadarchive/RTDC4018/2016-08-03/ "%USERPROFILE%\AppData\Local\Temp\OnboardLogs"\RTDC4018\2016-08-03 --recursive &amp; "%USERPROFILE%\Documents\GitHub\mrs-test-scripts\Headless Mode &amp; Sideloading\WalkAndUnGZ.bat" "%USERPROFILE%\AppData\Local\Temp\OnboardLogs"\RTDC4018\2016-08-03 &amp; 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</v>
      </c>
      <c r="Q37" s="58" t="str">
        <f>VLOOKUP(C37,'Train Runs'!$A$13:$AE$683,22,0)</f>
        <v>https://search-rtdc-monitor-bjffxe2xuh6vdkpspy63sjmuny.us-east-1.es.amazonaws.com/_plugin/kibana/#/discover/Steve-Slow-Train-Analysis-(2080s-and-2083s)?_g=(refreshInterval:(display:Off,section:0,value:0),time:(from:'2016-08-03 16:35:44-0600',mode:absolute,to:'2016-08-03 19:22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7" s="59" t="str">
        <f t="shared" si="0"/>
        <v>"C:\Program Files (x86)\AstroGrep\AstroGrep.exe" /spath="%USERPROFILE%\AppData\Local\Temp\OnboardLogs" /stypes="*4018*201608040*" /stext=" 00:.+((SYSTEM_STATE.+slice.+state.+changed )|(ment ac)|(system.+state.+changed )|(\|lc)|(penalty)|(\[timeout)|(PRM\|1\|D)|(kpr)|(kdp))" /e /r /s</v>
      </c>
      <c r="S37" s="9" t="str">
        <f t="shared" si="1"/>
        <v>4018</v>
      </c>
      <c r="T37" s="43">
        <f t="shared" si="2"/>
        <v>42586.001435185186</v>
      </c>
      <c r="U37" s="57" t="str">
        <f t="shared" si="3"/>
        <v>EC</v>
      </c>
      <c r="V37" s="57" t="str">
        <f t="shared" si="4"/>
        <v>KEEP</v>
      </c>
    </row>
    <row r="38" spans="1:22" ht="15" customHeight="1" x14ac:dyDescent="0.25">
      <c r="A38" s="43">
        <v>42585.422824074078</v>
      </c>
      <c r="B38" s="36" t="s">
        <v>104</v>
      </c>
      <c r="C38" s="36" t="s">
        <v>503</v>
      </c>
      <c r="D38" s="36" t="s">
        <v>49</v>
      </c>
      <c r="E38" s="36" t="s">
        <v>54</v>
      </c>
      <c r="F38" s="54">
        <v>0</v>
      </c>
      <c r="G38" s="54">
        <v>425</v>
      </c>
      <c r="H38" s="54">
        <v>129632</v>
      </c>
      <c r="I38" s="36" t="s">
        <v>55</v>
      </c>
      <c r="J38" s="54">
        <v>127587</v>
      </c>
      <c r="K38" s="36" t="s">
        <v>53</v>
      </c>
      <c r="L38" s="122" t="str">
        <f>VLOOKUP(C38,'Trips&amp;Operators'!$C$1:$E$9999,3,0)</f>
        <v>BRANNON</v>
      </c>
      <c r="M38" s="9" t="s">
        <v>96</v>
      </c>
      <c r="N38" s="10"/>
      <c r="O38" s="36"/>
      <c r="P38" s="60" t="str">
        <f>VLOOKUP(C38,'Train Runs'!$A$13:$AE$683,31,0)</f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Q38" s="58" t="str">
        <f>VLOOKUP(C38,'Train Runs'!$A$13:$AE$683,22,0)</f>
        <v>https://search-rtdc-monitor-bjffxe2xuh6vdkpspy63sjmuny.us-east-1.es.amazonaws.com/_plugin/kibana/#/discover/Steve-Slow-Train-Analysis-(2080s-and-2083s)?_g=(refreshInterval:(display:Off,section:0,value:0),time:(from:'2016-08-03 08:48:50-0600',mode:absolute,to:'2016-08-03 11:09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38" s="59" t="str">
        <f t="shared" si="0"/>
        <v>"C:\Program Files (x86)\AstroGrep\AstroGrep.exe" /spath="%USERPROFILE%\AppData\Local\Temp\OnboardLogs" /stypes="*4013*201608031*" /stext=" 16:.+((SYSTEM_STATE.+slice.+state.+changed )|(ment ac)|(system.+state.+changed )|(\|lc)|(penalty)|(\[timeout)|(PRM\|1\|D)|(kpr)|(kdp))" /e /r /s</v>
      </c>
      <c r="S38" s="9" t="str">
        <f t="shared" si="1"/>
        <v>4013</v>
      </c>
      <c r="T38" s="43">
        <f t="shared" si="2"/>
        <v>42585.672824074078</v>
      </c>
      <c r="U38" s="57" t="str">
        <f t="shared" si="3"/>
        <v>EC</v>
      </c>
      <c r="V38" s="57" t="str">
        <f t="shared" si="4"/>
        <v>KEEP</v>
      </c>
    </row>
    <row r="39" spans="1:22" x14ac:dyDescent="0.25">
      <c r="A39" s="43">
        <v>42585.527303240742</v>
      </c>
      <c r="B39" s="36" t="s">
        <v>146</v>
      </c>
      <c r="C39" s="36" t="s">
        <v>507</v>
      </c>
      <c r="D39" s="36" t="s">
        <v>49</v>
      </c>
      <c r="E39" s="36" t="s">
        <v>54</v>
      </c>
      <c r="F39" s="54">
        <v>0</v>
      </c>
      <c r="G39" s="54">
        <v>377</v>
      </c>
      <c r="H39" s="54">
        <v>129207</v>
      </c>
      <c r="I39" s="36" t="s">
        <v>55</v>
      </c>
      <c r="J39" s="54">
        <v>127587</v>
      </c>
      <c r="K39" s="36" t="s">
        <v>53</v>
      </c>
      <c r="L39" s="122" t="str">
        <f>VLOOKUP(C39,'Trips&amp;Operators'!$C$1:$E$9999,3,0)</f>
        <v>KILLION</v>
      </c>
      <c r="M39" s="9" t="s">
        <v>96</v>
      </c>
      <c r="N39" s="10"/>
      <c r="O39" s="36"/>
      <c r="P39" s="60" t="str">
        <f>VLOOKUP(C39,'Train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39" s="58" t="str">
        <f>VLOOKUP(C39,'Train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59" t="str">
        <f t="shared" ref="R39:R70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/spath="%USERPROFILE%\AppData\Local\Temp\OnboardLogs" /stypes="*4041*201608031*" /stext=" 18:.+((SYSTEM_STATE.+slice.+state.+changed )|(ment ac)|(system.+state.+changed )|(\|lc)|(penalty)|(\[timeout)|(PRM\|1\|D)|(kpr)|(kdp))" /e /r /s</v>
      </c>
      <c r="S39" s="9" t="str">
        <f t="shared" ref="S39:S70" si="6">MID(B39,13,4)</f>
        <v>4041</v>
      </c>
      <c r="T39" s="43">
        <f t="shared" ref="T39:T70" si="7">A39+6/24</f>
        <v>42585.777303240742</v>
      </c>
      <c r="U39" s="57" t="str">
        <f t="shared" ref="U39:U70" si="8">IF(VALUE(LEFT(IF(LEN(C39)=6,"0"&amp;C39,C39),2))&lt;=2,"EC",IF(OR(VALUE(LEFT(IF(LEN(C39)=6,"0"&amp;C39,C39),2))=8,VALUE(LEFT(IF(LEN(C39)=6,"0"&amp;C39,C39),2))=18),"NW","GL"))</f>
        <v>EC</v>
      </c>
      <c r="V39" s="57" t="str">
        <f t="shared" ref="V39:V70" si="9">IF(AND(E39="TRACK WARRANT AUTHORITY",G39&lt;10),"OMIT","KEEP")</f>
        <v>KEEP</v>
      </c>
    </row>
    <row r="40" spans="1:22" ht="15" customHeight="1" x14ac:dyDescent="0.25">
      <c r="A40" s="43">
        <v>42585.622106481482</v>
      </c>
      <c r="B40" s="36" t="s">
        <v>200</v>
      </c>
      <c r="C40" s="36" t="s">
        <v>515</v>
      </c>
      <c r="D40" s="36" t="s">
        <v>49</v>
      </c>
      <c r="E40" s="36" t="s">
        <v>54</v>
      </c>
      <c r="F40" s="54">
        <v>0</v>
      </c>
      <c r="G40" s="54">
        <v>557</v>
      </c>
      <c r="H40" s="54">
        <v>130665</v>
      </c>
      <c r="I40" s="36" t="s">
        <v>55</v>
      </c>
      <c r="J40" s="54">
        <v>127587</v>
      </c>
      <c r="K40" s="36" t="s">
        <v>53</v>
      </c>
      <c r="L40" s="122" t="str">
        <f>VLOOKUP(C40,'Trips&amp;Operators'!$C$1:$E$9999,3,0)</f>
        <v>STORY</v>
      </c>
      <c r="M40" s="9" t="s">
        <v>96</v>
      </c>
      <c r="N40" s="10"/>
      <c r="O40" s="36"/>
      <c r="P40" s="60" t="str">
        <f>VLOOKUP(C40,'Train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0" s="58" t="str">
        <f>VLOOKUP(C40,'Train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59" t="str">
        <f t="shared" si="5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40" s="9" t="str">
        <f t="shared" si="6"/>
        <v>4037</v>
      </c>
      <c r="T40" s="43">
        <f t="shared" si="7"/>
        <v>42585.872106481482</v>
      </c>
      <c r="U40" s="57" t="str">
        <f t="shared" si="8"/>
        <v>EC</v>
      </c>
      <c r="V40" s="57" t="str">
        <f t="shared" si="9"/>
        <v>KEEP</v>
      </c>
    </row>
    <row r="41" spans="1:22" x14ac:dyDescent="0.25">
      <c r="A41" s="43">
        <v>42585.622743055559</v>
      </c>
      <c r="B41" s="36" t="s">
        <v>200</v>
      </c>
      <c r="C41" s="36" t="s">
        <v>515</v>
      </c>
      <c r="D41" s="36" t="s">
        <v>49</v>
      </c>
      <c r="E41" s="36" t="s">
        <v>54</v>
      </c>
      <c r="F41" s="54">
        <v>0</v>
      </c>
      <c r="G41" s="54">
        <v>118</v>
      </c>
      <c r="H41" s="54">
        <v>128052</v>
      </c>
      <c r="I41" s="36" t="s">
        <v>55</v>
      </c>
      <c r="J41" s="54">
        <v>127587</v>
      </c>
      <c r="K41" s="36" t="s">
        <v>53</v>
      </c>
      <c r="L41" s="122" t="str">
        <f>VLOOKUP(C41,'Trips&amp;Operators'!$C$1:$E$9999,3,0)</f>
        <v>STORY</v>
      </c>
      <c r="M41" s="9" t="s">
        <v>96</v>
      </c>
      <c r="N41" s="10"/>
      <c r="O41" s="36"/>
      <c r="P41" s="60" t="str">
        <f>VLOOKUP(C41,'Train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1" s="58" t="str">
        <f>VLOOKUP(C41,'Train Runs'!$A$13:$AE$683,22,0)</f>
        <v>https://search-rtdc-monitor-bjffxe2xuh6vdkpspy63sjmuny.us-east-1.es.amazonaws.com/_plugin/kibana/#/discover/Steve-Slow-Train-Analysis-(2080s-and-2083s)?_g=(refreshInterval:(display:Off,section:0,value:0),time:(from:'2016-08-03 13:35:41-0600',mode:absolute,to:'2016-08-03 16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1" s="59" t="str">
        <f t="shared" si="5"/>
        <v>"C:\Program Files (x86)\AstroGrep\AstroGrep.exe" /spath="%USERPROFILE%\AppData\Local\Temp\OnboardLogs" /stypes="*4037*201608032*" /stext=" 20:.+((SYSTEM_STATE.+slice.+state.+changed )|(ment ac)|(system.+state.+changed )|(\|lc)|(penalty)|(\[timeout)|(PRM\|1\|D)|(kpr)|(kdp))" /e /r /s</v>
      </c>
      <c r="S41" s="9" t="str">
        <f t="shared" si="6"/>
        <v>4037</v>
      </c>
      <c r="T41" s="43">
        <f t="shared" si="7"/>
        <v>42585.872743055559</v>
      </c>
      <c r="U41" s="57" t="str">
        <f t="shared" si="8"/>
        <v>EC</v>
      </c>
      <c r="V41" s="57" t="str">
        <f t="shared" si="9"/>
        <v>KEEP</v>
      </c>
    </row>
    <row r="42" spans="1:22" ht="15" customHeight="1" x14ac:dyDescent="0.25">
      <c r="A42" s="43">
        <v>42585.696909722225</v>
      </c>
      <c r="B42" s="36" t="s">
        <v>200</v>
      </c>
      <c r="C42" s="36" t="s">
        <v>524</v>
      </c>
      <c r="D42" s="36" t="s">
        <v>49</v>
      </c>
      <c r="E42" s="36" t="s">
        <v>54</v>
      </c>
      <c r="F42" s="54">
        <v>0</v>
      </c>
      <c r="G42" s="54">
        <v>106</v>
      </c>
      <c r="H42" s="54">
        <v>128201</v>
      </c>
      <c r="I42" s="36" t="s">
        <v>55</v>
      </c>
      <c r="J42" s="54">
        <v>127587</v>
      </c>
      <c r="K42" s="36" t="s">
        <v>53</v>
      </c>
      <c r="L42" s="122" t="str">
        <f>VLOOKUP(C42,'Trips&amp;Operators'!$C$1:$E$9999,3,0)</f>
        <v>STORY</v>
      </c>
      <c r="M42" s="9" t="s">
        <v>96</v>
      </c>
      <c r="N42" s="10"/>
      <c r="O42" s="36"/>
      <c r="P42" s="60" t="str">
        <f>VLOOKUP(C42,'Train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42" s="58" t="str">
        <f>VLOOKUP(C42,'Train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15:19:18-0600',mode:absolute,to:'2016-08-03 18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2" s="59" t="str">
        <f t="shared" si="5"/>
        <v>"C:\Program Files (x86)\AstroGrep\AstroGrep.exe" /spath="%USERPROFILE%\AppData\Local\Temp\OnboardLogs" /stypes="*4037*201608032*" /stext=" 22:.+((SYSTEM_STATE.+slice.+state.+changed )|(ment ac)|(system.+state.+changed )|(\|lc)|(penalty)|(\[timeout)|(PRM\|1\|D)|(kpr)|(kdp))" /e /r /s</v>
      </c>
      <c r="S42" s="9" t="str">
        <f t="shared" si="6"/>
        <v>4037</v>
      </c>
      <c r="T42" s="43">
        <f t="shared" si="7"/>
        <v>42585.946909722225</v>
      </c>
      <c r="U42" s="57" t="str">
        <f t="shared" si="8"/>
        <v>EC</v>
      </c>
      <c r="V42" s="57" t="str">
        <f t="shared" si="9"/>
        <v>KEEP</v>
      </c>
    </row>
    <row r="43" spans="1:22" x14ac:dyDescent="0.25">
      <c r="A43" s="43">
        <v>42585.438634259262</v>
      </c>
      <c r="B43" s="36" t="s">
        <v>311</v>
      </c>
      <c r="C43" s="36" t="s">
        <v>504</v>
      </c>
      <c r="D43" s="36" t="s">
        <v>49</v>
      </c>
      <c r="E43" s="36" t="s">
        <v>54</v>
      </c>
      <c r="F43" s="54">
        <v>0</v>
      </c>
      <c r="G43" s="54">
        <v>428</v>
      </c>
      <c r="H43" s="54">
        <v>195251</v>
      </c>
      <c r="I43" s="36" t="s">
        <v>55</v>
      </c>
      <c r="J43" s="54">
        <v>191723</v>
      </c>
      <c r="K43" s="36" t="s">
        <v>53</v>
      </c>
      <c r="L43" s="122" t="str">
        <f>VLOOKUP(C43,'Trips&amp;Operators'!$C$1:$E$9999,3,0)</f>
        <v>STRICKLAND</v>
      </c>
      <c r="M43" s="9" t="s">
        <v>96</v>
      </c>
      <c r="N43" s="10"/>
      <c r="O43" s="36"/>
      <c r="P43" s="60" t="str">
        <f>VLOOKUP(C43,'Train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43" s="58" t="str">
        <f>VLOOKUP(C43,'Train Runs'!$A$13:$AE$683,22,0)</f>
        <v>https://search-rtdc-monitor-bjffxe2xuh6vdkpspy63sjmuny.us-east-1.es.amazonaws.com/_plugin/kibana/#/discover/Steve-Slow-Train-Analysis-(2080s-and-2083s)?_g=(refreshInterval:(display:Off,section:0,value:0),time:(from:'2016-08-03 09:22:16-0600',mode:absolute,to:'2016-08-03 12:08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43" s="59" t="str">
        <f t="shared" si="5"/>
        <v>"C:\Program Files (x86)\AstroGrep\AstroGrep.exe" /spath="%USERPROFILE%\AppData\Local\Temp\OnboardLogs" /stypes="*4043*201608031*" /stext=" 16:.+((SYSTEM_STATE.+slice.+state.+changed )|(ment ac)|(system.+state.+changed )|(\|lc)|(penalty)|(\[timeout)|(PRM\|1\|D)|(kpr)|(kdp))" /e /r /s</v>
      </c>
      <c r="S43" s="9" t="str">
        <f t="shared" si="6"/>
        <v>4043</v>
      </c>
      <c r="T43" s="43">
        <f t="shared" si="7"/>
        <v>42585.688634259262</v>
      </c>
      <c r="U43" s="57" t="str">
        <f t="shared" si="8"/>
        <v>EC</v>
      </c>
      <c r="V43" s="57" t="str">
        <f t="shared" si="9"/>
        <v>KEEP</v>
      </c>
    </row>
    <row r="44" spans="1:22" x14ac:dyDescent="0.25">
      <c r="A44" s="43">
        <v>42585.605370370373</v>
      </c>
      <c r="B44" s="36" t="s">
        <v>103</v>
      </c>
      <c r="C44" s="36" t="s">
        <v>514</v>
      </c>
      <c r="D44" s="36" t="s">
        <v>49</v>
      </c>
      <c r="E44" s="36" t="s">
        <v>54</v>
      </c>
      <c r="F44" s="54">
        <v>0</v>
      </c>
      <c r="G44" s="54">
        <v>528</v>
      </c>
      <c r="H44" s="54">
        <v>194733</v>
      </c>
      <c r="I44" s="36" t="s">
        <v>55</v>
      </c>
      <c r="J44" s="54">
        <v>191723</v>
      </c>
      <c r="K44" s="36" t="s">
        <v>53</v>
      </c>
      <c r="L44" s="122" t="str">
        <f>VLOOKUP(C44,'Trips&amp;Operators'!$C$1:$E$9999,3,0)</f>
        <v>REBOLETTI</v>
      </c>
      <c r="M44" s="9" t="s">
        <v>96</v>
      </c>
      <c r="N44" s="10"/>
      <c r="O44" s="36"/>
      <c r="P44" s="60" t="str">
        <f>VLOOKUP(C44,'Train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44" s="58" t="str">
        <f>VLOOKUP(C44,'Train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13:19:50-0600',mode:absolute,to:'2016-08-03 16:11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44" s="59" t="str">
        <f t="shared" si="5"/>
        <v>"C:\Program Files (x86)\AstroGrep\AstroGrep.exe" /spath="%USERPROFILE%\AppData\Local\Temp\OnboardLogs" /stypes="*4026*201608032*" /stext=" 20:.+((SYSTEM_STATE.+slice.+state.+changed )|(ment ac)|(system.+state.+changed )|(\|lc)|(penalty)|(\[timeout)|(PRM\|1\|D)|(kpr)|(kdp))" /e /r /s</v>
      </c>
      <c r="S44" s="9" t="str">
        <f t="shared" si="6"/>
        <v>4026</v>
      </c>
      <c r="T44" s="43">
        <f t="shared" si="7"/>
        <v>42585.855370370373</v>
      </c>
      <c r="U44" s="57" t="str">
        <f t="shared" si="8"/>
        <v>EC</v>
      </c>
      <c r="V44" s="57" t="str">
        <f t="shared" si="9"/>
        <v>KEEP</v>
      </c>
    </row>
    <row r="45" spans="1:22" x14ac:dyDescent="0.25">
      <c r="A45" s="43">
        <v>42585.554444444446</v>
      </c>
      <c r="B45" s="36" t="s">
        <v>76</v>
      </c>
      <c r="C45" s="36" t="s">
        <v>509</v>
      </c>
      <c r="D45" s="36" t="s">
        <v>142</v>
      </c>
      <c r="E45" s="36" t="s">
        <v>348</v>
      </c>
      <c r="F45" s="54">
        <v>0</v>
      </c>
      <c r="G45" s="54">
        <v>166</v>
      </c>
      <c r="H45" s="54">
        <v>3825</v>
      </c>
      <c r="I45" s="36" t="s">
        <v>349</v>
      </c>
      <c r="J45" s="54">
        <v>2789</v>
      </c>
      <c r="K45" s="36" t="s">
        <v>52</v>
      </c>
      <c r="L45" s="122" t="str">
        <f>VLOOKUP(C45,'Trips&amp;Operators'!$C$1:$E$9999,3,0)</f>
        <v>KILLION</v>
      </c>
      <c r="M45" s="9" t="s">
        <v>96</v>
      </c>
      <c r="N45" s="10"/>
      <c r="O45" s="36"/>
      <c r="P45" s="60" t="str">
        <f>VLOOKUP(C45,'Train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45" s="58" t="str">
        <f>VLOOKUP(C45,'Train Runs'!$A$13:$AE$683,22,0)</f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59" t="str">
        <f t="shared" si="5"/>
        <v>"C:\Program Files (x86)\AstroGrep\AstroGrep.exe" /spath="%USERPROFILE%\AppData\Local\Temp\OnboardLogs" /stypes="*4042*201608031*" /stext=" 19:.+((SYSTEM_STATE.+slice.+state.+changed )|(ment ac)|(system.+state.+changed )|(\|lc)|(penalty)|(\[timeout)|(PRM\|1\|D)|(kpr)|(kdp))" /e /r /s</v>
      </c>
      <c r="S45" s="9" t="str">
        <f t="shared" si="6"/>
        <v>4042</v>
      </c>
      <c r="T45" s="43">
        <f t="shared" si="7"/>
        <v>42585.804444444446</v>
      </c>
      <c r="U45" s="57" t="str">
        <f t="shared" si="8"/>
        <v>EC</v>
      </c>
      <c r="V45" s="57" t="str">
        <f t="shared" si="9"/>
        <v>KEEP</v>
      </c>
    </row>
    <row r="46" spans="1:22" x14ac:dyDescent="0.25">
      <c r="A46" s="43">
        <v>42585.555138888885</v>
      </c>
      <c r="B46" s="36" t="s">
        <v>76</v>
      </c>
      <c r="C46" s="36" t="s">
        <v>509</v>
      </c>
      <c r="D46" s="36" t="s">
        <v>142</v>
      </c>
      <c r="E46" s="36" t="s">
        <v>348</v>
      </c>
      <c r="F46" s="54">
        <v>0</v>
      </c>
      <c r="G46" s="54">
        <v>166</v>
      </c>
      <c r="H46" s="54">
        <v>3825</v>
      </c>
      <c r="I46" s="36" t="s">
        <v>349</v>
      </c>
      <c r="J46" s="54">
        <v>2789</v>
      </c>
      <c r="K46" s="36" t="s">
        <v>52</v>
      </c>
      <c r="L46" s="122" t="str">
        <f>VLOOKUP(C46,'Trips&amp;Operators'!$C$1:$E$9999,3,0)</f>
        <v>KILLION</v>
      </c>
      <c r="M46" s="9" t="s">
        <v>96</v>
      </c>
      <c r="N46" s="10"/>
      <c r="O46" s="36"/>
      <c r="P46" s="60" t="str">
        <f>VLOOKUP(C46,'Train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46" s="58" t="str">
        <f>VLOOKUP(C46,'Train Runs'!$A$13:$AE$683,22,0)</f>
        <v>https://search-rtdc-monitor-bjffxe2xuh6vdkpspy63sjmuny.us-east-1.es.amazonaws.com/_plugin/kibana/#/discover/Steve-Slow-Train-Analysis-(2080s-and-2083s)?_g=(refreshInterval:(display:Off,section:0,value:0),time:(from:'2016-08-03 12:22:49-0600',mode:absolute,to:'2016-08-03 15:02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6" s="59" t="str">
        <f t="shared" si="5"/>
        <v>"C:\Program Files (x86)\AstroGrep\AstroGrep.exe" /spath="%USERPROFILE%\AppData\Local\Temp\OnboardLogs" /stypes="*4042*201608031*" /stext=" 19:.+((SYSTEM_STATE.+slice.+state.+changed )|(ment ac)|(system.+state.+changed )|(\|lc)|(penalty)|(\[timeout)|(PRM\|1\|D)|(kpr)|(kdp))" /e /r /s</v>
      </c>
      <c r="S46" s="9" t="str">
        <f t="shared" si="6"/>
        <v>4042</v>
      </c>
      <c r="T46" s="43">
        <f t="shared" si="7"/>
        <v>42585.805138888885</v>
      </c>
      <c r="U46" s="57" t="str">
        <f t="shared" si="8"/>
        <v>EC</v>
      </c>
      <c r="V46" s="57" t="str">
        <f t="shared" si="9"/>
        <v>KEEP</v>
      </c>
    </row>
    <row r="47" spans="1:22" x14ac:dyDescent="0.25">
      <c r="A47" s="43">
        <v>42585.575613425928</v>
      </c>
      <c r="B47" s="36" t="s">
        <v>70</v>
      </c>
      <c r="C47" s="36" t="s">
        <v>511</v>
      </c>
      <c r="D47" s="36" t="s">
        <v>142</v>
      </c>
      <c r="E47" s="36" t="s">
        <v>348</v>
      </c>
      <c r="F47" s="54">
        <v>0</v>
      </c>
      <c r="G47" s="54">
        <v>152</v>
      </c>
      <c r="H47" s="54">
        <v>2822</v>
      </c>
      <c r="I47" s="36" t="s">
        <v>349</v>
      </c>
      <c r="J47" s="54">
        <v>2822</v>
      </c>
      <c r="K47" s="36" t="s">
        <v>53</v>
      </c>
      <c r="L47" s="122" t="str">
        <f>VLOOKUP(C47,'Trips&amp;Operators'!$C$1:$E$9999,3,0)</f>
        <v>BRUDER</v>
      </c>
      <c r="M47" s="9" t="s">
        <v>96</v>
      </c>
      <c r="N47" s="10"/>
      <c r="O47" s="36"/>
      <c r="P47" s="60" t="str">
        <f>VLOOKUP(C47,'Train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47" s="58" t="str">
        <f>VLOOKUP(C47,'Train Runs'!$A$13:$AE$683,22,0)</f>
        <v>https://search-rtdc-monitor-bjffxe2xuh6vdkpspy63sjmuny.us-east-1.es.amazonaws.com/_plugin/kibana/#/discover/Steve-Slow-Train-Analysis-(2080s-and-2083s)?_g=(refreshInterval:(display:Off,section:0,value:0),time:(from:'2016-08-03 12:03:39-0600',mode:absolute,to:'2016-08-03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59" t="str">
        <f t="shared" si="5"/>
        <v>"C:\Program Files (x86)\AstroGrep\AstroGrep.exe" /spath="%USERPROFILE%\AppData\Local\Temp\OnboardLogs" /stypes="*4017*201608031*" /stext=" 19:.+((SYSTEM_STATE.+slice.+state.+changed )|(ment ac)|(system.+state.+changed )|(\|lc)|(penalty)|(\[timeout)|(PRM\|1\|D)|(kpr)|(kdp))" /e /r /s</v>
      </c>
      <c r="S47" s="9" t="str">
        <f t="shared" si="6"/>
        <v>4017</v>
      </c>
      <c r="T47" s="43">
        <f t="shared" si="7"/>
        <v>42585.825613425928</v>
      </c>
      <c r="U47" s="57" t="str">
        <f t="shared" si="8"/>
        <v>EC</v>
      </c>
      <c r="V47" s="57" t="str">
        <f t="shared" si="9"/>
        <v>KEEP</v>
      </c>
    </row>
    <row r="48" spans="1:22" x14ac:dyDescent="0.25">
      <c r="A48" s="43">
        <v>42585.798530092594</v>
      </c>
      <c r="B48" s="36" t="s">
        <v>70</v>
      </c>
      <c r="C48" s="36" t="s">
        <v>532</v>
      </c>
      <c r="D48" s="36" t="s">
        <v>49</v>
      </c>
      <c r="E48" s="36" t="s">
        <v>348</v>
      </c>
      <c r="F48" s="54">
        <v>0</v>
      </c>
      <c r="G48" s="54">
        <v>99</v>
      </c>
      <c r="H48" s="54">
        <v>3912</v>
      </c>
      <c r="I48" s="36" t="s">
        <v>349</v>
      </c>
      <c r="J48" s="54">
        <v>3902</v>
      </c>
      <c r="K48" s="36" t="s">
        <v>53</v>
      </c>
      <c r="L48" s="122" t="str">
        <f>VLOOKUP(C48,'Trips&amp;Operators'!$C$1:$E$9999,3,0)</f>
        <v>STORY</v>
      </c>
      <c r="M48" s="9" t="s">
        <v>96</v>
      </c>
      <c r="N48" s="10"/>
      <c r="O48" s="36"/>
      <c r="P48" s="60" t="str">
        <f>VLOOKUP(C48,'Train Runs'!$A$13:$AE$683,31,0)</f>
        <v>aws s3 cp s3://rtdc.mdm.uploadarchive/RTDC4017/2016-08-03/ "%USERPROFILE%\AppData\Local\Temp\OnboardLogs"\RTDC4017\2016-08-03 --recursive &amp; "%USERPROFILE%\Documents\GitHub\mrs-test-scripts\Headless Mode &amp; Sideloading\WalkAndUnGZ.bat" "%USERPROFILE%\AppData\Local\Temp\OnboardLogs"\RTDC4017\2016-08-03 &amp; 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</v>
      </c>
      <c r="Q48" s="58" t="str">
        <f>VLOOKUP(C48,'Train Runs'!$A$13:$AE$683,22,0)</f>
        <v>https://search-rtdc-monitor-bjffxe2xuh6vdkpspy63sjmuny.us-east-1.es.amazonaws.com/_plugin/kibana/#/discover/Steve-Slow-Train-Analysis-(2080s-and-2083s)?_g=(refreshInterval:(display:Off,section:0,value:0),time:(from:'2016-08-03 17:24:37-0600',mode:absolute,to:'2016-08-03 20:11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8" s="59" t="str">
        <f t="shared" si="5"/>
        <v>"C:\Program Files (x86)\AstroGrep\AstroGrep.exe" /spath="%USERPROFILE%\AppData\Local\Temp\OnboardLogs" /stypes="*4017*201608040*" /stext=" 01:.+((SYSTEM_STATE.+slice.+state.+changed )|(ment ac)|(system.+state.+changed )|(\|lc)|(penalty)|(\[timeout)|(PRM\|1\|D)|(kpr)|(kdp))" /e /r /s</v>
      </c>
      <c r="S48" s="9" t="str">
        <f t="shared" si="6"/>
        <v>4017</v>
      </c>
      <c r="T48" s="43">
        <f t="shared" si="7"/>
        <v>42586.048530092594</v>
      </c>
      <c r="U48" s="57" t="str">
        <f t="shared" si="8"/>
        <v>EC</v>
      </c>
      <c r="V48" s="57" t="str">
        <f t="shared" si="9"/>
        <v>KEEP</v>
      </c>
    </row>
    <row r="49" spans="1:22" x14ac:dyDescent="0.25">
      <c r="A49" s="43">
        <v>42585.543749999997</v>
      </c>
      <c r="B49" s="36" t="s">
        <v>146</v>
      </c>
      <c r="C49" s="36" t="s">
        <v>507</v>
      </c>
      <c r="D49" s="36" t="s">
        <v>49</v>
      </c>
      <c r="E49" s="36" t="s">
        <v>348</v>
      </c>
      <c r="F49" s="54">
        <v>0</v>
      </c>
      <c r="G49" s="54">
        <v>140</v>
      </c>
      <c r="H49" s="54">
        <v>4965</v>
      </c>
      <c r="I49" s="36" t="s">
        <v>349</v>
      </c>
      <c r="J49" s="54">
        <v>4677</v>
      </c>
      <c r="K49" s="36" t="s">
        <v>53</v>
      </c>
      <c r="L49" s="122" t="str">
        <f>VLOOKUP(C49,'Trips&amp;Operators'!$C$1:$E$9999,3,0)</f>
        <v>KILLION</v>
      </c>
      <c r="M49" s="9" t="s">
        <v>96</v>
      </c>
      <c r="N49" s="10"/>
      <c r="O49" s="36"/>
      <c r="P49" s="60" t="str">
        <f>VLOOKUP(C49,'Train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49" s="58" t="str">
        <f>VLOOKUP(C49,'Train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9" s="59" t="str">
        <f t="shared" si="5"/>
        <v>"C:\Program Files (x86)\AstroGrep\AstroGrep.exe" /spath="%USERPROFILE%\AppData\Local\Temp\OnboardLogs" /stypes="*4041*201608031*" /stext=" 19:.+((SYSTEM_STATE.+slice.+state.+changed )|(ment ac)|(system.+state.+changed )|(\|lc)|(penalty)|(\[timeout)|(PRM\|1\|D)|(kpr)|(kdp))" /e /r /s</v>
      </c>
      <c r="S49" s="9" t="str">
        <f t="shared" si="6"/>
        <v>4041</v>
      </c>
      <c r="T49" s="43">
        <f t="shared" si="7"/>
        <v>42585.793749999997</v>
      </c>
      <c r="U49" s="57" t="str">
        <f t="shared" si="8"/>
        <v>EC</v>
      </c>
      <c r="V49" s="57" t="str">
        <f t="shared" si="9"/>
        <v>KEEP</v>
      </c>
    </row>
    <row r="50" spans="1:22" x14ac:dyDescent="0.25">
      <c r="A50" s="43">
        <v>42585.544432870367</v>
      </c>
      <c r="B50" s="36" t="s">
        <v>146</v>
      </c>
      <c r="C50" s="36" t="s">
        <v>507</v>
      </c>
      <c r="D50" s="36" t="s">
        <v>49</v>
      </c>
      <c r="E50" s="36" t="s">
        <v>348</v>
      </c>
      <c r="F50" s="54">
        <v>0</v>
      </c>
      <c r="G50" s="54">
        <v>140</v>
      </c>
      <c r="H50" s="54">
        <v>4965</v>
      </c>
      <c r="I50" s="36" t="s">
        <v>349</v>
      </c>
      <c r="J50" s="54">
        <v>4677</v>
      </c>
      <c r="K50" s="36" t="s">
        <v>53</v>
      </c>
      <c r="L50" s="122" t="str">
        <f>VLOOKUP(C50,'Trips&amp;Operators'!$C$1:$E$9999,3,0)</f>
        <v>KILLION</v>
      </c>
      <c r="M50" s="9" t="s">
        <v>96</v>
      </c>
      <c r="N50" s="10"/>
      <c r="O50" s="36"/>
      <c r="P50" s="60" t="str">
        <f>VLOOKUP(C50,'Train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0" s="58" t="str">
        <f>VLOOKUP(C50,'Train Runs'!$A$13:$AE$683,22,0)</f>
        <v>https://search-rtdc-monitor-bjffxe2xuh6vdkpspy63sjmuny.us-east-1.es.amazonaws.com/_plugin/kibana/#/discover/Steve-Slow-Train-Analysis-(2080s-and-2083s)?_g=(refreshInterval:(display:Off,section:0,value:0),time:(from:'2016-08-03 11:16:14-0600',mode:absolute,to:'2016-08-03 14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0" s="59" t="str">
        <f t="shared" si="5"/>
        <v>"C:\Program Files (x86)\AstroGrep\AstroGrep.exe" /spath="%USERPROFILE%\AppData\Local\Temp\OnboardLogs" /stypes="*4041*201608031*" /stext=" 19:.+((SYSTEM_STATE.+slice.+state.+changed )|(ment ac)|(system.+state.+changed )|(\|lc)|(penalty)|(\[timeout)|(PRM\|1\|D)|(kpr)|(kdp))" /e /r /s</v>
      </c>
      <c r="S50" s="9" t="str">
        <f t="shared" si="6"/>
        <v>4041</v>
      </c>
      <c r="T50" s="43">
        <f t="shared" si="7"/>
        <v>42585.794432870367</v>
      </c>
      <c r="U50" s="57" t="str">
        <f t="shared" si="8"/>
        <v>EC</v>
      </c>
      <c r="V50" s="57" t="str">
        <f t="shared" si="9"/>
        <v>KEEP</v>
      </c>
    </row>
    <row r="51" spans="1:22" x14ac:dyDescent="0.25">
      <c r="A51" s="43">
        <v>42585.553773148145</v>
      </c>
      <c r="B51" s="36" t="s">
        <v>103</v>
      </c>
      <c r="C51" s="36" t="s">
        <v>508</v>
      </c>
      <c r="D51" s="36" t="s">
        <v>142</v>
      </c>
      <c r="E51" s="36" t="s">
        <v>348</v>
      </c>
      <c r="F51" s="54">
        <v>0</v>
      </c>
      <c r="G51" s="54">
        <v>147</v>
      </c>
      <c r="H51" s="54">
        <v>4236</v>
      </c>
      <c r="I51" s="36" t="s">
        <v>349</v>
      </c>
      <c r="J51" s="54">
        <v>4677</v>
      </c>
      <c r="K51" s="36" t="s">
        <v>53</v>
      </c>
      <c r="L51" s="122" t="str">
        <f>VLOOKUP(C51,'Trips&amp;Operators'!$C$1:$E$9999,3,0)</f>
        <v>REBOLETTI</v>
      </c>
      <c r="M51" s="9" t="s">
        <v>96</v>
      </c>
      <c r="N51" s="10"/>
      <c r="O51" s="36"/>
      <c r="P51" s="60" t="str">
        <f>VLOOKUP(C51,'Train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51" s="58" t="str">
        <f>VLOOKUP(C51,'Train Runs'!$A$13:$AE$683,22,0)</f>
        <v>https://search-rtdc-monitor-bjffxe2xuh6vdkpspy63sjmuny.us-east-1.es.amazonaws.com/_plugin/kibana/#/discover/Steve-Slow-Train-Analysis-(2080s-and-2083s)?_g=(refreshInterval:(display:Off,section:0,value:0),time:(from:'2016-08-03 11:34:05-0600',mode:absolute,to:'2016-08-03 14:20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1" s="59" t="str">
        <f t="shared" si="5"/>
        <v>"C:\Program Files (x86)\AstroGrep\AstroGrep.exe" /spath="%USERPROFILE%\AppData\Local\Temp\OnboardLogs" /stypes="*4026*201608031*" /stext=" 19:.+((SYSTEM_STATE.+slice.+state.+changed )|(ment ac)|(system.+state.+changed )|(\|lc)|(penalty)|(\[timeout)|(PRM\|1\|D)|(kpr)|(kdp))" /e /r /s</v>
      </c>
      <c r="S51" s="9" t="str">
        <f t="shared" si="6"/>
        <v>4026</v>
      </c>
      <c r="T51" s="43">
        <f t="shared" si="7"/>
        <v>42585.803773148145</v>
      </c>
      <c r="U51" s="57" t="str">
        <f t="shared" si="8"/>
        <v>EC</v>
      </c>
      <c r="V51" s="57" t="str">
        <f t="shared" si="9"/>
        <v>KEEP</v>
      </c>
    </row>
    <row r="52" spans="1:22" x14ac:dyDescent="0.25">
      <c r="A52" s="43">
        <v>42585.789456018516</v>
      </c>
      <c r="B52" s="36" t="s">
        <v>103</v>
      </c>
      <c r="C52" s="36" t="s">
        <v>534</v>
      </c>
      <c r="D52" s="36" t="s">
        <v>142</v>
      </c>
      <c r="E52" s="36" t="s">
        <v>348</v>
      </c>
      <c r="F52" s="54">
        <v>0</v>
      </c>
      <c r="G52" s="54">
        <v>149</v>
      </c>
      <c r="H52" s="54">
        <v>3650</v>
      </c>
      <c r="I52" s="36" t="s">
        <v>349</v>
      </c>
      <c r="J52" s="54">
        <v>4677</v>
      </c>
      <c r="K52" s="36" t="s">
        <v>53</v>
      </c>
      <c r="L52" s="122" t="str">
        <f>VLOOKUP(C52,'Trips&amp;Operators'!$C$1:$E$9999,3,0)</f>
        <v>STURGEON</v>
      </c>
      <c r="M52" s="9" t="s">
        <v>96</v>
      </c>
      <c r="N52" s="10"/>
      <c r="O52" s="36"/>
      <c r="P52" s="60" t="str">
        <f>VLOOKUP(C52,'Train Runs'!$A$13:$AE$683,31,0)</f>
        <v>aws s3 cp s3://rtdc.mdm.uploadarchive/RTDC4026/2016-08-03/ "%USERPROFILE%\AppData\Local\Temp\OnboardLogs"\RTDC4026\2016-08-03 --recursive &amp; "%USERPROFILE%\Documents\GitHub\mrs-test-scripts\Headless Mode &amp; Sideloading\WalkAndUnGZ.bat" "%USERPROFILE%\AppData\Local\Temp\OnboardLogs"\RTDC4026\2016-08-03 &amp; 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</v>
      </c>
      <c r="Q52" s="58" t="str">
        <f>VLOOKUP(C52,'Train Runs'!$A$13:$AE$683,22,0)</f>
        <v>https://search-rtdc-monitor-bjffxe2xuh6vdkpspy63sjmuny.us-east-1.es.amazonaws.com/_plugin/kibana/#/discover/Steve-Slow-Train-Analysis-(2080s-and-2083s)?_g=(refreshInterval:(display:Off,section:0,value:0),time:(from:'2016-08-03 17:02:58-0600',mode:absolute,to:'2016-08-03 19:59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2" s="59" t="str">
        <f t="shared" si="5"/>
        <v>"C:\Program Files (x86)\AstroGrep\AstroGrep.exe" /spath="%USERPROFILE%\AppData\Local\Temp\OnboardLogs" /stypes="*4026*201608040*" /stext=" 00:.+((SYSTEM_STATE.+slice.+state.+changed )|(ment ac)|(system.+state.+changed )|(\|lc)|(penalty)|(\[timeout)|(PRM\|1\|D)|(kpr)|(kdp))" /e /r /s</v>
      </c>
      <c r="S52" s="9" t="str">
        <f t="shared" si="6"/>
        <v>4026</v>
      </c>
      <c r="T52" s="43">
        <f t="shared" si="7"/>
        <v>42586.039456018516</v>
      </c>
      <c r="U52" s="57" t="str">
        <f t="shared" si="8"/>
        <v>EC</v>
      </c>
      <c r="V52" s="57" t="str">
        <f t="shared" si="9"/>
        <v>KEEP</v>
      </c>
    </row>
    <row r="53" spans="1:22" x14ac:dyDescent="0.25">
      <c r="A53" s="43">
        <v>42585.244201388887</v>
      </c>
      <c r="B53" s="36" t="s">
        <v>373</v>
      </c>
      <c r="C53" s="36" t="s">
        <v>467</v>
      </c>
      <c r="D53" s="36" t="s">
        <v>49</v>
      </c>
      <c r="E53" s="36" t="s">
        <v>50</v>
      </c>
      <c r="F53" s="54">
        <v>0</v>
      </c>
      <c r="G53" s="54">
        <v>62</v>
      </c>
      <c r="H53" s="54">
        <v>234</v>
      </c>
      <c r="I53" s="36" t="s">
        <v>51</v>
      </c>
      <c r="J53" s="54">
        <v>1</v>
      </c>
      <c r="K53" s="36" t="s">
        <v>53</v>
      </c>
      <c r="L53" s="122" t="str">
        <f>VLOOKUP(C53,'Trips&amp;Operators'!$C$1:$E$9999,3,0)</f>
        <v>STRICKLAND</v>
      </c>
      <c r="M53" s="9" t="s">
        <v>97</v>
      </c>
      <c r="N53" s="10"/>
      <c r="O53" s="36"/>
      <c r="P53" s="60" t="str">
        <f>VLOOKUP(C53,'Train Runs'!$A$13:$AE$683,31,0)</f>
        <v>aws s3 cp s3://rtdc.mdm.uploadarchive/RTDC4039/2016-08-03/ "%USERPROFILE%\AppData\Local\Temp\OnboardLogs"\RTDC4039\2016-08-03 --recursive &amp; "%USERPROFILE%\Documents\GitHub\mrs-test-scripts\Headless Mode &amp; Sideloading\WalkAndUnGZ.bat" "%USERPROFILE%\AppData\Local\Temp\OnboardLogs"\RTDC4039\2016-08-03 &amp; aws s3 cp s3://rtdc.mdm.uploadarchive/RTDC4039/2016-08-04/ "%USERPROFILE%\AppData\Local\Temp\OnboardLogs"\RTDC4039\2016-08-04 --recursive &amp; "%USERPROFILE%\Documents\GitHub\mrs-test-scripts\Headless Mode &amp; Sideloading\WalkAndUnGZ.bat" "%USERPROFILE%\AppData\Local\Temp\OnboardLogs"\RTDC4039\2016-08-04</v>
      </c>
      <c r="Q53" s="58" t="str">
        <f>VLOOKUP(C53,'Train Runs'!$A$13:$AE$683,22,0)</f>
        <v>https://search-rtdc-monitor-bjffxe2xuh6vdkpspy63sjmuny.us-east-1.es.amazonaws.com/_plugin/kibana/#/discover/Steve-Slow-Train-Analysis-(2080s-and-2083s)?_g=(refreshInterval:(display:Off,section:0,value:0),time:(from:'2016-08-03 04:01:57-0600',mode:absolute,to:'2016-08-03 06:53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53" s="59" t="str">
        <f t="shared" si="5"/>
        <v>"C:\Program Files (x86)\AstroGrep\AstroGrep.exe" /spath="%USERPROFILE%\AppData\Local\Temp\OnboardLogs" /stypes="*4039*201608031*" /stext=" 11:.+((SYSTEM_STATE.+slice.+state.+changed )|(ment ac)|(system.+state.+changed )|(\|lc)|(penalty)|(\[timeout)|(PRM\|1\|D)|(kpr)|(kdp))" /e /r /s</v>
      </c>
      <c r="S53" s="9" t="str">
        <f t="shared" si="6"/>
        <v>4039</v>
      </c>
      <c r="T53" s="43">
        <f t="shared" si="7"/>
        <v>42585.494201388887</v>
      </c>
      <c r="U53" s="57" t="str">
        <f t="shared" si="8"/>
        <v>EC</v>
      </c>
      <c r="V53" s="57" t="str">
        <f t="shared" si="9"/>
        <v>KEEP</v>
      </c>
    </row>
    <row r="54" spans="1:22" x14ac:dyDescent="0.25">
      <c r="A54" s="43">
        <v>42585.368819444448</v>
      </c>
      <c r="B54" s="36" t="s">
        <v>104</v>
      </c>
      <c r="C54" s="36" t="s">
        <v>498</v>
      </c>
      <c r="D54" s="36" t="s">
        <v>49</v>
      </c>
      <c r="E54" s="36" t="s">
        <v>50</v>
      </c>
      <c r="F54" s="54">
        <v>0</v>
      </c>
      <c r="G54" s="54">
        <v>67</v>
      </c>
      <c r="H54" s="54">
        <v>242</v>
      </c>
      <c r="I54" s="36" t="s">
        <v>51</v>
      </c>
      <c r="J54" s="54">
        <v>1</v>
      </c>
      <c r="K54" s="36" t="s">
        <v>53</v>
      </c>
      <c r="L54" s="122" t="str">
        <f>VLOOKUP(C54,'Trips&amp;Operators'!$C$1:$E$9999,3,0)</f>
        <v>BRANNON</v>
      </c>
      <c r="M54" s="9" t="s">
        <v>97</v>
      </c>
      <c r="N54" s="10"/>
      <c r="O54" s="36"/>
      <c r="P54" s="60" t="str">
        <f>VLOOKUP(C54,'Train Runs'!$A$13:$AE$683,31,0)</f>
        <v>aws s3 cp s3://rtdc.mdm.uploadarchive/RTDC4013/2016-08-03/ "%USERPROFILE%\AppData\Local\Temp\OnboardLogs"\RTDC4013\2016-08-03 --recursive &amp; "%USERPROFILE%\Documents\GitHub\mrs-test-scripts\Headless Mode &amp; Sideloading\WalkAndUnGZ.bat" "%USERPROFILE%\AppData\Local\Temp\OnboardLogs"\RTDC4013\2016-08-03 &amp; aws s3 cp s3://rtdc.mdm.uploadarchive/RTDC4013/2016-08-04/ "%USERPROFILE%\AppData\Local\Temp\OnboardLogs"\RTDC4013\2016-08-04 --recursive &amp; "%USERPROFILE%\Documents\GitHub\mrs-test-scripts\Headless Mode &amp; Sideloading\WalkAndUnGZ.bat" "%USERPROFILE%\AppData\Local\Temp\OnboardLogs"\RTDC4013\2016-08-04</v>
      </c>
      <c r="Q54" s="58" t="str">
        <f>VLOOKUP(C54,'Train Runs'!$A$13:$AE$683,22,0)</f>
        <v>https://search-rtdc-monitor-bjffxe2xuh6vdkpspy63sjmuny.us-east-1.es.amazonaws.com/_plugin/kibana/#/discover/Steve-Slow-Train-Analysis-(2080s-and-2083s)?_g=(refreshInterval:(display:Off,section:0,value:0),time:(from:'2016-08-03 07:00:04-0600',mode:absolute,to:'2016-08-03 09:51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4" s="59" t="str">
        <f t="shared" si="5"/>
        <v>"C:\Program Files (x86)\AstroGrep\AstroGrep.exe" /spath="%USERPROFILE%\AppData\Local\Temp\OnboardLogs" /stypes="*4013*201608031*" /stext=" 14:.+((SYSTEM_STATE.+slice.+state.+changed )|(ment ac)|(system.+state.+changed )|(\|lc)|(penalty)|(\[timeout)|(PRM\|1\|D)|(kpr)|(kdp))" /e /r /s</v>
      </c>
      <c r="S54" s="9" t="str">
        <f t="shared" si="6"/>
        <v>4013</v>
      </c>
      <c r="T54" s="43">
        <f t="shared" si="7"/>
        <v>42585.618819444448</v>
      </c>
      <c r="U54" s="57" t="str">
        <f t="shared" si="8"/>
        <v>EC</v>
      </c>
      <c r="V54" s="57" t="str">
        <f t="shared" si="9"/>
        <v>KEEP</v>
      </c>
    </row>
    <row r="55" spans="1:22" x14ac:dyDescent="0.25">
      <c r="A55" s="43">
        <v>42585.390555555554</v>
      </c>
      <c r="B55" s="36" t="s">
        <v>311</v>
      </c>
      <c r="C55" s="36" t="s">
        <v>499</v>
      </c>
      <c r="D55" s="36" t="s">
        <v>49</v>
      </c>
      <c r="E55" s="36" t="s">
        <v>50</v>
      </c>
      <c r="F55" s="54">
        <v>0</v>
      </c>
      <c r="G55" s="54">
        <v>53</v>
      </c>
      <c r="H55" s="54">
        <v>203</v>
      </c>
      <c r="I55" s="36" t="s">
        <v>51</v>
      </c>
      <c r="J55" s="54">
        <v>1</v>
      </c>
      <c r="K55" s="36" t="s">
        <v>53</v>
      </c>
      <c r="L55" s="122" t="str">
        <f>VLOOKUP(C55,'Trips&amp;Operators'!$C$1:$E$9999,3,0)</f>
        <v>STRICKLAND</v>
      </c>
      <c r="M55" s="9" t="s">
        <v>97</v>
      </c>
      <c r="N55" s="10"/>
      <c r="O55" s="36"/>
      <c r="P55" s="60" t="str">
        <f>VLOOKUP(C55,'Train Runs'!$A$13:$AE$683,31,0)</f>
        <v>aws s3 cp s3://rtdc.mdm.uploadarchive/RTDC4043/2016-08-03/ "%USERPROFILE%\AppData\Local\Temp\OnboardLogs"\RTDC4043\2016-08-03 --recursive &amp; "%USERPROFILE%\Documents\GitHub\mrs-test-scripts\Headless Mode &amp; Sideloading\WalkAndUnGZ.bat" "%USERPROFILE%\AppData\Local\Temp\OnboardLogs"\RTDC4043\2016-08-03 &amp; aws s3 cp s3://rtdc.mdm.uploadarchive/RTDC4043/2016-08-04/ "%USERPROFILE%\AppData\Local\Temp\OnboardLogs"\RTDC4043\2016-08-04 --recursive &amp; "%USERPROFILE%\Documents\GitHub\mrs-test-scripts\Headless Mode &amp; Sideloading\WalkAndUnGZ.bat" "%USERPROFILE%\AppData\Local\Temp\OnboardLogs"\RTDC4043\2016-08-04</v>
      </c>
      <c r="Q55" s="58" t="str">
        <f>VLOOKUP(C55,'Train Runs'!$A$13:$AE$683,22,0)</f>
        <v>https://search-rtdc-monitor-bjffxe2xuh6vdkpspy63sjmuny.us-east-1.es.amazonaws.com/_plugin/kibana/#/discover/Steve-Slow-Train-Analysis-(2080s-and-2083s)?_g=(refreshInterval:(display:Off,section:0,value:0),time:(from:'2016-08-03 07:38:13-0600',mode:absolute,to:'2016-08-03 10:27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55" s="59" t="str">
        <f t="shared" si="5"/>
        <v>"C:\Program Files (x86)\AstroGrep\AstroGrep.exe" /spath="%USERPROFILE%\AppData\Local\Temp\OnboardLogs" /stypes="*4043*201608031*" /stext=" 15:.+((SYSTEM_STATE.+slice.+state.+changed )|(ment ac)|(system.+state.+changed )|(\|lc)|(penalty)|(\[timeout)|(PRM\|1\|D)|(kpr)|(kdp))" /e /r /s</v>
      </c>
      <c r="S55" s="9" t="str">
        <f t="shared" si="6"/>
        <v>4043</v>
      </c>
      <c r="T55" s="43">
        <f t="shared" si="7"/>
        <v>42585.640555555554</v>
      </c>
      <c r="U55" s="57" t="str">
        <f t="shared" si="8"/>
        <v>EC</v>
      </c>
      <c r="V55" s="57" t="str">
        <f t="shared" si="9"/>
        <v>KEEP</v>
      </c>
    </row>
    <row r="56" spans="1:22" x14ac:dyDescent="0.25">
      <c r="A56" s="43">
        <v>42585.400208333333</v>
      </c>
      <c r="B56" s="36" t="s">
        <v>146</v>
      </c>
      <c r="C56" s="36" t="s">
        <v>501</v>
      </c>
      <c r="D56" s="36" t="s">
        <v>49</v>
      </c>
      <c r="E56" s="36" t="s">
        <v>50</v>
      </c>
      <c r="F56" s="54">
        <v>0</v>
      </c>
      <c r="G56" s="54">
        <v>59</v>
      </c>
      <c r="H56" s="54">
        <v>227</v>
      </c>
      <c r="I56" s="36" t="s">
        <v>51</v>
      </c>
      <c r="J56" s="54">
        <v>1</v>
      </c>
      <c r="K56" s="36" t="s">
        <v>53</v>
      </c>
      <c r="L56" s="122" t="str">
        <f>VLOOKUP(C56,'Trips&amp;Operators'!$C$1:$E$9999,3,0)</f>
        <v>SPECTOR</v>
      </c>
      <c r="M56" s="9" t="s">
        <v>97</v>
      </c>
      <c r="N56" s="10"/>
      <c r="O56" s="36"/>
      <c r="P56" s="60" t="str">
        <f>VLOOKUP(C56,'Train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6" s="58" t="str">
        <f>VLOOKUP(C56,'Train Runs'!$A$13:$AE$683,22,0)</f>
        <v>https://search-rtdc-monitor-bjffxe2xuh6vdkpspy63sjmuny.us-east-1.es.amazonaws.com/_plugin/kibana/#/discover/Steve-Slow-Train-Analysis-(2080s-and-2083s)?_g=(refreshInterval:(display:Off,section:0,value:0),time:(from:'2016-08-03 07:46:41-0600',mode:absolute,to:'2016-08-03 10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6" s="59" t="str">
        <f t="shared" si="5"/>
        <v>"C:\Program Files (x86)\AstroGrep\AstroGrep.exe" /spath="%USERPROFILE%\AppData\Local\Temp\OnboardLogs" /stypes="*4041*201608031*" /stext=" 15:.+((SYSTEM_STATE.+slice.+state.+changed )|(ment ac)|(system.+state.+changed )|(\|lc)|(penalty)|(\[timeout)|(PRM\|1\|D)|(kpr)|(kdp))" /e /r /s</v>
      </c>
      <c r="S56" s="9" t="str">
        <f t="shared" si="6"/>
        <v>4041</v>
      </c>
      <c r="T56" s="43">
        <f t="shared" si="7"/>
        <v>42585.650208333333</v>
      </c>
      <c r="U56" s="57" t="str">
        <f t="shared" si="8"/>
        <v>EC</v>
      </c>
      <c r="V56" s="57" t="str">
        <f t="shared" si="9"/>
        <v>KEEP</v>
      </c>
    </row>
    <row r="57" spans="1:22" x14ac:dyDescent="0.25">
      <c r="A57" s="43">
        <v>42585.566712962966</v>
      </c>
      <c r="B57" s="36" t="s">
        <v>200</v>
      </c>
      <c r="C57" s="36" t="s">
        <v>510</v>
      </c>
      <c r="D57" s="36" t="s">
        <v>49</v>
      </c>
      <c r="E57" s="36" t="s">
        <v>50</v>
      </c>
      <c r="F57" s="54">
        <v>0</v>
      </c>
      <c r="G57" s="54">
        <v>86</v>
      </c>
      <c r="H57" s="54">
        <v>320</v>
      </c>
      <c r="I57" s="36" t="s">
        <v>51</v>
      </c>
      <c r="J57" s="54">
        <v>1</v>
      </c>
      <c r="K57" s="36" t="s">
        <v>53</v>
      </c>
      <c r="L57" s="122" t="str">
        <f>VLOOKUP(C57,'Trips&amp;Operators'!$C$1:$E$9999,3,0)</f>
        <v>STORY</v>
      </c>
      <c r="M57" s="9" t="s">
        <v>97</v>
      </c>
      <c r="N57" s="10"/>
      <c r="O57" s="36"/>
      <c r="P57" s="60" t="str">
        <f>VLOOKUP(C57,'Train Runs'!$A$13:$AE$683,31,0)</f>
        <v>aws s3 cp s3://rtdc.mdm.uploadarchive/RTDC4037/2016-08-03/ "%USERPROFILE%\AppData\Local\Temp\OnboardLogs"\RTDC4037\2016-08-03 --recursive &amp; "%USERPROFILE%\Documents\GitHub\mrs-test-scripts\Headless Mode &amp; Sideloading\WalkAndUnGZ.bat" "%USERPROFILE%\AppData\Local\Temp\OnboardLogs"\RTDC4037\2016-08-03 &amp; 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</v>
      </c>
      <c r="Q57" s="58" t="str">
        <f>VLOOKUP(C57,'Train Runs'!$A$13:$AE$683,22,0)</f>
        <v>https://search-rtdc-monitor-bjffxe2xuh6vdkpspy63sjmuny.us-east-1.es.amazonaws.com/_plugin/kibana/#/discover/Steve-Slow-Train-Analysis-(2080s-and-2083s)?_g=(refreshInterval:(display:Off,section:0,value:0),time:(from:'2016-08-03 11:44:37-0600',mode:absolute,to:'2016-08-03 14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59" t="str">
        <f t="shared" si="5"/>
        <v>"C:\Program Files (x86)\AstroGrep\AstroGrep.exe" /spath="%USERPROFILE%\AppData\Local\Temp\OnboardLogs" /stypes="*4037*201608031*" /stext=" 19:.+((SYSTEM_STATE.+slice.+state.+changed )|(ment ac)|(system.+state.+changed )|(\|lc)|(penalty)|(\[timeout)|(PRM\|1\|D)|(kpr)|(kdp))" /e /r /s</v>
      </c>
      <c r="S57" s="9" t="str">
        <f t="shared" si="6"/>
        <v>4037</v>
      </c>
      <c r="T57" s="43">
        <f t="shared" si="7"/>
        <v>42585.816712962966</v>
      </c>
      <c r="U57" s="57" t="str">
        <f t="shared" si="8"/>
        <v>EC</v>
      </c>
      <c r="V57" s="57" t="str">
        <f t="shared" si="9"/>
        <v>KEEP</v>
      </c>
    </row>
    <row r="58" spans="1:22" x14ac:dyDescent="0.25">
      <c r="A58" s="43">
        <v>42585.782743055555</v>
      </c>
      <c r="B58" s="36" t="s">
        <v>146</v>
      </c>
      <c r="C58" s="36" t="s">
        <v>533</v>
      </c>
      <c r="D58" s="36" t="s">
        <v>49</v>
      </c>
      <c r="E58" s="36" t="s">
        <v>50</v>
      </c>
      <c r="F58" s="54">
        <v>0</v>
      </c>
      <c r="G58" s="54">
        <v>21</v>
      </c>
      <c r="H58" s="54">
        <v>70</v>
      </c>
      <c r="I58" s="36" t="s">
        <v>51</v>
      </c>
      <c r="J58" s="54">
        <v>1</v>
      </c>
      <c r="K58" s="36" t="s">
        <v>53</v>
      </c>
      <c r="L58" s="122" t="str">
        <f>VLOOKUP(C58,'Trips&amp;Operators'!$C$1:$E$9999,3,0)</f>
        <v>KILLION</v>
      </c>
      <c r="M58" s="9" t="s">
        <v>97</v>
      </c>
      <c r="N58" s="10"/>
      <c r="O58" s="36"/>
      <c r="P58" s="60" t="str">
        <f>VLOOKUP(C58,'Train Runs'!$A$13:$AE$683,31,0)</f>
        <v>aws s3 cp s3://rtdc.mdm.uploadarchive/RTDC4041/2016-08-03/ "%USERPROFILE%\AppData\Local\Temp\OnboardLogs"\RTDC4041\2016-08-03 --recursive &amp; "%USERPROFILE%\Documents\GitHub\mrs-test-scripts\Headless Mode &amp; Sideloading\WalkAndUnGZ.bat" "%USERPROFILE%\AppData\Local\Temp\OnboardLogs"\RTDC4041\2016-08-03 &amp; 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</v>
      </c>
      <c r="Q58" s="58" t="str">
        <f>VLOOKUP(C58,'Train Runs'!$A$13:$AE$683,22,0)</f>
        <v>https://search-rtdc-monitor-bjffxe2xuh6vdkpspy63sjmuny.us-east-1.es.amazonaws.com/_plugin/kibana/#/discover/Steve-Slow-Train-Analysis-(2080s-and-2083s)?_g=(refreshInterval:(display:Off,section:0,value:0),time:(from:'2016-08-03 16:51:48-0600',mode:absolute,to:'2016-08-03 19:47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8" s="59" t="str">
        <f t="shared" si="5"/>
        <v>"C:\Program Files (x86)\AstroGrep\AstroGrep.exe" /spath="%USERPROFILE%\AppData\Local\Temp\OnboardLogs" /stypes="*4041*201608040*" /stext=" 00:.+((SYSTEM_STATE.+slice.+state.+changed )|(ment ac)|(system.+state.+changed )|(\|lc)|(penalty)|(\[timeout)|(PRM\|1\|D)|(kpr)|(kdp))" /e /r /s</v>
      </c>
      <c r="S58" s="9" t="str">
        <f t="shared" si="6"/>
        <v>4041</v>
      </c>
      <c r="T58" s="43">
        <f t="shared" si="7"/>
        <v>42586.032743055555</v>
      </c>
      <c r="U58" s="57" t="str">
        <f t="shared" si="8"/>
        <v>EC</v>
      </c>
      <c r="V58" s="57" t="str">
        <f t="shared" si="9"/>
        <v>KEEP</v>
      </c>
    </row>
    <row r="59" spans="1:22" x14ac:dyDescent="0.25">
      <c r="A59" s="43">
        <v>42585.504814814813</v>
      </c>
      <c r="B59" s="36" t="s">
        <v>76</v>
      </c>
      <c r="C59" s="36" t="s">
        <v>505</v>
      </c>
      <c r="D59" s="36" t="s">
        <v>49</v>
      </c>
      <c r="E59" s="36" t="s">
        <v>50</v>
      </c>
      <c r="F59" s="54">
        <v>0</v>
      </c>
      <c r="G59" s="54">
        <v>46</v>
      </c>
      <c r="H59" s="54">
        <v>233291</v>
      </c>
      <c r="I59" s="36" t="s">
        <v>51</v>
      </c>
      <c r="J59" s="54">
        <v>233491</v>
      </c>
      <c r="K59" s="36" t="s">
        <v>52</v>
      </c>
      <c r="L59" s="122" t="str">
        <f>VLOOKUP(C59,'Trips&amp;Operators'!$C$1:$E$9999,3,0)</f>
        <v>KILLION</v>
      </c>
      <c r="M59" s="9" t="s">
        <v>97</v>
      </c>
      <c r="N59" s="10"/>
      <c r="O59" s="36"/>
      <c r="P59" s="60" t="str">
        <f>VLOOKUP(C59,'Train Runs'!$A$13:$AE$683,31,0)</f>
        <v>aws s3 cp s3://rtdc.mdm.uploadarchive/RTDC4042/2016-08-03/ "%USERPROFILE%\AppData\Local\Temp\OnboardLogs"\RTDC4042\2016-08-03 --recursive &amp; "%USERPROFILE%\Documents\GitHub\mrs-test-scripts\Headless Mode &amp; Sideloading\WalkAndUnGZ.bat" "%USERPROFILE%\AppData\Local\Temp\OnboardLogs"\RTDC4042\2016-08-03 &amp; 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</v>
      </c>
      <c r="Q59" s="58" t="str">
        <f>VLOOKUP(C59,'Train Runs'!$A$13:$AE$683,22,0)</f>
        <v>https://search-rtdc-monitor-bjffxe2xuh6vdkpspy63sjmuny.us-east-1.es.amazonaws.com/_plugin/kibana/#/discover/Steve-Slow-Train-Analysis-(2080s-and-2083s)?_g=(refreshInterval:(display:Off,section:0,value:0),time:(from:'2016-08-03 10:23:22-0600',mode:absolute,to:'2016-08-03 13:07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59" s="59" t="str">
        <f t="shared" si="5"/>
        <v>"C:\Program Files (x86)\AstroGrep\AstroGrep.exe" /spath="%USERPROFILE%\AppData\Local\Temp\OnboardLogs" /stypes="*4042*201608031*" /stext=" 18:.+((SYSTEM_STATE.+slice.+state.+changed )|(ment ac)|(system.+state.+changed )|(\|lc)|(penalty)|(\[timeout)|(PRM\|1\|D)|(kpr)|(kdp))" /e /r /s</v>
      </c>
      <c r="S59" s="9" t="str">
        <f t="shared" si="6"/>
        <v>4042</v>
      </c>
      <c r="T59" s="43">
        <f t="shared" si="7"/>
        <v>42585.754814814813</v>
      </c>
      <c r="U59" s="57" t="str">
        <f t="shared" si="8"/>
        <v>EC</v>
      </c>
      <c r="V59" s="57" t="str">
        <f t="shared" si="9"/>
        <v>KEEP</v>
      </c>
    </row>
    <row r="60" spans="1:22" x14ac:dyDescent="0.25">
      <c r="A60" s="43">
        <v>42585.678263888891</v>
      </c>
      <c r="B60" s="36" t="s">
        <v>101</v>
      </c>
      <c r="C60" s="36" t="s">
        <v>519</v>
      </c>
      <c r="D60" s="36" t="s">
        <v>49</v>
      </c>
      <c r="E60" s="36" t="s">
        <v>50</v>
      </c>
      <c r="F60" s="54">
        <v>0</v>
      </c>
      <c r="G60" s="54">
        <v>63</v>
      </c>
      <c r="H60" s="54">
        <v>233261</v>
      </c>
      <c r="I60" s="36" t="s">
        <v>51</v>
      </c>
      <c r="J60" s="54">
        <v>233491</v>
      </c>
      <c r="K60" s="36" t="s">
        <v>52</v>
      </c>
      <c r="L60" s="122" t="str">
        <f>VLOOKUP(C60,'Trips&amp;Operators'!$C$1:$E$9999,3,0)</f>
        <v>STORY</v>
      </c>
      <c r="M60" s="9" t="s">
        <v>97</v>
      </c>
      <c r="N60" s="10"/>
      <c r="O60" s="36"/>
      <c r="P60" s="60" t="str">
        <f>VLOOKUP(C60,'Train Runs'!$A$13:$AE$683,31,0)</f>
        <v>aws s3 cp s3://rtdc.mdm.uploadarchive/RTDC4038/2016-08-03/ "%USERPROFILE%\AppData\Local\Temp\OnboardLogs"\RTDC4038\2016-08-03 --recursive &amp; "%USERPROFILE%\Documents\GitHub\mrs-test-scripts\Headless Mode &amp; Sideloading\WalkAndUnGZ.bat" "%USERPROFILE%\AppData\Local\Temp\OnboardLogs"\RTDC4038\2016-08-03 &amp; 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</v>
      </c>
      <c r="Q60" s="58" t="str">
        <f>VLOOKUP(C60,'Train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14:29:02-0600',mode:absolute,to:'2016-08-03 17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0" s="59" t="str">
        <f t="shared" si="5"/>
        <v>"C:\Program Files (x86)\AstroGrep\AstroGrep.exe" /spath="%USERPROFILE%\AppData\Local\Temp\OnboardLogs" /stypes="*4038*201608032*" /stext=" 22:.+((SYSTEM_STATE.+slice.+state.+changed )|(ment ac)|(system.+state.+changed )|(\|lc)|(penalty)|(\[timeout)|(PRM\|1\|D)|(kpr)|(kdp))" /e /r /s</v>
      </c>
      <c r="S60" s="9" t="str">
        <f t="shared" si="6"/>
        <v>4038</v>
      </c>
      <c r="T60" s="43">
        <f t="shared" si="7"/>
        <v>42585.928263888891</v>
      </c>
      <c r="U60" s="57" t="str">
        <f t="shared" si="8"/>
        <v>EC</v>
      </c>
      <c r="V60" s="57" t="str">
        <f t="shared" si="9"/>
        <v>KEEP</v>
      </c>
    </row>
    <row r="61" spans="1:22" x14ac:dyDescent="0.25">
      <c r="A61" s="43">
        <v>42585.722037037034</v>
      </c>
      <c r="B61" s="36" t="s">
        <v>371</v>
      </c>
      <c r="C61" s="36" t="s">
        <v>526</v>
      </c>
      <c r="D61" s="36" t="s">
        <v>49</v>
      </c>
      <c r="E61" s="36" t="s">
        <v>50</v>
      </c>
      <c r="F61" s="54">
        <v>0</v>
      </c>
      <c r="G61" s="54">
        <v>98</v>
      </c>
      <c r="H61" s="54">
        <v>233130</v>
      </c>
      <c r="I61" s="36" t="s">
        <v>51</v>
      </c>
      <c r="J61" s="54">
        <v>233491</v>
      </c>
      <c r="K61" s="36" t="s">
        <v>52</v>
      </c>
      <c r="L61" s="122" t="str">
        <f>VLOOKUP(C61,'Trips&amp;Operators'!$C$1:$E$9999,3,0)</f>
        <v>BARTLETT</v>
      </c>
      <c r="M61" s="9" t="s">
        <v>97</v>
      </c>
      <c r="N61" s="10"/>
      <c r="O61" s="36"/>
      <c r="P61" s="60" t="str">
        <f>VLOOKUP(C61,'Train Runs'!$A$13:$AE$683,31,0)</f>
        <v>aws s3 cp s3://rtdc.mdm.uploadarchive/RTDC4044/2016-08-03/ "%USERPROFILE%\AppData\Local\Temp\OnboardLogs"\RTDC4044\2016-08-03 --recursive &amp; "%USERPROFILE%\Documents\GitHub\mrs-test-scripts\Headless Mode &amp; Sideloading\WalkAndUnGZ.bat" "%USERPROFILE%\AppData\Local\Temp\OnboardLogs"\RTDC4044\2016-08-03 &amp; aws s3 cp s3://rtdc.mdm.uploadarchive/RTDC4044/2016-08-04/ "%USERPROFILE%\AppData\Local\Temp\OnboardLogs"\RTDC4044\2016-08-04 --recursive &amp; "%USERPROFILE%\Documents\GitHub\mrs-test-scripts\Headless Mode &amp; Sideloading\WalkAndUnGZ.bat" "%USERPROFILE%\AppData\Local\Temp\OnboardLogs"\RTDC4044\2016-08-04</v>
      </c>
      <c r="Q61" s="58" t="str">
        <f>VLOOKUP(C61,'Train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15:35:07-0600',mode:absolute,to:'2016-08-03 18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61" s="59" t="str">
        <f t="shared" si="5"/>
        <v>"C:\Program Files (x86)\AstroGrep\AstroGrep.exe" /spath="%USERPROFILE%\AppData\Local\Temp\OnboardLogs" /stypes="*4044*201608032*" /stext=" 23:.+((SYSTEM_STATE.+slice.+state.+changed )|(ment ac)|(system.+state.+changed )|(\|lc)|(penalty)|(\[timeout)|(PRM\|1\|D)|(kpr)|(kdp))" /e /r /s</v>
      </c>
      <c r="S61" s="9" t="str">
        <f t="shared" si="6"/>
        <v>4044</v>
      </c>
      <c r="T61" s="43">
        <f t="shared" si="7"/>
        <v>42585.972037037034</v>
      </c>
      <c r="U61" s="57" t="str">
        <f t="shared" si="8"/>
        <v>EC</v>
      </c>
      <c r="V61" s="57" t="str">
        <f t="shared" si="9"/>
        <v>KEEP</v>
      </c>
    </row>
    <row r="62" spans="1:22" x14ac:dyDescent="0.25">
      <c r="A62" s="43">
        <v>42585.648645833331</v>
      </c>
      <c r="B62" s="36" t="s">
        <v>133</v>
      </c>
      <c r="C62" s="36" t="s">
        <v>518</v>
      </c>
      <c r="D62" s="36" t="s">
        <v>142</v>
      </c>
      <c r="E62" s="36" t="s">
        <v>54</v>
      </c>
      <c r="F62" s="54">
        <v>0</v>
      </c>
      <c r="G62" s="54">
        <v>74</v>
      </c>
      <c r="H62" s="54">
        <v>24173</v>
      </c>
      <c r="I62" s="36" t="s">
        <v>55</v>
      </c>
      <c r="J62" s="54">
        <v>24235</v>
      </c>
      <c r="K62" s="36" t="s">
        <v>53</v>
      </c>
      <c r="L62" s="122" t="str">
        <f>VLOOKUP(C62,'Trips&amp;Operators'!$C$1:$E$9999,3,0)</f>
        <v>ROBINSON</v>
      </c>
      <c r="M62" s="9" t="s">
        <v>96</v>
      </c>
      <c r="N62" s="10"/>
      <c r="O62" s="36"/>
      <c r="P62" s="60" t="str">
        <f>VLOOKUP(C62,'Train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62" s="58" t="str">
        <f>VLOOKUP(C62,'Train Runs'!$A$13:$AE$683,22,0)</f>
        <v>https://search-rtdc-monitor-bjffxe2xuh6vdkpspy63sjmuny.us-east-1.es.amazonaws.com/_plugin/kibana/#/discover/Steve-Slow-Train-Analysis-(2080s-and-2083s)?_g=(refreshInterval:(display:Off,section:0,value:0),time:(from:'2016-08-03 14:27:54-0600',mode:absolute,to:'2016-08-03 16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62" s="59" t="str">
        <f t="shared" si="5"/>
        <v>"C:\Program Files (x86)\AstroGrep\AstroGrep.exe" /spath="%USERPROFILE%\AppData\Local\Temp\OnboardLogs" /stypes="*4015*201608032*" /stext=" 21:.+((SYSTEM_STATE.+slice.+state.+changed )|(ment ac)|(system.+state.+changed )|(\|lc)|(penalty)|(\[timeout)|(PRM\|1\|D)|(kpr)|(kdp))" /e /r /s</v>
      </c>
      <c r="S62" s="9" t="str">
        <f t="shared" si="6"/>
        <v>4015</v>
      </c>
      <c r="T62" s="43">
        <f t="shared" si="7"/>
        <v>42585.898645833331</v>
      </c>
      <c r="U62" s="57" t="str">
        <f t="shared" si="8"/>
        <v>GL</v>
      </c>
      <c r="V62" s="57" t="str">
        <f t="shared" si="9"/>
        <v>KEEP</v>
      </c>
    </row>
    <row r="63" spans="1:22" x14ac:dyDescent="0.25">
      <c r="A63" s="43">
        <v>42585.646944444445</v>
      </c>
      <c r="B63" s="36" t="s">
        <v>114</v>
      </c>
      <c r="C63" s="36" t="s">
        <v>517</v>
      </c>
      <c r="D63" s="36" t="s">
        <v>49</v>
      </c>
      <c r="E63" s="36" t="s">
        <v>56</v>
      </c>
      <c r="F63" s="54">
        <v>300</v>
      </c>
      <c r="G63" s="54">
        <v>356</v>
      </c>
      <c r="H63" s="54">
        <v>19789</v>
      </c>
      <c r="I63" s="36" t="s">
        <v>57</v>
      </c>
      <c r="J63" s="54">
        <v>21314</v>
      </c>
      <c r="K63" s="36" t="s">
        <v>52</v>
      </c>
      <c r="L63" s="122" t="str">
        <f>VLOOKUP(C63,'Trips&amp;Operators'!$C$1:$E$9999,3,0)</f>
        <v>MOSES</v>
      </c>
      <c r="M63" s="9" t="s">
        <v>97</v>
      </c>
      <c r="N63" s="10"/>
      <c r="O63" s="36"/>
      <c r="P63" s="60" t="str">
        <f>VLOOKUP(C63,'Train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3" s="58" t="str">
        <f>VLOOKUP(C63,'Train Runs'!$A$13:$AE$683,22,0)</f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3" s="59" t="str">
        <f t="shared" si="5"/>
        <v>"C:\Program Files (x86)\AstroGrep\AstroGrep.exe" /spath="%USERPROFILE%\AppData\Local\Temp\OnboardLogs" /stypes="*4007*201608032*" /stext=" 21:.+((SYSTEM_STATE.+slice.+state.+changed )|(ment ac)|(system.+state.+changed )|(\|lc)|(penalty)|(\[timeout)|(PRM\|1\|D)|(kpr)|(kdp))" /e /r /s</v>
      </c>
      <c r="S63" s="9" t="str">
        <f t="shared" si="6"/>
        <v>4007</v>
      </c>
      <c r="T63" s="43">
        <f t="shared" si="7"/>
        <v>42585.896944444445</v>
      </c>
      <c r="U63" s="57" t="str">
        <f t="shared" si="8"/>
        <v>NW</v>
      </c>
      <c r="V63" s="57" t="str">
        <f t="shared" si="9"/>
        <v>KEEP</v>
      </c>
    </row>
    <row r="64" spans="1:22" x14ac:dyDescent="0.25">
      <c r="A64" s="43">
        <v>42585.396886574075</v>
      </c>
      <c r="B64" s="36" t="s">
        <v>114</v>
      </c>
      <c r="C64" s="36" t="s">
        <v>500</v>
      </c>
      <c r="D64" s="36" t="s">
        <v>142</v>
      </c>
      <c r="E64" s="36" t="s">
        <v>56</v>
      </c>
      <c r="F64" s="54">
        <v>300</v>
      </c>
      <c r="G64" s="54">
        <v>366</v>
      </c>
      <c r="H64" s="54">
        <v>41941</v>
      </c>
      <c r="I64" s="36" t="s">
        <v>57</v>
      </c>
      <c r="J64" s="54">
        <v>40977</v>
      </c>
      <c r="K64" s="36" t="s">
        <v>52</v>
      </c>
      <c r="L64" s="122" t="str">
        <f>VLOOKUP(C64,'Trips&amp;Operators'!$C$1:$E$9999,3,0)</f>
        <v>ISHMAEL</v>
      </c>
      <c r="M64" s="9" t="s">
        <v>97</v>
      </c>
      <c r="N64" s="10"/>
      <c r="O64" s="36"/>
      <c r="P64" s="60" t="str">
        <f>VLOOKUP(C64,'Train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4" s="58" t="str">
        <f>VLOOKUP(C64,'Train Runs'!$A$13:$AE$683,22,0)</f>
        <v>https://search-rtdc-monitor-bjffxe2xuh6vdkpspy63sjmuny.us-east-1.es.amazonaws.com/_plugin/kibana/#/discover/Steve-Slow-Train-Analysis-(2080s-and-2083s)?_g=(refreshInterval:(display:Off,section:0,value:0),time:(from:'2016-08-03 08:15:58-0600',mode:absolute,to:'2016-08-03 10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4" s="59" t="str">
        <f t="shared" si="5"/>
        <v>"C:\Program Files (x86)\AstroGrep\AstroGrep.exe" /spath="%USERPROFILE%\AppData\Local\Temp\OnboardLogs" /stypes="*4007*201608031*" /stext=" 15:.+((SYSTEM_STATE.+slice.+state.+changed )|(ment ac)|(system.+state.+changed )|(\|lc)|(penalty)|(\[timeout)|(PRM\|1\|D)|(kpr)|(kdp))" /e /r /s</v>
      </c>
      <c r="S64" s="9" t="str">
        <f t="shared" si="6"/>
        <v>4007</v>
      </c>
      <c r="T64" s="43">
        <f t="shared" si="7"/>
        <v>42585.646886574075</v>
      </c>
      <c r="U64" s="57" t="str">
        <f t="shared" si="8"/>
        <v>NW</v>
      </c>
      <c r="V64" s="57" t="str">
        <f t="shared" si="9"/>
        <v>KEEP</v>
      </c>
    </row>
    <row r="65" spans="1:22" x14ac:dyDescent="0.25">
      <c r="A65" s="43">
        <v>42585.251493055555</v>
      </c>
      <c r="B65" s="36" t="s">
        <v>134</v>
      </c>
      <c r="C65" s="36" t="s">
        <v>475</v>
      </c>
      <c r="D65" s="36" t="s">
        <v>49</v>
      </c>
      <c r="E65" s="36" t="s">
        <v>56</v>
      </c>
      <c r="F65" s="54">
        <v>400</v>
      </c>
      <c r="G65" s="54">
        <v>455</v>
      </c>
      <c r="H65" s="54">
        <v>46308</v>
      </c>
      <c r="I65" s="36" t="s">
        <v>57</v>
      </c>
      <c r="J65" s="54">
        <v>47808</v>
      </c>
      <c r="K65" s="36" t="s">
        <v>52</v>
      </c>
      <c r="L65" s="122" t="str">
        <f>VLOOKUP(C65,'Trips&amp;Operators'!$C$1:$E$9999,3,0)</f>
        <v>STARKS</v>
      </c>
      <c r="M65" s="9" t="s">
        <v>97</v>
      </c>
      <c r="N65" s="10"/>
      <c r="O65" s="36"/>
      <c r="P65" s="60" t="str">
        <f>VLOOKUP(C65,'Train Runs'!$A$13:$AE$683,31,0)</f>
        <v>aws s3 cp s3://rtdc.mdm.uploadarchive/RTDC4016/2016-08-03/ "%USERPROFILE%\AppData\Local\Temp\OnboardLogs"\RTDC4016\2016-08-03 --recursive &amp; "%USERPROFILE%\Documents\GitHub\mrs-test-scripts\Headless Mode &amp; Sideloading\WalkAndUnGZ.bat" "%USERPROFILE%\AppData\Local\Temp\OnboardLogs"\RTDC4016\2016-08-03 &amp; aws s3 cp s3://rtdc.mdm.uploadarchive/RTDC4016/2016-08-04/ "%USERPROFILE%\AppData\Local\Temp\OnboardLogs"\RTDC4016\2016-08-04 --recursive &amp; "%USERPROFILE%\Documents\GitHub\mrs-test-scripts\Headless Mode &amp; Sideloading\WalkAndUnGZ.bat" "%USERPROFILE%\AppData\Local\Temp\OnboardLogs"\RTDC4016\2016-08-04</v>
      </c>
      <c r="Q65" s="58" t="str">
        <f>VLOOKUP(C65,'Train Runs'!$A$13:$AE$683,22,0)</f>
        <v>https://search-rtdc-monitor-bjffxe2xuh6vdkpspy63sjmuny.us-east-1.es.amazonaws.com/_plugin/kibana/#/discover/Steve-Slow-Train-Analysis-(2080s-and-2083s)?_g=(refreshInterval:(display:Off,section:0,value:0),time:(from:'2016-08-03 04:49:08-0600',mode:absolute,to:'2016-08-03 07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65" s="59" t="str">
        <f t="shared" si="5"/>
        <v>"C:\Program Files (x86)\AstroGrep\AstroGrep.exe" /spath="%USERPROFILE%\AppData\Local\Temp\OnboardLogs" /stypes="*4016*201608031*" /stext=" 12:.+((SYSTEM_STATE.+slice.+state.+changed )|(ment ac)|(system.+state.+changed )|(\|lc)|(penalty)|(\[timeout)|(PRM\|1\|D)|(kpr)|(kdp))" /e /r /s</v>
      </c>
      <c r="S65" s="9" t="str">
        <f t="shared" si="6"/>
        <v>4016</v>
      </c>
      <c r="T65" s="43">
        <f t="shared" si="7"/>
        <v>42585.501493055555</v>
      </c>
      <c r="U65" s="57" t="str">
        <f t="shared" si="8"/>
        <v>NW</v>
      </c>
      <c r="V65" s="57" t="str">
        <f t="shared" si="9"/>
        <v>KEEP</v>
      </c>
    </row>
    <row r="66" spans="1:22" x14ac:dyDescent="0.25">
      <c r="A66" s="43">
        <v>42585.599189814813</v>
      </c>
      <c r="B66" s="36" t="s">
        <v>114</v>
      </c>
      <c r="C66" s="36" t="s">
        <v>513</v>
      </c>
      <c r="D66" s="36" t="s">
        <v>49</v>
      </c>
      <c r="E66" s="36" t="s">
        <v>54</v>
      </c>
      <c r="F66" s="54">
        <v>0</v>
      </c>
      <c r="G66" s="54">
        <v>33</v>
      </c>
      <c r="H66" s="54">
        <v>1552</v>
      </c>
      <c r="I66" s="36" t="s">
        <v>55</v>
      </c>
      <c r="J66" s="54">
        <v>1725</v>
      </c>
      <c r="K66" s="36" t="s">
        <v>52</v>
      </c>
      <c r="L66" s="122" t="str">
        <f>VLOOKUP(C66,'Trips&amp;Operators'!$C$1:$E$9999,3,0)</f>
        <v>MOSES</v>
      </c>
      <c r="M66" s="9" t="s">
        <v>96</v>
      </c>
      <c r="N66" s="10"/>
      <c r="O66" s="36"/>
      <c r="P66" s="60" t="str">
        <f>VLOOKUP(C66,'Train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6" s="58" t="str">
        <f>VLOOKUP(C66,'Train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6" s="59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6" s="9" t="str">
        <f t="shared" si="6"/>
        <v>4007</v>
      </c>
      <c r="T66" s="43">
        <f t="shared" si="7"/>
        <v>42585.849189814813</v>
      </c>
      <c r="U66" s="57" t="str">
        <f t="shared" si="8"/>
        <v>NW</v>
      </c>
      <c r="V66" s="57" t="str">
        <f t="shared" si="9"/>
        <v>KEEP</v>
      </c>
    </row>
    <row r="67" spans="1:22" x14ac:dyDescent="0.25">
      <c r="A67" s="43">
        <v>42585.600960648146</v>
      </c>
      <c r="B67" s="36" t="s">
        <v>114</v>
      </c>
      <c r="C67" s="36" t="s">
        <v>513</v>
      </c>
      <c r="D67" s="36" t="s">
        <v>49</v>
      </c>
      <c r="E67" s="36" t="s">
        <v>54</v>
      </c>
      <c r="F67" s="54">
        <v>0</v>
      </c>
      <c r="G67" s="54">
        <v>107</v>
      </c>
      <c r="H67" s="54">
        <v>2802</v>
      </c>
      <c r="I67" s="36" t="s">
        <v>55</v>
      </c>
      <c r="J67" s="54">
        <v>2808</v>
      </c>
      <c r="K67" s="36" t="s">
        <v>52</v>
      </c>
      <c r="L67" s="122" t="str">
        <f>VLOOKUP(C67,'Trips&amp;Operators'!$C$1:$E$9999,3,0)</f>
        <v>MOSES</v>
      </c>
      <c r="M67" s="9" t="s">
        <v>96</v>
      </c>
      <c r="N67" s="10"/>
      <c r="O67" s="36"/>
      <c r="P67" s="60" t="str">
        <f>VLOOKUP(C67,'Train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7" s="58" t="str">
        <f>VLOOKUP(C67,'Train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7" s="59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7" s="9" t="str">
        <f t="shared" si="6"/>
        <v>4007</v>
      </c>
      <c r="T67" s="43">
        <f t="shared" si="7"/>
        <v>42585.850960648146</v>
      </c>
      <c r="U67" s="57" t="str">
        <f t="shared" si="8"/>
        <v>NW</v>
      </c>
      <c r="V67" s="57" t="str">
        <f t="shared" si="9"/>
        <v>KEEP</v>
      </c>
    </row>
    <row r="68" spans="1:22" x14ac:dyDescent="0.25">
      <c r="A68" s="43">
        <v>42585.601469907408</v>
      </c>
      <c r="B68" s="36" t="s">
        <v>114</v>
      </c>
      <c r="C68" s="36" t="s">
        <v>513</v>
      </c>
      <c r="D68" s="36" t="s">
        <v>142</v>
      </c>
      <c r="E68" s="36" t="s">
        <v>54</v>
      </c>
      <c r="F68" s="54">
        <v>0</v>
      </c>
      <c r="G68" s="54">
        <v>6</v>
      </c>
      <c r="H68" s="54">
        <v>2910</v>
      </c>
      <c r="I68" s="36" t="s">
        <v>55</v>
      </c>
      <c r="J68" s="54">
        <v>2808</v>
      </c>
      <c r="K68" s="36" t="s">
        <v>52</v>
      </c>
      <c r="L68" s="122" t="str">
        <f>VLOOKUP(C68,'Trips&amp;Operators'!$C$1:$E$9999,3,0)</f>
        <v>MOSES</v>
      </c>
      <c r="M68" s="9" t="s">
        <v>96</v>
      </c>
      <c r="N68" s="10"/>
      <c r="O68" s="36"/>
      <c r="P68" s="60" t="str">
        <f>VLOOKUP(C68,'Train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8" s="58" t="str">
        <f>VLOOKUP(C68,'Train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8" s="59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8" s="9" t="str">
        <f t="shared" si="6"/>
        <v>4007</v>
      </c>
      <c r="T68" s="43">
        <f t="shared" si="7"/>
        <v>42585.851469907408</v>
      </c>
      <c r="U68" s="57" t="str">
        <f t="shared" si="8"/>
        <v>NW</v>
      </c>
      <c r="V68" s="57" t="str">
        <f t="shared" si="9"/>
        <v>KEEP</v>
      </c>
    </row>
    <row r="69" spans="1:22" x14ac:dyDescent="0.25">
      <c r="A69" s="43">
        <v>42585.601736111108</v>
      </c>
      <c r="B69" s="36" t="s">
        <v>114</v>
      </c>
      <c r="C69" s="36" t="s">
        <v>513</v>
      </c>
      <c r="D69" s="36" t="s">
        <v>142</v>
      </c>
      <c r="E69" s="36" t="s">
        <v>54</v>
      </c>
      <c r="F69" s="54">
        <v>0</v>
      </c>
      <c r="G69" s="54">
        <v>5</v>
      </c>
      <c r="H69" s="54">
        <v>2919</v>
      </c>
      <c r="I69" s="36" t="s">
        <v>55</v>
      </c>
      <c r="J69" s="54">
        <v>2808</v>
      </c>
      <c r="K69" s="36" t="s">
        <v>52</v>
      </c>
      <c r="L69" s="122" t="str">
        <f>VLOOKUP(C69,'Trips&amp;Operators'!$C$1:$E$9999,3,0)</f>
        <v>MOSES</v>
      </c>
      <c r="M69" s="9" t="s">
        <v>96</v>
      </c>
      <c r="N69" s="10"/>
      <c r="O69" s="36"/>
      <c r="P69" s="60" t="str">
        <f>VLOOKUP(C69,'Train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69" s="58" t="str">
        <f>VLOOKUP(C69,'Train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69" s="59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69" s="9" t="str">
        <f t="shared" si="6"/>
        <v>4007</v>
      </c>
      <c r="T69" s="43">
        <f t="shared" si="7"/>
        <v>42585.851736111108</v>
      </c>
      <c r="U69" s="57" t="str">
        <f t="shared" si="8"/>
        <v>NW</v>
      </c>
      <c r="V69" s="57" t="str">
        <f t="shared" si="9"/>
        <v>KEEP</v>
      </c>
    </row>
    <row r="70" spans="1:22" x14ac:dyDescent="0.25">
      <c r="A70" s="43">
        <v>42585.601770833331</v>
      </c>
      <c r="B70" s="36" t="s">
        <v>114</v>
      </c>
      <c r="C70" s="36" t="s">
        <v>513</v>
      </c>
      <c r="D70" s="36" t="s">
        <v>142</v>
      </c>
      <c r="E70" s="36" t="s">
        <v>54</v>
      </c>
      <c r="F70" s="54">
        <v>0</v>
      </c>
      <c r="G70" s="54">
        <v>10</v>
      </c>
      <c r="H70" s="54">
        <v>2924</v>
      </c>
      <c r="I70" s="36" t="s">
        <v>55</v>
      </c>
      <c r="J70" s="54">
        <v>2808</v>
      </c>
      <c r="K70" s="36" t="s">
        <v>52</v>
      </c>
      <c r="L70" s="122" t="str">
        <f>VLOOKUP(C70,'Trips&amp;Operators'!$C$1:$E$9999,3,0)</f>
        <v>MOSES</v>
      </c>
      <c r="M70" s="9" t="s">
        <v>96</v>
      </c>
      <c r="N70" s="10"/>
      <c r="O70" s="36"/>
      <c r="P70" s="60" t="str">
        <f>VLOOKUP(C70,'Train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0" s="58" t="str">
        <f>VLOOKUP(C70,'Train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0" s="59" t="str">
        <f t="shared" si="5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0" s="9" t="str">
        <f t="shared" si="6"/>
        <v>4007</v>
      </c>
      <c r="T70" s="43">
        <f t="shared" si="7"/>
        <v>42585.851770833331</v>
      </c>
      <c r="U70" s="57" t="str">
        <f t="shared" si="8"/>
        <v>NW</v>
      </c>
      <c r="V70" s="57" t="str">
        <f t="shared" si="9"/>
        <v>KEEP</v>
      </c>
    </row>
    <row r="71" spans="1:22" x14ac:dyDescent="0.25">
      <c r="A71" s="43">
        <v>42585.601921296293</v>
      </c>
      <c r="B71" s="36" t="s">
        <v>114</v>
      </c>
      <c r="C71" s="36" t="s">
        <v>513</v>
      </c>
      <c r="D71" s="36" t="s">
        <v>142</v>
      </c>
      <c r="E71" s="36" t="s">
        <v>54</v>
      </c>
      <c r="F71" s="54">
        <v>0</v>
      </c>
      <c r="G71" s="54">
        <v>7</v>
      </c>
      <c r="H71" s="54">
        <v>2940</v>
      </c>
      <c r="I71" s="36" t="s">
        <v>55</v>
      </c>
      <c r="J71" s="54">
        <v>2808</v>
      </c>
      <c r="K71" s="36" t="s">
        <v>52</v>
      </c>
      <c r="L71" s="122" t="str">
        <f>VLOOKUP(C71,'Trips&amp;Operators'!$C$1:$E$9999,3,0)</f>
        <v>MOSES</v>
      </c>
      <c r="M71" s="9" t="s">
        <v>96</v>
      </c>
      <c r="N71" s="10"/>
      <c r="O71" s="36"/>
      <c r="P71" s="60" t="str">
        <f>VLOOKUP(C71,'Train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1" s="58" t="str">
        <f>VLOOKUP(C71,'Train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1" s="59" t="str">
        <f t="shared" ref="R71:R102" si="10">astrogrep_path&amp;" /spath="&amp;search_path&amp;" /stypes=""*"&amp;S71&amp;"*"&amp;TEXT(A71-utc_offset/24,"YYYYMMDD")&amp;LEFT(TEXT(A71-utc_offset/24,"HH"),1)&amp;"*"" /stext="" "&amp;TEXT(A71-utc_offset/24,"HH")&amp;search_regexp&amp;""" /e /r /s"</f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1" s="9" t="str">
        <f t="shared" ref="S71:S83" si="11">MID(B71,13,4)</f>
        <v>4007</v>
      </c>
      <c r="T71" s="43">
        <f t="shared" ref="T71:T83" si="12">A71+6/24</f>
        <v>42585.851921296293</v>
      </c>
      <c r="U71" s="57" t="str">
        <f t="shared" ref="U71:U83" si="13">IF(VALUE(LEFT(IF(LEN(C71)=6,"0"&amp;C71,C71),2))&lt;=2,"EC",IF(OR(VALUE(LEFT(IF(LEN(C71)=6,"0"&amp;C71,C71),2))=8,VALUE(LEFT(IF(LEN(C71)=6,"0"&amp;C71,C71),2))=18),"NW","GL"))</f>
        <v>NW</v>
      </c>
      <c r="V71" s="57" t="str">
        <f t="shared" ref="V71:V83" si="14">IF(AND(E71="TRACK WARRANT AUTHORITY",G71&lt;10),"OMIT","KEEP")</f>
        <v>KEEP</v>
      </c>
    </row>
    <row r="72" spans="1:22" x14ac:dyDescent="0.25">
      <c r="A72" s="43">
        <v>42585.602199074077</v>
      </c>
      <c r="B72" s="36" t="s">
        <v>114</v>
      </c>
      <c r="C72" s="36" t="s">
        <v>513</v>
      </c>
      <c r="D72" s="36" t="s">
        <v>142</v>
      </c>
      <c r="E72" s="36" t="s">
        <v>54</v>
      </c>
      <c r="F72" s="54">
        <v>0</v>
      </c>
      <c r="G72" s="54">
        <v>17</v>
      </c>
      <c r="H72" s="54">
        <v>2910</v>
      </c>
      <c r="I72" s="36" t="s">
        <v>55</v>
      </c>
      <c r="J72" s="54">
        <v>2808</v>
      </c>
      <c r="K72" s="36" t="s">
        <v>52</v>
      </c>
      <c r="L72" s="122" t="str">
        <f>VLOOKUP(C72,'Trips&amp;Operators'!$C$1:$E$9999,3,0)</f>
        <v>MOSES</v>
      </c>
      <c r="M72" s="9" t="s">
        <v>96</v>
      </c>
      <c r="N72" s="10"/>
      <c r="O72" s="36"/>
      <c r="P72" s="60" t="str">
        <f>VLOOKUP(C72,'Train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2" s="58" t="str">
        <f>VLOOKUP(C72,'Train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2" s="59" t="str">
        <f t="shared" si="10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2" s="9" t="str">
        <f t="shared" si="11"/>
        <v>4007</v>
      </c>
      <c r="T72" s="43">
        <f t="shared" si="12"/>
        <v>42585.852199074077</v>
      </c>
      <c r="U72" s="57" t="str">
        <f t="shared" si="13"/>
        <v>NW</v>
      </c>
      <c r="V72" s="57" t="str">
        <f t="shared" si="14"/>
        <v>KEEP</v>
      </c>
    </row>
    <row r="73" spans="1:22" x14ac:dyDescent="0.25">
      <c r="A73" s="43">
        <v>42585.598761574074</v>
      </c>
      <c r="B73" s="36" t="s">
        <v>114</v>
      </c>
      <c r="C73" s="36" t="s">
        <v>513</v>
      </c>
      <c r="D73" s="36" t="s">
        <v>49</v>
      </c>
      <c r="E73" s="36" t="s">
        <v>348</v>
      </c>
      <c r="F73" s="54">
        <v>0</v>
      </c>
      <c r="G73" s="54">
        <v>67</v>
      </c>
      <c r="H73" s="54">
        <v>1441</v>
      </c>
      <c r="I73" s="36" t="s">
        <v>349</v>
      </c>
      <c r="J73" s="54">
        <v>1725</v>
      </c>
      <c r="K73" s="36" t="s">
        <v>52</v>
      </c>
      <c r="L73" s="122" t="str">
        <f>VLOOKUP(C73,'Trips&amp;Operators'!$C$1:$E$9999,3,0)</f>
        <v>MOSES</v>
      </c>
      <c r="M73" s="9" t="s">
        <v>96</v>
      </c>
      <c r="N73" s="10"/>
      <c r="O73" s="36"/>
      <c r="P73" s="60" t="str">
        <f>VLOOKUP(C73,'Train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3" s="58" t="str">
        <f>VLOOKUP(C73,'Train Runs'!$A$13:$AE$683,22,0)</f>
        <v>https://search-rtdc-monitor-bjffxe2xuh6vdkpspy63sjmuny.us-east-1.es.amazonaws.com/_plugin/kibana/#/discover/Steve-Slow-Train-Analysis-(2080s-and-2083s)?_g=(refreshInterval:(display:Off,section:0,value:0),time:(from:'2016-08-03 13:14:05-0600',mode:absolute,to:'2016-08-03 15:30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3" s="59" t="str">
        <f t="shared" si="10"/>
        <v>"C:\Program Files (x86)\AstroGrep\AstroGrep.exe" /spath="%USERPROFILE%\AppData\Local\Temp\OnboardLogs" /stypes="*4007*201608032*" /stext=" 20:.+((SYSTEM_STATE.+slice.+state.+changed )|(ment ac)|(system.+state.+changed )|(\|lc)|(penalty)|(\[timeout)|(PRM\|1\|D)|(kpr)|(kdp))" /e /r /s</v>
      </c>
      <c r="S73" s="9" t="str">
        <f t="shared" si="11"/>
        <v>4007</v>
      </c>
      <c r="T73" s="43">
        <f t="shared" si="12"/>
        <v>42585.848761574074</v>
      </c>
      <c r="U73" s="57" t="str">
        <f t="shared" si="13"/>
        <v>NW</v>
      </c>
      <c r="V73" s="57" t="str">
        <f t="shared" si="14"/>
        <v>KEEP</v>
      </c>
    </row>
    <row r="74" spans="1:22" x14ac:dyDescent="0.25">
      <c r="A74" s="43">
        <v>42585.649351851855</v>
      </c>
      <c r="B74" s="36" t="s">
        <v>114</v>
      </c>
      <c r="C74" s="36" t="s">
        <v>517</v>
      </c>
      <c r="D74" s="36" t="s">
        <v>49</v>
      </c>
      <c r="E74" s="36" t="s">
        <v>322</v>
      </c>
      <c r="F74" s="54">
        <v>150</v>
      </c>
      <c r="G74" s="54">
        <v>325</v>
      </c>
      <c r="H74" s="54">
        <v>37874</v>
      </c>
      <c r="I74" s="36" t="s">
        <v>132</v>
      </c>
      <c r="J74" s="54">
        <v>38900</v>
      </c>
      <c r="K74" s="36" t="s">
        <v>52</v>
      </c>
      <c r="L74" s="122" t="str">
        <f>VLOOKUP(C74,'Trips&amp;Operators'!$C$1:$E$9999,3,0)</f>
        <v>MOSES</v>
      </c>
      <c r="M74" s="9" t="s">
        <v>97</v>
      </c>
      <c r="N74" s="10"/>
      <c r="O74" s="36"/>
      <c r="P74" s="60" t="str">
        <f>VLOOKUP(C74,'Train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74" s="58" t="str">
        <f>VLOOKUP(C74,'Train Runs'!$A$13:$AE$683,22,0)</f>
        <v>https://search-rtdc-monitor-bjffxe2xuh6vdkpspy63sjmuny.us-east-1.es.amazonaws.com/_plugin/kibana/#/discover/Steve-Slow-Train-Analysis-(2080s-and-2083s)?_g=(refreshInterval:(display:Off,section:0,value:0),time:(from:'2016-08-03 14:09:43-0600',mode:absolute,to:'2016-08-03 16:42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74" s="59" t="str">
        <f t="shared" si="10"/>
        <v>"C:\Program Files (x86)\AstroGrep\AstroGrep.exe" /spath="%USERPROFILE%\AppData\Local\Temp\OnboardLogs" /stypes="*4007*201608032*" /stext=" 21:.+((SYSTEM_STATE.+slice.+state.+changed )|(ment ac)|(system.+state.+changed )|(\|lc)|(penalty)|(\[timeout)|(PRM\|1\|D)|(kpr)|(kdp))" /e /r /s</v>
      </c>
      <c r="S74" s="9" t="str">
        <f t="shared" si="11"/>
        <v>4007</v>
      </c>
      <c r="T74" s="43">
        <f t="shared" si="12"/>
        <v>42585.899351851855</v>
      </c>
      <c r="U74" s="57" t="str">
        <f t="shared" si="13"/>
        <v>NW</v>
      </c>
      <c r="V74" s="57" t="str">
        <f t="shared" si="14"/>
        <v>KEEP</v>
      </c>
    </row>
    <row r="75" spans="1:22" x14ac:dyDescent="0.25">
      <c r="A75" s="43">
        <v>42585.83053240741</v>
      </c>
      <c r="B75" s="36" t="s">
        <v>112</v>
      </c>
      <c r="C75" s="36" t="s">
        <v>536</v>
      </c>
      <c r="D75" s="36" t="s">
        <v>49</v>
      </c>
      <c r="E75" s="36" t="s">
        <v>50</v>
      </c>
      <c r="F75" s="54">
        <v>0</v>
      </c>
      <c r="G75" s="54">
        <v>37</v>
      </c>
      <c r="H75" s="54">
        <v>149</v>
      </c>
      <c r="I75" s="36" t="s">
        <v>51</v>
      </c>
      <c r="J75" s="54">
        <v>1</v>
      </c>
      <c r="K75" s="36" t="s">
        <v>53</v>
      </c>
      <c r="L75" s="122" t="str">
        <f>VLOOKUP(C75,'Trips&amp;Operators'!$C$1:$E$9999,3,0)</f>
        <v>MOSES</v>
      </c>
      <c r="M75" s="9" t="s">
        <v>97</v>
      </c>
      <c r="N75" s="10"/>
      <c r="O75" s="36"/>
      <c r="P75" s="60" t="str">
        <f>VLOOKUP(C75,'Train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5" s="58" t="str">
        <f>VLOOKUP(C75,'Train Runs'!$A$13:$AE$683,22,0)</f>
        <v>https://search-rtdc-monitor-bjffxe2xuh6vdkpspy63sjmuny.us-east-1.es.amazonaws.com/_plugin/kibana/#/discover/Steve-Slow-Train-Analysis-(2080s-and-2083s)?_g=(refreshInterval:(display:Off,section:0,value:0),time:(from:'2016-08-03 18:38:46-0600',mode:absolute,to:'2016-08-03 20:56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5" s="59" t="str">
        <f t="shared" si="10"/>
        <v>"C:\Program Files (x86)\AstroGrep\AstroGrep.exe" /spath="%USERPROFILE%\AppData\Local\Temp\OnboardLogs" /stypes="*4008*201608040*" /stext=" 01:.+((SYSTEM_STATE.+slice.+state.+changed )|(ment ac)|(system.+state.+changed )|(\|lc)|(penalty)|(\[timeout)|(PRM\|1\|D)|(kpr)|(kdp))" /e /r /s</v>
      </c>
      <c r="S75" s="9" t="str">
        <f t="shared" si="11"/>
        <v>4008</v>
      </c>
      <c r="T75" s="43">
        <f t="shared" si="12"/>
        <v>42586.08053240741</v>
      </c>
      <c r="U75" s="57" t="str">
        <f t="shared" si="13"/>
        <v>NW</v>
      </c>
      <c r="V75" s="57" t="str">
        <f t="shared" si="14"/>
        <v>KEEP</v>
      </c>
    </row>
    <row r="76" spans="1:22" x14ac:dyDescent="0.25">
      <c r="A76" s="43">
        <v>42585.289722222224</v>
      </c>
      <c r="B76" s="36" t="s">
        <v>112</v>
      </c>
      <c r="C76" s="36" t="s">
        <v>478</v>
      </c>
      <c r="D76" s="36" t="s">
        <v>49</v>
      </c>
      <c r="E76" s="36" t="s">
        <v>50</v>
      </c>
      <c r="F76" s="54">
        <v>0</v>
      </c>
      <c r="G76" s="54">
        <v>57</v>
      </c>
      <c r="H76" s="54">
        <v>754</v>
      </c>
      <c r="I76" s="36" t="s">
        <v>51</v>
      </c>
      <c r="J76" s="54">
        <v>575</v>
      </c>
      <c r="K76" s="36" t="s">
        <v>53</v>
      </c>
      <c r="L76" s="122" t="str">
        <f>VLOOKUP(C76,'Trips&amp;Operators'!$C$1:$E$9999,3,0)</f>
        <v>ISHMAEL</v>
      </c>
      <c r="M76" s="9" t="s">
        <v>97</v>
      </c>
      <c r="N76" s="10"/>
      <c r="O76" s="36"/>
      <c r="P76" s="60" t="str">
        <f>VLOOKUP(C76,'Train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6" s="58" t="str">
        <f>VLOOKUP(C76,'Train Runs'!$A$13:$AE$683,22,0)</f>
        <v>https://search-rtdc-monitor-bjffxe2xuh6vdkpspy63sjmuny.us-east-1.es.amazonaws.com/_plugin/kibana/#/discover/Steve-Slow-Train-Analysis-(2080s-and-2083s)?_g=(refreshInterval:(display:Off,section:0,value:0),time:(from:'2016-08-03 05:37:39-0600',mode:absolute,to:'2016-08-03 07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6" s="59" t="str">
        <f t="shared" si="10"/>
        <v>"C:\Program Files (x86)\AstroGrep\AstroGrep.exe" /spath="%USERPROFILE%\AppData\Local\Temp\OnboardLogs" /stypes="*4008*201608031*" /stext=" 12:.+((SYSTEM_STATE.+slice.+state.+changed )|(ment ac)|(system.+state.+changed )|(\|lc)|(penalty)|(\[timeout)|(PRM\|1\|D)|(kpr)|(kdp))" /e /r /s</v>
      </c>
      <c r="S76" s="9" t="str">
        <f t="shared" si="11"/>
        <v>4008</v>
      </c>
      <c r="T76" s="43">
        <f t="shared" si="12"/>
        <v>42585.539722222224</v>
      </c>
      <c r="U76" s="57" t="str">
        <f t="shared" si="13"/>
        <v>NW</v>
      </c>
      <c r="V76" s="57" t="str">
        <f t="shared" si="14"/>
        <v>KEEP</v>
      </c>
    </row>
    <row r="77" spans="1:22" x14ac:dyDescent="0.25">
      <c r="A77" s="43">
        <v>42585.4143287037</v>
      </c>
      <c r="B77" s="36" t="s">
        <v>112</v>
      </c>
      <c r="C77" s="36" t="s">
        <v>502</v>
      </c>
      <c r="D77" s="36" t="s">
        <v>49</v>
      </c>
      <c r="E77" s="36" t="s">
        <v>50</v>
      </c>
      <c r="F77" s="54">
        <v>0</v>
      </c>
      <c r="G77" s="54">
        <v>37</v>
      </c>
      <c r="H77" s="54">
        <v>696</v>
      </c>
      <c r="I77" s="36" t="s">
        <v>51</v>
      </c>
      <c r="J77" s="54">
        <v>575</v>
      </c>
      <c r="K77" s="36" t="s">
        <v>53</v>
      </c>
      <c r="L77" s="122" t="str">
        <f>VLOOKUP(C77,'Trips&amp;Operators'!$C$1:$E$9999,3,0)</f>
        <v>ISHMAEL</v>
      </c>
      <c r="M77" s="9" t="s">
        <v>97</v>
      </c>
      <c r="N77" s="10"/>
      <c r="O77" s="36"/>
      <c r="P77" s="60" t="str">
        <f>VLOOKUP(C77,'Train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77" s="58" t="str">
        <f>VLOOKUP(C77,'Train Runs'!$A$13:$AE$683,22,0)</f>
        <v>https://search-rtdc-monitor-bjffxe2xuh6vdkpspy63sjmuny.us-east-1.es.amazonaws.com/_plugin/kibana/#/discover/Steve-Slow-Train-Analysis-(2080s-and-2083s)?_g=(refreshInterval:(display:Off,section:0,value:0),time:(from:'2016-08-03 08:38:51-0600',mode:absolute,to:'2016-08-03 10:56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7" s="59" t="str">
        <f t="shared" si="10"/>
        <v>"C:\Program Files (x86)\AstroGrep\AstroGrep.exe" /spath="%USERPROFILE%\AppData\Local\Temp\OnboardLogs" /stypes="*4008*201608031*" /stext=" 15:.+((SYSTEM_STATE.+slice.+state.+changed )|(ment ac)|(system.+state.+changed )|(\|lc)|(penalty)|(\[timeout)|(PRM\|1\|D)|(kpr)|(kdp))" /e /r /s</v>
      </c>
      <c r="S77" s="9" t="str">
        <f t="shared" si="11"/>
        <v>4008</v>
      </c>
      <c r="T77" s="43">
        <f t="shared" si="12"/>
        <v>42585.6643287037</v>
      </c>
      <c r="U77" s="57" t="str">
        <f t="shared" si="13"/>
        <v>NW</v>
      </c>
      <c r="V77" s="57" t="str">
        <f t="shared" si="14"/>
        <v>KEEP</v>
      </c>
    </row>
    <row r="78" spans="1:22" x14ac:dyDescent="0.25">
      <c r="A78" s="43">
        <v>42585.686574074076</v>
      </c>
      <c r="B78" s="36" t="s">
        <v>133</v>
      </c>
      <c r="C78" s="36" t="s">
        <v>522</v>
      </c>
      <c r="D78" s="36" t="s">
        <v>49</v>
      </c>
      <c r="E78" s="36" t="s">
        <v>50</v>
      </c>
      <c r="F78" s="54">
        <v>0</v>
      </c>
      <c r="G78" s="54">
        <v>41</v>
      </c>
      <c r="H78" s="54">
        <v>677</v>
      </c>
      <c r="I78" s="36" t="s">
        <v>51</v>
      </c>
      <c r="J78" s="54">
        <v>575</v>
      </c>
      <c r="K78" s="36" t="s">
        <v>53</v>
      </c>
      <c r="L78" s="122" t="str">
        <f>VLOOKUP(C78,'Trips&amp;Operators'!$C$1:$E$9999,3,0)</f>
        <v>ROBINSON</v>
      </c>
      <c r="M78" s="9" t="s">
        <v>97</v>
      </c>
      <c r="N78" s="10"/>
      <c r="O78" s="36"/>
      <c r="P78" s="60" t="str">
        <f>VLOOKUP(C78,'Train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78" s="58" t="str">
        <f>VLOOKUP(C78,'Train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15:11:43-0600',mode:absolute,to:'2016-08-03 17:28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78" s="59" t="str">
        <f t="shared" si="10"/>
        <v>"C:\Program Files (x86)\AstroGrep\AstroGrep.exe" /spath="%USERPROFILE%\AppData\Local\Temp\OnboardLogs" /stypes="*4015*201608032*" /stext=" 22:.+((SYSTEM_STATE.+slice.+state.+changed )|(ment ac)|(system.+state.+changed )|(\|lc)|(penalty)|(\[timeout)|(PRM\|1\|D)|(kpr)|(kdp))" /e /r /s</v>
      </c>
      <c r="S78" s="9" t="str">
        <f t="shared" si="11"/>
        <v>4015</v>
      </c>
      <c r="T78" s="43">
        <f t="shared" si="12"/>
        <v>42585.936574074076</v>
      </c>
      <c r="U78" s="57" t="str">
        <f t="shared" si="13"/>
        <v>NW</v>
      </c>
      <c r="V78" s="57" t="str">
        <f t="shared" si="14"/>
        <v>KEEP</v>
      </c>
    </row>
    <row r="79" spans="1:22" x14ac:dyDescent="0.25">
      <c r="A79" s="43">
        <v>42585.727476851855</v>
      </c>
      <c r="B79" s="36" t="s">
        <v>133</v>
      </c>
      <c r="C79" s="36" t="s">
        <v>527</v>
      </c>
      <c r="D79" s="36" t="s">
        <v>49</v>
      </c>
      <c r="E79" s="36" t="s">
        <v>50</v>
      </c>
      <c r="F79" s="54">
        <v>0</v>
      </c>
      <c r="G79" s="54">
        <v>37</v>
      </c>
      <c r="H79" s="54">
        <v>677</v>
      </c>
      <c r="I79" s="36" t="s">
        <v>51</v>
      </c>
      <c r="J79" s="54">
        <v>575</v>
      </c>
      <c r="K79" s="36" t="s">
        <v>53</v>
      </c>
      <c r="L79" s="122" t="str">
        <f>VLOOKUP(C79,'Trips&amp;Operators'!$C$1:$E$9999,3,0)</f>
        <v>ROBINSON</v>
      </c>
      <c r="M79" s="9" t="s">
        <v>97</v>
      </c>
      <c r="N79" s="10"/>
      <c r="O79" s="36"/>
      <c r="P79" s="60" t="str">
        <f>VLOOKUP(C79,'Train Runs'!$A$13:$AE$683,31,0)</f>
        <v>aws s3 cp s3://rtdc.mdm.uploadarchive/RTDC4015/2016-08-03/ "%USERPROFILE%\AppData\Local\Temp\OnboardLogs"\RTDC4015\2016-08-03 --recursive &amp; "%USERPROFILE%\Documents\GitHub\mrs-test-scripts\Headless Mode &amp; Sideloading\WalkAndUnGZ.bat" "%USERPROFILE%\AppData\Local\Temp\OnboardLogs"\RTDC4015\2016-08-03 &amp; aws s3 cp s3://rtdc.mdm.uploadarchive/RTDC4015/2016-08-04/ "%USERPROFILE%\AppData\Local\Temp\OnboardLogs"\RTDC4015\2016-08-04 --recursive &amp; "%USERPROFILE%\Documents\GitHub\mrs-test-scripts\Headless Mode &amp; Sideloading\WalkAndUnGZ.bat" "%USERPROFILE%\AppData\Local\Temp\OnboardLogs"\RTDC4015\2016-08-04</v>
      </c>
      <c r="Q79" s="58" t="str">
        <f>VLOOKUP(C79,'Train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16:10:32-0600',mode:absolute,to:'2016-08-03 18:28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79" s="59" t="str">
        <f t="shared" si="10"/>
        <v>"C:\Program Files (x86)\AstroGrep\AstroGrep.exe" /spath="%USERPROFILE%\AppData\Local\Temp\OnboardLogs" /stypes="*4015*201608032*" /stext=" 23:.+((SYSTEM_STATE.+slice.+state.+changed )|(ment ac)|(system.+state.+changed )|(\|lc)|(penalty)|(\[timeout)|(PRM\|1\|D)|(kpr)|(kdp))" /e /r /s</v>
      </c>
      <c r="S79" s="9" t="str">
        <f t="shared" si="11"/>
        <v>4015</v>
      </c>
      <c r="T79" s="43">
        <f t="shared" si="12"/>
        <v>42585.977476851855</v>
      </c>
      <c r="U79" s="57" t="str">
        <f t="shared" si="13"/>
        <v>NW</v>
      </c>
      <c r="V79" s="57" t="str">
        <f t="shared" si="14"/>
        <v>KEEP</v>
      </c>
    </row>
    <row r="80" spans="1:22" x14ac:dyDescent="0.25">
      <c r="A80" s="43">
        <v>42585.872557870367</v>
      </c>
      <c r="B80" s="36" t="s">
        <v>112</v>
      </c>
      <c r="C80" s="36" t="s">
        <v>537</v>
      </c>
      <c r="D80" s="36" t="s">
        <v>49</v>
      </c>
      <c r="E80" s="36" t="s">
        <v>50</v>
      </c>
      <c r="F80" s="54">
        <v>0</v>
      </c>
      <c r="G80" s="54">
        <v>40</v>
      </c>
      <c r="H80" s="54">
        <v>698</v>
      </c>
      <c r="I80" s="36" t="s">
        <v>51</v>
      </c>
      <c r="J80" s="54">
        <v>575</v>
      </c>
      <c r="K80" s="36" t="s">
        <v>53</v>
      </c>
      <c r="L80" s="122" t="str">
        <f>VLOOKUP(C80,'Trips&amp;Operators'!$C$1:$E$9999,3,0)</f>
        <v>MOSES</v>
      </c>
      <c r="M80" s="9" t="s">
        <v>97</v>
      </c>
      <c r="N80" s="10"/>
      <c r="O80" s="36"/>
      <c r="P80" s="60" t="str">
        <f>VLOOKUP(C80,'Train Runs'!$A$13:$AE$683,31,0)</f>
        <v>aws s3 cp s3://rtdc.mdm.uploadarchive/RTDC4008/2016-08-03/ "%USERPROFILE%\AppData\Local\Temp\OnboardLogs"\RTDC4008\2016-08-03 --recursive &amp; "%USERPROFILE%\Documents\GitHub\mrs-test-scripts\Headless Mode &amp; Sideloading\WalkAndUnGZ.bat" "%USERPROFILE%\AppData\Local\Temp\OnboardLogs"\RTDC4008\2016-08-03 &amp; 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</v>
      </c>
      <c r="Q80" s="58" t="str">
        <f>VLOOKUP(C80,'Train Runs'!$A$13:$AE$683,22,0)</f>
        <v>https://search-rtdc-monitor-bjffxe2xuh6vdkpspy63sjmuny.us-east-1.es.amazonaws.com/_plugin/kibana/#/discover/Steve-Slow-Train-Analysis-(2080s-and-2083s)?_g=(refreshInterval:(display:Off,section:0,value:0),time:(from:'2016-08-03 19:40:10-0600',mode:absolute,to:'2016-08-03 21:56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0" s="59" t="str">
        <f t="shared" si="10"/>
        <v>"C:\Program Files (x86)\AstroGrep\AstroGrep.exe" /spath="%USERPROFILE%\AppData\Local\Temp\OnboardLogs" /stypes="*4008*201608040*" /stext=" 02:.+((SYSTEM_STATE.+slice.+state.+changed )|(ment ac)|(system.+state.+changed )|(\|lc)|(penalty)|(\[timeout)|(PRM\|1\|D)|(kpr)|(kdp))" /e /r /s</v>
      </c>
      <c r="S80" s="9" t="str">
        <f t="shared" si="11"/>
        <v>4008</v>
      </c>
      <c r="T80" s="43">
        <f t="shared" si="12"/>
        <v>42586.122557870367</v>
      </c>
      <c r="U80" s="57" t="str">
        <f t="shared" si="13"/>
        <v>NW</v>
      </c>
      <c r="V80" s="57" t="str">
        <f t="shared" si="14"/>
        <v>KEEP</v>
      </c>
    </row>
    <row r="81" spans="1:22" x14ac:dyDescent="0.25">
      <c r="A81" s="43">
        <v>42585.693229166667</v>
      </c>
      <c r="B81" s="36" t="s">
        <v>114</v>
      </c>
      <c r="C81" s="36" t="s">
        <v>523</v>
      </c>
      <c r="D81" s="36" t="s">
        <v>49</v>
      </c>
      <c r="E81" s="36" t="s">
        <v>50</v>
      </c>
      <c r="F81" s="54">
        <v>0</v>
      </c>
      <c r="G81" s="54">
        <v>69</v>
      </c>
      <c r="H81" s="54">
        <v>58800</v>
      </c>
      <c r="I81" s="36" t="s">
        <v>51</v>
      </c>
      <c r="J81" s="54">
        <v>59048</v>
      </c>
      <c r="K81" s="36" t="s">
        <v>52</v>
      </c>
      <c r="L81" s="122" t="str">
        <f>VLOOKUP(C81,'Trips&amp;Operators'!$C$1:$E$9999,3,0)</f>
        <v>MOSES</v>
      </c>
      <c r="M81" s="9" t="s">
        <v>97</v>
      </c>
      <c r="N81" s="10"/>
      <c r="O81" s="36"/>
      <c r="P81" s="60" t="str">
        <f>VLOOKUP(C81,'Train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1" s="58" t="str">
        <f>VLOOKUP(C81,'Train Runs'!$A$13:$AE$683,22,0)</f>
        <v>https://search-rtdc-monitor-bjffxe2xuh6vdkpspy63sjmuny.us-east-1.es.amazonaws.com/_plugin/kibana/#/discover/Steve-Slow-Train-Analysis-(2080s-and-2083s)?_g=(refreshInterval:(display:Off,section:0,value:0),time:(from:'2016-08-03 15:15:42-0600',mode:absolute,to:'2016-08-03 17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1" s="59" t="str">
        <f t="shared" si="10"/>
        <v>"C:\Program Files (x86)\AstroGrep\AstroGrep.exe" /spath="%USERPROFILE%\AppData\Local\Temp\OnboardLogs" /stypes="*4007*201608032*" /stext=" 22:.+((SYSTEM_STATE.+slice.+state.+changed )|(ment ac)|(system.+state.+changed )|(\|lc)|(penalty)|(\[timeout)|(PRM\|1\|D)|(kpr)|(kdp))" /e /r /s</v>
      </c>
      <c r="S81" s="9" t="str">
        <f t="shared" si="11"/>
        <v>4007</v>
      </c>
      <c r="T81" s="43">
        <f t="shared" si="12"/>
        <v>42585.943229166667</v>
      </c>
      <c r="U81" s="57" t="str">
        <f t="shared" si="13"/>
        <v>NW</v>
      </c>
      <c r="V81" s="57" t="str">
        <f t="shared" si="14"/>
        <v>KEEP</v>
      </c>
    </row>
    <row r="82" spans="1:22" x14ac:dyDescent="0.25">
      <c r="A82" s="43">
        <v>42585.734444444446</v>
      </c>
      <c r="B82" s="36" t="s">
        <v>114</v>
      </c>
      <c r="C82" s="36" t="s">
        <v>529</v>
      </c>
      <c r="D82" s="36" t="s">
        <v>49</v>
      </c>
      <c r="E82" s="36" t="s">
        <v>50</v>
      </c>
      <c r="F82" s="54">
        <v>0</v>
      </c>
      <c r="G82" s="54">
        <v>70</v>
      </c>
      <c r="H82" s="54">
        <v>58832</v>
      </c>
      <c r="I82" s="36" t="s">
        <v>51</v>
      </c>
      <c r="J82" s="54">
        <v>59048</v>
      </c>
      <c r="K82" s="36" t="s">
        <v>52</v>
      </c>
      <c r="L82" s="122" t="str">
        <f>VLOOKUP(C82,'Trips&amp;Operators'!$C$1:$E$9999,3,0)</f>
        <v>MOSES</v>
      </c>
      <c r="M82" s="9" t="s">
        <v>97</v>
      </c>
      <c r="N82" s="10"/>
      <c r="O82" s="36"/>
      <c r="P82" s="60" t="str">
        <f>VLOOKUP(C82,'Train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2" s="58" t="str">
        <f>VLOOKUP(C82,'Train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2" s="59" t="str">
        <f t="shared" si="10"/>
        <v>"C:\Program Files (x86)\AstroGrep\AstroGrep.exe" /spath="%USERPROFILE%\AppData\Local\Temp\OnboardLogs" /stypes="*4007*201608032*" /stext=" 23:.+((SYSTEM_STATE.+slice.+state.+changed )|(ment ac)|(system.+state.+changed )|(\|lc)|(penalty)|(\[timeout)|(PRM\|1\|D)|(kpr)|(kdp))" /e /r /s</v>
      </c>
      <c r="S82" s="9" t="str">
        <f t="shared" si="11"/>
        <v>4007</v>
      </c>
      <c r="T82" s="43">
        <f t="shared" si="12"/>
        <v>42585.984444444446</v>
      </c>
      <c r="U82" s="57" t="str">
        <f t="shared" si="13"/>
        <v>NW</v>
      </c>
      <c r="V82" s="57" t="str">
        <f t="shared" si="14"/>
        <v>KEEP</v>
      </c>
    </row>
    <row r="83" spans="1:22" x14ac:dyDescent="0.25">
      <c r="A83" s="43">
        <v>42585.734629629631</v>
      </c>
      <c r="B83" s="36" t="s">
        <v>114</v>
      </c>
      <c r="C83" s="36" t="s">
        <v>529</v>
      </c>
      <c r="D83" s="36" t="s">
        <v>49</v>
      </c>
      <c r="E83" s="36" t="s">
        <v>50</v>
      </c>
      <c r="F83" s="54">
        <v>0</v>
      </c>
      <c r="G83" s="54">
        <v>26</v>
      </c>
      <c r="H83" s="54">
        <v>58961</v>
      </c>
      <c r="I83" s="36" t="s">
        <v>51</v>
      </c>
      <c r="J83" s="54">
        <v>59048</v>
      </c>
      <c r="K83" s="36" t="s">
        <v>52</v>
      </c>
      <c r="L83" s="122" t="str">
        <f>VLOOKUP(C83,'Trips&amp;Operators'!$C$1:$E$9999,3,0)</f>
        <v>MOSES</v>
      </c>
      <c r="M83" s="9" t="s">
        <v>97</v>
      </c>
      <c r="N83" s="10"/>
      <c r="O83" s="36"/>
      <c r="P83" s="60" t="str">
        <f>VLOOKUP(C83,'Train Runs'!$A$13:$AE$683,31,0)</f>
        <v>aws s3 cp s3://rtdc.mdm.uploadarchive/RTDC4007/2016-08-03/ "%USERPROFILE%\AppData\Local\Temp\OnboardLogs"\RTDC4007\2016-08-03 --recursive &amp; "%USERPROFILE%\Documents\GitHub\mrs-test-scripts\Headless Mode &amp; Sideloading\WalkAndUnGZ.bat" "%USERPROFILE%\AppData\Local\Temp\OnboardLogs"\RTDC4007\2016-08-03 &amp; 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</v>
      </c>
      <c r="Q83" s="58" t="str">
        <f>VLOOKUP(C83,'Train Runs'!$A$13:$AE$683,22,0)</f>
        <v>https://search-rtdc-monitor-bjffxe2xuh6vdkpspy63sjmuny.us-east-1.es.amazonaws.com/_plugin/kibana/#/discover/Steve-Slow-Train-Analysis-(2080s-and-2083s)?_g=(refreshInterval:(display:Off,section:0,value:0),time:(from:'2016-08-03 16:15:35-0600',mode:absolute,to:'2016-08-03 18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83" s="59" t="str">
        <f t="shared" si="10"/>
        <v>"C:\Program Files (x86)\AstroGrep\AstroGrep.exe" /spath="%USERPROFILE%\AppData\Local\Temp\OnboardLogs" /stypes="*4007*201608032*" /stext=" 23:.+((SYSTEM_STATE.+slice.+state.+changed )|(ment ac)|(system.+state.+changed )|(\|lc)|(penalty)|(\[timeout)|(PRM\|1\|D)|(kpr)|(kdp))" /e /r /s</v>
      </c>
      <c r="S83" s="9" t="str">
        <f t="shared" si="11"/>
        <v>4007</v>
      </c>
      <c r="T83" s="43">
        <f t="shared" si="12"/>
        <v>42585.984629629631</v>
      </c>
      <c r="U83" s="57" t="str">
        <f t="shared" si="13"/>
        <v>NW</v>
      </c>
      <c r="V83" s="57" t="str">
        <f t="shared" si="14"/>
        <v>KEEP</v>
      </c>
    </row>
  </sheetData>
  <autoFilter ref="A6:V83"/>
  <sortState ref="A7:V83">
    <sortCondition ref="U7:U83"/>
    <sortCondition ref="E7:E83"/>
    <sortCondition ref="J7:J83"/>
    <sortCondition ref="C7:C83"/>
    <sortCondition ref="F7:F83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83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D4" sqref="D4"/>
    </sheetView>
  </sheetViews>
  <sheetFormatPr defaultRowHeight="15" x14ac:dyDescent="0.25"/>
  <cols>
    <col min="1" max="1" width="9.140625" style="80" customWidth="1"/>
    <col min="2" max="2" width="8" style="99" bestFit="1" customWidth="1"/>
    <col min="3" max="3" width="9.85546875" style="101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41" t="str">
        <f>"Trips that did not appear in PTC Data "&amp;TEXT(Variables!$A$2,"YYYY-mm-dd")</f>
        <v>Trips that did not appear in PTC Data 2016-08-03</v>
      </c>
      <c r="B1" s="141"/>
      <c r="C1" s="141"/>
      <c r="D1" s="141"/>
      <c r="E1" s="141"/>
    </row>
    <row r="2" spans="1:10" s="27" customFormat="1" ht="45" x14ac:dyDescent="0.25">
      <c r="A2" s="139" t="s">
        <v>73</v>
      </c>
      <c r="B2" s="97" t="s">
        <v>74</v>
      </c>
      <c r="C2" s="100" t="s">
        <v>75</v>
      </c>
      <c r="D2" s="27" t="s">
        <v>71</v>
      </c>
      <c r="E2" s="27" t="s">
        <v>72</v>
      </c>
      <c r="F2" s="27" t="s">
        <v>77</v>
      </c>
      <c r="G2" s="34" t="s">
        <v>78</v>
      </c>
      <c r="H2" s="34" t="s">
        <v>299</v>
      </c>
    </row>
    <row r="3" spans="1:10" x14ac:dyDescent="0.25">
      <c r="A3" s="98" t="s">
        <v>838</v>
      </c>
      <c r="B3" s="98">
        <v>0</v>
      </c>
      <c r="C3" s="98">
        <v>0</v>
      </c>
      <c r="D3" s="36" t="s">
        <v>839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5" t="e">
        <f>VLOOKUP(A3,'Trips&amp;Operators'!$C$1:$H$10000,5,FALSE)</f>
        <v>#N/A</v>
      </c>
      <c r="H3" s="34" t="str">
        <f t="shared" ref="H3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-03%22)),sort:!(Time,asc))</v>
      </c>
      <c r="I3" s="24"/>
      <c r="J3" s="24"/>
    </row>
    <row r="4" spans="1:10" x14ac:dyDescent="0.25">
      <c r="A4" s="98" t="s">
        <v>835</v>
      </c>
      <c r="B4" s="98">
        <v>1</v>
      </c>
      <c r="C4" s="98">
        <v>4007</v>
      </c>
      <c r="D4" s="36" t="s">
        <v>841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5" t="e">
        <f>VLOOKUP(A4,'Trips&amp;Operators'!$C$1:$H$10000,5,FALSE)</f>
        <v>#N/A</v>
      </c>
      <c r="H4" s="34" t="str">
        <f t="shared" ref="H4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22837-03%22)),sort:!(Time,asc))</v>
      </c>
      <c r="I4" s="24"/>
      <c r="J4" s="24"/>
    </row>
    <row r="5" spans="1:10" x14ac:dyDescent="0.25">
      <c r="B5" s="80"/>
      <c r="C5" s="80"/>
      <c r="H5" s="24"/>
      <c r="I5" s="24"/>
      <c r="J5" s="24"/>
    </row>
    <row r="6" spans="1:10" x14ac:dyDescent="0.25">
      <c r="B6" s="80"/>
      <c r="C6" s="80"/>
      <c r="H6" s="24"/>
      <c r="I6" s="24"/>
      <c r="J6" s="24"/>
    </row>
    <row r="7" spans="1:10" x14ac:dyDescent="0.25">
      <c r="B7" s="80"/>
      <c r="C7" s="80"/>
      <c r="H7" s="24"/>
      <c r="I7" s="24"/>
      <c r="J7" s="24"/>
    </row>
    <row r="8" spans="1:10" x14ac:dyDescent="0.25">
      <c r="B8" s="80"/>
      <c r="C8" s="80"/>
      <c r="H8" s="24"/>
      <c r="I8" s="24"/>
      <c r="J8" s="24"/>
    </row>
    <row r="9" spans="1:10" x14ac:dyDescent="0.25">
      <c r="B9" s="80"/>
      <c r="C9" s="80"/>
      <c r="H9" s="24"/>
      <c r="I9" s="24"/>
      <c r="J9" s="24"/>
    </row>
    <row r="10" spans="1:10" x14ac:dyDescent="0.25">
      <c r="B10" s="80"/>
      <c r="C10" s="80"/>
      <c r="H10" s="24"/>
      <c r="I10" s="24"/>
      <c r="J10" s="24"/>
    </row>
    <row r="11" spans="1:10" x14ac:dyDescent="0.25">
      <c r="B11" s="80"/>
      <c r="C11" s="80"/>
      <c r="H11" s="24"/>
      <c r="I11" s="24"/>
      <c r="J11" s="24"/>
    </row>
    <row r="12" spans="1:10" x14ac:dyDescent="0.25">
      <c r="B12" s="80"/>
      <c r="C12" s="80"/>
      <c r="H12" s="24"/>
      <c r="I12" s="24"/>
      <c r="J12" s="24"/>
    </row>
    <row r="13" spans="1:10" x14ac:dyDescent="0.25">
      <c r="B13" s="80"/>
      <c r="C13" s="80"/>
      <c r="H13" s="24"/>
      <c r="I13" s="24"/>
      <c r="J13" s="24"/>
    </row>
    <row r="14" spans="1:10" x14ac:dyDescent="0.25">
      <c r="B14" s="80"/>
      <c r="C14" s="80"/>
      <c r="H14" s="24"/>
      <c r="I14" s="24"/>
      <c r="J14" s="24"/>
    </row>
    <row r="15" spans="1:10" x14ac:dyDescent="0.25">
      <c r="B15" s="80"/>
      <c r="C15" s="80"/>
      <c r="H15" s="24"/>
      <c r="I15" s="24"/>
      <c r="J15" s="24"/>
    </row>
    <row r="16" spans="1:10" x14ac:dyDescent="0.25">
      <c r="B16" s="80"/>
      <c r="C16" s="80"/>
      <c r="H16" s="24"/>
      <c r="I16" s="24"/>
      <c r="J16" s="24"/>
    </row>
    <row r="17" spans="2:10" x14ac:dyDescent="0.25">
      <c r="B17" s="80"/>
      <c r="C17" s="80"/>
      <c r="H17" s="24"/>
      <c r="I17" s="24"/>
      <c r="J17" s="24"/>
    </row>
    <row r="18" spans="2:10" x14ac:dyDescent="0.25">
      <c r="B18" s="80"/>
      <c r="C18" s="80"/>
      <c r="H18" s="24"/>
      <c r="I18" s="24"/>
      <c r="J18" s="24"/>
    </row>
    <row r="19" spans="2:10" x14ac:dyDescent="0.25">
      <c r="B19" s="80"/>
      <c r="C19" s="80"/>
      <c r="H19" s="24"/>
      <c r="I19" s="24"/>
      <c r="J19" s="24"/>
    </row>
    <row r="20" spans="2:10" x14ac:dyDescent="0.25">
      <c r="B20" s="80"/>
      <c r="C20" s="80"/>
      <c r="H20" s="24"/>
      <c r="I20" s="24"/>
      <c r="J20" s="24"/>
    </row>
    <row r="21" spans="2:10" x14ac:dyDescent="0.25">
      <c r="B21" s="80"/>
      <c r="C21" s="80"/>
      <c r="H21" s="24"/>
      <c r="I21" s="24"/>
      <c r="J21" s="24"/>
    </row>
    <row r="22" spans="2:10" x14ac:dyDescent="0.25">
      <c r="B22" s="80"/>
      <c r="C22" s="80"/>
      <c r="H22" s="24"/>
      <c r="I22" s="24"/>
      <c r="J22" s="24"/>
    </row>
    <row r="23" spans="2:10" x14ac:dyDescent="0.25">
      <c r="B23" s="80"/>
      <c r="C23" s="80"/>
      <c r="H23" s="24"/>
      <c r="I23" s="24"/>
      <c r="J23" s="24"/>
    </row>
    <row r="24" spans="2:10" x14ac:dyDescent="0.25">
      <c r="B24" s="80"/>
      <c r="C24" s="80"/>
      <c r="H24" s="24"/>
      <c r="I24" s="24"/>
      <c r="J24" s="24"/>
    </row>
    <row r="25" spans="2:10" x14ac:dyDescent="0.25">
      <c r="B25" s="80"/>
      <c r="C25" s="80"/>
      <c r="H25" s="24"/>
      <c r="I25" s="24"/>
      <c r="J25" s="24"/>
    </row>
    <row r="26" spans="2:10" x14ac:dyDescent="0.25">
      <c r="B26" s="80"/>
      <c r="C26" s="80"/>
      <c r="H26" s="24"/>
      <c r="I26" s="24"/>
      <c r="J26" s="24"/>
    </row>
    <row r="27" spans="2:10" x14ac:dyDescent="0.25">
      <c r="B27" s="80"/>
      <c r="C27" s="80"/>
      <c r="H27" s="24"/>
      <c r="I27" s="24"/>
      <c r="J27" s="24"/>
    </row>
    <row r="28" spans="2:10" x14ac:dyDescent="0.25">
      <c r="B28" s="80"/>
      <c r="C28" s="80"/>
      <c r="H28" s="24"/>
      <c r="I28" s="24"/>
      <c r="J28" s="24"/>
    </row>
    <row r="29" spans="2:10" x14ac:dyDescent="0.25">
      <c r="B29" s="80"/>
      <c r="C29" s="80"/>
      <c r="H29" s="24"/>
      <c r="I29" s="24"/>
      <c r="J29" s="24"/>
    </row>
    <row r="30" spans="2:10" x14ac:dyDescent="0.25">
      <c r="B30" s="80"/>
      <c r="C30" s="80"/>
      <c r="H30" s="24"/>
      <c r="I30" s="24"/>
      <c r="J30" s="24"/>
    </row>
    <row r="31" spans="2:10" x14ac:dyDescent="0.25">
      <c r="B31" s="80"/>
      <c r="C31" s="80"/>
      <c r="H31" s="24"/>
      <c r="I31" s="24"/>
      <c r="J31" s="24"/>
    </row>
    <row r="32" spans="2:10" x14ac:dyDescent="0.25">
      <c r="B32" s="80"/>
      <c r="C32" s="80"/>
      <c r="H32" s="24"/>
      <c r="I32" s="24"/>
      <c r="J32" s="24"/>
    </row>
    <row r="33" spans="2:10" x14ac:dyDescent="0.25">
      <c r="B33" s="80"/>
      <c r="C33" s="80"/>
      <c r="H33" s="24"/>
      <c r="I33" s="24"/>
      <c r="J33" s="24"/>
    </row>
    <row r="34" spans="2:10" x14ac:dyDescent="0.25">
      <c r="B34" s="80"/>
      <c r="C34" s="80"/>
      <c r="H34" s="24"/>
      <c r="I34" s="24"/>
      <c r="J34" s="24"/>
    </row>
    <row r="35" spans="2:10" x14ac:dyDescent="0.25">
      <c r="B35" s="80"/>
      <c r="C35" s="80"/>
      <c r="H35" s="24"/>
      <c r="I35" s="24"/>
      <c r="J35" s="24"/>
    </row>
    <row r="36" spans="2:10" x14ac:dyDescent="0.25">
      <c r="B36" s="80"/>
      <c r="C36" s="80"/>
      <c r="H36" s="24"/>
      <c r="I36" s="24"/>
      <c r="J36" s="24"/>
    </row>
    <row r="37" spans="2:10" x14ac:dyDescent="0.25">
      <c r="B37" s="80"/>
      <c r="C37" s="80"/>
      <c r="H37" s="24"/>
      <c r="I37" s="24"/>
      <c r="J37" s="24"/>
    </row>
    <row r="38" spans="2:10" x14ac:dyDescent="0.25">
      <c r="B38" s="80"/>
      <c r="C38" s="80"/>
      <c r="H38" s="24"/>
      <c r="I38" s="24"/>
      <c r="J38" s="24"/>
    </row>
    <row r="39" spans="2:10" x14ac:dyDescent="0.25">
      <c r="B39" s="80"/>
      <c r="C39" s="80"/>
      <c r="H39" s="24"/>
      <c r="I39" s="24"/>
      <c r="J39" s="24"/>
    </row>
    <row r="40" spans="2:10" x14ac:dyDescent="0.25">
      <c r="B40" s="80"/>
      <c r="C40" s="80"/>
      <c r="H40" s="24"/>
      <c r="I40" s="24"/>
      <c r="J40" s="24"/>
    </row>
    <row r="41" spans="2:10" x14ac:dyDescent="0.25">
      <c r="B41" s="80"/>
      <c r="C41" s="80"/>
      <c r="H41" s="24"/>
      <c r="I41" s="24"/>
      <c r="J41" s="24"/>
    </row>
    <row r="42" spans="2:10" x14ac:dyDescent="0.25">
      <c r="B42" s="80"/>
      <c r="C42" s="80"/>
      <c r="H42" s="24"/>
      <c r="I42" s="24"/>
      <c r="J42" s="24"/>
    </row>
    <row r="43" spans="2:10" x14ac:dyDescent="0.25">
      <c r="B43" s="80"/>
      <c r="C43" s="80"/>
      <c r="H43" s="24"/>
      <c r="I43" s="24"/>
      <c r="J43" s="24"/>
    </row>
    <row r="44" spans="2:10" x14ac:dyDescent="0.25">
      <c r="B44" s="80"/>
      <c r="C44" s="80"/>
      <c r="H44" s="24"/>
      <c r="I44" s="24"/>
      <c r="J44" s="24"/>
    </row>
    <row r="45" spans="2:10" x14ac:dyDescent="0.25">
      <c r="B45" s="80"/>
      <c r="C45" s="80"/>
      <c r="H45" s="24"/>
      <c r="I45" s="24"/>
      <c r="J45" s="24"/>
    </row>
    <row r="46" spans="2:10" x14ac:dyDescent="0.25">
      <c r="B46" s="80"/>
      <c r="C46" s="80"/>
      <c r="H46" s="24"/>
      <c r="I46" s="24"/>
      <c r="J46" s="24"/>
    </row>
    <row r="47" spans="2:10" x14ac:dyDescent="0.25">
      <c r="B47" s="80"/>
      <c r="C47" s="80"/>
      <c r="H47" s="24"/>
      <c r="I47" s="24"/>
      <c r="J47" s="24"/>
    </row>
    <row r="48" spans="2:10" x14ac:dyDescent="0.25">
      <c r="B48" s="80"/>
      <c r="C48" s="80"/>
      <c r="H48" s="24"/>
      <c r="I48" s="24"/>
      <c r="J48" s="24"/>
    </row>
    <row r="49" spans="2:10" x14ac:dyDescent="0.25">
      <c r="B49" s="80"/>
      <c r="C49" s="80"/>
      <c r="H49" s="24"/>
      <c r="I49" s="24"/>
      <c r="J49" s="24"/>
    </row>
    <row r="50" spans="2:10" x14ac:dyDescent="0.25">
      <c r="B50" s="80"/>
      <c r="C50" s="80"/>
      <c r="H50" s="24"/>
      <c r="I50" s="24"/>
      <c r="J50" s="24"/>
    </row>
    <row r="51" spans="2:10" x14ac:dyDescent="0.25">
      <c r="B51" s="80"/>
      <c r="C51" s="80"/>
      <c r="H51" s="24"/>
      <c r="I51" s="24"/>
      <c r="J51" s="24"/>
    </row>
    <row r="52" spans="2:10" x14ac:dyDescent="0.25">
      <c r="B52" s="80"/>
      <c r="C52" s="80"/>
      <c r="H52" s="24"/>
      <c r="I52" s="24"/>
      <c r="J52" s="24"/>
    </row>
    <row r="53" spans="2:10" x14ac:dyDescent="0.25">
      <c r="B53" s="80"/>
      <c r="C53" s="80"/>
      <c r="H53" s="24"/>
      <c r="I53" s="24"/>
      <c r="J53" s="24"/>
    </row>
    <row r="54" spans="2:10" x14ac:dyDescent="0.25">
      <c r="B54" s="80"/>
      <c r="C54" s="80"/>
      <c r="H54" s="24"/>
      <c r="I54" s="24"/>
      <c r="J54" s="24"/>
    </row>
    <row r="55" spans="2:10" x14ac:dyDescent="0.25">
      <c r="B55" s="80"/>
      <c r="C55" s="80"/>
      <c r="H55" s="24"/>
      <c r="I55" s="24"/>
      <c r="J55" s="24"/>
    </row>
    <row r="56" spans="2:10" x14ac:dyDescent="0.25">
      <c r="B56" s="80"/>
      <c r="C56" s="80"/>
      <c r="H56" s="24"/>
      <c r="I56" s="24"/>
      <c r="J56" s="24"/>
    </row>
    <row r="57" spans="2:10" x14ac:dyDescent="0.25">
      <c r="B57" s="80"/>
      <c r="C57" s="80"/>
      <c r="H57" s="24"/>
      <c r="I57" s="24"/>
      <c r="J57" s="24"/>
    </row>
    <row r="58" spans="2:10" x14ac:dyDescent="0.25">
      <c r="B58" s="80"/>
      <c r="C58" s="80"/>
      <c r="H58" s="24"/>
      <c r="I58" s="24"/>
      <c r="J58" s="24"/>
    </row>
    <row r="59" spans="2:10" x14ac:dyDescent="0.25">
      <c r="B59" s="80"/>
      <c r="C59" s="80"/>
      <c r="H59" s="24"/>
      <c r="I59" s="24"/>
      <c r="J59" s="24"/>
    </row>
    <row r="60" spans="2:10" x14ac:dyDescent="0.25">
      <c r="B60" s="80"/>
      <c r="C60" s="80"/>
      <c r="H60" s="24"/>
      <c r="I60" s="24"/>
      <c r="J60" s="24"/>
    </row>
    <row r="61" spans="2:10" x14ac:dyDescent="0.25">
      <c r="B61" s="80"/>
      <c r="C61" s="80"/>
      <c r="H61" s="24"/>
      <c r="I61" s="24"/>
      <c r="J61" s="24"/>
    </row>
    <row r="62" spans="2:10" x14ac:dyDescent="0.25">
      <c r="B62" s="80"/>
      <c r="C62" s="80"/>
      <c r="H62" s="24"/>
      <c r="I62" s="24"/>
      <c r="J62" s="24"/>
    </row>
    <row r="63" spans="2:10" x14ac:dyDescent="0.25">
      <c r="B63" s="80"/>
      <c r="C63" s="80"/>
      <c r="H63" s="24"/>
      <c r="I63" s="24"/>
      <c r="J63" s="24"/>
    </row>
    <row r="64" spans="2:10" x14ac:dyDescent="0.25">
      <c r="B64" s="80"/>
      <c r="C64" s="80"/>
      <c r="H64" s="24"/>
      <c r="I64" s="24"/>
      <c r="J64" s="24"/>
    </row>
    <row r="65" spans="2:10" x14ac:dyDescent="0.25">
      <c r="B65" s="80"/>
      <c r="C65" s="80"/>
      <c r="H65" s="24"/>
      <c r="I65" s="24"/>
      <c r="J65" s="24"/>
    </row>
    <row r="66" spans="2:10" x14ac:dyDescent="0.25">
      <c r="B66" s="80"/>
      <c r="C66" s="80"/>
      <c r="H66" s="24"/>
      <c r="I66" s="24"/>
      <c r="J66" s="24"/>
    </row>
    <row r="67" spans="2:10" x14ac:dyDescent="0.25">
      <c r="B67" s="80"/>
      <c r="C67" s="80"/>
      <c r="H67" s="24"/>
      <c r="I67" s="24"/>
      <c r="J67" s="24"/>
    </row>
    <row r="68" spans="2:10" x14ac:dyDescent="0.25">
      <c r="B68" s="80"/>
      <c r="C68" s="80"/>
      <c r="H68" s="24"/>
      <c r="I68" s="24"/>
      <c r="J68" s="24"/>
    </row>
    <row r="69" spans="2:10" x14ac:dyDescent="0.25">
      <c r="B69" s="80"/>
      <c r="C69" s="80"/>
      <c r="H69" s="24"/>
      <c r="I69" s="24"/>
      <c r="J69" s="24"/>
    </row>
    <row r="70" spans="2:10" x14ac:dyDescent="0.25">
      <c r="B70" s="80"/>
      <c r="C70" s="80"/>
      <c r="H70" s="24"/>
      <c r="I70" s="24"/>
      <c r="J70" s="24"/>
    </row>
    <row r="71" spans="2:10" x14ac:dyDescent="0.25">
      <c r="B71" s="80"/>
      <c r="C71" s="80"/>
      <c r="H71" s="24"/>
      <c r="I71" s="24"/>
      <c r="J71" s="24"/>
    </row>
    <row r="72" spans="2:10" x14ac:dyDescent="0.25">
      <c r="B72" s="80"/>
      <c r="C72" s="80"/>
      <c r="H72" s="24"/>
      <c r="I72" s="24"/>
      <c r="J72" s="24"/>
    </row>
    <row r="73" spans="2:10" x14ac:dyDescent="0.25">
      <c r="B73" s="80"/>
      <c r="C73" s="80"/>
      <c r="H73" s="24"/>
      <c r="I73" s="24"/>
      <c r="J73" s="24"/>
    </row>
    <row r="74" spans="2:10" x14ac:dyDescent="0.25">
      <c r="B74" s="80"/>
      <c r="C74" s="80"/>
      <c r="H74" s="24"/>
      <c r="I74" s="24"/>
      <c r="J74" s="24"/>
    </row>
    <row r="75" spans="2:10" x14ac:dyDescent="0.25">
      <c r="B75" s="80"/>
      <c r="C75" s="80"/>
      <c r="H75" s="24"/>
      <c r="I75" s="24"/>
      <c r="J75" s="24"/>
    </row>
    <row r="76" spans="2:10" x14ac:dyDescent="0.25">
      <c r="B76" s="80"/>
      <c r="C76" s="80"/>
      <c r="H76" s="24"/>
      <c r="I76" s="24"/>
      <c r="J76" s="24"/>
    </row>
    <row r="77" spans="2:10" x14ac:dyDescent="0.25">
      <c r="B77" s="80"/>
      <c r="C77" s="80"/>
      <c r="H77" s="24"/>
      <c r="I77" s="24"/>
      <c r="J77" s="24"/>
    </row>
    <row r="78" spans="2:10" x14ac:dyDescent="0.25">
      <c r="B78" s="80"/>
      <c r="C78" s="80"/>
      <c r="H78" s="24"/>
      <c r="I78" s="24"/>
      <c r="J78" s="24"/>
    </row>
    <row r="79" spans="2:10" x14ac:dyDescent="0.25">
      <c r="B79" s="80"/>
      <c r="C79" s="80"/>
      <c r="H79" s="24"/>
      <c r="I79" s="24"/>
      <c r="J79" s="24"/>
    </row>
    <row r="80" spans="2:10" x14ac:dyDescent="0.25">
      <c r="B80" s="80"/>
      <c r="C80" s="80"/>
      <c r="H80" s="24"/>
      <c r="I80" s="24"/>
      <c r="J80" s="24"/>
    </row>
    <row r="81" spans="2:10" x14ac:dyDescent="0.25">
      <c r="B81" s="80"/>
      <c r="C81" s="80"/>
      <c r="H81" s="24"/>
      <c r="I81" s="24"/>
      <c r="J81" s="24"/>
    </row>
    <row r="82" spans="2:10" x14ac:dyDescent="0.25">
      <c r="B82" s="80"/>
      <c r="C82" s="80"/>
      <c r="H82" s="24"/>
      <c r="I82" s="24"/>
      <c r="J82" s="24"/>
    </row>
    <row r="83" spans="2:10" x14ac:dyDescent="0.25">
      <c r="B83" s="80"/>
      <c r="C83" s="80"/>
      <c r="H83" s="24"/>
      <c r="I83" s="24"/>
      <c r="J83" s="24"/>
    </row>
    <row r="84" spans="2:10" x14ac:dyDescent="0.25">
      <c r="B84" s="80"/>
      <c r="C84" s="80"/>
      <c r="H84" s="24"/>
      <c r="I84" s="24"/>
      <c r="J84" s="24"/>
    </row>
    <row r="85" spans="2:10" x14ac:dyDescent="0.25">
      <c r="B85" s="80"/>
      <c r="C85" s="80"/>
      <c r="H85" s="24"/>
      <c r="I85" s="24"/>
      <c r="J85" s="24"/>
    </row>
    <row r="86" spans="2:10" x14ac:dyDescent="0.25">
      <c r="B86" s="80"/>
      <c r="C86" s="80"/>
      <c r="H86" s="24"/>
      <c r="I86" s="24"/>
      <c r="J86" s="24"/>
    </row>
    <row r="87" spans="2:10" x14ac:dyDescent="0.25">
      <c r="B87" s="80"/>
      <c r="C87" s="80"/>
      <c r="H87" s="24"/>
      <c r="I87" s="24"/>
      <c r="J87" s="24"/>
    </row>
    <row r="88" spans="2:10" x14ac:dyDescent="0.25">
      <c r="B88" s="80"/>
      <c r="C88" s="80"/>
      <c r="H88" s="24"/>
      <c r="I88" s="24"/>
      <c r="J88" s="24"/>
    </row>
    <row r="89" spans="2:10" x14ac:dyDescent="0.25">
      <c r="B89" s="80"/>
      <c r="C89" s="80"/>
      <c r="H89" s="24"/>
      <c r="I89" s="24"/>
      <c r="J89" s="24"/>
    </row>
    <row r="90" spans="2:10" x14ac:dyDescent="0.25">
      <c r="B90" s="80"/>
      <c r="C90" s="80"/>
      <c r="H90" s="24"/>
      <c r="I90" s="24"/>
      <c r="J90" s="24"/>
    </row>
    <row r="91" spans="2:10" x14ac:dyDescent="0.25">
      <c r="B91" s="80"/>
      <c r="C91" s="80"/>
      <c r="H91" s="24"/>
      <c r="I91" s="24"/>
      <c r="J91" s="24"/>
    </row>
    <row r="92" spans="2:10" x14ac:dyDescent="0.25">
      <c r="B92" s="80"/>
      <c r="C92" s="80"/>
      <c r="H92" s="24"/>
      <c r="I92" s="24"/>
      <c r="J92" s="24"/>
    </row>
    <row r="93" spans="2:10" x14ac:dyDescent="0.25">
      <c r="B93" s="80"/>
      <c r="C93" s="80"/>
      <c r="H93" s="24"/>
      <c r="I93" s="24"/>
      <c r="J93" s="24"/>
    </row>
    <row r="94" spans="2:10" x14ac:dyDescent="0.25">
      <c r="B94" s="80"/>
      <c r="C94" s="80"/>
      <c r="H94" s="24"/>
      <c r="I94" s="24"/>
      <c r="J94" s="24"/>
    </row>
    <row r="95" spans="2:10" x14ac:dyDescent="0.25">
      <c r="B95" s="80"/>
      <c r="C95" s="80"/>
      <c r="H95" s="24"/>
      <c r="I95" s="24"/>
      <c r="J95" s="24"/>
    </row>
    <row r="96" spans="2:10" x14ac:dyDescent="0.25">
      <c r="B96" s="80"/>
      <c r="C96" s="80"/>
      <c r="H96" s="24"/>
      <c r="I96" s="24"/>
      <c r="J96" s="24"/>
    </row>
    <row r="97" spans="2:10" x14ac:dyDescent="0.25">
      <c r="B97" s="80"/>
      <c r="C97" s="80"/>
      <c r="H97" s="24"/>
      <c r="I97" s="24"/>
      <c r="J97" s="24"/>
    </row>
    <row r="98" spans="2:10" x14ac:dyDescent="0.25">
      <c r="B98" s="80"/>
      <c r="C98" s="80"/>
      <c r="H98" s="24"/>
      <c r="I98" s="24"/>
      <c r="J98" s="24"/>
    </row>
    <row r="99" spans="2:10" x14ac:dyDescent="0.25">
      <c r="B99" s="80"/>
      <c r="C99" s="80"/>
      <c r="H99" s="24"/>
      <c r="I99" s="24"/>
      <c r="J99" s="24"/>
    </row>
    <row r="100" spans="2:10" x14ac:dyDescent="0.25">
      <c r="B100" s="80"/>
      <c r="C100" s="80"/>
      <c r="H100" s="24"/>
      <c r="I100" s="24"/>
      <c r="J100" s="24"/>
    </row>
    <row r="101" spans="2:10" x14ac:dyDescent="0.25">
      <c r="B101" s="80"/>
      <c r="C101" s="80"/>
      <c r="H101" s="24"/>
      <c r="I101" s="24"/>
      <c r="J101" s="24"/>
    </row>
    <row r="102" spans="2:10" x14ac:dyDescent="0.25">
      <c r="B102" s="80"/>
      <c r="C102" s="80"/>
      <c r="H102" s="24"/>
      <c r="I102" s="24"/>
      <c r="J102" s="24"/>
    </row>
    <row r="103" spans="2:10" x14ac:dyDescent="0.25">
      <c r="B103" s="80"/>
      <c r="C103" s="80"/>
      <c r="H103" s="24"/>
      <c r="I103" s="24"/>
      <c r="J103" s="24"/>
    </row>
    <row r="104" spans="2:10" x14ac:dyDescent="0.25">
      <c r="B104" s="80"/>
      <c r="C104" s="80"/>
      <c r="H104" s="24"/>
      <c r="I104" s="24"/>
      <c r="J104" s="24"/>
    </row>
    <row r="105" spans="2:10" x14ac:dyDescent="0.25">
      <c r="B105" s="80"/>
      <c r="C105" s="80"/>
      <c r="H105" s="24"/>
      <c r="I105" s="24"/>
      <c r="J105" s="24"/>
    </row>
    <row r="106" spans="2:10" x14ac:dyDescent="0.25">
      <c r="B106" s="80"/>
      <c r="C106" s="80"/>
      <c r="H106" s="24"/>
      <c r="I106" s="24"/>
      <c r="J106" s="24"/>
    </row>
    <row r="107" spans="2:10" x14ac:dyDescent="0.25">
      <c r="B107" s="80"/>
      <c r="C107" s="80"/>
      <c r="H107" s="24"/>
      <c r="I107" s="24"/>
      <c r="J107" s="24"/>
    </row>
    <row r="108" spans="2:10" x14ac:dyDescent="0.25">
      <c r="B108" s="80"/>
      <c r="C108" s="80"/>
      <c r="H108" s="24"/>
      <c r="I108" s="24"/>
      <c r="J108" s="24"/>
    </row>
    <row r="109" spans="2:10" x14ac:dyDescent="0.25">
      <c r="B109" s="80"/>
      <c r="C109" s="80"/>
      <c r="H109" s="24"/>
      <c r="I109" s="24"/>
      <c r="J109" s="24"/>
    </row>
    <row r="110" spans="2:10" x14ac:dyDescent="0.25">
      <c r="B110" s="80"/>
      <c r="C110" s="80"/>
      <c r="H110" s="24"/>
      <c r="I110" s="24"/>
      <c r="J110" s="24"/>
    </row>
    <row r="111" spans="2:10" x14ac:dyDescent="0.25">
      <c r="B111" s="80"/>
      <c r="C111" s="80"/>
      <c r="H111" s="24"/>
      <c r="I111" s="24"/>
      <c r="J111" s="24"/>
    </row>
    <row r="112" spans="2:10" x14ac:dyDescent="0.25">
      <c r="B112" s="80"/>
      <c r="C112" s="80"/>
      <c r="H112" s="24"/>
      <c r="I112" s="24"/>
      <c r="J112" s="24"/>
    </row>
    <row r="113" spans="2:10" x14ac:dyDescent="0.25">
      <c r="B113" s="80"/>
      <c r="C113" s="80"/>
      <c r="H113" s="24"/>
      <c r="I113" s="24"/>
      <c r="J113" s="24"/>
    </row>
    <row r="114" spans="2:10" x14ac:dyDescent="0.25">
      <c r="B114" s="80"/>
      <c r="C114" s="80"/>
      <c r="H114" s="24"/>
      <c r="I114" s="24"/>
      <c r="J114" s="24"/>
    </row>
    <row r="115" spans="2:10" x14ac:dyDescent="0.25">
      <c r="H115" s="24"/>
      <c r="I115" s="24"/>
      <c r="J115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292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42584.904108796298</v>
      </c>
      <c r="B1" s="24" t="s">
        <v>172</v>
      </c>
      <c r="C1" s="24" t="s">
        <v>450</v>
      </c>
      <c r="D1" s="24">
        <v>1480000</v>
      </c>
      <c r="E1" s="24" t="s">
        <v>102</v>
      </c>
      <c r="F1" s="24" t="str">
        <f>B1</f>
        <v>rtdc.l.rtdc.4032:itc</v>
      </c>
      <c r="G1" s="8">
        <f>A1</f>
        <v>42584.904108796298</v>
      </c>
    </row>
    <row r="2" spans="1:7" x14ac:dyDescent="0.25">
      <c r="A2" s="8">
        <v>42585.719583333332</v>
      </c>
      <c r="B2" s="24" t="s">
        <v>114</v>
      </c>
      <c r="C2" s="24" t="s">
        <v>529</v>
      </c>
      <c r="D2" s="24">
        <v>2040000</v>
      </c>
      <c r="E2" s="24" t="s">
        <v>794</v>
      </c>
      <c r="F2" s="24" t="str">
        <f t="shared" ref="F2:F65" si="0">B2</f>
        <v>rtdc.l.rtdc.4007:itc</v>
      </c>
      <c r="G2" s="8">
        <f t="shared" ref="G2:G65" si="1">A2</f>
        <v>42585.719583333332</v>
      </c>
    </row>
    <row r="3" spans="1:7" x14ac:dyDescent="0.25">
      <c r="A3" s="8">
        <v>42585.740474537037</v>
      </c>
      <c r="B3" s="24" t="s">
        <v>162</v>
      </c>
      <c r="C3" s="24" t="s">
        <v>658</v>
      </c>
      <c r="D3" s="24">
        <v>2090000</v>
      </c>
      <c r="E3" s="24" t="s">
        <v>369</v>
      </c>
      <c r="F3" s="24" t="str">
        <f t="shared" si="0"/>
        <v>rtdc.l.rtdc.4014:itc</v>
      </c>
      <c r="G3" s="8">
        <f t="shared" si="1"/>
        <v>42585.740474537037</v>
      </c>
    </row>
    <row r="4" spans="1:7" x14ac:dyDescent="0.25">
      <c r="A4" s="8">
        <v>42585.752569444441</v>
      </c>
      <c r="B4" s="24" t="s">
        <v>103</v>
      </c>
      <c r="C4" s="24" t="s">
        <v>534</v>
      </c>
      <c r="D4" s="24">
        <v>1480000</v>
      </c>
      <c r="E4" s="24" t="s">
        <v>102</v>
      </c>
      <c r="F4" s="24" t="str">
        <f t="shared" si="0"/>
        <v>rtdc.l.rtdc.4026:itc</v>
      </c>
      <c r="G4" s="8">
        <f t="shared" si="1"/>
        <v>42585.752569444441</v>
      </c>
    </row>
    <row r="5" spans="1:7" x14ac:dyDescent="0.25">
      <c r="A5" s="8">
        <v>42585.716064814813</v>
      </c>
      <c r="B5" s="24" t="s">
        <v>133</v>
      </c>
      <c r="C5" s="24" t="s">
        <v>527</v>
      </c>
      <c r="D5" s="24">
        <v>2140000</v>
      </c>
      <c r="E5" s="24" t="s">
        <v>374</v>
      </c>
      <c r="F5" s="24" t="str">
        <f t="shared" si="0"/>
        <v>rtdc.l.rtdc.4015:itc</v>
      </c>
      <c r="G5" s="8">
        <f t="shared" si="1"/>
        <v>42585.716064814813</v>
      </c>
    </row>
    <row r="6" spans="1:7" x14ac:dyDescent="0.25">
      <c r="A6" s="8">
        <v>42585.803055555552</v>
      </c>
      <c r="B6" s="24" t="s">
        <v>104</v>
      </c>
      <c r="C6" s="24" t="s">
        <v>659</v>
      </c>
      <c r="D6" s="24">
        <v>2090000</v>
      </c>
      <c r="E6" s="24" t="s">
        <v>369</v>
      </c>
      <c r="F6" s="24" t="str">
        <f t="shared" si="0"/>
        <v>rtdc.l.rtdc.4013:itc</v>
      </c>
      <c r="G6" s="8">
        <f t="shared" si="1"/>
        <v>42585.803055555552</v>
      </c>
    </row>
    <row r="7" spans="1:7" x14ac:dyDescent="0.25">
      <c r="A7" s="8">
        <v>42585.815150462964</v>
      </c>
      <c r="B7" s="24" t="s">
        <v>162</v>
      </c>
      <c r="C7" s="24" t="s">
        <v>673</v>
      </c>
      <c r="D7" s="24">
        <v>2090000</v>
      </c>
      <c r="E7" s="24" t="s">
        <v>369</v>
      </c>
      <c r="F7" s="24" t="str">
        <f t="shared" si="0"/>
        <v>rtdc.l.rtdc.4014:itc</v>
      </c>
      <c r="G7" s="8">
        <f t="shared" si="1"/>
        <v>42585.815150462964</v>
      </c>
    </row>
    <row r="8" spans="1:7" x14ac:dyDescent="0.25">
      <c r="A8" s="8">
        <v>42585.846273148149</v>
      </c>
      <c r="B8" s="24" t="s">
        <v>114</v>
      </c>
      <c r="C8" s="24" t="s">
        <v>776</v>
      </c>
      <c r="D8" s="24">
        <v>2040000</v>
      </c>
      <c r="E8" s="24" t="s">
        <v>794</v>
      </c>
      <c r="F8" s="24" t="str">
        <f t="shared" si="0"/>
        <v>rtdc.l.rtdc.4007:itc</v>
      </c>
      <c r="G8" s="8">
        <f t="shared" si="1"/>
        <v>42585.846273148149</v>
      </c>
    </row>
    <row r="9" spans="1:7" ht="15.75" thickBot="1" x14ac:dyDescent="0.3">
      <c r="A9" s="30">
        <v>42585.892835648148</v>
      </c>
      <c r="B9" s="24" t="s">
        <v>162</v>
      </c>
      <c r="C9" s="24" t="s">
        <v>684</v>
      </c>
      <c r="D9" s="24">
        <v>2090000</v>
      </c>
      <c r="E9" s="24" t="s">
        <v>369</v>
      </c>
      <c r="F9" s="24" t="str">
        <f t="shared" si="0"/>
        <v>rtdc.l.rtdc.4014:itc</v>
      </c>
      <c r="G9" s="8">
        <f t="shared" si="1"/>
        <v>42585.892835648148</v>
      </c>
    </row>
    <row r="10" spans="1:7" x14ac:dyDescent="0.25">
      <c r="A10" s="8">
        <v>42585.930706018517</v>
      </c>
      <c r="B10" s="24" t="s">
        <v>104</v>
      </c>
      <c r="C10" s="24" t="s">
        <v>685</v>
      </c>
      <c r="D10" s="24">
        <v>2090000</v>
      </c>
      <c r="E10" s="24" t="s">
        <v>369</v>
      </c>
      <c r="F10" s="24" t="str">
        <f t="shared" si="0"/>
        <v>rtdc.l.rtdc.4013:itc</v>
      </c>
      <c r="G10" s="8">
        <f t="shared" si="1"/>
        <v>42585.930706018517</v>
      </c>
    </row>
    <row r="11" spans="1:7" x14ac:dyDescent="0.25">
      <c r="A11" s="8">
        <v>42585.694293981483</v>
      </c>
      <c r="B11" s="24" t="s">
        <v>134</v>
      </c>
      <c r="C11" s="24" t="s">
        <v>766</v>
      </c>
      <c r="D11" s="24">
        <v>2140000</v>
      </c>
      <c r="E11" s="24" t="s">
        <v>374</v>
      </c>
      <c r="F11" s="24" t="str">
        <f t="shared" si="0"/>
        <v>rtdc.l.rtdc.4016:itc</v>
      </c>
      <c r="G11" s="8">
        <f t="shared" si="1"/>
        <v>42585.694293981483</v>
      </c>
    </row>
    <row r="12" spans="1:7" x14ac:dyDescent="0.25">
      <c r="A12" s="8">
        <v>42585.945567129631</v>
      </c>
      <c r="B12" s="24" t="s">
        <v>112</v>
      </c>
      <c r="C12" s="24" t="s">
        <v>791</v>
      </c>
      <c r="D12" s="24">
        <v>2140000</v>
      </c>
      <c r="E12" s="24" t="s">
        <v>374</v>
      </c>
      <c r="F12" s="24" t="str">
        <f t="shared" si="0"/>
        <v>rtdc.l.rtdc.4008:itc</v>
      </c>
      <c r="G12" s="8">
        <f t="shared" si="1"/>
        <v>42585.945567129631</v>
      </c>
    </row>
    <row r="13" spans="1:7" x14ac:dyDescent="0.25">
      <c r="A13" s="8">
        <v>42585.691770833335</v>
      </c>
      <c r="B13" s="24" t="s">
        <v>795</v>
      </c>
      <c r="C13" s="24" t="s">
        <v>649</v>
      </c>
      <c r="D13" s="24">
        <v>860000</v>
      </c>
      <c r="E13" s="24" t="s">
        <v>796</v>
      </c>
      <c r="F13" s="24" t="str">
        <f t="shared" si="0"/>
        <v>rtdc.l.rtdc.4040:itc</v>
      </c>
      <c r="G13" s="8">
        <f t="shared" si="1"/>
        <v>42585.691770833335</v>
      </c>
    </row>
    <row r="14" spans="1:7" x14ac:dyDescent="0.25">
      <c r="A14" s="8">
        <v>42585.950983796298</v>
      </c>
      <c r="B14" s="24" t="s">
        <v>105</v>
      </c>
      <c r="C14" s="24" t="s">
        <v>690</v>
      </c>
      <c r="D14" s="24">
        <v>1480000</v>
      </c>
      <c r="E14" s="24" t="s">
        <v>102</v>
      </c>
      <c r="F14" s="24" t="str">
        <f t="shared" si="0"/>
        <v>rtdc.l.rtdc.4025:itc</v>
      </c>
      <c r="G14" s="8">
        <f t="shared" si="1"/>
        <v>42585.950983796298</v>
      </c>
    </row>
    <row r="15" spans="1:7" x14ac:dyDescent="0.25">
      <c r="A15" s="8">
        <v>42585.691446759258</v>
      </c>
      <c r="B15" s="24" t="s">
        <v>371</v>
      </c>
      <c r="C15" s="24" t="s">
        <v>526</v>
      </c>
      <c r="D15" s="24">
        <v>1280000</v>
      </c>
      <c r="E15" s="24" t="s">
        <v>179</v>
      </c>
      <c r="F15" s="24" t="str">
        <f t="shared" si="0"/>
        <v>rtdc.l.rtdc.4044:itc</v>
      </c>
      <c r="G15" s="8">
        <f t="shared" si="1"/>
        <v>42585.691446759258</v>
      </c>
    </row>
    <row r="16" spans="1:7" x14ac:dyDescent="0.25">
      <c r="A16" s="8">
        <v>42585.988067129627</v>
      </c>
      <c r="B16" s="24" t="s">
        <v>371</v>
      </c>
      <c r="C16" s="24" t="s">
        <v>695</v>
      </c>
      <c r="D16" s="24">
        <v>1300000</v>
      </c>
      <c r="E16" s="24" t="s">
        <v>148</v>
      </c>
      <c r="F16" s="24" t="str">
        <f t="shared" si="0"/>
        <v>rtdc.l.rtdc.4044:itc</v>
      </c>
      <c r="G16" s="8">
        <f t="shared" si="1"/>
        <v>42585.988067129627</v>
      </c>
    </row>
    <row r="17" spans="1:7" x14ac:dyDescent="0.25">
      <c r="A17" s="8">
        <v>42585.641238425924</v>
      </c>
      <c r="B17" s="24" t="s">
        <v>133</v>
      </c>
      <c r="C17" s="24" t="s">
        <v>518</v>
      </c>
      <c r="D17" s="24">
        <v>2140000</v>
      </c>
      <c r="E17" s="24" t="s">
        <v>374</v>
      </c>
      <c r="F17" s="24" t="str">
        <f t="shared" si="0"/>
        <v>rtdc.l.rtdc.4015:itc</v>
      </c>
      <c r="G17" s="8">
        <f t="shared" si="1"/>
        <v>42585.641238425924</v>
      </c>
    </row>
    <row r="18" spans="1:7" x14ac:dyDescent="0.25">
      <c r="A18" s="8">
        <v>42586.028287037036</v>
      </c>
      <c r="B18" s="24" t="s">
        <v>105</v>
      </c>
      <c r="C18" s="24" t="s">
        <v>704</v>
      </c>
      <c r="D18" s="24">
        <v>1480000</v>
      </c>
      <c r="E18" s="24" t="s">
        <v>102</v>
      </c>
      <c r="F18" s="24" t="str">
        <f t="shared" si="0"/>
        <v>rtdc.l.rtdc.4025:itc</v>
      </c>
      <c r="G18" s="8">
        <f t="shared" si="1"/>
        <v>42586.028287037036</v>
      </c>
    </row>
    <row r="19" spans="1:7" x14ac:dyDescent="0.25">
      <c r="A19" s="8">
        <v>42585.63453703704</v>
      </c>
      <c r="B19" s="24" t="s">
        <v>105</v>
      </c>
      <c r="C19" s="24" t="s">
        <v>636</v>
      </c>
      <c r="D19" s="24">
        <v>1750000</v>
      </c>
      <c r="E19" s="24" t="s">
        <v>181</v>
      </c>
      <c r="F19" s="24" t="str">
        <f t="shared" si="0"/>
        <v>rtdc.l.rtdc.4025:itc</v>
      </c>
      <c r="G19" s="8">
        <f t="shared" si="1"/>
        <v>42585.63453703704</v>
      </c>
    </row>
    <row r="20" spans="1:7" x14ac:dyDescent="0.25">
      <c r="A20" s="8">
        <v>42586.057812500003</v>
      </c>
      <c r="B20" s="24" t="s">
        <v>373</v>
      </c>
      <c r="C20" s="24" t="s">
        <v>700</v>
      </c>
      <c r="D20" s="24">
        <v>1290000</v>
      </c>
      <c r="E20" s="24" t="s">
        <v>151</v>
      </c>
      <c r="F20" s="24" t="str">
        <f t="shared" si="0"/>
        <v>rtdc.l.rtdc.4039:itc</v>
      </c>
      <c r="G20" s="8">
        <f t="shared" si="1"/>
        <v>42586.057812500003</v>
      </c>
    </row>
    <row r="21" spans="1:7" x14ac:dyDescent="0.25">
      <c r="A21" s="8">
        <v>42585.612592592595</v>
      </c>
      <c r="B21" s="24" t="s">
        <v>371</v>
      </c>
      <c r="C21" s="24" t="s">
        <v>630</v>
      </c>
      <c r="D21" s="24">
        <v>1280000</v>
      </c>
      <c r="E21" s="24" t="s">
        <v>179</v>
      </c>
      <c r="F21" s="24" t="str">
        <f t="shared" si="0"/>
        <v>rtdc.l.rtdc.4044:itc</v>
      </c>
      <c r="G21" s="8">
        <f t="shared" si="1"/>
        <v>42585.612592592595</v>
      </c>
    </row>
    <row r="22" spans="1:7" x14ac:dyDescent="0.25">
      <c r="A22" s="32">
        <v>42586.169305555559</v>
      </c>
      <c r="B22" s="24" t="s">
        <v>112</v>
      </c>
      <c r="C22" s="24" t="s">
        <v>797</v>
      </c>
      <c r="D22" s="24">
        <v>1760000</v>
      </c>
      <c r="E22" s="24" t="s">
        <v>463</v>
      </c>
      <c r="F22" s="24" t="str">
        <f t="shared" si="0"/>
        <v>rtdc.l.rtdc.4008:itc</v>
      </c>
      <c r="G22" s="8">
        <f t="shared" si="1"/>
        <v>42586.169305555559</v>
      </c>
    </row>
    <row r="23" spans="1:7" x14ac:dyDescent="0.25">
      <c r="A23" s="8">
        <v>42585.589120370372</v>
      </c>
      <c r="B23" s="24" t="s">
        <v>146</v>
      </c>
      <c r="C23" s="24" t="s">
        <v>618</v>
      </c>
      <c r="D23" s="24">
        <v>2030000</v>
      </c>
      <c r="E23" s="24" t="s">
        <v>798</v>
      </c>
      <c r="F23" s="24" t="str">
        <f t="shared" si="0"/>
        <v>rtdc.l.rtdc.4041:itc</v>
      </c>
      <c r="G23" s="8">
        <f t="shared" si="1"/>
        <v>42585.589120370372</v>
      </c>
    </row>
    <row r="24" spans="1:7" x14ac:dyDescent="0.25">
      <c r="A24" s="8">
        <v>42586.216168981482</v>
      </c>
      <c r="B24" s="24" t="s">
        <v>171</v>
      </c>
      <c r="C24" s="24" t="s">
        <v>799</v>
      </c>
      <c r="D24" s="24">
        <v>2010000</v>
      </c>
      <c r="E24" s="24" t="s">
        <v>288</v>
      </c>
      <c r="F24" s="24" t="str">
        <f t="shared" si="0"/>
        <v>rtdc.l.rtdc.4031:itc</v>
      </c>
      <c r="G24" s="8">
        <f t="shared" si="1"/>
        <v>42586.216168981482</v>
      </c>
    </row>
    <row r="25" spans="1:7" x14ac:dyDescent="0.25">
      <c r="A25" s="8">
        <v>42585.572210648148</v>
      </c>
      <c r="B25" s="24" t="s">
        <v>311</v>
      </c>
      <c r="C25" s="24" t="s">
        <v>615</v>
      </c>
      <c r="D25" s="24">
        <v>1280000</v>
      </c>
      <c r="E25" s="24" t="s">
        <v>179</v>
      </c>
      <c r="F25" s="24" t="str">
        <f t="shared" si="0"/>
        <v>rtdc.l.rtdc.4043:itc</v>
      </c>
      <c r="G25" s="8">
        <f t="shared" si="1"/>
        <v>42585.572210648148</v>
      </c>
    </row>
    <row r="26" spans="1:7" x14ac:dyDescent="0.25">
      <c r="A26" s="8">
        <v>42586.264907407407</v>
      </c>
      <c r="B26" s="24" t="s">
        <v>69</v>
      </c>
      <c r="C26" s="24" t="s">
        <v>800</v>
      </c>
      <c r="D26" s="24">
        <v>2100000</v>
      </c>
      <c r="E26" s="24" t="s">
        <v>370</v>
      </c>
      <c r="F26" s="24" t="str">
        <f t="shared" si="0"/>
        <v>rtdc.l.rtdc.4018:itc</v>
      </c>
      <c r="G26" s="8">
        <f t="shared" si="1"/>
        <v>42586.264907407407</v>
      </c>
    </row>
    <row r="27" spans="1:7" x14ac:dyDescent="0.25">
      <c r="A27" s="8">
        <v>42585.545578703706</v>
      </c>
      <c r="B27" s="24" t="s">
        <v>114</v>
      </c>
      <c r="C27" s="24" t="s">
        <v>750</v>
      </c>
      <c r="D27" s="24">
        <v>2040000</v>
      </c>
      <c r="E27" s="24" t="s">
        <v>794</v>
      </c>
      <c r="F27" s="24" t="str">
        <f t="shared" si="0"/>
        <v>rtdc.l.rtdc.4007:itc</v>
      </c>
      <c r="G27" s="8">
        <f t="shared" si="1"/>
        <v>42585.545578703706</v>
      </c>
    </row>
    <row r="28" spans="1:7" x14ac:dyDescent="0.25">
      <c r="A28" s="8">
        <v>42586.267581018517</v>
      </c>
      <c r="B28" s="24" t="s">
        <v>105</v>
      </c>
      <c r="C28" s="24" t="s">
        <v>801</v>
      </c>
      <c r="D28" s="24">
        <v>1360000</v>
      </c>
      <c r="E28" s="24" t="s">
        <v>286</v>
      </c>
      <c r="F28" s="24" t="str">
        <f t="shared" si="0"/>
        <v>rtdc.l.rtdc.4025:itc</v>
      </c>
      <c r="G28" s="8">
        <f t="shared" si="1"/>
        <v>42586.267581018517</v>
      </c>
    </row>
    <row r="29" spans="1:7" x14ac:dyDescent="0.25">
      <c r="A29" s="8">
        <v>42585.519687499997</v>
      </c>
      <c r="B29" s="24" t="s">
        <v>162</v>
      </c>
      <c r="C29" s="24" t="s">
        <v>610</v>
      </c>
      <c r="D29" s="24">
        <v>2150000</v>
      </c>
      <c r="E29" s="24" t="s">
        <v>309</v>
      </c>
      <c r="F29" s="24" t="str">
        <f t="shared" si="0"/>
        <v>rtdc.l.rtdc.4014:itc</v>
      </c>
      <c r="G29" s="8">
        <f t="shared" si="1"/>
        <v>42585.519687499997</v>
      </c>
    </row>
    <row r="30" spans="1:7" x14ac:dyDescent="0.25">
      <c r="A30" s="8">
        <v>42586.278657407405</v>
      </c>
      <c r="B30" s="24" t="s">
        <v>108</v>
      </c>
      <c r="C30" s="24" t="s">
        <v>802</v>
      </c>
      <c r="D30" s="24">
        <v>1090000</v>
      </c>
      <c r="E30" s="24" t="s">
        <v>111</v>
      </c>
      <c r="F30" s="24" t="str">
        <f t="shared" si="0"/>
        <v>rtdc.l.rtdc.4030:itc</v>
      </c>
      <c r="G30" s="8">
        <f t="shared" si="1"/>
        <v>42586.278657407405</v>
      </c>
    </row>
    <row r="31" spans="1:7" x14ac:dyDescent="0.25">
      <c r="A31" s="8">
        <v>42585.510185185187</v>
      </c>
      <c r="B31" s="24" t="s">
        <v>114</v>
      </c>
      <c r="C31" s="24" t="s">
        <v>746</v>
      </c>
      <c r="D31" s="24">
        <v>2100000</v>
      </c>
      <c r="E31" s="24" t="s">
        <v>370</v>
      </c>
      <c r="F31" s="24" t="str">
        <f t="shared" si="0"/>
        <v>rtdc.l.rtdc.4007:itc</v>
      </c>
      <c r="G31" s="8">
        <f t="shared" si="1"/>
        <v>42585.510185185187</v>
      </c>
    </row>
    <row r="32" spans="1:7" x14ac:dyDescent="0.25">
      <c r="A32" s="8">
        <v>42586.286423611113</v>
      </c>
      <c r="B32" s="24" t="s">
        <v>155</v>
      </c>
      <c r="C32" s="24" t="s">
        <v>803</v>
      </c>
      <c r="D32" s="24">
        <v>1310000</v>
      </c>
      <c r="E32" s="24" t="s">
        <v>804</v>
      </c>
      <c r="F32" s="24" t="str">
        <f t="shared" si="0"/>
        <v>rtdc.l.rtdc.4012:itc</v>
      </c>
      <c r="G32" s="8">
        <f t="shared" si="1"/>
        <v>42586.286423611113</v>
      </c>
    </row>
    <row r="33" spans="1:7" x14ac:dyDescent="0.25">
      <c r="A33" s="8">
        <v>42585.490983796299</v>
      </c>
      <c r="B33" s="24" t="s">
        <v>155</v>
      </c>
      <c r="C33" s="24" t="s">
        <v>598</v>
      </c>
      <c r="D33" s="24">
        <v>2110000</v>
      </c>
      <c r="E33" s="24" t="s">
        <v>372</v>
      </c>
      <c r="F33" s="24" t="str">
        <f t="shared" si="0"/>
        <v>rtdc.l.rtdc.4012:itc</v>
      </c>
      <c r="G33" s="8">
        <f t="shared" si="1"/>
        <v>42585.490983796299</v>
      </c>
    </row>
    <row r="34" spans="1:7" x14ac:dyDescent="0.25">
      <c r="A34" s="8">
        <v>42586.287534722222</v>
      </c>
      <c r="B34" s="24" t="s">
        <v>155</v>
      </c>
      <c r="C34" s="24" t="s">
        <v>803</v>
      </c>
      <c r="D34" s="24">
        <v>1310000</v>
      </c>
      <c r="E34" s="24" t="s">
        <v>804</v>
      </c>
      <c r="F34" s="24" t="str">
        <f t="shared" si="0"/>
        <v>rtdc.l.rtdc.4012:itc</v>
      </c>
      <c r="G34" s="8">
        <f t="shared" si="1"/>
        <v>42586.287534722222</v>
      </c>
    </row>
    <row r="35" spans="1:7" x14ac:dyDescent="0.25">
      <c r="A35" s="8">
        <v>42585.456400462965</v>
      </c>
      <c r="B35" s="24" t="s">
        <v>153</v>
      </c>
      <c r="C35" s="24" t="s">
        <v>597</v>
      </c>
      <c r="D35" s="24">
        <v>2110000</v>
      </c>
      <c r="E35" s="24" t="s">
        <v>372</v>
      </c>
      <c r="F35" s="24" t="str">
        <f t="shared" si="0"/>
        <v>rtdc.l.rtdc.4011:itc</v>
      </c>
      <c r="G35" s="8">
        <f t="shared" si="1"/>
        <v>42585.456400462965</v>
      </c>
    </row>
    <row r="36" spans="1:7" x14ac:dyDescent="0.25">
      <c r="A36" s="8">
        <v>42584.810416666667</v>
      </c>
      <c r="B36" s="24" t="s">
        <v>105</v>
      </c>
      <c r="C36" s="24" t="s">
        <v>409</v>
      </c>
      <c r="D36" s="24">
        <v>1290000</v>
      </c>
      <c r="E36" s="24" t="s">
        <v>151</v>
      </c>
      <c r="F36" s="24" t="str">
        <f t="shared" si="0"/>
        <v>rtdc.l.rtdc.4025:itc</v>
      </c>
      <c r="G36" s="8">
        <f t="shared" si="1"/>
        <v>42584.810416666667</v>
      </c>
    </row>
    <row r="37" spans="1:7" x14ac:dyDescent="0.25">
      <c r="A37" s="8">
        <v>42585.449571759258</v>
      </c>
      <c r="B37" s="24" t="s">
        <v>103</v>
      </c>
      <c r="C37" s="24" t="s">
        <v>588</v>
      </c>
      <c r="D37" s="24">
        <v>1540000</v>
      </c>
      <c r="E37" s="24" t="s">
        <v>182</v>
      </c>
      <c r="F37" s="24" t="str">
        <f t="shared" si="0"/>
        <v>rtdc.l.rtdc.4026:itc</v>
      </c>
      <c r="G37" s="8">
        <f t="shared" si="1"/>
        <v>42585.449571759258</v>
      </c>
    </row>
    <row r="38" spans="1:7" x14ac:dyDescent="0.25">
      <c r="A38" s="8">
        <v>42584.823460648149</v>
      </c>
      <c r="B38" s="24" t="s">
        <v>172</v>
      </c>
      <c r="C38" s="24" t="s">
        <v>445</v>
      </c>
      <c r="D38" s="24">
        <v>1770000</v>
      </c>
      <c r="E38" s="24" t="s">
        <v>175</v>
      </c>
      <c r="F38" s="24" t="str">
        <f t="shared" si="0"/>
        <v>rtdc.l.rtdc.4032:itc</v>
      </c>
      <c r="G38" s="8">
        <f t="shared" si="1"/>
        <v>42584.823460648149</v>
      </c>
    </row>
    <row r="39" spans="1:7" x14ac:dyDescent="0.25">
      <c r="A39" s="8">
        <v>42585.426053240742</v>
      </c>
      <c r="B39" s="24" t="s">
        <v>101</v>
      </c>
      <c r="C39" s="24" t="s">
        <v>591</v>
      </c>
      <c r="D39" s="24">
        <v>900000</v>
      </c>
      <c r="E39" s="24" t="s">
        <v>201</v>
      </c>
      <c r="F39" s="24" t="str">
        <f t="shared" si="0"/>
        <v>rtdc.l.rtdc.4038:itc</v>
      </c>
      <c r="G39" s="8">
        <f t="shared" si="1"/>
        <v>42585.426053240742</v>
      </c>
    </row>
    <row r="40" spans="1:7" x14ac:dyDescent="0.25">
      <c r="A40" s="8">
        <v>42584.854942129627</v>
      </c>
      <c r="B40" s="31" t="s">
        <v>143</v>
      </c>
      <c r="C40" s="24" t="s">
        <v>412</v>
      </c>
      <c r="D40" s="24">
        <v>1800000</v>
      </c>
      <c r="E40" s="24" t="s">
        <v>178</v>
      </c>
      <c r="F40" s="24" t="str">
        <f t="shared" si="0"/>
        <v>rtdc.l.rtdc.4009:itc</v>
      </c>
      <c r="G40" s="8">
        <f t="shared" si="1"/>
        <v>42584.854942129627</v>
      </c>
    </row>
    <row r="41" spans="1:7" x14ac:dyDescent="0.25">
      <c r="A41" s="8">
        <v>42585.425219907411</v>
      </c>
      <c r="B41" s="24" t="s">
        <v>114</v>
      </c>
      <c r="C41" s="24" t="s">
        <v>740</v>
      </c>
      <c r="D41" s="24">
        <v>2100000</v>
      </c>
      <c r="E41" s="24" t="s">
        <v>370</v>
      </c>
      <c r="F41" s="24" t="str">
        <f t="shared" si="0"/>
        <v>rtdc.l.rtdc.4007:itc</v>
      </c>
      <c r="G41" s="8">
        <f t="shared" si="1"/>
        <v>42585.425219907411</v>
      </c>
    </row>
    <row r="42" spans="1:7" x14ac:dyDescent="0.25">
      <c r="A42" s="8">
        <v>42584.860023148147</v>
      </c>
      <c r="B42" s="24" t="s">
        <v>172</v>
      </c>
      <c r="C42" s="24" t="s">
        <v>448</v>
      </c>
      <c r="D42" s="24">
        <v>1770000</v>
      </c>
      <c r="E42" s="24" t="s">
        <v>175</v>
      </c>
      <c r="F42" s="24" t="str">
        <f t="shared" si="0"/>
        <v>rtdc.l.rtdc.4032:itc</v>
      </c>
      <c r="G42" s="8">
        <f t="shared" si="1"/>
        <v>42584.860023148147</v>
      </c>
    </row>
    <row r="43" spans="1:7" x14ac:dyDescent="0.25">
      <c r="A43" s="8">
        <v>42585.402384259258</v>
      </c>
      <c r="B43" s="24" t="s">
        <v>112</v>
      </c>
      <c r="C43" s="24" t="s">
        <v>502</v>
      </c>
      <c r="D43" s="24">
        <v>2100000</v>
      </c>
      <c r="E43" s="24" t="s">
        <v>370</v>
      </c>
      <c r="F43" s="24" t="str">
        <f t="shared" si="0"/>
        <v>rtdc.l.rtdc.4008:itc</v>
      </c>
      <c r="G43" s="8">
        <f t="shared" si="1"/>
        <v>42585.402384259258</v>
      </c>
    </row>
    <row r="44" spans="1:7" x14ac:dyDescent="0.25">
      <c r="A44" s="8">
        <v>42584.936874999999</v>
      </c>
      <c r="B44" s="24" t="s">
        <v>143</v>
      </c>
      <c r="C44" s="24" t="s">
        <v>419</v>
      </c>
      <c r="D44" s="24">
        <v>1800000</v>
      </c>
      <c r="E44" s="24" t="s">
        <v>178</v>
      </c>
      <c r="F44" s="24" t="str">
        <f t="shared" si="0"/>
        <v>rtdc.l.rtdc.4009:itc</v>
      </c>
      <c r="G44" s="8">
        <f t="shared" si="1"/>
        <v>42584.936874999999</v>
      </c>
    </row>
    <row r="45" spans="1:7" x14ac:dyDescent="0.25">
      <c r="A45" s="8">
        <v>42585.400231481479</v>
      </c>
      <c r="B45" s="24" t="s">
        <v>70</v>
      </c>
      <c r="C45" s="24" t="s">
        <v>575</v>
      </c>
      <c r="D45" s="24">
        <v>2010000</v>
      </c>
      <c r="E45" s="24" t="s">
        <v>288</v>
      </c>
      <c r="F45" s="24" t="str">
        <f t="shared" si="0"/>
        <v>rtdc.l.rtdc.4017:itc</v>
      </c>
      <c r="G45" s="8">
        <f t="shared" si="1"/>
        <v>42585.400231481479</v>
      </c>
    </row>
    <row r="46" spans="1:7" x14ac:dyDescent="0.25">
      <c r="A46" s="8">
        <v>42584.946203703701</v>
      </c>
      <c r="B46" s="24" t="s">
        <v>172</v>
      </c>
      <c r="C46" s="24" t="s">
        <v>455</v>
      </c>
      <c r="D46" s="24">
        <v>1480000</v>
      </c>
      <c r="E46" s="24" t="s">
        <v>102</v>
      </c>
      <c r="F46" s="24" t="str">
        <f t="shared" si="0"/>
        <v>rtdc.l.rtdc.4032:itc</v>
      </c>
      <c r="G46" s="8">
        <f t="shared" si="1"/>
        <v>42584.946203703701</v>
      </c>
    </row>
    <row r="47" spans="1:7" x14ac:dyDescent="0.25">
      <c r="A47" s="8">
        <v>42585.393912037034</v>
      </c>
      <c r="B47" s="24" t="s">
        <v>371</v>
      </c>
      <c r="C47" s="24" t="s">
        <v>581</v>
      </c>
      <c r="D47" s="24">
        <v>1760000</v>
      </c>
      <c r="E47" s="24" t="s">
        <v>463</v>
      </c>
      <c r="F47" s="24" t="str">
        <f t="shared" si="0"/>
        <v>rtdc.l.rtdc.4044:itc</v>
      </c>
      <c r="G47" s="8">
        <f t="shared" si="1"/>
        <v>42585.393912037034</v>
      </c>
    </row>
    <row r="48" spans="1:7" x14ac:dyDescent="0.25">
      <c r="A48" s="8">
        <v>42584.975682870368</v>
      </c>
      <c r="B48" s="24" t="s">
        <v>144</v>
      </c>
      <c r="C48" s="24" t="s">
        <v>420</v>
      </c>
      <c r="D48" s="24">
        <v>1800000</v>
      </c>
      <c r="E48" s="24" t="s">
        <v>178</v>
      </c>
      <c r="F48" s="24" t="str">
        <f t="shared" si="0"/>
        <v>rtdc.l.rtdc.4010:itc</v>
      </c>
      <c r="G48" s="8">
        <f t="shared" si="1"/>
        <v>42584.975682870368</v>
      </c>
    </row>
    <row r="49" spans="1:7" x14ac:dyDescent="0.25">
      <c r="A49" s="8">
        <v>42585.386620370373</v>
      </c>
      <c r="B49" s="24" t="s">
        <v>114</v>
      </c>
      <c r="C49" s="24" t="s">
        <v>500</v>
      </c>
      <c r="D49" s="24">
        <v>2100000</v>
      </c>
      <c r="E49" s="24" t="s">
        <v>370</v>
      </c>
      <c r="F49" s="24" t="str">
        <f t="shared" si="0"/>
        <v>rtdc.l.rtdc.4007:itc</v>
      </c>
      <c r="G49" s="8">
        <f t="shared" si="1"/>
        <v>42585.386620370373</v>
      </c>
    </row>
    <row r="50" spans="1:7" x14ac:dyDescent="0.25">
      <c r="A50" s="8">
        <v>42584.993900462963</v>
      </c>
      <c r="B50" s="24" t="s">
        <v>68</v>
      </c>
      <c r="C50" s="24" t="s">
        <v>426</v>
      </c>
      <c r="D50" s="24">
        <v>1230000</v>
      </c>
      <c r="E50" s="24" t="s">
        <v>154</v>
      </c>
      <c r="F50" s="24" t="str">
        <f t="shared" si="0"/>
        <v>rtdc.l.rtdc.4020:itc</v>
      </c>
      <c r="G50" s="8">
        <f t="shared" si="1"/>
        <v>42584.993900462963</v>
      </c>
    </row>
    <row r="51" spans="1:7" x14ac:dyDescent="0.25">
      <c r="A51" s="8">
        <v>42585.362164351849</v>
      </c>
      <c r="B51" s="24" t="s">
        <v>69</v>
      </c>
      <c r="C51" s="24" t="s">
        <v>574</v>
      </c>
      <c r="D51" s="24">
        <v>2010000</v>
      </c>
      <c r="E51" s="24" t="s">
        <v>288</v>
      </c>
      <c r="F51" s="24" t="str">
        <f t="shared" si="0"/>
        <v>rtdc.l.rtdc.4018:itc</v>
      </c>
      <c r="G51" s="8">
        <f t="shared" si="1"/>
        <v>42585.362164351849</v>
      </c>
    </row>
    <row r="52" spans="1:7" x14ac:dyDescent="0.25">
      <c r="A52" s="8">
        <v>42585.041215277779</v>
      </c>
      <c r="B52" s="24" t="s">
        <v>76</v>
      </c>
      <c r="C52" s="24" t="s">
        <v>433</v>
      </c>
      <c r="D52" s="24">
        <v>2140000</v>
      </c>
      <c r="E52" s="24" t="s">
        <v>374</v>
      </c>
      <c r="F52" s="24" t="str">
        <f t="shared" si="0"/>
        <v>rtdc.l.rtdc.4042:itc</v>
      </c>
      <c r="G52" s="8">
        <f t="shared" si="1"/>
        <v>42585.041215277779</v>
      </c>
    </row>
    <row r="53" spans="1:7" x14ac:dyDescent="0.25">
      <c r="A53" s="8">
        <v>42585.35527777778</v>
      </c>
      <c r="B53" s="24" t="s">
        <v>134</v>
      </c>
      <c r="C53" s="24" t="s">
        <v>786</v>
      </c>
      <c r="D53" s="24">
        <v>1990000</v>
      </c>
      <c r="E53" s="24" t="s">
        <v>204</v>
      </c>
      <c r="F53" s="24" t="str">
        <f t="shared" si="0"/>
        <v>rtdc.l.rtdc.4016:itc</v>
      </c>
      <c r="G53" s="8">
        <f t="shared" si="1"/>
        <v>42585.35527777778</v>
      </c>
    </row>
    <row r="54" spans="1:7" x14ac:dyDescent="0.25">
      <c r="A54" s="8">
        <v>42585.058310185188</v>
      </c>
      <c r="B54" s="24" t="s">
        <v>108</v>
      </c>
      <c r="C54" s="24" t="s">
        <v>431</v>
      </c>
      <c r="D54" s="24">
        <v>1800000</v>
      </c>
      <c r="E54" s="24" t="s">
        <v>178</v>
      </c>
      <c r="F54" s="24" t="str">
        <f t="shared" si="0"/>
        <v>rtdc.l.rtdc.4030:itc</v>
      </c>
      <c r="G54" s="8">
        <f t="shared" si="1"/>
        <v>42585.058310185188</v>
      </c>
    </row>
    <row r="55" spans="1:7" x14ac:dyDescent="0.25">
      <c r="A55" s="8">
        <v>42585.339641203704</v>
      </c>
      <c r="B55" s="24" t="s">
        <v>133</v>
      </c>
      <c r="C55" s="24" t="s">
        <v>731</v>
      </c>
      <c r="D55" s="24">
        <v>1990000</v>
      </c>
      <c r="E55" s="24" t="s">
        <v>204</v>
      </c>
      <c r="F55" s="24" t="str">
        <f t="shared" si="0"/>
        <v>rtdc.l.rtdc.4015:itc</v>
      </c>
      <c r="G55" s="8">
        <f t="shared" si="1"/>
        <v>42585.339641203704</v>
      </c>
    </row>
    <row r="56" spans="1:7" x14ac:dyDescent="0.25">
      <c r="A56" s="8">
        <v>42585.06689814815</v>
      </c>
      <c r="B56" s="24" t="s">
        <v>68</v>
      </c>
      <c r="C56" s="24" t="s">
        <v>434</v>
      </c>
      <c r="D56" s="24">
        <v>1230000</v>
      </c>
      <c r="E56" s="24" t="s">
        <v>154</v>
      </c>
      <c r="F56" s="24" t="str">
        <f t="shared" si="0"/>
        <v>rtdc.l.rtdc.4020:itc</v>
      </c>
      <c r="G56" s="8">
        <f t="shared" si="1"/>
        <v>42585.06689814815</v>
      </c>
    </row>
    <row r="57" spans="1:7" x14ac:dyDescent="0.25">
      <c r="A57" s="8">
        <v>42585.334062499998</v>
      </c>
      <c r="B57" s="24" t="s">
        <v>104</v>
      </c>
      <c r="C57" s="24" t="s">
        <v>498</v>
      </c>
      <c r="D57" s="24">
        <v>1190000</v>
      </c>
      <c r="E57" s="24" t="s">
        <v>145</v>
      </c>
      <c r="F57" s="24" t="str">
        <f t="shared" si="0"/>
        <v>rtdc.l.rtdc.4013:itc</v>
      </c>
      <c r="G57" s="8">
        <f t="shared" si="1"/>
        <v>42585.334062499998</v>
      </c>
    </row>
    <row r="58" spans="1:7" x14ac:dyDescent="0.25">
      <c r="A58" s="8">
        <v>42585.097210648149</v>
      </c>
      <c r="B58" s="24" t="s">
        <v>143</v>
      </c>
      <c r="C58" s="24" t="s">
        <v>435</v>
      </c>
      <c r="D58" s="24">
        <v>1800000</v>
      </c>
      <c r="E58" s="24" t="s">
        <v>178</v>
      </c>
      <c r="F58" s="24" t="str">
        <f t="shared" si="0"/>
        <v>rtdc.l.rtdc.4009:itc</v>
      </c>
      <c r="G58" s="8">
        <f t="shared" si="1"/>
        <v>42585.097210648149</v>
      </c>
    </row>
    <row r="59" spans="1:7" x14ac:dyDescent="0.25">
      <c r="A59" s="8">
        <v>42585.319398148145</v>
      </c>
      <c r="B59" s="24" t="s">
        <v>200</v>
      </c>
      <c r="C59" s="24" t="s">
        <v>497</v>
      </c>
      <c r="D59" s="24">
        <v>900000</v>
      </c>
      <c r="E59" s="24" t="s">
        <v>201</v>
      </c>
      <c r="F59" s="24" t="str">
        <f t="shared" si="0"/>
        <v>rtdc.l.rtdc.4037:itc</v>
      </c>
      <c r="G59" s="8">
        <f t="shared" si="1"/>
        <v>42585.319398148145</v>
      </c>
    </row>
    <row r="60" spans="1:7" x14ac:dyDescent="0.25">
      <c r="A60" s="8">
        <v>42585.191134259258</v>
      </c>
      <c r="B60" s="24" t="s">
        <v>155</v>
      </c>
      <c r="C60" s="24" t="s">
        <v>470</v>
      </c>
      <c r="D60" s="24">
        <v>1260000</v>
      </c>
      <c r="E60" s="24" t="s">
        <v>180</v>
      </c>
      <c r="F60" s="24" t="str">
        <f t="shared" si="0"/>
        <v>rtdc.l.rtdc.4012:itc</v>
      </c>
      <c r="G60" s="8">
        <f t="shared" si="1"/>
        <v>42585.191134259258</v>
      </c>
    </row>
    <row r="61" spans="1:7" x14ac:dyDescent="0.25">
      <c r="A61" s="8">
        <v>42585.317731481482</v>
      </c>
      <c r="B61" s="24" t="s">
        <v>112</v>
      </c>
      <c r="C61" s="24" t="s">
        <v>726</v>
      </c>
      <c r="D61" s="24">
        <v>2100000</v>
      </c>
      <c r="E61" s="24" t="s">
        <v>370</v>
      </c>
      <c r="F61" s="24" t="str">
        <f t="shared" si="0"/>
        <v>rtdc.l.rtdc.4008:itc</v>
      </c>
      <c r="G61" s="8">
        <f t="shared" si="1"/>
        <v>42585.317731481482</v>
      </c>
    </row>
    <row r="62" spans="1:7" x14ac:dyDescent="0.25">
      <c r="A62" s="8">
        <v>42585.215914351851</v>
      </c>
      <c r="B62" s="24" t="s">
        <v>69</v>
      </c>
      <c r="C62" s="24" t="s">
        <v>471</v>
      </c>
      <c r="D62" s="24">
        <v>2010000</v>
      </c>
      <c r="E62" s="24" t="s">
        <v>288</v>
      </c>
      <c r="F62" s="24" t="str">
        <f t="shared" si="0"/>
        <v>rtdc.l.rtdc.4018:itc</v>
      </c>
      <c r="G62" s="8">
        <f t="shared" si="1"/>
        <v>42585.215914351851</v>
      </c>
    </row>
    <row r="63" spans="1:7" x14ac:dyDescent="0.25">
      <c r="A63" s="8">
        <v>42585.288460648146</v>
      </c>
      <c r="B63" s="24" t="s">
        <v>69</v>
      </c>
      <c r="C63" s="24" t="s">
        <v>464</v>
      </c>
      <c r="D63" s="24">
        <v>2010000</v>
      </c>
      <c r="E63" s="24" t="s">
        <v>288</v>
      </c>
      <c r="F63" s="24" t="str">
        <f t="shared" si="0"/>
        <v>rtdc.l.rtdc.4018:itc</v>
      </c>
      <c r="G63" s="8">
        <f t="shared" si="1"/>
        <v>42585.288460648146</v>
      </c>
    </row>
    <row r="64" spans="1:7" x14ac:dyDescent="0.25">
      <c r="A64" s="32">
        <v>42585.22729166667</v>
      </c>
      <c r="B64" s="24" t="s">
        <v>162</v>
      </c>
      <c r="C64" s="24" t="s">
        <v>472</v>
      </c>
      <c r="D64" s="24">
        <v>1190000</v>
      </c>
      <c r="E64" s="24" t="s">
        <v>145</v>
      </c>
      <c r="F64" s="24" t="str">
        <f t="shared" si="0"/>
        <v>rtdc.l.rtdc.4014:itc</v>
      </c>
      <c r="G64" s="8">
        <f t="shared" si="1"/>
        <v>42585.22729166667</v>
      </c>
    </row>
    <row r="65" spans="1:7" x14ac:dyDescent="0.25">
      <c r="A65" s="8">
        <v>42585.286412037036</v>
      </c>
      <c r="B65" s="24" t="s">
        <v>311</v>
      </c>
      <c r="C65" s="24" t="s">
        <v>462</v>
      </c>
      <c r="D65" s="24">
        <v>1760000</v>
      </c>
      <c r="E65" s="24" t="s">
        <v>463</v>
      </c>
      <c r="F65" s="24" t="str">
        <f t="shared" si="0"/>
        <v>rtdc.l.rtdc.4043:itc</v>
      </c>
      <c r="G65" s="8">
        <f t="shared" si="1"/>
        <v>42585.286412037036</v>
      </c>
    </row>
    <row r="66" spans="1:7" x14ac:dyDescent="0.25">
      <c r="A66" s="8">
        <v>42585.232025462959</v>
      </c>
      <c r="B66" s="24" t="s">
        <v>103</v>
      </c>
      <c r="C66" s="24" t="s">
        <v>473</v>
      </c>
      <c r="D66" s="24">
        <v>1540000</v>
      </c>
      <c r="E66" s="24" t="s">
        <v>182</v>
      </c>
      <c r="F66" s="24" t="str">
        <f t="shared" ref="F66:F129" si="2">B66</f>
        <v>rtdc.l.rtdc.4026:itc</v>
      </c>
      <c r="G66" s="8">
        <f t="shared" ref="G66:G129" si="3">A66</f>
        <v>42585.232025462959</v>
      </c>
    </row>
    <row r="67" spans="1:7" x14ac:dyDescent="0.25">
      <c r="A67" s="8">
        <v>42585.280833333331</v>
      </c>
      <c r="B67" s="24" t="s">
        <v>134</v>
      </c>
      <c r="C67" s="24" t="s">
        <v>461</v>
      </c>
      <c r="D67" s="24">
        <v>1990000</v>
      </c>
      <c r="E67" s="24" t="s">
        <v>204</v>
      </c>
      <c r="F67" s="24" t="str">
        <f t="shared" si="2"/>
        <v>rtdc.l.rtdc.4016:itc</v>
      </c>
      <c r="G67" s="8">
        <f t="shared" si="3"/>
        <v>42585.280833333331</v>
      </c>
    </row>
    <row r="68" spans="1:7" x14ac:dyDescent="0.25">
      <c r="A68" s="8">
        <v>42585.234097222223</v>
      </c>
      <c r="B68" s="24" t="s">
        <v>153</v>
      </c>
      <c r="C68" s="24" t="s">
        <v>474</v>
      </c>
      <c r="D68" s="24">
        <v>1260000</v>
      </c>
      <c r="E68" s="24" t="s">
        <v>180</v>
      </c>
      <c r="F68" s="24" t="str">
        <f t="shared" si="2"/>
        <v>rtdc.l.rtdc.4011:itc</v>
      </c>
      <c r="G68" s="8">
        <f t="shared" si="3"/>
        <v>42585.234097222223</v>
      </c>
    </row>
    <row r="69" spans="1:7" x14ac:dyDescent="0.25">
      <c r="A69" s="8">
        <v>42585.27783564815</v>
      </c>
      <c r="B69" s="24" t="s">
        <v>101</v>
      </c>
      <c r="C69" s="24" t="s">
        <v>460</v>
      </c>
      <c r="D69" s="24">
        <v>900000</v>
      </c>
      <c r="E69" s="24" t="s">
        <v>201</v>
      </c>
      <c r="F69" s="24" t="str">
        <f t="shared" si="2"/>
        <v>rtdc.l.rtdc.4038:itc</v>
      </c>
      <c r="G69" s="8">
        <f t="shared" si="3"/>
        <v>42585.27783564815</v>
      </c>
    </row>
    <row r="70" spans="1:7" x14ac:dyDescent="0.25">
      <c r="A70" s="8">
        <v>42585.240844907406</v>
      </c>
      <c r="B70" s="24" t="s">
        <v>134</v>
      </c>
      <c r="C70" s="24" t="s">
        <v>459</v>
      </c>
      <c r="D70" s="24">
        <v>1990000</v>
      </c>
      <c r="E70" s="24" t="s">
        <v>204</v>
      </c>
      <c r="F70" s="24" t="str">
        <f t="shared" si="2"/>
        <v>rtdc.l.rtdc.4016:itc</v>
      </c>
      <c r="G70" s="8">
        <f t="shared" si="3"/>
        <v>42585.240844907406</v>
      </c>
    </row>
    <row r="71" spans="1:7" x14ac:dyDescent="0.25">
      <c r="A71" s="8">
        <v>42585.257615740738</v>
      </c>
      <c r="B71" s="24" t="s">
        <v>133</v>
      </c>
      <c r="C71" s="24" t="s">
        <v>459</v>
      </c>
      <c r="D71" s="24">
        <v>1990000</v>
      </c>
      <c r="E71" s="24" t="s">
        <v>204</v>
      </c>
      <c r="F71" s="24" t="str">
        <f t="shared" si="2"/>
        <v>rtdc.l.rtdc.4015:itc</v>
      </c>
      <c r="G71" s="8">
        <f t="shared" si="3"/>
        <v>42585.257615740738</v>
      </c>
    </row>
    <row r="72" spans="1:7" x14ac:dyDescent="0.25">
      <c r="A72" s="8">
        <v>42585.242928240739</v>
      </c>
      <c r="B72" s="24" t="s">
        <v>134</v>
      </c>
      <c r="C72" s="24" t="s">
        <v>475</v>
      </c>
      <c r="D72" s="24">
        <v>1110000</v>
      </c>
      <c r="E72" s="24" t="s">
        <v>117</v>
      </c>
      <c r="F72" s="24" t="str">
        <f t="shared" si="2"/>
        <v>rtdc.l.rtdc.4016:itc</v>
      </c>
      <c r="G72" s="8">
        <f t="shared" si="3"/>
        <v>42585.242928240739</v>
      </c>
    </row>
    <row r="73" spans="1:7" x14ac:dyDescent="0.25">
      <c r="A73" s="8">
        <v>42585.257291666669</v>
      </c>
      <c r="B73" s="24" t="s">
        <v>114</v>
      </c>
      <c r="C73" s="24" t="s">
        <v>458</v>
      </c>
      <c r="D73" s="24">
        <v>2100000</v>
      </c>
      <c r="E73" s="24" t="s">
        <v>370</v>
      </c>
      <c r="F73" s="24" t="str">
        <f t="shared" si="2"/>
        <v>rtdc.l.rtdc.4007:itc</v>
      </c>
      <c r="G73" s="8">
        <f t="shared" si="3"/>
        <v>42585.257291666669</v>
      </c>
    </row>
    <row r="74" spans="1:7" x14ac:dyDescent="0.25">
      <c r="A74" s="8">
        <v>42585.26284722222</v>
      </c>
      <c r="B74" s="24" t="s">
        <v>104</v>
      </c>
      <c r="C74" s="24" t="s">
        <v>476</v>
      </c>
      <c r="D74" s="24">
        <v>1190000</v>
      </c>
      <c r="E74" s="24" t="s">
        <v>145</v>
      </c>
      <c r="F74" s="24" t="str">
        <f t="shared" si="2"/>
        <v>rtdc.l.rtdc.4013:itc</v>
      </c>
      <c r="G74" s="8">
        <f t="shared" si="3"/>
        <v>42585.26284722222</v>
      </c>
    </row>
    <row r="75" spans="1:7" x14ac:dyDescent="0.25">
      <c r="A75" s="8">
        <v>42585.168634259258</v>
      </c>
      <c r="B75" s="24" t="s">
        <v>70</v>
      </c>
      <c r="C75" s="24" t="s">
        <v>457</v>
      </c>
      <c r="D75" s="24">
        <v>2010000</v>
      </c>
      <c r="E75" s="24" t="s">
        <v>288</v>
      </c>
      <c r="F75" s="24" t="str">
        <f t="shared" si="2"/>
        <v>rtdc.l.rtdc.4017:itc</v>
      </c>
      <c r="G75" s="8">
        <f t="shared" si="3"/>
        <v>42585.168634259258</v>
      </c>
    </row>
    <row r="76" spans="1:7" x14ac:dyDescent="0.25">
      <c r="A76" s="8">
        <v>42585.273090277777</v>
      </c>
      <c r="B76" s="24" t="s">
        <v>155</v>
      </c>
      <c r="C76" s="24" t="s">
        <v>477</v>
      </c>
      <c r="D76" s="24">
        <v>1260000</v>
      </c>
      <c r="E76" s="24" t="s">
        <v>180</v>
      </c>
      <c r="F76" s="24" t="str">
        <f t="shared" si="2"/>
        <v>rtdc.l.rtdc.4012:itc</v>
      </c>
      <c r="G76" s="8">
        <f t="shared" si="3"/>
        <v>42585.273090277777</v>
      </c>
    </row>
    <row r="77" spans="1:7" x14ac:dyDescent="0.25">
      <c r="A77" s="8">
        <v>42585.151435185187</v>
      </c>
      <c r="B77" s="24" t="s">
        <v>162</v>
      </c>
      <c r="C77" s="24" t="s">
        <v>456</v>
      </c>
      <c r="D77" s="24">
        <v>1260000</v>
      </c>
      <c r="E77" s="24" t="s">
        <v>180</v>
      </c>
      <c r="F77" s="24" t="str">
        <f t="shared" si="2"/>
        <v>rtdc.l.rtdc.4014:itc</v>
      </c>
      <c r="G77" s="8">
        <f t="shared" si="3"/>
        <v>42585.151435185187</v>
      </c>
    </row>
    <row r="78" spans="1:7" x14ac:dyDescent="0.25">
      <c r="A78" s="8">
        <v>42585.276759259257</v>
      </c>
      <c r="B78" s="24" t="s">
        <v>112</v>
      </c>
      <c r="C78" s="24" t="s">
        <v>478</v>
      </c>
      <c r="D78" s="24">
        <v>2100000</v>
      </c>
      <c r="E78" s="24" t="s">
        <v>370</v>
      </c>
      <c r="F78" s="24" t="str">
        <f t="shared" si="2"/>
        <v>rtdc.l.rtdc.4008:itc</v>
      </c>
      <c r="G78" s="8">
        <f t="shared" si="3"/>
        <v>42585.276759259257</v>
      </c>
    </row>
    <row r="79" spans="1:7" x14ac:dyDescent="0.25">
      <c r="A79" s="8">
        <v>42584.95239583333</v>
      </c>
      <c r="B79" s="24" t="s">
        <v>76</v>
      </c>
      <c r="C79" s="24" t="s">
        <v>421</v>
      </c>
      <c r="D79" s="24">
        <v>2140000</v>
      </c>
      <c r="E79" s="24" t="s">
        <v>374</v>
      </c>
      <c r="F79" s="24" t="str">
        <f t="shared" si="2"/>
        <v>rtdc.l.rtdc.4042:itc</v>
      </c>
      <c r="G79" s="8">
        <f t="shared" si="3"/>
        <v>42584.95239583333</v>
      </c>
    </row>
    <row r="80" spans="1:7" x14ac:dyDescent="0.25">
      <c r="A80" s="8">
        <v>42585.303680555553</v>
      </c>
      <c r="B80" s="24" t="s">
        <v>114</v>
      </c>
      <c r="C80" s="24" t="s">
        <v>723</v>
      </c>
      <c r="D80" s="24">
        <v>2100000</v>
      </c>
      <c r="E80" s="24" t="s">
        <v>370</v>
      </c>
      <c r="F80" s="24" t="str">
        <f t="shared" si="2"/>
        <v>rtdc.l.rtdc.4007:itc</v>
      </c>
      <c r="G80" s="8">
        <f t="shared" si="3"/>
        <v>42585.303680555553</v>
      </c>
    </row>
    <row r="81" spans="1:7" x14ac:dyDescent="0.25">
      <c r="A81" s="8">
        <v>42584.89234953704</v>
      </c>
      <c r="B81" s="24" t="s">
        <v>105</v>
      </c>
      <c r="C81" s="24" t="s">
        <v>415</v>
      </c>
      <c r="D81" s="24">
        <v>1290000</v>
      </c>
      <c r="E81" s="24" t="s">
        <v>151</v>
      </c>
      <c r="F81" s="24" t="str">
        <f t="shared" si="2"/>
        <v>rtdc.l.rtdc.4025:itc</v>
      </c>
      <c r="G81" s="8">
        <f t="shared" si="3"/>
        <v>42584.89234953704</v>
      </c>
    </row>
    <row r="82" spans="1:7" x14ac:dyDescent="0.25">
      <c r="A82" s="8">
        <v>42585.319826388892</v>
      </c>
      <c r="B82" s="24" t="s">
        <v>371</v>
      </c>
      <c r="C82" s="24" t="s">
        <v>565</v>
      </c>
      <c r="D82" s="24">
        <v>1760000</v>
      </c>
      <c r="E82" s="24" t="s">
        <v>463</v>
      </c>
      <c r="F82" s="24" t="str">
        <f t="shared" si="2"/>
        <v>rtdc.l.rtdc.4044:itc</v>
      </c>
      <c r="G82" s="8">
        <f t="shared" si="3"/>
        <v>42585.319826388892</v>
      </c>
    </row>
    <row r="83" spans="1:7" x14ac:dyDescent="0.25">
      <c r="A83" s="8">
        <v>42584.824664351851</v>
      </c>
      <c r="B83" s="24" t="s">
        <v>146</v>
      </c>
      <c r="C83" s="24" t="s">
        <v>408</v>
      </c>
      <c r="D83" s="24">
        <v>2140000</v>
      </c>
      <c r="E83" s="24" t="s">
        <v>374</v>
      </c>
      <c r="F83" s="24" t="str">
        <f t="shared" si="2"/>
        <v>rtdc.l.rtdc.4041:itc</v>
      </c>
      <c r="G83" s="8">
        <f t="shared" si="3"/>
        <v>42584.824664351851</v>
      </c>
    </row>
    <row r="84" spans="1:7" x14ac:dyDescent="0.25">
      <c r="A84" s="8">
        <v>42585.36037037037</v>
      </c>
      <c r="B84" s="24" t="s">
        <v>311</v>
      </c>
      <c r="C84" s="24" t="s">
        <v>499</v>
      </c>
      <c r="D84" s="24">
        <v>1760000</v>
      </c>
      <c r="E84" s="24" t="s">
        <v>463</v>
      </c>
      <c r="F84" s="24" t="str">
        <f t="shared" si="2"/>
        <v>rtdc.l.rtdc.4043:itc</v>
      </c>
      <c r="G84" s="8">
        <f t="shared" si="3"/>
        <v>42585.36037037037</v>
      </c>
    </row>
    <row r="85" spans="1:7" x14ac:dyDescent="0.25">
      <c r="A85" s="8">
        <v>42586.302129629628</v>
      </c>
      <c r="B85" s="24" t="s">
        <v>109</v>
      </c>
      <c r="C85" s="24" t="s">
        <v>805</v>
      </c>
      <c r="D85" s="24">
        <v>930000</v>
      </c>
      <c r="E85" s="24" t="s">
        <v>806</v>
      </c>
      <c r="F85" s="24" t="str">
        <f t="shared" si="2"/>
        <v>rtdc.l.rtdc.4027:itc</v>
      </c>
      <c r="G85" s="8">
        <f t="shared" si="3"/>
        <v>42586.302129629628</v>
      </c>
    </row>
    <row r="86" spans="1:7" x14ac:dyDescent="0.25">
      <c r="A86" s="8">
        <v>42585.378472222219</v>
      </c>
      <c r="B86" s="24" t="s">
        <v>103</v>
      </c>
      <c r="C86" s="24" t="s">
        <v>571</v>
      </c>
      <c r="D86" s="24">
        <v>1540000</v>
      </c>
      <c r="E86" s="24" t="s">
        <v>182</v>
      </c>
      <c r="F86" s="24" t="str">
        <f t="shared" si="2"/>
        <v>rtdc.l.rtdc.4026:itc</v>
      </c>
      <c r="G86" s="8">
        <f t="shared" si="3"/>
        <v>42585.378472222219</v>
      </c>
    </row>
    <row r="87" spans="1:7" x14ac:dyDescent="0.25">
      <c r="A87" s="8">
        <v>42586.278414351851</v>
      </c>
      <c r="B87" s="24" t="s">
        <v>70</v>
      </c>
      <c r="C87" s="24" t="s">
        <v>807</v>
      </c>
      <c r="D87" s="24">
        <v>2100000</v>
      </c>
      <c r="E87" s="24" t="s">
        <v>370</v>
      </c>
      <c r="F87" s="24" t="str">
        <f t="shared" si="2"/>
        <v>rtdc.l.rtdc.4017:itc</v>
      </c>
      <c r="G87" s="8">
        <f t="shared" si="3"/>
        <v>42586.278414351851</v>
      </c>
    </row>
    <row r="88" spans="1:7" x14ac:dyDescent="0.25">
      <c r="A88" s="8">
        <v>42585.381631944445</v>
      </c>
      <c r="B88" s="24" t="s">
        <v>153</v>
      </c>
      <c r="C88" s="24" t="s">
        <v>579</v>
      </c>
      <c r="D88" s="24">
        <v>1260000</v>
      </c>
      <c r="E88" s="24" t="s">
        <v>180</v>
      </c>
      <c r="F88" s="24" t="str">
        <f t="shared" si="2"/>
        <v>rtdc.l.rtdc.4011:itc</v>
      </c>
      <c r="G88" s="8">
        <f t="shared" si="3"/>
        <v>42585.381631944445</v>
      </c>
    </row>
    <row r="89" spans="1:7" x14ac:dyDescent="0.25">
      <c r="A89" s="8">
        <v>42586.214849537035</v>
      </c>
      <c r="B89" s="24" t="s">
        <v>146</v>
      </c>
      <c r="C89" s="24" t="s">
        <v>808</v>
      </c>
      <c r="D89" s="24">
        <v>1830000</v>
      </c>
      <c r="E89" s="24" t="s">
        <v>310</v>
      </c>
      <c r="F89" s="24" t="str">
        <f t="shared" si="2"/>
        <v>rtdc.l.rtdc.4041:itc</v>
      </c>
      <c r="G89" s="8">
        <f t="shared" si="3"/>
        <v>42586.214849537035</v>
      </c>
    </row>
    <row r="90" spans="1:7" x14ac:dyDescent="0.25">
      <c r="A90" s="8">
        <v>42585.391886574071</v>
      </c>
      <c r="B90" s="24" t="s">
        <v>200</v>
      </c>
      <c r="C90" s="24" t="s">
        <v>573</v>
      </c>
      <c r="D90" s="24">
        <v>900000</v>
      </c>
      <c r="E90" s="24" t="s">
        <v>201</v>
      </c>
      <c r="F90" s="24" t="str">
        <f t="shared" si="2"/>
        <v>rtdc.l.rtdc.4037:itc</v>
      </c>
      <c r="G90" s="8">
        <f t="shared" si="3"/>
        <v>42585.391886574071</v>
      </c>
    </row>
    <row r="91" spans="1:7" x14ac:dyDescent="0.25">
      <c r="A91" s="8">
        <v>42586.196331018517</v>
      </c>
      <c r="B91" s="24" t="s">
        <v>108</v>
      </c>
      <c r="C91" s="24" t="s">
        <v>809</v>
      </c>
      <c r="D91" s="24">
        <v>1090000</v>
      </c>
      <c r="E91" s="24" t="s">
        <v>111</v>
      </c>
      <c r="F91" s="24" t="str">
        <f t="shared" si="2"/>
        <v>rtdc.l.rtdc.4030:itc</v>
      </c>
      <c r="G91" s="8">
        <f t="shared" si="3"/>
        <v>42586.196331018517</v>
      </c>
    </row>
    <row r="92" spans="1:7" x14ac:dyDescent="0.25">
      <c r="A92" s="8">
        <v>42585.645590277774</v>
      </c>
      <c r="B92" s="24" t="s">
        <v>101</v>
      </c>
      <c r="C92" s="24" t="s">
        <v>519</v>
      </c>
      <c r="D92" s="24">
        <v>1740000</v>
      </c>
      <c r="E92" s="24" t="s">
        <v>337</v>
      </c>
      <c r="F92" s="24" t="str">
        <f t="shared" si="2"/>
        <v>rtdc.l.rtdc.4038:itc</v>
      </c>
      <c r="G92" s="8">
        <f t="shared" si="3"/>
        <v>42585.645590277774</v>
      </c>
    </row>
    <row r="93" spans="1:7" x14ac:dyDescent="0.25">
      <c r="A93" s="8">
        <v>42585.977048611108</v>
      </c>
      <c r="B93" s="24" t="s">
        <v>162</v>
      </c>
      <c r="C93" s="24" t="s">
        <v>693</v>
      </c>
      <c r="D93" s="24">
        <v>2090000</v>
      </c>
      <c r="E93" s="24" t="s">
        <v>369</v>
      </c>
      <c r="F93" s="24" t="str">
        <f t="shared" si="2"/>
        <v>rtdc.l.rtdc.4014:itc</v>
      </c>
      <c r="G93" s="8">
        <f t="shared" si="3"/>
        <v>42585.977048611108</v>
      </c>
    </row>
    <row r="94" spans="1:7" x14ac:dyDescent="0.25">
      <c r="A94" s="8">
        <v>42585.648796296293</v>
      </c>
      <c r="B94" s="24" t="s">
        <v>311</v>
      </c>
      <c r="C94" s="24" t="s">
        <v>631</v>
      </c>
      <c r="D94" s="24">
        <v>1280000</v>
      </c>
      <c r="E94" s="24" t="s">
        <v>179</v>
      </c>
      <c r="F94" s="24" t="str">
        <f t="shared" si="2"/>
        <v>rtdc.l.rtdc.4043:itc</v>
      </c>
      <c r="G94" s="8">
        <f t="shared" si="3"/>
        <v>42585.648796296293</v>
      </c>
    </row>
    <row r="95" spans="1:7" x14ac:dyDescent="0.25">
      <c r="A95" s="8">
        <v>42585.949560185189</v>
      </c>
      <c r="B95" s="24" t="s">
        <v>311</v>
      </c>
      <c r="C95" s="24" t="s">
        <v>538</v>
      </c>
      <c r="D95" s="24">
        <v>1300000</v>
      </c>
      <c r="E95" s="24" t="s">
        <v>148</v>
      </c>
      <c r="F95" s="24" t="str">
        <f t="shared" si="2"/>
        <v>rtdc.l.rtdc.4043:itc</v>
      </c>
      <c r="G95" s="8">
        <f t="shared" si="3"/>
        <v>42585.949560185189</v>
      </c>
    </row>
    <row r="96" spans="1:7" x14ac:dyDescent="0.25">
      <c r="A96" s="8">
        <v>42585.656215277777</v>
      </c>
      <c r="B96" s="24" t="s">
        <v>112</v>
      </c>
      <c r="C96" s="24" t="s">
        <v>758</v>
      </c>
      <c r="D96" s="24">
        <v>2040000</v>
      </c>
      <c r="E96" s="24" t="s">
        <v>794</v>
      </c>
      <c r="F96" s="24" t="str">
        <f t="shared" si="2"/>
        <v>rtdc.l.rtdc.4008:itc</v>
      </c>
      <c r="G96" s="8">
        <f t="shared" si="3"/>
        <v>42585.656215277777</v>
      </c>
    </row>
    <row r="97" spans="1:7" x14ac:dyDescent="0.25">
      <c r="A97" s="8">
        <v>42585.865254629629</v>
      </c>
      <c r="B97" s="24" t="s">
        <v>311</v>
      </c>
      <c r="C97" s="24" t="s">
        <v>676</v>
      </c>
      <c r="D97" s="24">
        <v>1300000</v>
      </c>
      <c r="E97" s="24" t="s">
        <v>148</v>
      </c>
      <c r="F97" s="24" t="str">
        <f t="shared" si="2"/>
        <v>rtdc.l.rtdc.4043:itc</v>
      </c>
      <c r="G97" s="8">
        <f t="shared" si="3"/>
        <v>42585.865254629629</v>
      </c>
    </row>
    <row r="98" spans="1:7" x14ac:dyDescent="0.25">
      <c r="A98" s="8">
        <v>42585.675173611111</v>
      </c>
      <c r="B98" s="24" t="s">
        <v>133</v>
      </c>
      <c r="C98" s="24" t="s">
        <v>522</v>
      </c>
      <c r="D98" s="24">
        <v>2140000</v>
      </c>
      <c r="E98" s="24" t="s">
        <v>374</v>
      </c>
      <c r="F98" s="24" t="str">
        <f t="shared" si="2"/>
        <v>rtdc.l.rtdc.4015:itc</v>
      </c>
      <c r="G98" s="8">
        <f t="shared" si="3"/>
        <v>42585.675173611111</v>
      </c>
    </row>
    <row r="99" spans="1:7" x14ac:dyDescent="0.25">
      <c r="A99" s="8">
        <v>42585.850925925923</v>
      </c>
      <c r="B99" s="24" t="s">
        <v>795</v>
      </c>
      <c r="C99" s="24" t="s">
        <v>677</v>
      </c>
      <c r="D99" s="24">
        <v>1290000</v>
      </c>
      <c r="E99" s="24" t="s">
        <v>151</v>
      </c>
      <c r="F99" s="24" t="str">
        <f t="shared" si="2"/>
        <v>rtdc.l.rtdc.4040:itc</v>
      </c>
      <c r="G99" s="8">
        <f t="shared" si="3"/>
        <v>42585.850925925923</v>
      </c>
    </row>
    <row r="100" spans="1:7" x14ac:dyDescent="0.25">
      <c r="A100" s="8">
        <v>42585.678182870368</v>
      </c>
      <c r="B100" s="24" t="s">
        <v>153</v>
      </c>
      <c r="C100" s="24" t="s">
        <v>646</v>
      </c>
      <c r="D100" s="24">
        <v>2110000</v>
      </c>
      <c r="E100" s="24" t="s">
        <v>372</v>
      </c>
      <c r="F100" s="24" t="str">
        <f t="shared" si="2"/>
        <v>rtdc.l.rtdc.4011:itc</v>
      </c>
      <c r="G100" s="8">
        <f t="shared" si="3"/>
        <v>42585.678182870368</v>
      </c>
    </row>
    <row r="101" spans="1:7" x14ac:dyDescent="0.25">
      <c r="A101" s="8">
        <v>42585.828321759262</v>
      </c>
      <c r="B101" s="24" t="s">
        <v>103</v>
      </c>
      <c r="C101" s="24" t="s">
        <v>670</v>
      </c>
      <c r="D101" s="24">
        <v>1480000</v>
      </c>
      <c r="E101" s="24" t="s">
        <v>102</v>
      </c>
      <c r="F101" s="24" t="str">
        <f t="shared" si="2"/>
        <v>rtdc.l.rtdc.4026:itc</v>
      </c>
      <c r="G101" s="8">
        <f t="shared" si="3"/>
        <v>42585.828321759262</v>
      </c>
    </row>
    <row r="102" spans="1:7" x14ac:dyDescent="0.25">
      <c r="A102" s="8">
        <v>42585.680891203701</v>
      </c>
      <c r="B102" s="24" t="s">
        <v>200</v>
      </c>
      <c r="C102" s="24" t="s">
        <v>524</v>
      </c>
      <c r="D102" s="24">
        <v>1740000</v>
      </c>
      <c r="E102" s="24" t="s">
        <v>337</v>
      </c>
      <c r="F102" s="24" t="str">
        <f t="shared" si="2"/>
        <v>rtdc.l.rtdc.4037:itc</v>
      </c>
      <c r="G102" s="8">
        <f t="shared" si="3"/>
        <v>42585.680891203701</v>
      </c>
    </row>
    <row r="103" spans="1:7" x14ac:dyDescent="0.25">
      <c r="A103" s="8">
        <v>42585.819062499999</v>
      </c>
      <c r="B103" s="24" t="s">
        <v>112</v>
      </c>
      <c r="C103" s="24" t="s">
        <v>536</v>
      </c>
      <c r="D103" s="24">
        <v>2040000</v>
      </c>
      <c r="E103" s="24" t="s">
        <v>794</v>
      </c>
      <c r="F103" s="24" t="str">
        <f t="shared" si="2"/>
        <v>rtdc.l.rtdc.4008:itc</v>
      </c>
      <c r="G103" s="8">
        <f t="shared" si="3"/>
        <v>42585.819062499999</v>
      </c>
    </row>
    <row r="104" spans="1:7" x14ac:dyDescent="0.25">
      <c r="A104" s="8">
        <v>42585.713703703703</v>
      </c>
      <c r="B104" s="24" t="s">
        <v>155</v>
      </c>
      <c r="C104" s="24" t="s">
        <v>528</v>
      </c>
      <c r="D104" s="24">
        <v>2110000</v>
      </c>
      <c r="E104" s="24" t="s">
        <v>372</v>
      </c>
      <c r="F104" s="24" t="str">
        <f t="shared" si="2"/>
        <v>rtdc.l.rtdc.4012:itc</v>
      </c>
      <c r="G104" s="8">
        <f t="shared" si="3"/>
        <v>42585.713703703703</v>
      </c>
    </row>
    <row r="105" spans="1:7" x14ac:dyDescent="0.25">
      <c r="A105" s="8">
        <v>42585.800740740742</v>
      </c>
      <c r="B105" s="24" t="s">
        <v>114</v>
      </c>
      <c r="C105" s="24" t="s">
        <v>774</v>
      </c>
      <c r="D105" s="24">
        <v>2040000</v>
      </c>
      <c r="E105" s="24" t="s">
        <v>794</v>
      </c>
      <c r="F105" s="24" t="str">
        <f t="shared" si="2"/>
        <v>rtdc.l.rtdc.4007:itc</v>
      </c>
      <c r="G105" s="8">
        <f t="shared" si="3"/>
        <v>42585.800740740742</v>
      </c>
    </row>
    <row r="106" spans="1:7" x14ac:dyDescent="0.25">
      <c r="A106" s="8">
        <v>42585.717187499999</v>
      </c>
      <c r="B106" s="24" t="s">
        <v>105</v>
      </c>
      <c r="C106" s="24" t="s">
        <v>653</v>
      </c>
      <c r="D106" s="24">
        <v>1480000</v>
      </c>
      <c r="E106" s="24" t="s">
        <v>102</v>
      </c>
      <c r="F106" s="24" t="str">
        <f t="shared" si="2"/>
        <v>rtdc.l.rtdc.4025:itc</v>
      </c>
      <c r="G106" s="8">
        <f t="shared" si="3"/>
        <v>42585.717187499999</v>
      </c>
    </row>
    <row r="107" spans="1:7" x14ac:dyDescent="0.25">
      <c r="A107" s="8">
        <v>42585.793217592596</v>
      </c>
      <c r="B107" s="24" t="s">
        <v>105</v>
      </c>
      <c r="C107" s="24" t="s">
        <v>669</v>
      </c>
      <c r="D107" s="24">
        <v>1480000</v>
      </c>
      <c r="E107" s="24" t="s">
        <v>102</v>
      </c>
      <c r="F107" s="24" t="str">
        <f t="shared" si="2"/>
        <v>rtdc.l.rtdc.4025:itc</v>
      </c>
      <c r="G107" s="8">
        <f t="shared" si="3"/>
        <v>42585.793217592596</v>
      </c>
    </row>
    <row r="108" spans="1:7" x14ac:dyDescent="0.25">
      <c r="A108" s="8">
        <v>42585.736458333333</v>
      </c>
      <c r="B108" s="24" t="s">
        <v>112</v>
      </c>
      <c r="C108" s="24" t="s">
        <v>767</v>
      </c>
      <c r="D108" s="24">
        <v>2040000</v>
      </c>
      <c r="E108" s="24" t="s">
        <v>794</v>
      </c>
      <c r="F108" s="24" t="str">
        <f t="shared" si="2"/>
        <v>rtdc.l.rtdc.4008:itc</v>
      </c>
      <c r="G108" s="8">
        <f t="shared" si="3"/>
        <v>42585.736458333333</v>
      </c>
    </row>
    <row r="109" spans="1:7" x14ac:dyDescent="0.25">
      <c r="A109" s="8">
        <v>42585.770590277774</v>
      </c>
      <c r="B109" s="24" t="s">
        <v>795</v>
      </c>
      <c r="C109" s="24" t="s">
        <v>667</v>
      </c>
      <c r="D109" s="24">
        <v>1290000</v>
      </c>
      <c r="E109" s="24" t="s">
        <v>151</v>
      </c>
      <c r="F109" s="24" t="str">
        <f t="shared" si="2"/>
        <v>rtdc.l.rtdc.4040:itc</v>
      </c>
      <c r="G109" s="8">
        <f t="shared" si="3"/>
        <v>42585.770590277774</v>
      </c>
    </row>
    <row r="110" spans="1:7" x14ac:dyDescent="0.25">
      <c r="A110" s="8">
        <v>42585.738321759258</v>
      </c>
      <c r="B110" s="24" t="s">
        <v>134</v>
      </c>
      <c r="C110" s="24" t="s">
        <v>770</v>
      </c>
      <c r="D110" s="24">
        <v>2140000</v>
      </c>
      <c r="E110" s="24" t="s">
        <v>374</v>
      </c>
      <c r="F110" s="24" t="str">
        <f t="shared" si="2"/>
        <v>rtdc.l.rtdc.4016:itc</v>
      </c>
      <c r="G110" s="8">
        <f t="shared" si="3"/>
        <v>42585.738321759258</v>
      </c>
    </row>
    <row r="111" spans="1:7" x14ac:dyDescent="0.25">
      <c r="A111" s="8">
        <v>42585.744733796295</v>
      </c>
      <c r="B111" s="24" t="s">
        <v>146</v>
      </c>
      <c r="C111" s="24" t="s">
        <v>533</v>
      </c>
      <c r="D111" s="24">
        <v>2030000</v>
      </c>
      <c r="E111" s="24" t="s">
        <v>798</v>
      </c>
      <c r="F111" s="24" t="str">
        <f t="shared" si="2"/>
        <v>rtdc.l.rtdc.4041:itc</v>
      </c>
      <c r="G111" s="8">
        <f t="shared" si="3"/>
        <v>42585.744733796295</v>
      </c>
    </row>
    <row r="112" spans="1:7" x14ac:dyDescent="0.25">
      <c r="A112" s="8">
        <v>42585.774618055555</v>
      </c>
      <c r="B112" s="24" t="s">
        <v>104</v>
      </c>
      <c r="C112" s="24" t="s">
        <v>659</v>
      </c>
      <c r="D112" s="24">
        <v>2090000</v>
      </c>
      <c r="E112" s="24" t="s">
        <v>369</v>
      </c>
      <c r="F112" s="24" t="str">
        <f t="shared" si="2"/>
        <v>rtdc.l.rtdc.4013:itc</v>
      </c>
      <c r="G112" s="8">
        <f t="shared" si="3"/>
        <v>42585.774618055555</v>
      </c>
    </row>
    <row r="113" spans="1:7" x14ac:dyDescent="0.25">
      <c r="A113" s="8">
        <v>42585.691701388889</v>
      </c>
      <c r="B113" s="24" t="s">
        <v>70</v>
      </c>
      <c r="C113" s="24" t="s">
        <v>525</v>
      </c>
      <c r="D113" s="24">
        <v>1770000</v>
      </c>
      <c r="E113" s="24" t="s">
        <v>175</v>
      </c>
      <c r="F113" s="24" t="str">
        <f t="shared" si="2"/>
        <v>rtdc.l.rtdc.4017:itc</v>
      </c>
      <c r="G113" s="8">
        <f t="shared" si="3"/>
        <v>42585.691701388889</v>
      </c>
    </row>
    <row r="114" spans="1:7" x14ac:dyDescent="0.25">
      <c r="A114" s="8">
        <v>42585.807025462964</v>
      </c>
      <c r="B114" s="24" t="s">
        <v>373</v>
      </c>
      <c r="C114" s="24" t="s">
        <v>535</v>
      </c>
      <c r="D114" s="24">
        <v>1290000</v>
      </c>
      <c r="E114" s="24" t="s">
        <v>151</v>
      </c>
      <c r="F114" s="24" t="str">
        <f t="shared" si="2"/>
        <v>rtdc.l.rtdc.4039:itc</v>
      </c>
      <c r="G114" s="8">
        <f t="shared" si="3"/>
        <v>42585.807025462964</v>
      </c>
    </row>
    <row r="115" spans="1:7" x14ac:dyDescent="0.25">
      <c r="A115" s="8">
        <v>42585.67050925926</v>
      </c>
      <c r="B115" s="24" t="s">
        <v>146</v>
      </c>
      <c r="C115" s="24" t="s">
        <v>520</v>
      </c>
      <c r="D115" s="24">
        <v>2030000</v>
      </c>
      <c r="E115" s="24" t="s">
        <v>798</v>
      </c>
      <c r="F115" s="24" t="str">
        <f t="shared" si="2"/>
        <v>rtdc.l.rtdc.4041:itc</v>
      </c>
      <c r="G115" s="8">
        <f t="shared" si="3"/>
        <v>42585.67050925926</v>
      </c>
    </row>
    <row r="116" spans="1:7" x14ac:dyDescent="0.25">
      <c r="A116" s="8">
        <v>42585.423877314817</v>
      </c>
      <c r="B116" s="24" t="s">
        <v>104</v>
      </c>
      <c r="C116" s="24" t="s">
        <v>503</v>
      </c>
      <c r="D116" s="24">
        <v>1190000</v>
      </c>
      <c r="E116" s="24" t="s">
        <v>145</v>
      </c>
      <c r="F116" s="24" t="str">
        <f t="shared" si="2"/>
        <v>rtdc.l.rtdc.4013:itc</v>
      </c>
      <c r="G116" s="8">
        <f t="shared" si="3"/>
        <v>42585.423877314817</v>
      </c>
    </row>
    <row r="117" spans="1:7" x14ac:dyDescent="0.25">
      <c r="A117" s="8">
        <v>42585.640532407408</v>
      </c>
      <c r="B117" s="24" t="s">
        <v>155</v>
      </c>
      <c r="C117" s="24" t="s">
        <v>628</v>
      </c>
      <c r="D117" s="24">
        <v>2110000</v>
      </c>
      <c r="E117" s="24" t="s">
        <v>372</v>
      </c>
      <c r="F117" s="24" t="str">
        <f t="shared" si="2"/>
        <v>rtdc.l.rtdc.4012:itc</v>
      </c>
      <c r="G117" s="8">
        <f t="shared" si="3"/>
        <v>42585.640532407408</v>
      </c>
    </row>
    <row r="118" spans="1:7" x14ac:dyDescent="0.25">
      <c r="A118" s="8">
        <v>42585.443298611113</v>
      </c>
      <c r="B118" s="24" t="s">
        <v>146</v>
      </c>
      <c r="C118" s="24" t="s">
        <v>585</v>
      </c>
      <c r="D118" s="24">
        <v>1090000</v>
      </c>
      <c r="E118" s="24" t="s">
        <v>111</v>
      </c>
      <c r="F118" s="24" t="str">
        <f t="shared" si="2"/>
        <v>rtdc.l.rtdc.4041:itc</v>
      </c>
      <c r="G118" s="8">
        <f t="shared" si="3"/>
        <v>42585.443298611113</v>
      </c>
    </row>
    <row r="119" spans="1:7" x14ac:dyDescent="0.25">
      <c r="A119" s="8">
        <v>42585.617569444446</v>
      </c>
      <c r="B119" s="24" t="s">
        <v>112</v>
      </c>
      <c r="C119" s="24" t="s">
        <v>755</v>
      </c>
      <c r="D119" s="24">
        <v>2040000</v>
      </c>
      <c r="E119" s="24" t="s">
        <v>794</v>
      </c>
      <c r="F119" s="24" t="str">
        <f t="shared" si="2"/>
        <v>rtdc.l.rtdc.4008:itc</v>
      </c>
      <c r="G119" s="8">
        <f t="shared" si="3"/>
        <v>42585.617569444446</v>
      </c>
    </row>
    <row r="120" spans="1:7" x14ac:dyDescent="0.25">
      <c r="A120" s="8">
        <v>42585.46402777778</v>
      </c>
      <c r="B120" s="24" t="s">
        <v>200</v>
      </c>
      <c r="C120" s="24" t="s">
        <v>592</v>
      </c>
      <c r="D120" s="24">
        <v>900000</v>
      </c>
      <c r="E120" s="24" t="s">
        <v>201</v>
      </c>
      <c r="F120" s="24" t="str">
        <f t="shared" si="2"/>
        <v>rtdc.l.rtdc.4037:itc</v>
      </c>
      <c r="G120" s="8">
        <f t="shared" si="3"/>
        <v>42585.46402777778</v>
      </c>
    </row>
    <row r="121" spans="1:7" x14ac:dyDescent="0.25">
      <c r="A121" s="8">
        <v>42585.550219907411</v>
      </c>
      <c r="B121" s="24" t="s">
        <v>104</v>
      </c>
      <c r="C121" s="24" t="s">
        <v>611</v>
      </c>
      <c r="D121" s="24">
        <v>2150000</v>
      </c>
      <c r="E121" s="24" t="s">
        <v>309</v>
      </c>
      <c r="F121" s="24" t="str">
        <f t="shared" si="2"/>
        <v>rtdc.l.rtdc.4013:itc</v>
      </c>
      <c r="G121" s="8">
        <f t="shared" si="3"/>
        <v>42585.550219907411</v>
      </c>
    </row>
    <row r="122" spans="1:7" x14ac:dyDescent="0.25">
      <c r="A122" s="8">
        <v>42585.486631944441</v>
      </c>
      <c r="B122" s="31" t="s">
        <v>105</v>
      </c>
      <c r="C122" s="24" t="s">
        <v>602</v>
      </c>
      <c r="D122" s="24">
        <v>1750000</v>
      </c>
      <c r="E122" s="24" t="s">
        <v>181</v>
      </c>
      <c r="F122" s="24" t="str">
        <f t="shared" si="2"/>
        <v>rtdc.l.rtdc.4025:itc</v>
      </c>
      <c r="G122" s="8">
        <f t="shared" si="3"/>
        <v>42585.486631944441</v>
      </c>
    </row>
    <row r="123" spans="1:7" x14ac:dyDescent="0.25">
      <c r="A123" s="8">
        <v>42585.526018518518</v>
      </c>
      <c r="B123" s="24" t="s">
        <v>153</v>
      </c>
      <c r="C123" s="24" t="s">
        <v>612</v>
      </c>
      <c r="D123" s="24">
        <v>2110000</v>
      </c>
      <c r="E123" s="24" t="s">
        <v>372</v>
      </c>
      <c r="F123" s="24" t="str">
        <f t="shared" si="2"/>
        <v>rtdc.l.rtdc.4011:itc</v>
      </c>
      <c r="G123" s="8">
        <f t="shared" si="3"/>
        <v>42585.526018518518</v>
      </c>
    </row>
    <row r="124" spans="1:7" x14ac:dyDescent="0.25">
      <c r="A124" s="8">
        <v>42585.563113425924</v>
      </c>
      <c r="B124" s="24" t="s">
        <v>155</v>
      </c>
      <c r="C124" s="24" t="s">
        <v>613</v>
      </c>
      <c r="D124" s="24">
        <v>2110000</v>
      </c>
      <c r="E124" s="24" t="s">
        <v>372</v>
      </c>
      <c r="F124" s="24" t="str">
        <f t="shared" si="2"/>
        <v>rtdc.l.rtdc.4012:itc</v>
      </c>
      <c r="G124" s="8">
        <f t="shared" si="3"/>
        <v>42585.563113425924</v>
      </c>
    </row>
    <row r="125" spans="1:7" x14ac:dyDescent="0.25">
      <c r="A125" s="8">
        <v>42585.496435185189</v>
      </c>
      <c r="B125" s="24" t="s">
        <v>101</v>
      </c>
      <c r="C125" s="24" t="s">
        <v>506</v>
      </c>
      <c r="D125" s="24">
        <v>1740000</v>
      </c>
      <c r="E125" s="24" t="s">
        <v>337</v>
      </c>
      <c r="F125" s="24" t="str">
        <f t="shared" si="2"/>
        <v>rtdc.l.rtdc.4038:itc</v>
      </c>
      <c r="G125" s="8">
        <f t="shared" si="3"/>
        <v>42585.496435185189</v>
      </c>
    </row>
    <row r="126" spans="1:7" x14ac:dyDescent="0.25">
      <c r="A126" s="8">
        <v>42585.5705787037</v>
      </c>
      <c r="B126" s="24" t="s">
        <v>112</v>
      </c>
      <c r="C126" s="24" t="s">
        <v>752</v>
      </c>
      <c r="D126" s="24">
        <v>2040000</v>
      </c>
      <c r="E126" s="24" t="s">
        <v>794</v>
      </c>
      <c r="F126" s="24" t="str">
        <f t="shared" si="2"/>
        <v>rtdc.l.rtdc.4008:itc</v>
      </c>
      <c r="G126" s="8">
        <f t="shared" si="3"/>
        <v>42585.5705787037</v>
      </c>
    </row>
    <row r="127" spans="1:7" x14ac:dyDescent="0.25">
      <c r="A127" s="8">
        <v>42585.484861111108</v>
      </c>
      <c r="B127" s="24" t="s">
        <v>112</v>
      </c>
      <c r="C127" s="24" t="s">
        <v>744</v>
      </c>
      <c r="D127" s="24">
        <v>2100000</v>
      </c>
      <c r="E127" s="24" t="s">
        <v>370</v>
      </c>
      <c r="F127" s="24" t="str">
        <f t="shared" si="2"/>
        <v>rtdc.l.rtdc.4008:itc</v>
      </c>
      <c r="G127" s="8">
        <f t="shared" si="3"/>
        <v>42585.484861111108</v>
      </c>
    </row>
    <row r="128" spans="1:7" x14ac:dyDescent="0.25">
      <c r="A128" s="8">
        <v>42585.577210648145</v>
      </c>
      <c r="B128" s="24" t="s">
        <v>101</v>
      </c>
      <c r="C128" s="24" t="s">
        <v>621</v>
      </c>
      <c r="D128" s="24">
        <v>1740000</v>
      </c>
      <c r="E128" s="24" t="s">
        <v>337</v>
      </c>
      <c r="F128" s="24" t="str">
        <f t="shared" si="2"/>
        <v>rtdc.l.rtdc.4038:itc</v>
      </c>
      <c r="G128" s="8">
        <f t="shared" si="3"/>
        <v>42585.577210648145</v>
      </c>
    </row>
    <row r="129" spans="1:7" x14ac:dyDescent="0.25">
      <c r="A129" s="8">
        <v>42585.475451388891</v>
      </c>
      <c r="B129" s="24" t="s">
        <v>70</v>
      </c>
      <c r="C129" s="24" t="s">
        <v>594</v>
      </c>
      <c r="D129" s="24">
        <v>1110000</v>
      </c>
      <c r="E129" s="24" t="s">
        <v>117</v>
      </c>
      <c r="F129" s="24" t="str">
        <f t="shared" si="2"/>
        <v>rtdc.l.rtdc.4017:itc</v>
      </c>
      <c r="G129" s="8">
        <f t="shared" si="3"/>
        <v>42585.475451388891</v>
      </c>
    </row>
    <row r="130" spans="1:7" x14ac:dyDescent="0.25">
      <c r="A130" s="8">
        <v>42585.608518518522</v>
      </c>
      <c r="B130" s="24" t="s">
        <v>200</v>
      </c>
      <c r="C130" s="24" t="s">
        <v>515</v>
      </c>
      <c r="D130" s="24">
        <v>1740000</v>
      </c>
      <c r="E130" s="24" t="s">
        <v>337</v>
      </c>
      <c r="F130" s="24" t="str">
        <f t="shared" ref="F130:F193" si="4">B130</f>
        <v>rtdc.l.rtdc.4037:itc</v>
      </c>
      <c r="G130" s="8">
        <f t="shared" ref="G130:G193" si="5">A130</f>
        <v>42585.608518518522</v>
      </c>
    </row>
    <row r="131" spans="1:7" x14ac:dyDescent="0.25">
      <c r="A131" s="8">
        <v>42585.43787037037</v>
      </c>
      <c r="B131" s="24" t="s">
        <v>69</v>
      </c>
      <c r="C131" s="24" t="s">
        <v>593</v>
      </c>
      <c r="D131" s="24">
        <v>1110000</v>
      </c>
      <c r="E131" s="24" t="s">
        <v>117</v>
      </c>
      <c r="F131" s="24" t="str">
        <f t="shared" si="4"/>
        <v>rtdc.l.rtdc.4018:itc</v>
      </c>
      <c r="G131" s="8">
        <f t="shared" si="5"/>
        <v>42585.43787037037</v>
      </c>
    </row>
    <row r="132" spans="1:7" x14ac:dyDescent="0.25">
      <c r="A132" s="8">
        <v>42585.616516203707</v>
      </c>
      <c r="B132" s="24" t="s">
        <v>70</v>
      </c>
      <c r="C132" s="24" t="s">
        <v>624</v>
      </c>
      <c r="D132" s="24">
        <v>1770000</v>
      </c>
      <c r="E132" s="24" t="s">
        <v>175</v>
      </c>
      <c r="F132" s="24" t="str">
        <f t="shared" si="4"/>
        <v>rtdc.l.rtdc.4017:itc</v>
      </c>
      <c r="G132" s="8">
        <f t="shared" si="5"/>
        <v>42585.616516203707</v>
      </c>
    </row>
    <row r="133" spans="1:7" x14ac:dyDescent="0.25">
      <c r="A133" s="8">
        <v>42585.432800925926</v>
      </c>
      <c r="B133" s="24" t="s">
        <v>311</v>
      </c>
      <c r="C133" s="24" t="s">
        <v>504</v>
      </c>
      <c r="D133" s="24">
        <v>1760000</v>
      </c>
      <c r="E133" s="24" t="s">
        <v>463</v>
      </c>
      <c r="F133" s="24" t="str">
        <f t="shared" si="4"/>
        <v>rtdc.l.rtdc.4043:itc</v>
      </c>
      <c r="G133" s="8">
        <f t="shared" si="5"/>
        <v>42585.432800925926</v>
      </c>
    </row>
    <row r="134" spans="1:7" x14ac:dyDescent="0.25">
      <c r="A134" s="8">
        <v>42585.825868055559</v>
      </c>
      <c r="B134" s="24" t="s">
        <v>153</v>
      </c>
      <c r="C134" s="24" t="s">
        <v>701</v>
      </c>
      <c r="D134" s="24">
        <v>2150000</v>
      </c>
      <c r="E134" s="24" t="s">
        <v>309</v>
      </c>
      <c r="F134" s="24" t="str">
        <f t="shared" si="4"/>
        <v>rtdc.l.rtdc.4011:itc</v>
      </c>
      <c r="G134" s="8">
        <f t="shared" si="5"/>
        <v>42585.825868055559</v>
      </c>
    </row>
    <row r="135" spans="1:7" x14ac:dyDescent="0.25">
      <c r="A135" s="8">
        <v>42585.403761574074</v>
      </c>
      <c r="B135" s="24" t="s">
        <v>76</v>
      </c>
      <c r="C135" s="24" t="s">
        <v>582</v>
      </c>
      <c r="D135" s="24">
        <v>1090000</v>
      </c>
      <c r="E135" s="24" t="s">
        <v>111</v>
      </c>
      <c r="F135" s="24" t="str">
        <f t="shared" si="4"/>
        <v>rtdc.l.rtdc.4042:itc</v>
      </c>
      <c r="G135" s="8">
        <f t="shared" si="5"/>
        <v>42585.403761574074</v>
      </c>
    </row>
    <row r="136" spans="1:7" x14ac:dyDescent="0.25">
      <c r="A136" s="8">
        <v>42585.907326388886</v>
      </c>
      <c r="B136" s="24" t="s">
        <v>371</v>
      </c>
      <c r="C136" s="24" t="s">
        <v>686</v>
      </c>
      <c r="D136" s="24">
        <v>1300000</v>
      </c>
      <c r="E136" s="24" t="s">
        <v>148</v>
      </c>
      <c r="F136" s="24" t="str">
        <f t="shared" si="4"/>
        <v>rtdc.l.rtdc.4044:itc</v>
      </c>
      <c r="G136" s="8">
        <f t="shared" si="5"/>
        <v>42585.907326388886</v>
      </c>
    </row>
    <row r="137" spans="1:7" x14ac:dyDescent="0.25">
      <c r="A137" s="8">
        <v>42585.372453703705</v>
      </c>
      <c r="B137" s="24" t="s">
        <v>162</v>
      </c>
      <c r="C137" s="24" t="s">
        <v>576</v>
      </c>
      <c r="D137" s="24">
        <v>1190000</v>
      </c>
      <c r="E137" s="24" t="s">
        <v>145</v>
      </c>
      <c r="F137" s="24" t="str">
        <f t="shared" si="4"/>
        <v>rtdc.l.rtdc.4014:itc</v>
      </c>
      <c r="G137" s="8">
        <f t="shared" si="5"/>
        <v>42585.372453703705</v>
      </c>
    </row>
    <row r="138" spans="1:7" x14ac:dyDescent="0.25">
      <c r="A138" s="8">
        <v>42585.972280092596</v>
      </c>
      <c r="B138" s="24" t="s">
        <v>373</v>
      </c>
      <c r="C138" s="24" t="s">
        <v>689</v>
      </c>
      <c r="D138" s="24">
        <v>1290000</v>
      </c>
      <c r="E138" s="24" t="s">
        <v>151</v>
      </c>
      <c r="F138" s="24" t="str">
        <f t="shared" si="4"/>
        <v>rtdc.l.rtdc.4039:itc</v>
      </c>
      <c r="G138" s="8">
        <f t="shared" si="5"/>
        <v>42585.972280092596</v>
      </c>
    </row>
    <row r="139" spans="1:7" x14ac:dyDescent="0.25">
      <c r="A139" s="8">
        <v>42585.643229166664</v>
      </c>
      <c r="B139" s="24" t="s">
        <v>133</v>
      </c>
      <c r="C139" s="24" t="s">
        <v>518</v>
      </c>
      <c r="D139" s="24">
        <v>2140000</v>
      </c>
      <c r="E139" s="24" t="s">
        <v>374</v>
      </c>
      <c r="F139" s="24" t="str">
        <f t="shared" si="4"/>
        <v>rtdc.l.rtdc.4015:itc</v>
      </c>
      <c r="G139" s="8">
        <f t="shared" si="5"/>
        <v>42585.643229166664</v>
      </c>
    </row>
    <row r="140" spans="1:7" x14ac:dyDescent="0.25">
      <c r="A140" s="8">
        <v>42586.015104166669</v>
      </c>
      <c r="B140" s="24" t="s">
        <v>104</v>
      </c>
      <c r="C140" s="24" t="s">
        <v>694</v>
      </c>
      <c r="D140" s="24">
        <v>2090000</v>
      </c>
      <c r="E140" s="24" t="s">
        <v>369</v>
      </c>
      <c r="F140" s="24" t="str">
        <f t="shared" si="4"/>
        <v>rtdc.l.rtdc.4013:itc</v>
      </c>
      <c r="G140" s="8">
        <f t="shared" si="5"/>
        <v>42586.015104166669</v>
      </c>
    </row>
    <row r="141" spans="1:7" x14ac:dyDescent="0.25">
      <c r="A141" s="8">
        <v>42585.632210648146</v>
      </c>
      <c r="B141" s="24" t="s">
        <v>114</v>
      </c>
      <c r="C141" s="24" t="s">
        <v>517</v>
      </c>
      <c r="D141" s="24">
        <v>2040000</v>
      </c>
      <c r="E141" s="24" t="s">
        <v>794</v>
      </c>
      <c r="F141" s="24" t="str">
        <f t="shared" si="4"/>
        <v>rtdc.l.rtdc.4007:itc</v>
      </c>
      <c r="G141" s="8">
        <f t="shared" si="5"/>
        <v>42585.632210648146</v>
      </c>
    </row>
    <row r="142" spans="1:7" x14ac:dyDescent="0.25">
      <c r="A142" s="8">
        <v>42586.046388888892</v>
      </c>
      <c r="B142" s="24" t="s">
        <v>162</v>
      </c>
      <c r="C142" s="24" t="s">
        <v>707</v>
      </c>
      <c r="D142" s="24">
        <v>2090000</v>
      </c>
      <c r="E142" s="24" t="s">
        <v>369</v>
      </c>
      <c r="F142" s="24" t="str">
        <f t="shared" si="4"/>
        <v>rtdc.l.rtdc.4014:itc</v>
      </c>
      <c r="G142" s="8">
        <f t="shared" si="5"/>
        <v>42586.046388888892</v>
      </c>
    </row>
    <row r="143" spans="1:7" x14ac:dyDescent="0.25">
      <c r="A143" s="8">
        <v>42585.629363425927</v>
      </c>
      <c r="B143" s="24" t="s">
        <v>104</v>
      </c>
      <c r="C143" s="24" t="s">
        <v>626</v>
      </c>
      <c r="D143" s="24">
        <v>2150000</v>
      </c>
      <c r="E143" s="24" t="s">
        <v>309</v>
      </c>
      <c r="F143" s="24" t="str">
        <f t="shared" si="4"/>
        <v>rtdc.l.rtdc.4013:itc</v>
      </c>
      <c r="G143" s="8">
        <f t="shared" si="5"/>
        <v>42585.629363425927</v>
      </c>
    </row>
    <row r="144" spans="1:7" x14ac:dyDescent="0.25">
      <c r="A144" s="8">
        <v>42586.067974537036</v>
      </c>
      <c r="B144" s="24" t="s">
        <v>371</v>
      </c>
      <c r="C144" s="24" t="s">
        <v>810</v>
      </c>
      <c r="D144" s="24">
        <v>1300000</v>
      </c>
      <c r="E144" s="24" t="s">
        <v>148</v>
      </c>
      <c r="F144" s="24" t="str">
        <f t="shared" si="4"/>
        <v>rtdc.l.rtdc.4044:itc</v>
      </c>
      <c r="G144" s="8">
        <f t="shared" si="5"/>
        <v>42586.067974537036</v>
      </c>
    </row>
    <row r="145" spans="1:7" x14ac:dyDescent="0.25">
      <c r="A145" s="8">
        <v>42585.624641203707</v>
      </c>
      <c r="B145" s="24" t="s">
        <v>76</v>
      </c>
      <c r="C145" s="24" t="s">
        <v>633</v>
      </c>
      <c r="D145" s="24">
        <v>2030000</v>
      </c>
      <c r="E145" s="24" t="s">
        <v>798</v>
      </c>
      <c r="F145" s="24" t="str">
        <f t="shared" si="4"/>
        <v>rtdc.l.rtdc.4042:itc</v>
      </c>
      <c r="G145" s="8">
        <f t="shared" si="5"/>
        <v>42585.624641203707</v>
      </c>
    </row>
    <row r="146" spans="1:7" x14ac:dyDescent="0.25">
      <c r="A146" s="8">
        <v>42586.239270833335</v>
      </c>
      <c r="B146" s="24" t="s">
        <v>109</v>
      </c>
      <c r="C146" s="24" t="s">
        <v>811</v>
      </c>
      <c r="D146" s="24">
        <v>1190000</v>
      </c>
      <c r="E146" s="24" t="s">
        <v>145</v>
      </c>
      <c r="F146" s="24" t="str">
        <f t="shared" si="4"/>
        <v>rtdc.l.rtdc.4027:itc</v>
      </c>
      <c r="G146" s="8">
        <f t="shared" si="5"/>
        <v>42586.239270833335</v>
      </c>
    </row>
    <row r="147" spans="1:7" x14ac:dyDescent="0.25">
      <c r="A147" s="8">
        <v>42585.593576388892</v>
      </c>
      <c r="B147" s="24" t="s">
        <v>114</v>
      </c>
      <c r="C147" s="24" t="s">
        <v>513</v>
      </c>
      <c r="D147" s="24">
        <v>2040000</v>
      </c>
      <c r="E147" s="24" t="s">
        <v>794</v>
      </c>
      <c r="F147" s="24" t="str">
        <f t="shared" si="4"/>
        <v>rtdc.l.rtdc.4007:itc</v>
      </c>
      <c r="G147" s="8">
        <f t="shared" si="5"/>
        <v>42585.593576388892</v>
      </c>
    </row>
    <row r="148" spans="1:7" x14ac:dyDescent="0.25">
      <c r="A148" s="8">
        <v>42586.248136574075</v>
      </c>
      <c r="B148" s="24" t="s">
        <v>153</v>
      </c>
      <c r="C148" s="24" t="s">
        <v>812</v>
      </c>
      <c r="D148" s="24">
        <v>1310000</v>
      </c>
      <c r="E148" s="24" t="s">
        <v>804</v>
      </c>
      <c r="F148" s="24" t="str">
        <f t="shared" si="4"/>
        <v>rtdc.l.rtdc.4011:itc</v>
      </c>
      <c r="G148" s="8">
        <f t="shared" si="5"/>
        <v>42586.248136574075</v>
      </c>
    </row>
    <row r="149" spans="1:7" x14ac:dyDescent="0.25">
      <c r="A149" s="8">
        <v>42585.352361111109</v>
      </c>
      <c r="B149" s="24" t="s">
        <v>101</v>
      </c>
      <c r="C149" s="24" t="s">
        <v>572</v>
      </c>
      <c r="D149" s="24">
        <v>900000</v>
      </c>
      <c r="E149" s="24" t="s">
        <v>201</v>
      </c>
      <c r="F149" s="24" t="str">
        <f t="shared" si="4"/>
        <v>rtdc.l.rtdc.4038:itc</v>
      </c>
      <c r="G149" s="8">
        <f t="shared" si="5"/>
        <v>42585.352361111109</v>
      </c>
    </row>
    <row r="150" spans="1:7" x14ac:dyDescent="0.25">
      <c r="A150" s="8">
        <v>42586.254884259259</v>
      </c>
      <c r="B150" s="24" t="s">
        <v>146</v>
      </c>
      <c r="C150" s="24" t="s">
        <v>813</v>
      </c>
      <c r="D150" s="24">
        <v>1830000</v>
      </c>
      <c r="E150" s="24" t="s">
        <v>310</v>
      </c>
      <c r="F150" s="24" t="str">
        <f t="shared" si="4"/>
        <v>rtdc.l.rtdc.4041:itc</v>
      </c>
      <c r="G150" s="8">
        <f t="shared" si="5"/>
        <v>42586.254884259259</v>
      </c>
    </row>
    <row r="151" spans="1:7" x14ac:dyDescent="0.25">
      <c r="A151" s="8">
        <v>42585.348634259259</v>
      </c>
      <c r="B151" s="24" t="s">
        <v>105</v>
      </c>
      <c r="C151" s="24" t="s">
        <v>569</v>
      </c>
      <c r="D151" s="24">
        <v>1540000</v>
      </c>
      <c r="E151" s="24" t="s">
        <v>182</v>
      </c>
      <c r="F151" s="24" t="str">
        <f t="shared" si="4"/>
        <v>rtdc.l.rtdc.4025:itc</v>
      </c>
      <c r="G151" s="8">
        <f t="shared" si="5"/>
        <v>42585.348634259259</v>
      </c>
    </row>
    <row r="152" spans="1:7" x14ac:dyDescent="0.25">
      <c r="A152" s="8">
        <v>42586.296122685184</v>
      </c>
      <c r="B152" s="24" t="s">
        <v>112</v>
      </c>
      <c r="C152" s="24" t="s">
        <v>814</v>
      </c>
      <c r="D152" s="24">
        <v>1760000</v>
      </c>
      <c r="E152" s="24" t="s">
        <v>463</v>
      </c>
      <c r="F152" s="24" t="str">
        <f t="shared" si="4"/>
        <v>rtdc.l.rtdc.4008:itc</v>
      </c>
      <c r="G152" s="8">
        <f t="shared" si="5"/>
        <v>42586.296122685184</v>
      </c>
    </row>
    <row r="153" spans="1:7" x14ac:dyDescent="0.25">
      <c r="A153" s="8">
        <v>42585.344652777778</v>
      </c>
      <c r="B153" s="24" t="s">
        <v>155</v>
      </c>
      <c r="C153" s="24" t="s">
        <v>563</v>
      </c>
      <c r="D153" s="24">
        <v>1260000</v>
      </c>
      <c r="E153" s="24" t="s">
        <v>180</v>
      </c>
      <c r="F153" s="24" t="str">
        <f t="shared" si="4"/>
        <v>rtdc.l.rtdc.4012:itc</v>
      </c>
      <c r="G153" s="8">
        <f t="shared" si="5"/>
        <v>42585.344652777778</v>
      </c>
    </row>
    <row r="154" spans="1:7" x14ac:dyDescent="0.25">
      <c r="A154" s="8">
        <v>42584.819398148145</v>
      </c>
      <c r="B154" s="24" t="s">
        <v>134</v>
      </c>
      <c r="C154" s="24" t="s">
        <v>432</v>
      </c>
      <c r="D154" s="24">
        <v>2150000</v>
      </c>
      <c r="E154" s="24" t="s">
        <v>309</v>
      </c>
      <c r="F154" s="24" t="str">
        <f t="shared" si="4"/>
        <v>rtdc.l.rtdc.4016:itc</v>
      </c>
      <c r="G154" s="8">
        <f t="shared" si="5"/>
        <v>42584.819398148145</v>
      </c>
    </row>
    <row r="155" spans="1:7" x14ac:dyDescent="0.25">
      <c r="A155" s="8">
        <v>42585.323125000003</v>
      </c>
      <c r="B155" s="24" t="s">
        <v>70</v>
      </c>
      <c r="C155" s="24" t="s">
        <v>558</v>
      </c>
      <c r="D155" s="24">
        <v>2010000</v>
      </c>
      <c r="E155" s="24" t="s">
        <v>288</v>
      </c>
      <c r="F155" s="24" t="str">
        <f t="shared" si="4"/>
        <v>rtdc.l.rtdc.4017:itc</v>
      </c>
      <c r="G155" s="8">
        <f t="shared" si="5"/>
        <v>42585.323125000003</v>
      </c>
    </row>
    <row r="156" spans="1:7" x14ac:dyDescent="0.25">
      <c r="A156" s="8">
        <v>42584.876226851855</v>
      </c>
      <c r="B156" s="24" t="s">
        <v>171</v>
      </c>
      <c r="C156" s="24" t="s">
        <v>451</v>
      </c>
      <c r="D156" s="24">
        <v>1480000</v>
      </c>
      <c r="E156" s="24" t="s">
        <v>102</v>
      </c>
      <c r="F156" s="24" t="str">
        <f t="shared" si="4"/>
        <v>rtdc.l.rtdc.4031:itc</v>
      </c>
      <c r="G156" s="8">
        <f t="shared" si="5"/>
        <v>42584.876226851855</v>
      </c>
    </row>
    <row r="157" spans="1:7" x14ac:dyDescent="0.25">
      <c r="A157" s="8">
        <v>42585.308425925927</v>
      </c>
      <c r="B157" s="24" t="s">
        <v>153</v>
      </c>
      <c r="C157" s="24" t="s">
        <v>561</v>
      </c>
      <c r="D157" s="24">
        <v>1260000</v>
      </c>
      <c r="E157" s="24" t="s">
        <v>180</v>
      </c>
      <c r="F157" s="24" t="str">
        <f t="shared" si="4"/>
        <v>rtdc.l.rtdc.4011:itc</v>
      </c>
      <c r="G157" s="8">
        <f t="shared" si="5"/>
        <v>42585.308425925927</v>
      </c>
    </row>
    <row r="158" spans="1:7" x14ac:dyDescent="0.25">
      <c r="A158" s="8">
        <v>42584.906365740739</v>
      </c>
      <c r="B158" s="24" t="s">
        <v>68</v>
      </c>
      <c r="C158" s="24" t="s">
        <v>417</v>
      </c>
      <c r="D158" s="24">
        <v>1230000</v>
      </c>
      <c r="E158" s="24" t="s">
        <v>154</v>
      </c>
      <c r="F158" s="24" t="str">
        <f t="shared" si="4"/>
        <v>rtdc.l.rtdc.4020:itc</v>
      </c>
      <c r="G158" s="8">
        <f t="shared" si="5"/>
        <v>42584.906365740739</v>
      </c>
    </row>
    <row r="159" spans="1:7" x14ac:dyDescent="0.25">
      <c r="A159" s="8">
        <v>42585.248831018522</v>
      </c>
      <c r="B159" s="24" t="s">
        <v>371</v>
      </c>
      <c r="C159" s="24" t="s">
        <v>465</v>
      </c>
      <c r="D159" s="24">
        <v>1760000</v>
      </c>
      <c r="E159" s="24" t="s">
        <v>463</v>
      </c>
      <c r="F159" s="24" t="str">
        <f t="shared" si="4"/>
        <v>rtdc.l.rtdc.4044:itc</v>
      </c>
      <c r="G159" s="8">
        <f t="shared" si="5"/>
        <v>42585.248831018522</v>
      </c>
    </row>
    <row r="160" spans="1:7" x14ac:dyDescent="0.25">
      <c r="A160" s="8">
        <v>42584.952407407407</v>
      </c>
      <c r="B160" s="24" t="s">
        <v>67</v>
      </c>
      <c r="C160" s="24" t="s">
        <v>418</v>
      </c>
      <c r="D160" s="24">
        <v>1230000</v>
      </c>
      <c r="E160" s="24" t="s">
        <v>154</v>
      </c>
      <c r="F160" s="24" t="str">
        <f t="shared" si="4"/>
        <v>rtdc.l.rtdc.4019:itc</v>
      </c>
      <c r="G160" s="8">
        <f t="shared" si="5"/>
        <v>42584.952407407407</v>
      </c>
    </row>
    <row r="161" spans="1:7" x14ac:dyDescent="0.25">
      <c r="A161" s="8">
        <v>42585.243877314817</v>
      </c>
      <c r="B161" s="24" t="s">
        <v>200</v>
      </c>
      <c r="C161" s="24" t="s">
        <v>466</v>
      </c>
      <c r="D161" s="24">
        <v>900000</v>
      </c>
      <c r="E161" s="24" t="s">
        <v>201</v>
      </c>
      <c r="F161" s="24" t="str">
        <f t="shared" si="4"/>
        <v>rtdc.l.rtdc.4037:itc</v>
      </c>
      <c r="G161" s="8">
        <f t="shared" si="5"/>
        <v>42585.243877314817</v>
      </c>
    </row>
    <row r="162" spans="1:7" x14ac:dyDescent="0.25">
      <c r="A162" s="8">
        <v>42584.976041666669</v>
      </c>
      <c r="B162" s="24" t="s">
        <v>105</v>
      </c>
      <c r="C162" s="24" t="s">
        <v>382</v>
      </c>
      <c r="D162" s="24">
        <v>1290000</v>
      </c>
      <c r="E162" s="24" t="s">
        <v>151</v>
      </c>
      <c r="F162" s="24" t="str">
        <f t="shared" si="4"/>
        <v>rtdc.l.rtdc.4025:itc</v>
      </c>
      <c r="G162" s="8">
        <f t="shared" si="5"/>
        <v>42584.976041666669</v>
      </c>
    </row>
    <row r="163" spans="1:7" x14ac:dyDescent="0.25">
      <c r="A163" s="8">
        <v>42585.210821759261</v>
      </c>
      <c r="B163" s="24" t="s">
        <v>373</v>
      </c>
      <c r="C163" s="24" t="s">
        <v>467</v>
      </c>
      <c r="D163" s="24">
        <v>1760000</v>
      </c>
      <c r="E163" s="24" t="s">
        <v>463</v>
      </c>
      <c r="F163" s="24" t="str">
        <f t="shared" si="4"/>
        <v>rtdc.l.rtdc.4039:itc</v>
      </c>
      <c r="G163" s="8">
        <f t="shared" si="5"/>
        <v>42585.210821759261</v>
      </c>
    </row>
    <row r="164" spans="1:7" x14ac:dyDescent="0.25">
      <c r="A164" s="8">
        <v>42584.993263888886</v>
      </c>
      <c r="B164" s="24" t="s">
        <v>146</v>
      </c>
      <c r="C164" s="24" t="s">
        <v>423</v>
      </c>
      <c r="D164" s="24">
        <v>2140000</v>
      </c>
      <c r="E164" s="24" t="s">
        <v>374</v>
      </c>
      <c r="F164" s="24" t="str">
        <f t="shared" si="4"/>
        <v>rtdc.l.rtdc.4041:itc</v>
      </c>
      <c r="G164" s="8">
        <f t="shared" si="5"/>
        <v>42584.993263888886</v>
      </c>
    </row>
    <row r="165" spans="1:7" x14ac:dyDescent="0.25">
      <c r="A165" s="8">
        <v>42585.180833333332</v>
      </c>
      <c r="B165" s="24" t="s">
        <v>76</v>
      </c>
      <c r="C165" s="24" t="s">
        <v>468</v>
      </c>
      <c r="D165" s="24">
        <v>1090000</v>
      </c>
      <c r="E165" s="24" t="s">
        <v>111</v>
      </c>
      <c r="F165" s="24" t="str">
        <f t="shared" si="4"/>
        <v>rtdc.l.rtdc.4042:itc</v>
      </c>
      <c r="G165" s="8">
        <f t="shared" si="5"/>
        <v>42585.180833333332</v>
      </c>
    </row>
    <row r="166" spans="1:7" x14ac:dyDescent="0.25">
      <c r="A166" s="8">
        <v>42585.019641203704</v>
      </c>
      <c r="B166" s="24" t="s">
        <v>146</v>
      </c>
      <c r="C166" s="24" t="s">
        <v>423</v>
      </c>
      <c r="D166" s="24">
        <v>2140000</v>
      </c>
      <c r="E166" s="24" t="s">
        <v>374</v>
      </c>
      <c r="F166" s="24" t="str">
        <f t="shared" si="4"/>
        <v>rtdc.l.rtdc.4041:itc</v>
      </c>
      <c r="G166" s="8">
        <f t="shared" si="5"/>
        <v>42585.019641203704</v>
      </c>
    </row>
    <row r="167" spans="1:7" x14ac:dyDescent="0.25">
      <c r="A167" s="8">
        <v>42585.067488425928</v>
      </c>
      <c r="B167" s="24" t="s">
        <v>68</v>
      </c>
      <c r="C167" s="24" t="s">
        <v>434</v>
      </c>
      <c r="D167" s="24">
        <v>1230000</v>
      </c>
      <c r="E167" s="24" t="s">
        <v>154</v>
      </c>
      <c r="F167" s="24" t="str">
        <f t="shared" si="4"/>
        <v>rtdc.l.rtdc.4020:itc</v>
      </c>
      <c r="G167" s="8">
        <f t="shared" si="5"/>
        <v>42585.067488425928</v>
      </c>
    </row>
    <row r="168" spans="1:7" x14ac:dyDescent="0.25">
      <c r="A168" s="8">
        <v>42585.024027777778</v>
      </c>
      <c r="B168" s="24" t="s">
        <v>107</v>
      </c>
      <c r="C168" s="24" t="s">
        <v>428</v>
      </c>
      <c r="D168" s="24">
        <v>1800000</v>
      </c>
      <c r="E168" s="24" t="s">
        <v>178</v>
      </c>
      <c r="F168" s="24" t="str">
        <f t="shared" si="4"/>
        <v>rtdc.l.rtdc.4029:itc</v>
      </c>
      <c r="G168" s="8">
        <f t="shared" si="5"/>
        <v>42585.024027777778</v>
      </c>
    </row>
    <row r="169" spans="1:7" x14ac:dyDescent="0.25">
      <c r="A169" s="8">
        <v>42585.047847222224</v>
      </c>
      <c r="B169" s="24" t="s">
        <v>105</v>
      </c>
      <c r="C169" s="24" t="s">
        <v>469</v>
      </c>
      <c r="D169" s="24">
        <v>1290000</v>
      </c>
      <c r="E169" s="24" t="s">
        <v>151</v>
      </c>
      <c r="F169" s="24" t="str">
        <f t="shared" si="4"/>
        <v>rtdc.l.rtdc.4025:itc</v>
      </c>
      <c r="G169" s="8">
        <f t="shared" si="5"/>
        <v>42585.047847222224</v>
      </c>
    </row>
    <row r="170" spans="1:7" x14ac:dyDescent="0.25">
      <c r="A170" s="8">
        <v>42585.182685185187</v>
      </c>
      <c r="B170" s="24" t="s">
        <v>103</v>
      </c>
      <c r="C170" s="24" t="s">
        <v>486</v>
      </c>
      <c r="D170" s="24">
        <v>1540000</v>
      </c>
      <c r="E170" s="24" t="s">
        <v>182</v>
      </c>
      <c r="F170" s="24" t="str">
        <f t="shared" si="4"/>
        <v>rtdc.l.rtdc.4026:itc</v>
      </c>
      <c r="G170" s="8">
        <f t="shared" si="5"/>
        <v>42585.182685185187</v>
      </c>
    </row>
    <row r="171" spans="1:7" x14ac:dyDescent="0.25">
      <c r="A171" s="8">
        <v>42585.04283564815</v>
      </c>
      <c r="B171" s="24" t="s">
        <v>76</v>
      </c>
      <c r="C171" s="24" t="s">
        <v>433</v>
      </c>
      <c r="D171" s="24">
        <v>2140000</v>
      </c>
      <c r="E171" s="24" t="s">
        <v>374</v>
      </c>
      <c r="F171" s="24" t="str">
        <f t="shared" si="4"/>
        <v>rtdc.l.rtdc.4042:itc</v>
      </c>
      <c r="G171" s="8">
        <f t="shared" si="5"/>
        <v>42585.04283564815</v>
      </c>
    </row>
    <row r="172" spans="1:7" x14ac:dyDescent="0.25">
      <c r="A172" s="8">
        <v>42585.217939814815</v>
      </c>
      <c r="B172" s="24" t="s">
        <v>133</v>
      </c>
      <c r="C172" s="24" t="s">
        <v>487</v>
      </c>
      <c r="D172" s="24">
        <v>1110000</v>
      </c>
      <c r="E172" s="24" t="s">
        <v>117</v>
      </c>
      <c r="F172" s="24" t="str">
        <f t="shared" si="4"/>
        <v>rtdc.l.rtdc.4015:itc</v>
      </c>
      <c r="G172" s="8">
        <f t="shared" si="5"/>
        <v>42585.217939814815</v>
      </c>
    </row>
    <row r="173" spans="1:7" x14ac:dyDescent="0.25">
      <c r="A173" s="8">
        <v>42585.03496527778</v>
      </c>
      <c r="B173" s="24" t="s">
        <v>67</v>
      </c>
      <c r="C173" s="24" t="s">
        <v>427</v>
      </c>
      <c r="D173" s="24">
        <v>1230000</v>
      </c>
      <c r="E173" s="24" t="s">
        <v>154</v>
      </c>
      <c r="F173" s="24" t="str">
        <f t="shared" si="4"/>
        <v>rtdc.l.rtdc.4019:itc</v>
      </c>
      <c r="G173" s="8">
        <f t="shared" si="5"/>
        <v>42585.03496527778</v>
      </c>
    </row>
    <row r="174" spans="1:7" x14ac:dyDescent="0.25">
      <c r="A174" s="8">
        <v>42585.249837962961</v>
      </c>
      <c r="B174" s="24" t="s">
        <v>70</v>
      </c>
      <c r="C174" s="24" t="s">
        <v>488</v>
      </c>
      <c r="D174" s="24">
        <v>2010000</v>
      </c>
      <c r="E174" s="24" t="s">
        <v>288</v>
      </c>
      <c r="F174" s="24" t="str">
        <f t="shared" si="4"/>
        <v>rtdc.l.rtdc.4017:itc</v>
      </c>
      <c r="G174" s="8">
        <f t="shared" si="5"/>
        <v>42585.249837962961</v>
      </c>
    </row>
    <row r="175" spans="1:7" x14ac:dyDescent="0.25">
      <c r="A175" s="8">
        <v>42584.931296296294</v>
      </c>
      <c r="B175" s="24" t="s">
        <v>103</v>
      </c>
      <c r="C175" s="24" t="s">
        <v>416</v>
      </c>
      <c r="D175" s="24">
        <v>1290000</v>
      </c>
      <c r="E175" s="24" t="s">
        <v>151</v>
      </c>
      <c r="F175" s="24" t="str">
        <f t="shared" si="4"/>
        <v>rtdc.l.rtdc.4026:itc</v>
      </c>
      <c r="G175" s="8">
        <f t="shared" si="5"/>
        <v>42584.931296296294</v>
      </c>
    </row>
    <row r="176" spans="1:7" x14ac:dyDescent="0.25">
      <c r="A176" s="8">
        <v>42585.256655092591</v>
      </c>
      <c r="B176" s="24" t="s">
        <v>76</v>
      </c>
      <c r="C176" s="24" t="s">
        <v>489</v>
      </c>
      <c r="D176" s="24">
        <v>1090000</v>
      </c>
      <c r="E176" s="24" t="s">
        <v>111</v>
      </c>
      <c r="F176" s="24" t="str">
        <f t="shared" si="4"/>
        <v>rtdc.l.rtdc.4042:itc</v>
      </c>
      <c r="G176" s="8">
        <f t="shared" si="5"/>
        <v>42585.256655092591</v>
      </c>
    </row>
    <row r="177" spans="1:7" x14ac:dyDescent="0.25">
      <c r="A177" s="8">
        <v>42584.909421296295</v>
      </c>
      <c r="B177" s="24" t="s">
        <v>146</v>
      </c>
      <c r="C177" s="24" t="s">
        <v>414</v>
      </c>
      <c r="D177" s="24">
        <v>2140000</v>
      </c>
      <c r="E177" s="24" t="s">
        <v>374</v>
      </c>
      <c r="F177" s="24" t="str">
        <f t="shared" si="4"/>
        <v>rtdc.l.rtdc.4041:itc</v>
      </c>
      <c r="G177" s="8">
        <f t="shared" si="5"/>
        <v>42584.909421296295</v>
      </c>
    </row>
    <row r="178" spans="1:7" x14ac:dyDescent="0.25">
      <c r="A178" s="8">
        <v>42585.291562500002</v>
      </c>
      <c r="B178" s="24" t="s">
        <v>146</v>
      </c>
      <c r="C178" s="24" t="s">
        <v>490</v>
      </c>
      <c r="D178" s="24">
        <v>1090000</v>
      </c>
      <c r="E178" s="24" t="s">
        <v>111</v>
      </c>
      <c r="F178" s="24" t="str">
        <f t="shared" si="4"/>
        <v>rtdc.l.rtdc.4041:itc</v>
      </c>
      <c r="G178" s="8">
        <f t="shared" si="5"/>
        <v>42585.291562500002</v>
      </c>
    </row>
    <row r="179" spans="1:7" x14ac:dyDescent="0.25">
      <c r="A179" s="8">
        <v>42584.866516203707</v>
      </c>
      <c r="B179" s="24" t="s">
        <v>76</v>
      </c>
      <c r="C179" s="24" t="s">
        <v>413</v>
      </c>
      <c r="D179" s="24">
        <v>2140000</v>
      </c>
      <c r="E179" s="24" t="s">
        <v>374</v>
      </c>
      <c r="F179" s="24" t="str">
        <f t="shared" si="4"/>
        <v>rtdc.l.rtdc.4042:itc</v>
      </c>
      <c r="G179" s="8">
        <f t="shared" si="5"/>
        <v>42584.866516203707</v>
      </c>
    </row>
    <row r="180" spans="1:7" x14ac:dyDescent="0.25">
      <c r="A180" s="8">
        <v>42585.329317129632</v>
      </c>
      <c r="B180" s="24" t="s">
        <v>76</v>
      </c>
      <c r="C180" s="24" t="s">
        <v>566</v>
      </c>
      <c r="D180" s="24">
        <v>1090000</v>
      </c>
      <c r="E180" s="24" t="s">
        <v>111</v>
      </c>
      <c r="F180" s="24" t="str">
        <f t="shared" si="4"/>
        <v>rtdc.l.rtdc.4042:itc</v>
      </c>
      <c r="G180" s="8">
        <f t="shared" si="5"/>
        <v>42585.329317129632</v>
      </c>
    </row>
    <row r="181" spans="1:7" x14ac:dyDescent="0.25">
      <c r="A181" s="8">
        <v>42584.850023148145</v>
      </c>
      <c r="B181" s="24" t="s">
        <v>103</v>
      </c>
      <c r="C181" s="24" t="s">
        <v>410</v>
      </c>
      <c r="D181" s="24">
        <v>1290000</v>
      </c>
      <c r="E181" s="24" t="s">
        <v>151</v>
      </c>
      <c r="F181" s="24" t="str">
        <f t="shared" si="4"/>
        <v>rtdc.l.rtdc.4026:itc</v>
      </c>
      <c r="G181" s="8">
        <f t="shared" si="5"/>
        <v>42584.850023148145</v>
      </c>
    </row>
    <row r="182" spans="1:7" x14ac:dyDescent="0.25">
      <c r="A182" s="8">
        <v>42585.340844907405</v>
      </c>
      <c r="B182" s="24" t="s">
        <v>105</v>
      </c>
      <c r="C182" s="24" t="s">
        <v>569</v>
      </c>
      <c r="D182" s="24">
        <v>1540000</v>
      </c>
      <c r="E182" s="24" t="s">
        <v>182</v>
      </c>
      <c r="F182" s="24" t="str">
        <f t="shared" si="4"/>
        <v>rtdc.l.rtdc.4025:itc</v>
      </c>
      <c r="G182" s="8">
        <f t="shared" si="5"/>
        <v>42585.340844907405</v>
      </c>
    </row>
    <row r="183" spans="1:7" x14ac:dyDescent="0.25">
      <c r="A183" s="8">
        <v>42584.842777777776</v>
      </c>
      <c r="B183" s="24" t="s">
        <v>171</v>
      </c>
      <c r="C183" s="24" t="s">
        <v>449</v>
      </c>
      <c r="D183" s="24">
        <v>1770000</v>
      </c>
      <c r="E183" s="24" t="s">
        <v>175</v>
      </c>
      <c r="F183" s="24" t="str">
        <f t="shared" si="4"/>
        <v>rtdc.l.rtdc.4031:itc</v>
      </c>
      <c r="G183" s="8">
        <f t="shared" si="5"/>
        <v>42584.842777777776</v>
      </c>
    </row>
    <row r="184" spans="1:7" x14ac:dyDescent="0.25">
      <c r="A184" s="8">
        <v>42585.361087962963</v>
      </c>
      <c r="B184" s="24" t="s">
        <v>112</v>
      </c>
      <c r="C184" s="24" t="s">
        <v>735</v>
      </c>
      <c r="D184" s="24">
        <v>2100000</v>
      </c>
      <c r="E184" s="24" t="s">
        <v>370</v>
      </c>
      <c r="F184" s="24" t="str">
        <f t="shared" si="4"/>
        <v>rtdc.l.rtdc.4008:itc</v>
      </c>
      <c r="G184" s="8">
        <f t="shared" si="5"/>
        <v>42585.361087962963</v>
      </c>
    </row>
    <row r="185" spans="1:7" x14ac:dyDescent="0.25">
      <c r="A185" s="8">
        <v>42584.840914351851</v>
      </c>
      <c r="B185" s="24" t="s">
        <v>68</v>
      </c>
      <c r="C185" s="24" t="s">
        <v>411</v>
      </c>
      <c r="D185" s="24">
        <v>2090000</v>
      </c>
      <c r="E185" s="24" t="s">
        <v>369</v>
      </c>
      <c r="F185" s="24" t="str">
        <f t="shared" si="4"/>
        <v>rtdc.l.rtdc.4020:itc</v>
      </c>
      <c r="G185" s="8">
        <f t="shared" si="5"/>
        <v>42584.840914351851</v>
      </c>
    </row>
    <row r="186" spans="1:7" x14ac:dyDescent="0.25">
      <c r="A186" s="8">
        <v>42585.409432870372</v>
      </c>
      <c r="B186" s="24" t="s">
        <v>104</v>
      </c>
      <c r="C186" s="24" t="s">
        <v>503</v>
      </c>
      <c r="D186" s="24">
        <v>1190000</v>
      </c>
      <c r="E186" s="24" t="s">
        <v>145</v>
      </c>
      <c r="F186" s="24" t="str">
        <f t="shared" si="4"/>
        <v>rtdc.l.rtdc.4013:itc</v>
      </c>
      <c r="G186" s="8">
        <f t="shared" si="5"/>
        <v>42585.409432870372</v>
      </c>
    </row>
    <row r="187" spans="1:7" x14ac:dyDescent="0.25">
      <c r="A187" s="8">
        <v>42584.807939814818</v>
      </c>
      <c r="B187" s="24" t="s">
        <v>144</v>
      </c>
      <c r="C187" s="24" t="s">
        <v>406</v>
      </c>
      <c r="D187" s="24">
        <v>1800000</v>
      </c>
      <c r="E187" s="24" t="s">
        <v>178</v>
      </c>
      <c r="F187" s="24" t="str">
        <f t="shared" si="4"/>
        <v>rtdc.l.rtdc.4010:itc</v>
      </c>
      <c r="G187" s="8">
        <f t="shared" si="5"/>
        <v>42584.807939814818</v>
      </c>
    </row>
    <row r="188" spans="1:7" x14ac:dyDescent="0.25">
      <c r="A188" s="8">
        <v>42585.414293981485</v>
      </c>
      <c r="B188" s="24" t="s">
        <v>105</v>
      </c>
      <c r="C188" s="24" t="s">
        <v>587</v>
      </c>
      <c r="D188" s="24">
        <v>1540000</v>
      </c>
      <c r="E188" s="24" t="s">
        <v>182</v>
      </c>
      <c r="F188" s="24" t="str">
        <f t="shared" si="4"/>
        <v>rtdc.l.rtdc.4025:itc</v>
      </c>
      <c r="G188" s="8">
        <f t="shared" si="5"/>
        <v>42585.414293981485</v>
      </c>
    </row>
    <row r="189" spans="1:7" x14ac:dyDescent="0.25">
      <c r="A189" s="8">
        <v>42586.296631944446</v>
      </c>
      <c r="B189" s="24" t="s">
        <v>146</v>
      </c>
      <c r="C189" s="24" t="s">
        <v>815</v>
      </c>
      <c r="D189" s="24">
        <v>1830000</v>
      </c>
      <c r="E189" s="24" t="s">
        <v>310</v>
      </c>
      <c r="F189" s="24" t="str">
        <f t="shared" si="4"/>
        <v>rtdc.l.rtdc.4041:itc</v>
      </c>
      <c r="G189" s="8">
        <f t="shared" si="5"/>
        <v>42586.296631944446</v>
      </c>
    </row>
    <row r="190" spans="1:7" x14ac:dyDescent="0.25">
      <c r="A190" s="8">
        <v>42585.444907407407</v>
      </c>
      <c r="B190" s="24" t="s">
        <v>112</v>
      </c>
      <c r="C190" s="24" t="s">
        <v>742</v>
      </c>
      <c r="D190" s="24">
        <v>2100000</v>
      </c>
      <c r="E190" s="24" t="s">
        <v>370</v>
      </c>
      <c r="F190" s="24" t="str">
        <f t="shared" si="4"/>
        <v>rtdc.l.rtdc.4008:itc</v>
      </c>
      <c r="G190" s="8">
        <f t="shared" si="5"/>
        <v>42585.444907407407</v>
      </c>
    </row>
    <row r="191" spans="1:7" x14ac:dyDescent="0.25">
      <c r="A191" s="8">
        <v>42586.21702546296</v>
      </c>
      <c r="B191" s="24" t="s">
        <v>171</v>
      </c>
      <c r="C191" s="24" t="s">
        <v>799</v>
      </c>
      <c r="D191" s="24">
        <v>2010000</v>
      </c>
      <c r="E191" s="24" t="s">
        <v>288</v>
      </c>
      <c r="F191" s="24" t="str">
        <f t="shared" si="4"/>
        <v>rtdc.l.rtdc.4031:itc</v>
      </c>
      <c r="G191" s="8">
        <f t="shared" si="5"/>
        <v>42586.21702546296</v>
      </c>
    </row>
    <row r="192" spans="1:7" x14ac:dyDescent="0.25">
      <c r="A192" s="8">
        <v>42585.466273148151</v>
      </c>
      <c r="B192" s="24" t="s">
        <v>371</v>
      </c>
      <c r="C192" s="24" t="s">
        <v>599</v>
      </c>
      <c r="D192" s="24">
        <v>1280000</v>
      </c>
      <c r="E192" s="24" t="s">
        <v>179</v>
      </c>
      <c r="F192" s="24" t="str">
        <f t="shared" si="4"/>
        <v>rtdc.l.rtdc.4044:itc</v>
      </c>
      <c r="G192" s="8">
        <f t="shared" si="5"/>
        <v>42585.466273148151</v>
      </c>
    </row>
    <row r="193" spans="1:7" x14ac:dyDescent="0.25">
      <c r="A193" s="8">
        <v>42586.214467592596</v>
      </c>
      <c r="B193" s="24" t="s">
        <v>200</v>
      </c>
      <c r="C193" s="24" t="s">
        <v>816</v>
      </c>
      <c r="D193" s="24">
        <v>1310000</v>
      </c>
      <c r="E193" s="24" t="s">
        <v>804</v>
      </c>
      <c r="F193" s="24" t="str">
        <f t="shared" si="4"/>
        <v>rtdc.l.rtdc.4037:itc</v>
      </c>
      <c r="G193" s="8">
        <f t="shared" si="5"/>
        <v>42586.214467592596</v>
      </c>
    </row>
    <row r="194" spans="1:7" x14ac:dyDescent="0.25">
      <c r="A194" s="8">
        <v>42585.479884259257</v>
      </c>
      <c r="B194" s="24" t="s">
        <v>104</v>
      </c>
      <c r="C194" s="24" t="s">
        <v>596</v>
      </c>
      <c r="D194" s="24">
        <v>1190000</v>
      </c>
      <c r="E194" s="24" t="s">
        <v>145</v>
      </c>
      <c r="F194" s="24" t="str">
        <f t="shared" ref="F194:F235" si="6">B194</f>
        <v>rtdc.l.rtdc.4013:itc</v>
      </c>
      <c r="G194" s="8">
        <f t="shared" ref="G194:G235" si="7">A194</f>
        <v>42585.479884259257</v>
      </c>
    </row>
    <row r="195" spans="1:7" x14ac:dyDescent="0.25">
      <c r="A195" s="8">
        <v>42586.213865740741</v>
      </c>
      <c r="B195" s="24" t="s">
        <v>200</v>
      </c>
      <c r="C195" s="24" t="s">
        <v>816</v>
      </c>
      <c r="D195" s="24">
        <v>1310000</v>
      </c>
      <c r="E195" s="24" t="s">
        <v>804</v>
      </c>
      <c r="F195" s="24" t="str">
        <f t="shared" si="6"/>
        <v>rtdc.l.rtdc.4037:itc</v>
      </c>
      <c r="G195" s="8">
        <f t="shared" si="7"/>
        <v>42586.213865740741</v>
      </c>
    </row>
    <row r="196" spans="1:7" x14ac:dyDescent="0.25">
      <c r="A196" s="8">
        <v>42585.502627314818</v>
      </c>
      <c r="B196" s="24" t="s">
        <v>311</v>
      </c>
      <c r="C196" s="24" t="s">
        <v>600</v>
      </c>
      <c r="D196" s="24">
        <v>1280000</v>
      </c>
      <c r="E196" s="24" t="s">
        <v>179</v>
      </c>
      <c r="F196" s="24" t="str">
        <f t="shared" si="6"/>
        <v>rtdc.l.rtdc.4043:itc</v>
      </c>
      <c r="G196" s="8">
        <f t="shared" si="7"/>
        <v>42585.502627314818</v>
      </c>
    </row>
    <row r="197" spans="1:7" x14ac:dyDescent="0.25">
      <c r="A197" s="8">
        <v>42586.13212962963</v>
      </c>
      <c r="B197" s="24" t="s">
        <v>68</v>
      </c>
      <c r="C197" s="24" t="s">
        <v>817</v>
      </c>
      <c r="D197" s="24">
        <v>2010000</v>
      </c>
      <c r="E197" s="24" t="s">
        <v>288</v>
      </c>
      <c r="F197" s="24" t="str">
        <f t="shared" si="6"/>
        <v>rtdc.l.rtdc.4020:itc</v>
      </c>
      <c r="G197" s="8">
        <f t="shared" si="7"/>
        <v>42586.13212962963</v>
      </c>
    </row>
    <row r="198" spans="1:7" x14ac:dyDescent="0.25">
      <c r="A198" s="8">
        <v>42585.510347222225</v>
      </c>
      <c r="B198" s="24" t="s">
        <v>69</v>
      </c>
      <c r="C198" s="24" t="s">
        <v>609</v>
      </c>
      <c r="D198" s="24">
        <v>1770000</v>
      </c>
      <c r="E198" s="24" t="s">
        <v>175</v>
      </c>
      <c r="F198" s="24" t="str">
        <f t="shared" si="6"/>
        <v>rtdc.l.rtdc.4018:itc</v>
      </c>
      <c r="G198" s="8">
        <f t="shared" si="7"/>
        <v>42585.510347222225</v>
      </c>
    </row>
    <row r="199" spans="1:7" x14ac:dyDescent="0.25">
      <c r="A199" s="8">
        <v>42586.089085648149</v>
      </c>
      <c r="B199" s="24" t="s">
        <v>795</v>
      </c>
      <c r="C199" s="24" t="s">
        <v>709</v>
      </c>
      <c r="D199" s="24">
        <v>1290000</v>
      </c>
      <c r="E199" s="24" t="s">
        <v>151</v>
      </c>
      <c r="F199" s="24" t="str">
        <f t="shared" si="6"/>
        <v>rtdc.l.rtdc.4040:itc</v>
      </c>
      <c r="G199" s="8">
        <f t="shared" si="7"/>
        <v>42586.089085648149</v>
      </c>
    </row>
    <row r="200" spans="1:7" x14ac:dyDescent="0.25">
      <c r="A200" s="8">
        <v>42585.512083333335</v>
      </c>
      <c r="B200" s="24" t="s">
        <v>146</v>
      </c>
      <c r="C200" s="24" t="s">
        <v>507</v>
      </c>
      <c r="D200" s="24">
        <v>2030000</v>
      </c>
      <c r="E200" s="24" t="s">
        <v>798</v>
      </c>
      <c r="F200" s="24" t="str">
        <f t="shared" si="6"/>
        <v>rtdc.l.rtdc.4041:itc</v>
      </c>
      <c r="G200" s="8">
        <f t="shared" si="7"/>
        <v>42585.512083333335</v>
      </c>
    </row>
    <row r="201" spans="1:7" x14ac:dyDescent="0.25">
      <c r="A201" s="8">
        <v>42586.047453703701</v>
      </c>
      <c r="B201" s="24" t="s">
        <v>162</v>
      </c>
      <c r="C201" s="24" t="s">
        <v>707</v>
      </c>
      <c r="D201" s="24">
        <v>2090000</v>
      </c>
      <c r="E201" s="24" t="s">
        <v>369</v>
      </c>
      <c r="F201" s="24" t="str">
        <f t="shared" si="6"/>
        <v>rtdc.l.rtdc.4014:itc</v>
      </c>
      <c r="G201" s="8">
        <f t="shared" si="7"/>
        <v>42586.047453703701</v>
      </c>
    </row>
    <row r="202" spans="1:7" x14ac:dyDescent="0.25">
      <c r="A202" s="32">
        <v>42585.693020833336</v>
      </c>
      <c r="B202" s="24" t="s">
        <v>795</v>
      </c>
      <c r="C202" s="24" t="s">
        <v>649</v>
      </c>
      <c r="D202" s="24">
        <v>860000</v>
      </c>
      <c r="E202" s="24" t="s">
        <v>796</v>
      </c>
      <c r="F202" s="24" t="str">
        <f t="shared" si="6"/>
        <v>rtdc.l.rtdc.4040:itc</v>
      </c>
      <c r="G202" s="8">
        <f t="shared" si="7"/>
        <v>42585.693020833336</v>
      </c>
    </row>
    <row r="203" spans="1:7" x14ac:dyDescent="0.25">
      <c r="A203" s="8">
        <v>42586.017835648148</v>
      </c>
      <c r="B203" s="24" t="s">
        <v>795</v>
      </c>
      <c r="C203" s="24" t="s">
        <v>698</v>
      </c>
      <c r="D203" s="24">
        <v>1290000</v>
      </c>
      <c r="E203" s="24" t="s">
        <v>151</v>
      </c>
      <c r="F203" s="24" t="str">
        <f t="shared" si="6"/>
        <v>rtdc.l.rtdc.4040:itc</v>
      </c>
      <c r="G203" s="8">
        <f t="shared" si="7"/>
        <v>42586.017835648148</v>
      </c>
    </row>
    <row r="204" spans="1:7" x14ac:dyDescent="0.25">
      <c r="A204" s="8">
        <v>42585.524189814816</v>
      </c>
      <c r="B204" s="24" t="s">
        <v>103</v>
      </c>
      <c r="C204" s="24" t="s">
        <v>508</v>
      </c>
      <c r="D204" s="24">
        <v>1750000</v>
      </c>
      <c r="E204" s="24" t="s">
        <v>181</v>
      </c>
      <c r="F204" s="24" t="str">
        <f t="shared" si="6"/>
        <v>rtdc.l.rtdc.4026:itc</v>
      </c>
      <c r="G204" s="8">
        <f t="shared" si="7"/>
        <v>42585.524189814816</v>
      </c>
    </row>
    <row r="205" spans="1:7" x14ac:dyDescent="0.25">
      <c r="A205" s="8">
        <v>42585.93472222222</v>
      </c>
      <c r="B205" s="24" t="s">
        <v>795</v>
      </c>
      <c r="C205" s="24" t="s">
        <v>688</v>
      </c>
      <c r="D205" s="24">
        <v>1290000</v>
      </c>
      <c r="E205" s="24" t="s">
        <v>151</v>
      </c>
      <c r="F205" s="24" t="str">
        <f t="shared" si="6"/>
        <v>rtdc.l.rtdc.4040:itc</v>
      </c>
      <c r="G205" s="8">
        <f t="shared" si="7"/>
        <v>42585.93472222222</v>
      </c>
    </row>
    <row r="206" spans="1:7" x14ac:dyDescent="0.25">
      <c r="A206" s="8">
        <v>42585.531944444447</v>
      </c>
      <c r="B206" s="24" t="s">
        <v>200</v>
      </c>
      <c r="C206" s="24" t="s">
        <v>510</v>
      </c>
      <c r="D206" s="24">
        <v>1740000</v>
      </c>
      <c r="E206" s="24" t="s">
        <v>337</v>
      </c>
      <c r="F206" s="24" t="str">
        <f t="shared" si="6"/>
        <v>rtdc.l.rtdc.4037:itc</v>
      </c>
      <c r="G206" s="8">
        <f t="shared" si="7"/>
        <v>42585.531944444447</v>
      </c>
    </row>
    <row r="207" spans="1:7" x14ac:dyDescent="0.25">
      <c r="A207" s="8">
        <v>42585.908206018517</v>
      </c>
      <c r="B207" s="24" t="s">
        <v>103</v>
      </c>
      <c r="C207" s="24" t="s">
        <v>683</v>
      </c>
      <c r="D207" s="24">
        <v>1480000</v>
      </c>
      <c r="E207" s="24" t="s">
        <v>102</v>
      </c>
      <c r="F207" s="24" t="str">
        <f t="shared" si="6"/>
        <v>rtdc.l.rtdc.4026:itc</v>
      </c>
      <c r="G207" s="8">
        <f t="shared" si="7"/>
        <v>42585.908206018517</v>
      </c>
    </row>
    <row r="208" spans="1:7" x14ac:dyDescent="0.25">
      <c r="A208" s="8">
        <v>42585.544722222221</v>
      </c>
      <c r="B208" s="24" t="s">
        <v>70</v>
      </c>
      <c r="C208" s="24" t="s">
        <v>511</v>
      </c>
      <c r="D208" s="24">
        <v>1770000</v>
      </c>
      <c r="E208" s="24" t="s">
        <v>175</v>
      </c>
      <c r="F208" s="24" t="str">
        <f t="shared" si="6"/>
        <v>rtdc.l.rtdc.4017:itc</v>
      </c>
      <c r="G208" s="8">
        <f t="shared" si="7"/>
        <v>42585.544722222221</v>
      </c>
    </row>
    <row r="209" spans="1:7" x14ac:dyDescent="0.25">
      <c r="A209" s="8">
        <v>42585.889525462961</v>
      </c>
      <c r="B209" s="24" t="s">
        <v>373</v>
      </c>
      <c r="C209" s="24" t="s">
        <v>680</v>
      </c>
      <c r="D209" s="24">
        <v>1290000</v>
      </c>
      <c r="E209" s="24" t="s">
        <v>151</v>
      </c>
      <c r="F209" s="24" t="str">
        <f t="shared" si="6"/>
        <v>rtdc.l.rtdc.4039:itc</v>
      </c>
      <c r="G209" s="8">
        <f t="shared" si="7"/>
        <v>42585.889525462961</v>
      </c>
    </row>
    <row r="210" spans="1:7" x14ac:dyDescent="0.25">
      <c r="A210" s="8">
        <v>42585.549004629633</v>
      </c>
      <c r="B210" s="24" t="s">
        <v>76</v>
      </c>
      <c r="C210" s="24" t="s">
        <v>509</v>
      </c>
      <c r="D210" s="24">
        <v>2030000</v>
      </c>
      <c r="E210" s="24" t="s">
        <v>798</v>
      </c>
      <c r="F210" s="24" t="str">
        <f t="shared" si="6"/>
        <v>rtdc.l.rtdc.4042:itc</v>
      </c>
      <c r="G210" s="8">
        <f t="shared" si="7"/>
        <v>42585.549004629633</v>
      </c>
    </row>
    <row r="211" spans="1:7" x14ac:dyDescent="0.25">
      <c r="A211" s="8">
        <v>42585.870486111111</v>
      </c>
      <c r="B211" s="24" t="s">
        <v>105</v>
      </c>
      <c r="C211" s="24" t="s">
        <v>681</v>
      </c>
      <c r="D211" s="24">
        <v>1480000</v>
      </c>
      <c r="E211" s="24" t="s">
        <v>102</v>
      </c>
      <c r="F211" s="24" t="str">
        <f t="shared" si="6"/>
        <v>rtdc.l.rtdc.4025:itc</v>
      </c>
      <c r="G211" s="8">
        <f t="shared" si="7"/>
        <v>42585.870486111111</v>
      </c>
    </row>
    <row r="212" spans="1:7" x14ac:dyDescent="0.25">
      <c r="A212" s="8">
        <v>42585.557766203703</v>
      </c>
      <c r="B212" s="24" t="s">
        <v>76</v>
      </c>
      <c r="C212" s="24" t="s">
        <v>509</v>
      </c>
      <c r="D212" s="24">
        <v>2030000</v>
      </c>
      <c r="E212" s="24" t="s">
        <v>798</v>
      </c>
      <c r="F212" s="24" t="str">
        <f t="shared" si="6"/>
        <v>rtdc.l.rtdc.4042:itc</v>
      </c>
      <c r="G212" s="8">
        <f t="shared" si="7"/>
        <v>42585.557766203703</v>
      </c>
    </row>
    <row r="213" spans="1:7" x14ac:dyDescent="0.25">
      <c r="A213" s="8">
        <v>42585.84715277778</v>
      </c>
      <c r="B213" s="24" t="s">
        <v>104</v>
      </c>
      <c r="C213" s="24" t="s">
        <v>674</v>
      </c>
      <c r="D213" s="24">
        <v>2090000</v>
      </c>
      <c r="E213" s="24" t="s">
        <v>369</v>
      </c>
      <c r="F213" s="24" t="str">
        <f t="shared" si="6"/>
        <v>rtdc.l.rtdc.4013:itc</v>
      </c>
      <c r="G213" s="8">
        <f t="shared" si="7"/>
        <v>42585.84715277778</v>
      </c>
    </row>
    <row r="214" spans="1:7" x14ac:dyDescent="0.25">
      <c r="A214" s="8">
        <v>42585.567037037035</v>
      </c>
      <c r="B214" s="24" t="s">
        <v>105</v>
      </c>
      <c r="C214" s="24" t="s">
        <v>512</v>
      </c>
      <c r="D214" s="24">
        <v>1750000</v>
      </c>
      <c r="E214" s="24" t="s">
        <v>181</v>
      </c>
      <c r="F214" s="24" t="str">
        <f t="shared" si="6"/>
        <v>rtdc.l.rtdc.4025:itc</v>
      </c>
      <c r="G214" s="8">
        <f t="shared" si="7"/>
        <v>42585.567037037035</v>
      </c>
    </row>
    <row r="215" spans="1:7" x14ac:dyDescent="0.25">
      <c r="A215" s="8">
        <v>42585.797800925924</v>
      </c>
      <c r="B215" s="24" t="s">
        <v>133</v>
      </c>
      <c r="C215" s="24" t="s">
        <v>771</v>
      </c>
      <c r="D215" s="24">
        <v>2140000</v>
      </c>
      <c r="E215" s="24" t="s">
        <v>374</v>
      </c>
      <c r="F215" s="24" t="str">
        <f t="shared" si="6"/>
        <v>rtdc.l.rtdc.4015:itc</v>
      </c>
      <c r="G215" s="8">
        <f t="shared" si="7"/>
        <v>42585.797800925924</v>
      </c>
    </row>
    <row r="216" spans="1:7" x14ac:dyDescent="0.25">
      <c r="A216" s="8">
        <v>42585.580775462964</v>
      </c>
      <c r="B216" s="24" t="s">
        <v>69</v>
      </c>
      <c r="C216" s="24" t="s">
        <v>623</v>
      </c>
      <c r="D216" s="24">
        <v>1770000</v>
      </c>
      <c r="E216" s="24" t="s">
        <v>175</v>
      </c>
      <c r="F216" s="24" t="str">
        <f t="shared" si="6"/>
        <v>rtdc.l.rtdc.4018:itc</v>
      </c>
      <c r="G216" s="8">
        <f t="shared" si="7"/>
        <v>42585.580775462964</v>
      </c>
    </row>
    <row r="217" spans="1:7" x14ac:dyDescent="0.25">
      <c r="A217" s="8">
        <v>42585.768287037034</v>
      </c>
      <c r="B217" s="24" t="s">
        <v>70</v>
      </c>
      <c r="C217" s="24" t="s">
        <v>532</v>
      </c>
      <c r="D217" s="24">
        <v>1740000</v>
      </c>
      <c r="E217" s="24" t="s">
        <v>337</v>
      </c>
      <c r="F217" s="24" t="str">
        <f t="shared" si="6"/>
        <v>rtdc.l.rtdc.4017:itc</v>
      </c>
      <c r="G217" s="8">
        <f t="shared" si="7"/>
        <v>42585.768287037034</v>
      </c>
    </row>
    <row r="218" spans="1:7" x14ac:dyDescent="0.25">
      <c r="A218" s="8">
        <v>42585.595370370371</v>
      </c>
      <c r="B218" s="24" t="s">
        <v>162</v>
      </c>
      <c r="C218" s="24" t="s">
        <v>625</v>
      </c>
      <c r="D218" s="24">
        <v>2150000</v>
      </c>
      <c r="E218" s="24" t="s">
        <v>309</v>
      </c>
      <c r="F218" s="24" t="str">
        <f t="shared" si="6"/>
        <v>rtdc.l.rtdc.4014:itc</v>
      </c>
      <c r="G218" s="8">
        <f t="shared" si="7"/>
        <v>42585.595370370371</v>
      </c>
    </row>
    <row r="219" spans="1:7" x14ac:dyDescent="0.25">
      <c r="A219" s="8">
        <v>42585.761458333334</v>
      </c>
      <c r="B219" s="24" t="s">
        <v>371</v>
      </c>
      <c r="C219" s="24" t="s">
        <v>665</v>
      </c>
      <c r="D219" s="24">
        <v>1300000</v>
      </c>
      <c r="E219" s="24" t="s">
        <v>148</v>
      </c>
      <c r="F219" s="24" t="str">
        <f t="shared" si="6"/>
        <v>rtdc.l.rtdc.4044:itc</v>
      </c>
      <c r="G219" s="8">
        <f t="shared" si="7"/>
        <v>42585.761458333334</v>
      </c>
    </row>
    <row r="220" spans="1:7" x14ac:dyDescent="0.25">
      <c r="A220" s="8">
        <v>42585.597731481481</v>
      </c>
      <c r="B220" s="24" t="s">
        <v>103</v>
      </c>
      <c r="C220" s="24" t="s">
        <v>514</v>
      </c>
      <c r="D220" s="24">
        <v>1750000</v>
      </c>
      <c r="E220" s="24" t="s">
        <v>181</v>
      </c>
      <c r="F220" s="24" t="str">
        <f t="shared" si="6"/>
        <v>rtdc.l.rtdc.4026:itc</v>
      </c>
      <c r="G220" s="8">
        <f t="shared" si="7"/>
        <v>42585.597731481481</v>
      </c>
    </row>
    <row r="221" spans="1:7" x14ac:dyDescent="0.25">
      <c r="A221" s="8">
        <v>42585.752291666664</v>
      </c>
      <c r="B221" s="24" t="s">
        <v>153</v>
      </c>
      <c r="C221" s="24" t="s">
        <v>662</v>
      </c>
      <c r="D221" s="24">
        <v>2150000</v>
      </c>
      <c r="E221" s="24" t="s">
        <v>309</v>
      </c>
      <c r="F221" s="24" t="str">
        <f t="shared" si="6"/>
        <v>rtdc.l.rtdc.4011:itc</v>
      </c>
      <c r="G221" s="8">
        <f t="shared" si="7"/>
        <v>42585.752291666664</v>
      </c>
    </row>
    <row r="222" spans="1:7" x14ac:dyDescent="0.25">
      <c r="A222" s="8">
        <v>42585.632488425923</v>
      </c>
      <c r="B222" s="24" t="s">
        <v>76</v>
      </c>
      <c r="C222" s="24" t="s">
        <v>633</v>
      </c>
      <c r="D222" s="24">
        <v>2030000</v>
      </c>
      <c r="E222" s="24" t="s">
        <v>798</v>
      </c>
      <c r="F222" s="24" t="str">
        <f t="shared" si="6"/>
        <v>rtdc.l.rtdc.4042:itc</v>
      </c>
      <c r="G222" s="8">
        <f t="shared" si="7"/>
        <v>42585.632488425923</v>
      </c>
    </row>
    <row r="223" spans="1:7" x14ac:dyDescent="0.25">
      <c r="A223" s="8">
        <v>42585.734375</v>
      </c>
      <c r="B223" s="24" t="s">
        <v>373</v>
      </c>
      <c r="C223" s="24" t="s">
        <v>530</v>
      </c>
      <c r="D223" s="24">
        <v>860000</v>
      </c>
      <c r="E223" s="24" t="s">
        <v>796</v>
      </c>
      <c r="F223" s="24" t="str">
        <f t="shared" si="6"/>
        <v>rtdc.l.rtdc.4039:itc</v>
      </c>
      <c r="G223" s="8">
        <f t="shared" si="7"/>
        <v>42585.734375</v>
      </c>
    </row>
    <row r="224" spans="1:7" x14ac:dyDescent="0.25">
      <c r="A224" s="8">
        <v>42585.658043981479</v>
      </c>
      <c r="B224" t="s">
        <v>134</v>
      </c>
      <c r="C224" t="s">
        <v>761</v>
      </c>
      <c r="D224">
        <v>2140000</v>
      </c>
      <c r="E224" t="s">
        <v>374</v>
      </c>
      <c r="F224" s="24" t="str">
        <f t="shared" si="6"/>
        <v>rtdc.l.rtdc.4016:itc</v>
      </c>
      <c r="G224" s="8">
        <f t="shared" si="7"/>
        <v>42585.658043981479</v>
      </c>
    </row>
    <row r="225" spans="1:7" x14ac:dyDescent="0.25">
      <c r="A225" s="8">
        <v>42585.733738425923</v>
      </c>
      <c r="B225" t="s">
        <v>69</v>
      </c>
      <c r="C225" t="s">
        <v>531</v>
      </c>
      <c r="D225">
        <v>1740000</v>
      </c>
      <c r="E225" t="s">
        <v>337</v>
      </c>
      <c r="F225" s="24" t="str">
        <f t="shared" si="6"/>
        <v>rtdc.l.rtdc.4018:itc</v>
      </c>
      <c r="G225" s="8">
        <f t="shared" si="7"/>
        <v>42585.733738425923</v>
      </c>
    </row>
    <row r="226" spans="1:7" x14ac:dyDescent="0.25">
      <c r="A226" s="8">
        <v>42585.66847222222</v>
      </c>
      <c r="B226" t="s">
        <v>162</v>
      </c>
      <c r="C226" t="s">
        <v>521</v>
      </c>
      <c r="D226">
        <v>2150000</v>
      </c>
      <c r="E226" t="s">
        <v>309</v>
      </c>
      <c r="F226" s="24" t="str">
        <f t="shared" si="6"/>
        <v>rtdc.l.rtdc.4014:itc</v>
      </c>
      <c r="G226" s="8">
        <f t="shared" si="7"/>
        <v>42585.66847222222</v>
      </c>
    </row>
    <row r="227" spans="1:7" x14ac:dyDescent="0.25">
      <c r="A227" s="8">
        <v>42585.724363425928</v>
      </c>
      <c r="B227" t="s">
        <v>311</v>
      </c>
      <c r="C227" t="s">
        <v>648</v>
      </c>
      <c r="D227">
        <v>1280000</v>
      </c>
      <c r="E227" t="s">
        <v>179</v>
      </c>
      <c r="F227" s="24" t="str">
        <f t="shared" si="6"/>
        <v>rtdc.l.rtdc.4043:itc</v>
      </c>
      <c r="G227" s="8">
        <f t="shared" si="7"/>
        <v>42585.724363425928</v>
      </c>
    </row>
    <row r="228" spans="1:7" x14ac:dyDescent="0.25">
      <c r="A228" s="8">
        <v>42585.695162037038</v>
      </c>
      <c r="B228" t="s">
        <v>112</v>
      </c>
      <c r="C228" t="s">
        <v>765</v>
      </c>
      <c r="D228">
        <v>2040000</v>
      </c>
      <c r="E228" t="s">
        <v>794</v>
      </c>
      <c r="F228" s="24" t="str">
        <f t="shared" si="6"/>
        <v>rtdc.l.rtdc.4008:itc</v>
      </c>
      <c r="G228" s="8">
        <f t="shared" si="7"/>
        <v>42585.695162037038</v>
      </c>
    </row>
    <row r="229" spans="1:7" x14ac:dyDescent="0.25">
      <c r="A229" s="8">
        <v>42585.723252314812</v>
      </c>
      <c r="B229" t="s">
        <v>70</v>
      </c>
      <c r="C229" t="s">
        <v>525</v>
      </c>
      <c r="D229">
        <v>1770000</v>
      </c>
      <c r="E229" t="s">
        <v>175</v>
      </c>
      <c r="F229" s="24" t="str">
        <f t="shared" si="6"/>
        <v>rtdc.l.rtdc.4017:itc</v>
      </c>
      <c r="G229" s="8">
        <f t="shared" si="7"/>
        <v>42585.723252314812</v>
      </c>
    </row>
    <row r="230" spans="1:7" x14ac:dyDescent="0.25">
      <c r="A230" s="8">
        <v>42585.707511574074</v>
      </c>
      <c r="B230" t="s">
        <v>76</v>
      </c>
      <c r="C230" t="s">
        <v>650</v>
      </c>
      <c r="D230">
        <v>2030000</v>
      </c>
      <c r="E230" t="s">
        <v>798</v>
      </c>
      <c r="F230" s="24" t="str">
        <f t="shared" si="6"/>
        <v>rtdc.l.rtdc.4042:itc</v>
      </c>
      <c r="G230" s="8">
        <f t="shared" si="7"/>
        <v>42585.707511574074</v>
      </c>
    </row>
    <row r="231" spans="1:7" x14ac:dyDescent="0.25">
      <c r="A231" s="8">
        <v>42585.678078703706</v>
      </c>
      <c r="B231" t="s">
        <v>114</v>
      </c>
      <c r="C231" t="s">
        <v>523</v>
      </c>
      <c r="D231">
        <v>2040000</v>
      </c>
      <c r="E231" t="s">
        <v>794</v>
      </c>
      <c r="F231" s="24" t="str">
        <f t="shared" si="6"/>
        <v>rtdc.l.rtdc.4007:itc</v>
      </c>
      <c r="G231" s="8">
        <f t="shared" si="7"/>
        <v>42585.678078703706</v>
      </c>
    </row>
    <row r="232" spans="1:7" x14ac:dyDescent="0.25">
      <c r="A232" s="8">
        <v>42585.788113425922</v>
      </c>
      <c r="B232" t="s">
        <v>155</v>
      </c>
      <c r="C232" t="s">
        <v>663</v>
      </c>
      <c r="D232">
        <v>2150000</v>
      </c>
      <c r="E232" t="s">
        <v>309</v>
      </c>
      <c r="F232" s="24" t="str">
        <f t="shared" si="6"/>
        <v>rtdc.l.rtdc.4012:itc</v>
      </c>
      <c r="G232" s="8">
        <f t="shared" si="7"/>
        <v>42585.788113425922</v>
      </c>
    </row>
    <row r="233" spans="1:7" x14ac:dyDescent="0.25">
      <c r="A233" s="8">
        <v>42585.676365740743</v>
      </c>
      <c r="B233" t="s">
        <v>103</v>
      </c>
      <c r="C233" t="s">
        <v>637</v>
      </c>
      <c r="D233">
        <v>1750000</v>
      </c>
      <c r="E233" t="s">
        <v>181</v>
      </c>
      <c r="F233" s="24" t="str">
        <f t="shared" si="6"/>
        <v>rtdc.l.rtdc.4026:itc</v>
      </c>
      <c r="G233" s="8">
        <f t="shared" si="7"/>
        <v>42585.676365740743</v>
      </c>
    </row>
    <row r="234" spans="1:7" x14ac:dyDescent="0.25">
      <c r="A234" s="8">
        <v>42585.794861111113</v>
      </c>
      <c r="B234" t="s">
        <v>311</v>
      </c>
      <c r="C234" t="s">
        <v>666</v>
      </c>
      <c r="D234">
        <v>1300000</v>
      </c>
      <c r="E234" t="s">
        <v>148</v>
      </c>
      <c r="F234" s="24" t="str">
        <f t="shared" si="6"/>
        <v>rtdc.l.rtdc.4043:itc</v>
      </c>
      <c r="G234" s="8">
        <f t="shared" si="7"/>
        <v>42585.794861111113</v>
      </c>
    </row>
    <row r="235" spans="1:7" x14ac:dyDescent="0.25">
      <c r="A235" s="8">
        <v>42585.660115740742</v>
      </c>
      <c r="B235" t="s">
        <v>69</v>
      </c>
      <c r="C235" t="s">
        <v>641</v>
      </c>
      <c r="D235">
        <v>1770000</v>
      </c>
      <c r="E235" t="s">
        <v>175</v>
      </c>
      <c r="F235" s="24" t="str">
        <f t="shared" si="6"/>
        <v>rtdc.l.rtdc.4018:itc</v>
      </c>
      <c r="G235" s="8">
        <f t="shared" si="7"/>
        <v>42585.660115740742</v>
      </c>
    </row>
    <row r="236" spans="1:7" x14ac:dyDescent="0.25">
      <c r="A236" s="8">
        <v>42585.831354166665</v>
      </c>
      <c r="B236" t="s">
        <v>371</v>
      </c>
      <c r="C236" t="s">
        <v>675</v>
      </c>
      <c r="D236">
        <v>1300000</v>
      </c>
      <c r="E236" t="s">
        <v>148</v>
      </c>
      <c r="F236" s="24" t="str">
        <f t="shared" ref="F236:F265" si="8">B236</f>
        <v>rtdc.l.rtdc.4044:itc</v>
      </c>
      <c r="G236" s="8">
        <f t="shared" ref="G236:G265" si="9">A236</f>
        <v>42585.831354166665</v>
      </c>
    </row>
    <row r="237" spans="1:7" x14ac:dyDescent="0.25">
      <c r="A237" s="8">
        <v>42585.644675925927</v>
      </c>
      <c r="B237" t="s">
        <v>101</v>
      </c>
      <c r="C237" t="s">
        <v>515</v>
      </c>
      <c r="D237">
        <v>1740000</v>
      </c>
      <c r="E237" t="s">
        <v>337</v>
      </c>
      <c r="F237" s="24" t="str">
        <f t="shared" si="8"/>
        <v>rtdc.l.rtdc.4038:itc</v>
      </c>
      <c r="G237" s="8">
        <f t="shared" si="9"/>
        <v>42585.644675925927</v>
      </c>
    </row>
    <row r="238" spans="1:7" x14ac:dyDescent="0.25">
      <c r="A238" s="8">
        <v>42585.861689814818</v>
      </c>
      <c r="B238" t="s">
        <v>112</v>
      </c>
      <c r="C238" t="s">
        <v>537</v>
      </c>
      <c r="D238">
        <v>2040000</v>
      </c>
      <c r="E238" t="s">
        <v>794</v>
      </c>
      <c r="F238" s="24" t="str">
        <f t="shared" si="8"/>
        <v>rtdc.l.rtdc.4008:itc</v>
      </c>
      <c r="G238" s="8">
        <f t="shared" si="9"/>
        <v>42585.861689814818</v>
      </c>
    </row>
    <row r="239" spans="1:7" x14ac:dyDescent="0.25">
      <c r="A239" s="8">
        <v>42585.64472222222</v>
      </c>
      <c r="B239" t="s">
        <v>133</v>
      </c>
      <c r="C239" t="s">
        <v>518</v>
      </c>
      <c r="D239">
        <v>2140000</v>
      </c>
      <c r="E239" t="s">
        <v>374</v>
      </c>
      <c r="F239" s="24" t="str">
        <f t="shared" si="8"/>
        <v>rtdc.l.rtdc.4015:itc</v>
      </c>
      <c r="G239" s="8">
        <f t="shared" si="9"/>
        <v>42585.64472222222</v>
      </c>
    </row>
    <row r="240" spans="1:7" x14ac:dyDescent="0.25">
      <c r="A240" s="8">
        <v>42585.879641203705</v>
      </c>
      <c r="B240" t="s">
        <v>114</v>
      </c>
      <c r="C240" t="s">
        <v>782</v>
      </c>
      <c r="D240">
        <v>2140000</v>
      </c>
      <c r="E240" t="s">
        <v>374</v>
      </c>
      <c r="F240" s="24" t="str">
        <f t="shared" si="8"/>
        <v>rtdc.l.rtdc.4007:itc</v>
      </c>
      <c r="G240" s="8">
        <f t="shared" si="9"/>
        <v>42585.879641203705</v>
      </c>
    </row>
    <row r="241" spans="1:7" x14ac:dyDescent="0.25">
      <c r="A241" s="8">
        <v>42585.603541666664</v>
      </c>
      <c r="B241" t="s">
        <v>153</v>
      </c>
      <c r="C241" t="s">
        <v>516</v>
      </c>
      <c r="D241">
        <v>2110000</v>
      </c>
      <c r="E241" t="s">
        <v>372</v>
      </c>
      <c r="F241" s="24" t="str">
        <f t="shared" si="8"/>
        <v>rtdc.l.rtdc.4011:itc</v>
      </c>
      <c r="G241" s="8">
        <f t="shared" si="9"/>
        <v>42585.603541666664</v>
      </c>
    </row>
    <row r="242" spans="1:7" x14ac:dyDescent="0.25">
      <c r="A242" s="8">
        <v>42585.902731481481</v>
      </c>
      <c r="B242" t="s">
        <v>112</v>
      </c>
      <c r="C242" t="s">
        <v>779</v>
      </c>
      <c r="D242">
        <v>2140000</v>
      </c>
      <c r="E242" t="s">
        <v>374</v>
      </c>
      <c r="F242" s="24" t="str">
        <f t="shared" si="8"/>
        <v>rtdc.l.rtdc.4008:itc</v>
      </c>
      <c r="G242" s="8">
        <f t="shared" si="9"/>
        <v>42585.902731481481</v>
      </c>
    </row>
    <row r="243" spans="1:7" x14ac:dyDescent="0.25">
      <c r="A243" s="8">
        <v>42585.558865740742</v>
      </c>
      <c r="B243" t="s">
        <v>105</v>
      </c>
      <c r="C243" t="s">
        <v>512</v>
      </c>
      <c r="D243">
        <v>1750000</v>
      </c>
      <c r="E243" t="s">
        <v>181</v>
      </c>
      <c r="F243" s="24" t="str">
        <f t="shared" si="8"/>
        <v>rtdc.l.rtdc.4025:itc</v>
      </c>
      <c r="G243" s="8">
        <f t="shared" si="9"/>
        <v>42585.558865740742</v>
      </c>
    </row>
    <row r="244" spans="1:7" x14ac:dyDescent="0.25">
      <c r="A244" s="8">
        <v>42585.924641203703</v>
      </c>
      <c r="B244" t="s">
        <v>114</v>
      </c>
      <c r="C244" t="s">
        <v>785</v>
      </c>
      <c r="D244">
        <v>2140000</v>
      </c>
      <c r="E244" t="s">
        <v>374</v>
      </c>
      <c r="F244" s="24" t="str">
        <f t="shared" si="8"/>
        <v>rtdc.l.rtdc.4007:itc</v>
      </c>
      <c r="G244" s="8">
        <f t="shared" si="9"/>
        <v>42585.924641203703</v>
      </c>
    </row>
    <row r="245" spans="1:7" x14ac:dyDescent="0.25">
      <c r="A245" s="8">
        <v>42585.537638888891</v>
      </c>
      <c r="B245" t="s">
        <v>371</v>
      </c>
      <c r="C245" t="s">
        <v>614</v>
      </c>
      <c r="D245">
        <v>1280000</v>
      </c>
      <c r="E245" t="s">
        <v>179</v>
      </c>
      <c r="F245" s="24" t="str">
        <f t="shared" si="8"/>
        <v>rtdc.l.rtdc.4044:itc</v>
      </c>
      <c r="G245" s="8">
        <f t="shared" si="9"/>
        <v>42585.537638888891</v>
      </c>
    </row>
    <row r="246" spans="1:7" x14ac:dyDescent="0.25">
      <c r="A246" s="8">
        <v>42585.991574074076</v>
      </c>
      <c r="B246" t="s">
        <v>103</v>
      </c>
      <c r="C246" t="s">
        <v>691</v>
      </c>
      <c r="D246">
        <v>1480000</v>
      </c>
      <c r="E246" t="s">
        <v>102</v>
      </c>
      <c r="F246" s="24" t="str">
        <f t="shared" si="8"/>
        <v>rtdc.l.rtdc.4026:itc</v>
      </c>
      <c r="G246" s="8">
        <f t="shared" si="9"/>
        <v>42585.991574074076</v>
      </c>
    </row>
    <row r="247" spans="1:7" x14ac:dyDescent="0.25">
      <c r="A247" s="8">
        <v>42585.527881944443</v>
      </c>
      <c r="B247" t="s">
        <v>112</v>
      </c>
      <c r="C247" t="s">
        <v>748</v>
      </c>
      <c r="D247">
        <v>2100000</v>
      </c>
      <c r="E247" t="s">
        <v>370</v>
      </c>
      <c r="F247" s="24" t="str">
        <f t="shared" si="8"/>
        <v>rtdc.l.rtdc.4008:itc</v>
      </c>
      <c r="G247" s="8">
        <f t="shared" si="9"/>
        <v>42585.527881944443</v>
      </c>
    </row>
    <row r="248" spans="1:7" x14ac:dyDescent="0.25">
      <c r="A248" s="8">
        <v>42586.031111111108</v>
      </c>
      <c r="B248" t="s">
        <v>311</v>
      </c>
      <c r="C248" t="s">
        <v>697</v>
      </c>
      <c r="D248">
        <v>1300000</v>
      </c>
      <c r="E248" t="s">
        <v>148</v>
      </c>
      <c r="F248" s="24" t="str">
        <f t="shared" si="8"/>
        <v>rtdc.l.rtdc.4043:itc</v>
      </c>
      <c r="G248" s="8">
        <f t="shared" si="9"/>
        <v>42586.031111111108</v>
      </c>
    </row>
    <row r="249" spans="1:7" x14ac:dyDescent="0.25">
      <c r="A249" s="8">
        <v>42585.705520833333</v>
      </c>
      <c r="B249" t="s">
        <v>104</v>
      </c>
      <c r="C249" t="s">
        <v>644</v>
      </c>
      <c r="D249">
        <v>2150000</v>
      </c>
      <c r="E249" t="s">
        <v>309</v>
      </c>
      <c r="F249" s="24" t="str">
        <f t="shared" si="8"/>
        <v>rtdc.l.rtdc.4013:itc</v>
      </c>
      <c r="G249" s="8">
        <f t="shared" si="9"/>
        <v>42585.705520833333</v>
      </c>
    </row>
    <row r="250" spans="1:7" x14ac:dyDescent="0.25">
      <c r="A250" s="8">
        <v>42586.068969907406</v>
      </c>
      <c r="B250" t="s">
        <v>371</v>
      </c>
      <c r="C250" t="s">
        <v>810</v>
      </c>
      <c r="D250">
        <v>1300000</v>
      </c>
      <c r="E250" t="s">
        <v>148</v>
      </c>
      <c r="F250" s="24" t="str">
        <f t="shared" si="8"/>
        <v>rtdc.l.rtdc.4044:itc</v>
      </c>
      <c r="G250" s="8">
        <f t="shared" si="9"/>
        <v>42586.068969907406</v>
      </c>
    </row>
    <row r="251" spans="1:7" x14ac:dyDescent="0.25">
      <c r="A251" s="8">
        <v>42585.475185185183</v>
      </c>
      <c r="B251" t="s">
        <v>76</v>
      </c>
      <c r="C251" t="s">
        <v>505</v>
      </c>
      <c r="D251">
        <v>2030000</v>
      </c>
      <c r="E251" t="s">
        <v>798</v>
      </c>
      <c r="F251" s="24" t="str">
        <f t="shared" si="8"/>
        <v>rtdc.l.rtdc.4042:itc</v>
      </c>
      <c r="G251" s="8">
        <f t="shared" si="9"/>
        <v>42585.475185185183</v>
      </c>
    </row>
    <row r="252" spans="1:7" x14ac:dyDescent="0.25">
      <c r="A252" s="8">
        <v>42586.118738425925</v>
      </c>
      <c r="B252" t="s">
        <v>172</v>
      </c>
      <c r="C252" t="s">
        <v>818</v>
      </c>
      <c r="D252">
        <v>2010000</v>
      </c>
      <c r="E252" t="s">
        <v>288</v>
      </c>
      <c r="F252" s="24" t="str">
        <f t="shared" si="8"/>
        <v>rtdc.l.rtdc.4032:itc</v>
      </c>
      <c r="G252" s="8">
        <f t="shared" si="9"/>
        <v>42586.118738425925</v>
      </c>
    </row>
    <row r="253" spans="1:7" x14ac:dyDescent="0.25">
      <c r="A253" s="8">
        <v>42585.463368055556</v>
      </c>
      <c r="B253" t="s">
        <v>114</v>
      </c>
      <c r="C253" t="s">
        <v>743</v>
      </c>
      <c r="D253">
        <v>2100000</v>
      </c>
      <c r="E253" t="s">
        <v>370</v>
      </c>
      <c r="F253" s="24" t="str">
        <f t="shared" si="8"/>
        <v>rtdc.l.rtdc.4007:itc</v>
      </c>
      <c r="G253" s="8">
        <f t="shared" si="9"/>
        <v>42585.463368055556</v>
      </c>
    </row>
    <row r="254" spans="1:7" x14ac:dyDescent="0.25">
      <c r="A254" s="8">
        <v>42586.133726851855</v>
      </c>
      <c r="B254" t="s">
        <v>68</v>
      </c>
      <c r="C254" t="s">
        <v>817</v>
      </c>
      <c r="D254">
        <v>2010000</v>
      </c>
      <c r="E254" t="s">
        <v>288</v>
      </c>
      <c r="F254" s="24" t="str">
        <f t="shared" si="8"/>
        <v>rtdc.l.rtdc.4020:itc</v>
      </c>
      <c r="G254" s="8">
        <f t="shared" si="9"/>
        <v>42586.133726851855</v>
      </c>
    </row>
    <row r="255" spans="1:7" x14ac:dyDescent="0.25">
      <c r="A255" s="8">
        <v>42585.445335648146</v>
      </c>
      <c r="B255" t="s">
        <v>162</v>
      </c>
      <c r="C255" t="s">
        <v>595</v>
      </c>
      <c r="D255">
        <v>1190000</v>
      </c>
      <c r="E255" t="s">
        <v>145</v>
      </c>
      <c r="F255" s="24" t="str">
        <f t="shared" si="8"/>
        <v>rtdc.l.rtdc.4014:itc</v>
      </c>
      <c r="G255" s="8">
        <f t="shared" si="9"/>
        <v>42585.445335648146</v>
      </c>
    </row>
    <row r="256" spans="1:7" x14ac:dyDescent="0.25">
      <c r="A256" s="8">
        <v>42586.170023148145</v>
      </c>
      <c r="B256" t="s">
        <v>172</v>
      </c>
      <c r="C256" t="s">
        <v>819</v>
      </c>
      <c r="D256">
        <v>2010000</v>
      </c>
      <c r="E256" t="s">
        <v>288</v>
      </c>
      <c r="F256" s="24" t="str">
        <f t="shared" si="8"/>
        <v>rtdc.l.rtdc.4032:itc</v>
      </c>
      <c r="G256" s="8">
        <f t="shared" si="9"/>
        <v>42586.170023148145</v>
      </c>
    </row>
    <row r="257" spans="1:7" x14ac:dyDescent="0.25">
      <c r="A257" s="8">
        <v>42585.417511574073</v>
      </c>
      <c r="B257" t="s">
        <v>155</v>
      </c>
      <c r="C257" t="s">
        <v>580</v>
      </c>
      <c r="D257">
        <v>1260000</v>
      </c>
      <c r="E257" t="s">
        <v>180</v>
      </c>
      <c r="F257" s="24" t="str">
        <f t="shared" si="8"/>
        <v>rtdc.l.rtdc.4012:itc</v>
      </c>
      <c r="G257" s="8">
        <f t="shared" si="9"/>
        <v>42585.417511574073</v>
      </c>
    </row>
    <row r="258" spans="1:7" x14ac:dyDescent="0.25">
      <c r="A258" s="8">
        <v>42586.185196759259</v>
      </c>
      <c r="B258" t="s">
        <v>114</v>
      </c>
      <c r="C258" t="s">
        <v>820</v>
      </c>
      <c r="D258">
        <v>1760000</v>
      </c>
      <c r="E258" t="s">
        <v>463</v>
      </c>
      <c r="F258" s="24" t="str">
        <f t="shared" si="8"/>
        <v>rtdc.l.rtdc.4007:itc</v>
      </c>
      <c r="G258" s="8">
        <f t="shared" si="9"/>
        <v>42586.185196759259</v>
      </c>
    </row>
    <row r="259" spans="1:7" x14ac:dyDescent="0.25">
      <c r="A259" s="8">
        <v>42585.366111111114</v>
      </c>
      <c r="B259" t="s">
        <v>146</v>
      </c>
      <c r="C259" t="s">
        <v>501</v>
      </c>
      <c r="D259">
        <v>1090000</v>
      </c>
      <c r="E259" t="s">
        <v>111</v>
      </c>
      <c r="F259" s="24" t="str">
        <f t="shared" si="8"/>
        <v>rtdc.l.rtdc.4041:itc</v>
      </c>
      <c r="G259" s="8">
        <f t="shared" si="9"/>
        <v>42585.366111111114</v>
      </c>
    </row>
    <row r="260" spans="1:7" x14ac:dyDescent="0.25">
      <c r="A260" s="8">
        <v>42586.194004629629</v>
      </c>
      <c r="B260" t="s">
        <v>105</v>
      </c>
      <c r="C260" t="s">
        <v>821</v>
      </c>
      <c r="D260">
        <v>1360000</v>
      </c>
      <c r="E260" t="s">
        <v>286</v>
      </c>
      <c r="F260" s="24" t="str">
        <f t="shared" si="8"/>
        <v>rtdc.l.rtdc.4025:itc</v>
      </c>
      <c r="G260" s="8">
        <f t="shared" si="9"/>
        <v>42586.194004629629</v>
      </c>
    </row>
    <row r="261" spans="1:7" x14ac:dyDescent="0.25">
      <c r="A261" s="8">
        <v>42585.343912037039</v>
      </c>
      <c r="B261" t="s">
        <v>114</v>
      </c>
      <c r="C261" t="s">
        <v>733</v>
      </c>
      <c r="D261">
        <v>2100000</v>
      </c>
      <c r="E261" t="s">
        <v>370</v>
      </c>
      <c r="F261" s="24" t="str">
        <f t="shared" si="8"/>
        <v>rtdc.l.rtdc.4007:itc</v>
      </c>
      <c r="G261" s="8">
        <f t="shared" si="9"/>
        <v>42585.343912037039</v>
      </c>
    </row>
    <row r="262" spans="1:7" x14ac:dyDescent="0.25">
      <c r="A262" s="8">
        <v>42586.19771990741</v>
      </c>
      <c r="B262" t="s">
        <v>108</v>
      </c>
      <c r="C262" t="s">
        <v>809</v>
      </c>
      <c r="D262">
        <v>1090000</v>
      </c>
      <c r="E262" t="s">
        <v>111</v>
      </c>
      <c r="F262" s="24" t="str">
        <f t="shared" si="8"/>
        <v>rtdc.l.rtdc.4030:itc</v>
      </c>
      <c r="G262" s="8">
        <f t="shared" si="9"/>
        <v>42586.19771990741</v>
      </c>
    </row>
    <row r="263" spans="1:7" x14ac:dyDescent="0.25">
      <c r="A263" s="8">
        <v>42585.32304398148</v>
      </c>
      <c r="B263" t="s">
        <v>134</v>
      </c>
      <c r="C263" t="s">
        <v>729</v>
      </c>
      <c r="D263">
        <v>1990000</v>
      </c>
      <c r="E263" t="s">
        <v>204</v>
      </c>
      <c r="F263" s="24" t="str">
        <f t="shared" si="8"/>
        <v>rtdc.l.rtdc.4016:itc</v>
      </c>
      <c r="G263" s="8">
        <f t="shared" si="9"/>
        <v>42585.32304398148</v>
      </c>
    </row>
    <row r="264" spans="1:7" x14ac:dyDescent="0.25">
      <c r="A264" s="8">
        <v>42586.21199074074</v>
      </c>
      <c r="B264" t="s">
        <v>68</v>
      </c>
      <c r="C264" t="s">
        <v>822</v>
      </c>
      <c r="D264">
        <v>1110000</v>
      </c>
      <c r="E264" t="s">
        <v>117</v>
      </c>
      <c r="F264" s="24" t="str">
        <f t="shared" si="8"/>
        <v>rtdc.l.rtdc.4020:itc</v>
      </c>
      <c r="G264" s="8">
        <f t="shared" si="9"/>
        <v>42586.21199074074</v>
      </c>
    </row>
    <row r="265" spans="1:7" x14ac:dyDescent="0.25">
      <c r="A265" s="8">
        <v>42585.306203703702</v>
      </c>
      <c r="B265" t="s">
        <v>103</v>
      </c>
      <c r="C265" t="s">
        <v>556</v>
      </c>
      <c r="D265">
        <v>1540000</v>
      </c>
      <c r="E265" t="s">
        <v>182</v>
      </c>
      <c r="F265" s="24" t="str">
        <f t="shared" si="8"/>
        <v>rtdc.l.rtdc.4026:itc</v>
      </c>
      <c r="G265" s="8">
        <f t="shared" si="9"/>
        <v>42585.306203703702</v>
      </c>
    </row>
    <row r="266" spans="1:7" x14ac:dyDescent="0.25">
      <c r="A266" s="8">
        <v>42586.215057870373</v>
      </c>
      <c r="B266" t="s">
        <v>171</v>
      </c>
      <c r="C266" t="s">
        <v>799</v>
      </c>
      <c r="D266">
        <v>2010000</v>
      </c>
      <c r="E266" t="s">
        <v>288</v>
      </c>
      <c r="F266" s="24" t="str">
        <f t="shared" ref="F266:F281" si="10">B266</f>
        <v>rtdc.l.rtdc.4031:itc</v>
      </c>
      <c r="G266" s="8">
        <f t="shared" ref="G266:G281" si="11">A266</f>
        <v>42586.215057870373</v>
      </c>
    </row>
    <row r="267" spans="1:7" x14ac:dyDescent="0.25">
      <c r="A267" s="8">
        <v>42585.298298611109</v>
      </c>
      <c r="B267" t="s">
        <v>162</v>
      </c>
      <c r="C267" t="s">
        <v>559</v>
      </c>
      <c r="D267">
        <v>1190000</v>
      </c>
      <c r="E267" t="s">
        <v>145</v>
      </c>
      <c r="F267" s="24" t="str">
        <f t="shared" si="10"/>
        <v>rtdc.l.rtdc.4014:itc</v>
      </c>
      <c r="G267" s="8">
        <f t="shared" si="11"/>
        <v>42585.298298611109</v>
      </c>
    </row>
    <row r="268" spans="1:7" x14ac:dyDescent="0.25">
      <c r="A268" s="8">
        <v>42586.223854166667</v>
      </c>
      <c r="B268" t="s">
        <v>112</v>
      </c>
      <c r="C268" t="s">
        <v>823</v>
      </c>
      <c r="D268">
        <v>1760000</v>
      </c>
      <c r="E268" t="s">
        <v>463</v>
      </c>
      <c r="F268" s="24" t="str">
        <f t="shared" si="10"/>
        <v>rtdc.l.rtdc.4008:itc</v>
      </c>
      <c r="G268" s="8">
        <f t="shared" si="11"/>
        <v>42586.223854166667</v>
      </c>
    </row>
    <row r="269" spans="1:7" x14ac:dyDescent="0.25">
      <c r="A269" s="8">
        <v>42585.297418981485</v>
      </c>
      <c r="B269" t="s">
        <v>133</v>
      </c>
      <c r="C269" t="s">
        <v>720</v>
      </c>
      <c r="D269">
        <v>1990000</v>
      </c>
      <c r="E269" t="s">
        <v>204</v>
      </c>
      <c r="F269" s="24" t="str">
        <f t="shared" si="10"/>
        <v>rtdc.l.rtdc.4015:itc</v>
      </c>
      <c r="G269" s="8">
        <f t="shared" si="11"/>
        <v>42585.297418981485</v>
      </c>
    </row>
    <row r="270" spans="1:7" x14ac:dyDescent="0.25">
      <c r="A270" s="8">
        <v>42586.225787037038</v>
      </c>
      <c r="B270" t="s">
        <v>103</v>
      </c>
      <c r="C270" t="s">
        <v>824</v>
      </c>
      <c r="D270">
        <v>1360000</v>
      </c>
      <c r="E270" t="s">
        <v>286</v>
      </c>
      <c r="F270" s="24" t="str">
        <f t="shared" si="10"/>
        <v>rtdc.l.rtdc.4026:itc</v>
      </c>
      <c r="G270" s="8">
        <f t="shared" si="11"/>
        <v>42586.225787037038</v>
      </c>
    </row>
    <row r="271" spans="1:7" x14ac:dyDescent="0.25">
      <c r="A271" s="8">
        <v>42585.268900462965</v>
      </c>
      <c r="B271" t="s">
        <v>105</v>
      </c>
      <c r="C271" t="s">
        <v>479</v>
      </c>
      <c r="D271">
        <v>1540000</v>
      </c>
      <c r="E271" t="s">
        <v>182</v>
      </c>
      <c r="F271" s="24" t="str">
        <f t="shared" si="10"/>
        <v>rtdc.l.rtdc.4025:itc</v>
      </c>
      <c r="G271" s="8">
        <f t="shared" si="11"/>
        <v>42585.268900462965</v>
      </c>
    </row>
    <row r="272" spans="1:7" x14ac:dyDescent="0.25">
      <c r="A272" s="8">
        <v>42586.230671296296</v>
      </c>
      <c r="B272" t="s">
        <v>76</v>
      </c>
      <c r="C272" t="s">
        <v>825</v>
      </c>
      <c r="D272">
        <v>1830000</v>
      </c>
      <c r="E272" t="s">
        <v>310</v>
      </c>
      <c r="F272" s="24" t="str">
        <f t="shared" si="10"/>
        <v>rtdc.l.rtdc.4042:itc</v>
      </c>
      <c r="G272" s="8">
        <f t="shared" si="11"/>
        <v>42586.230671296296</v>
      </c>
    </row>
    <row r="273" spans="1:7" x14ac:dyDescent="0.25">
      <c r="A273" s="8">
        <v>42585.226990740739</v>
      </c>
      <c r="B273" t="s">
        <v>146</v>
      </c>
      <c r="C273" t="s">
        <v>480</v>
      </c>
      <c r="D273">
        <v>1090000</v>
      </c>
      <c r="E273" t="s">
        <v>111</v>
      </c>
      <c r="F273" s="24" t="str">
        <f t="shared" si="10"/>
        <v>rtdc.l.rtdc.4041:itc</v>
      </c>
      <c r="G273" s="8">
        <f t="shared" si="11"/>
        <v>42585.226990740739</v>
      </c>
    </row>
    <row r="274" spans="1:7" x14ac:dyDescent="0.25">
      <c r="A274" s="8">
        <v>42586.236793981479</v>
      </c>
      <c r="B274" t="s">
        <v>107</v>
      </c>
      <c r="C274" t="s">
        <v>826</v>
      </c>
      <c r="D274">
        <v>1090000</v>
      </c>
      <c r="E274" t="s">
        <v>111</v>
      </c>
      <c r="F274" s="24" t="str">
        <f t="shared" si="10"/>
        <v>rtdc.l.rtdc.4029:itc</v>
      </c>
      <c r="G274" s="8">
        <f t="shared" si="11"/>
        <v>42586.236793981479</v>
      </c>
    </row>
    <row r="275" spans="1:7" x14ac:dyDescent="0.25">
      <c r="A275" s="8">
        <v>42585.206666666665</v>
      </c>
      <c r="B275" t="s">
        <v>101</v>
      </c>
      <c r="C275" t="s">
        <v>481</v>
      </c>
      <c r="D275">
        <v>900000</v>
      </c>
      <c r="E275" t="s">
        <v>201</v>
      </c>
      <c r="F275" s="24" t="str">
        <f t="shared" si="10"/>
        <v>rtdc.l.rtdc.4038:itc</v>
      </c>
      <c r="G275" s="8">
        <f t="shared" si="11"/>
        <v>42585.206666666665</v>
      </c>
    </row>
    <row r="276" spans="1:7" x14ac:dyDescent="0.25">
      <c r="A276" s="8">
        <v>42586.245740740742</v>
      </c>
      <c r="B276" t="s">
        <v>67</v>
      </c>
      <c r="C276" t="s">
        <v>827</v>
      </c>
      <c r="D276">
        <v>1110000</v>
      </c>
      <c r="E276" t="s">
        <v>117</v>
      </c>
      <c r="F276" s="24" t="str">
        <f t="shared" si="10"/>
        <v>rtdc.l.rtdc.4019:itc</v>
      </c>
      <c r="G276" s="8">
        <f t="shared" si="11"/>
        <v>42586.245740740742</v>
      </c>
    </row>
    <row r="277" spans="1:7" x14ac:dyDescent="0.25">
      <c r="A277" s="8">
        <v>42585.193541666667</v>
      </c>
      <c r="B277" t="s">
        <v>105</v>
      </c>
      <c r="C277" t="s">
        <v>482</v>
      </c>
      <c r="D277">
        <v>1540000</v>
      </c>
      <c r="E277" t="s">
        <v>182</v>
      </c>
      <c r="F277" s="24" t="str">
        <f t="shared" si="10"/>
        <v>rtdc.l.rtdc.4025:itc</v>
      </c>
      <c r="G277" s="8">
        <f t="shared" si="11"/>
        <v>42585.193541666667</v>
      </c>
    </row>
    <row r="278" spans="1:7" x14ac:dyDescent="0.25">
      <c r="A278" s="8">
        <v>42586.251805555556</v>
      </c>
      <c r="B278" t="s">
        <v>172</v>
      </c>
      <c r="C278" t="s">
        <v>828</v>
      </c>
      <c r="D278">
        <v>2010000</v>
      </c>
      <c r="E278" t="s">
        <v>288</v>
      </c>
      <c r="F278" s="24" t="str">
        <f t="shared" si="10"/>
        <v>rtdc.l.rtdc.4032:itc</v>
      </c>
      <c r="G278" s="8">
        <f t="shared" si="11"/>
        <v>42586.251805555556</v>
      </c>
    </row>
    <row r="279" spans="1:7" x14ac:dyDescent="0.25">
      <c r="A279" s="8">
        <v>42585.172256944446</v>
      </c>
      <c r="B279" t="s">
        <v>371</v>
      </c>
      <c r="C279" t="s">
        <v>483</v>
      </c>
      <c r="D279">
        <v>1760000</v>
      </c>
      <c r="E279" t="s">
        <v>463</v>
      </c>
      <c r="F279" s="24" t="str">
        <f t="shared" si="10"/>
        <v>rtdc.l.rtdc.4044:itc</v>
      </c>
      <c r="G279" s="8">
        <f t="shared" si="11"/>
        <v>42585.172256944446</v>
      </c>
    </row>
    <row r="280" spans="1:7" x14ac:dyDescent="0.25">
      <c r="A280" s="8">
        <v>42586.258761574078</v>
      </c>
      <c r="B280" t="s">
        <v>114</v>
      </c>
      <c r="C280" t="s">
        <v>829</v>
      </c>
      <c r="D280">
        <v>1760000</v>
      </c>
      <c r="E280" t="s">
        <v>463</v>
      </c>
      <c r="F280" s="24" t="str">
        <f t="shared" si="10"/>
        <v>rtdc.l.rtdc.4007:itc</v>
      </c>
      <c r="G280" s="8">
        <f t="shared" si="11"/>
        <v>42586.258761574078</v>
      </c>
    </row>
    <row r="281" spans="1:7" x14ac:dyDescent="0.25">
      <c r="A281" s="8">
        <v>42585.160671296297</v>
      </c>
      <c r="B281" t="s">
        <v>373</v>
      </c>
      <c r="C281" t="s">
        <v>484</v>
      </c>
      <c r="D281">
        <v>1760000</v>
      </c>
      <c r="E281" t="s">
        <v>463</v>
      </c>
      <c r="F281" s="24" t="str">
        <f t="shared" si="10"/>
        <v>rtdc.l.rtdc.4039:itc</v>
      </c>
      <c r="G281" s="8">
        <f t="shared" si="11"/>
        <v>42585.160671296297</v>
      </c>
    </row>
    <row r="282" spans="1:7" x14ac:dyDescent="0.25">
      <c r="A282" s="8">
        <v>42586.269548611112</v>
      </c>
      <c r="B282" t="s">
        <v>76</v>
      </c>
      <c r="C282" t="s">
        <v>830</v>
      </c>
      <c r="D282">
        <v>1830000</v>
      </c>
      <c r="E282" t="s">
        <v>310</v>
      </c>
      <c r="F282" s="24" t="str">
        <f t="shared" ref="F282:F345" si="12">B282</f>
        <v>rtdc.l.rtdc.4042:itc</v>
      </c>
      <c r="G282" s="8">
        <f t="shared" ref="G282:G345" si="13">A282</f>
        <v>42586.269548611112</v>
      </c>
    </row>
    <row r="283" spans="1:7" x14ac:dyDescent="0.25">
      <c r="A283" s="8">
        <v>42585.152604166666</v>
      </c>
      <c r="B283" t="s">
        <v>162</v>
      </c>
      <c r="C283" t="s">
        <v>456</v>
      </c>
      <c r="D283">
        <v>1260000</v>
      </c>
      <c r="E283" t="s">
        <v>180</v>
      </c>
      <c r="F283" s="24" t="str">
        <f t="shared" si="12"/>
        <v>rtdc.l.rtdc.4014:itc</v>
      </c>
      <c r="G283" s="8">
        <f t="shared" si="13"/>
        <v>42585.152604166666</v>
      </c>
    </row>
    <row r="284" spans="1:7" x14ac:dyDescent="0.25">
      <c r="A284" s="8">
        <v>42586.269976851851</v>
      </c>
      <c r="B284" t="s">
        <v>106</v>
      </c>
      <c r="C284" t="s">
        <v>831</v>
      </c>
      <c r="D284">
        <v>930000</v>
      </c>
      <c r="E284" t="s">
        <v>806</v>
      </c>
      <c r="F284" s="24" t="str">
        <f t="shared" si="12"/>
        <v>rtdc.l.rtdc.4028:itc</v>
      </c>
      <c r="G284" s="8">
        <f t="shared" si="13"/>
        <v>42586.269976851851</v>
      </c>
    </row>
    <row r="285" spans="1:7" x14ac:dyDescent="0.25">
      <c r="A285" s="8">
        <v>42585.129699074074</v>
      </c>
      <c r="B285" t="s">
        <v>101</v>
      </c>
      <c r="C285" t="s">
        <v>485</v>
      </c>
      <c r="D285">
        <v>2010000</v>
      </c>
      <c r="E285" t="s">
        <v>288</v>
      </c>
      <c r="F285" s="24" t="str">
        <f t="shared" si="12"/>
        <v>rtdc.l.rtdc.4038:itc</v>
      </c>
      <c r="G285" s="8">
        <f t="shared" si="13"/>
        <v>42585.129699074074</v>
      </c>
    </row>
    <row r="286" spans="1:7" x14ac:dyDescent="0.25">
      <c r="A286" s="8">
        <v>42586.279050925928</v>
      </c>
      <c r="B286" t="s">
        <v>68</v>
      </c>
      <c r="C286" t="s">
        <v>832</v>
      </c>
      <c r="D286">
        <v>1110000</v>
      </c>
      <c r="E286" t="s">
        <v>117</v>
      </c>
      <c r="F286" s="24" t="str">
        <f t="shared" si="12"/>
        <v>rtdc.l.rtdc.4020:itc</v>
      </c>
      <c r="G286" s="8">
        <f t="shared" si="13"/>
        <v>42586.279050925928</v>
      </c>
    </row>
    <row r="287" spans="1:7" x14ac:dyDescent="0.25">
      <c r="A287" s="8">
        <v>42585.015416666669</v>
      </c>
      <c r="B287" t="s">
        <v>103</v>
      </c>
      <c r="C287" t="s">
        <v>424</v>
      </c>
      <c r="D287">
        <v>1290000</v>
      </c>
      <c r="E287" t="s">
        <v>151</v>
      </c>
      <c r="F287" s="24" t="str">
        <f t="shared" si="12"/>
        <v>rtdc.l.rtdc.4026:itc</v>
      </c>
      <c r="G287" s="8">
        <f t="shared" si="13"/>
        <v>42585.015416666669</v>
      </c>
    </row>
    <row r="288" spans="1:7" x14ac:dyDescent="0.25">
      <c r="A288" s="8">
        <v>42586.28979166667</v>
      </c>
      <c r="B288" t="s">
        <v>171</v>
      </c>
      <c r="C288" t="s">
        <v>833</v>
      </c>
      <c r="D288">
        <v>2010000</v>
      </c>
      <c r="E288" t="s">
        <v>288</v>
      </c>
      <c r="F288" s="24" t="str">
        <f t="shared" si="12"/>
        <v>rtdc.l.rtdc.4031:itc</v>
      </c>
      <c r="G288" s="8">
        <f t="shared" si="13"/>
        <v>42586.28979166667</v>
      </c>
    </row>
    <row r="289" spans="1:7" x14ac:dyDescent="0.25">
      <c r="A289" s="8">
        <v>42584.920358796298</v>
      </c>
      <c r="B289" t="s">
        <v>171</v>
      </c>
      <c r="C289" t="s">
        <v>453</v>
      </c>
      <c r="D289">
        <v>1480000</v>
      </c>
      <c r="E289" t="s">
        <v>102</v>
      </c>
      <c r="F289" s="24" t="str">
        <f t="shared" si="12"/>
        <v>rtdc.l.rtdc.4031:itc</v>
      </c>
      <c r="G289" s="8">
        <f t="shared" si="13"/>
        <v>42584.920358796298</v>
      </c>
    </row>
    <row r="290" spans="1:7" x14ac:dyDescent="0.25">
      <c r="A290" s="8">
        <v>42586.30190972222</v>
      </c>
      <c r="B290" t="s">
        <v>69</v>
      </c>
      <c r="C290" t="s">
        <v>834</v>
      </c>
      <c r="D290">
        <v>2100000</v>
      </c>
      <c r="E290" t="s">
        <v>370</v>
      </c>
      <c r="F290" s="24" t="str">
        <f t="shared" si="12"/>
        <v>rtdc.l.rtdc.4018:itc</v>
      </c>
      <c r="G290" s="8">
        <f t="shared" si="13"/>
        <v>42586.30190972222</v>
      </c>
    </row>
    <row r="291" spans="1:7" x14ac:dyDescent="0.25">
      <c r="A291" s="8">
        <v>42585.799259259256</v>
      </c>
      <c r="B291" t="s">
        <v>155</v>
      </c>
      <c r="C291" t="s">
        <v>663</v>
      </c>
      <c r="D291">
        <v>2150000</v>
      </c>
      <c r="E291" t="s">
        <v>309</v>
      </c>
      <c r="F291" s="24" t="str">
        <f t="shared" si="12"/>
        <v>rtdc.l.rtdc.4012:itc</v>
      </c>
      <c r="G291" s="8">
        <f t="shared" si="13"/>
        <v>42585.799259259256</v>
      </c>
    </row>
    <row r="292" spans="1:7" x14ac:dyDescent="0.25">
      <c r="F292" s="24">
        <f t="shared" si="12"/>
        <v>0</v>
      </c>
      <c r="G292" s="8">
        <f t="shared" si="13"/>
        <v>0</v>
      </c>
    </row>
    <row r="293" spans="1:7" x14ac:dyDescent="0.25">
      <c r="A293" s="8">
        <v>42583.935266203705</v>
      </c>
      <c r="B293" t="s">
        <v>109</v>
      </c>
      <c r="C293" t="s">
        <v>366</v>
      </c>
      <c r="D293">
        <v>2090000</v>
      </c>
      <c r="E293" t="s">
        <v>369</v>
      </c>
      <c r="F293" s="24" t="str">
        <f t="shared" si="12"/>
        <v>rtdc.l.rtdc.4027:itc</v>
      </c>
      <c r="G293" s="8">
        <f t="shared" si="13"/>
        <v>42583.935266203705</v>
      </c>
    </row>
    <row r="294" spans="1:7" x14ac:dyDescent="0.25">
      <c r="A294" s="8">
        <v>42585.256655092591</v>
      </c>
      <c r="B294" t="s">
        <v>76</v>
      </c>
      <c r="C294" t="s">
        <v>489</v>
      </c>
      <c r="D294">
        <v>1090000</v>
      </c>
      <c r="E294" t="s">
        <v>111</v>
      </c>
      <c r="F294" s="24" t="str">
        <f t="shared" si="12"/>
        <v>rtdc.l.rtdc.4042:itc</v>
      </c>
      <c r="G294" s="8">
        <f t="shared" si="13"/>
        <v>42585.256655092591</v>
      </c>
    </row>
    <row r="295" spans="1:7" x14ac:dyDescent="0.25">
      <c r="A295" s="8">
        <v>42583.831296296295</v>
      </c>
      <c r="B295" t="s">
        <v>371</v>
      </c>
      <c r="C295" t="s">
        <v>365</v>
      </c>
      <c r="D295">
        <v>1800000</v>
      </c>
      <c r="E295" t="s">
        <v>178</v>
      </c>
      <c r="F295" s="24" t="str">
        <f t="shared" si="12"/>
        <v>rtdc.l.rtdc.4044:itc</v>
      </c>
      <c r="G295" s="8">
        <f t="shared" si="13"/>
        <v>42583.831296296295</v>
      </c>
    </row>
    <row r="296" spans="1:7" x14ac:dyDescent="0.25">
      <c r="A296" s="8">
        <v>42585.291562500002</v>
      </c>
      <c r="B296" t="s">
        <v>146</v>
      </c>
      <c r="C296" t="s">
        <v>490</v>
      </c>
      <c r="D296">
        <v>1090000</v>
      </c>
      <c r="E296" t="s">
        <v>111</v>
      </c>
      <c r="F296" s="24" t="str">
        <f t="shared" si="12"/>
        <v>rtdc.l.rtdc.4041:itc</v>
      </c>
      <c r="G296" s="8">
        <f t="shared" si="13"/>
        <v>42585.291562500002</v>
      </c>
    </row>
    <row r="297" spans="1:7" x14ac:dyDescent="0.25">
      <c r="A297" s="8">
        <v>42584.716631944444</v>
      </c>
      <c r="B297" t="s">
        <v>200</v>
      </c>
      <c r="C297" t="s">
        <v>381</v>
      </c>
      <c r="D297">
        <v>1480000</v>
      </c>
      <c r="E297" t="s">
        <v>102</v>
      </c>
      <c r="F297" s="24" t="str">
        <f t="shared" si="12"/>
        <v>rtdc.l.rtdc.4037:itc</v>
      </c>
      <c r="G297" s="8">
        <f t="shared" si="13"/>
        <v>42584.716631944444</v>
      </c>
    </row>
    <row r="298" spans="1:7" x14ac:dyDescent="0.25">
      <c r="F298" s="24">
        <f t="shared" si="12"/>
        <v>0</v>
      </c>
      <c r="G298" s="8">
        <f t="shared" si="13"/>
        <v>0</v>
      </c>
    </row>
    <row r="299" spans="1:7" x14ac:dyDescent="0.25">
      <c r="A299" s="8">
        <v>42582.893634259257</v>
      </c>
      <c r="B299" t="s">
        <v>171</v>
      </c>
      <c r="C299" t="s">
        <v>376</v>
      </c>
      <c r="D299">
        <v>2000000</v>
      </c>
      <c r="E299" t="s">
        <v>336</v>
      </c>
      <c r="F299" s="24" t="str">
        <f t="shared" si="12"/>
        <v>rtdc.l.rtdc.4031:itc</v>
      </c>
      <c r="G299" s="8">
        <f t="shared" si="13"/>
        <v>42582.893634259257</v>
      </c>
    </row>
    <row r="300" spans="1:7" x14ac:dyDescent="0.25">
      <c r="A300" s="8">
        <v>42584.267476851855</v>
      </c>
      <c r="B300" t="s">
        <v>70</v>
      </c>
      <c r="C300" t="s">
        <v>377</v>
      </c>
      <c r="D300">
        <v>900000</v>
      </c>
      <c r="E300" t="s">
        <v>201</v>
      </c>
      <c r="F300" s="24" t="str">
        <f t="shared" si="12"/>
        <v>rtdc.l.rtdc.4017:itc</v>
      </c>
      <c r="G300" s="8">
        <f t="shared" si="13"/>
        <v>42584.267476851855</v>
      </c>
    </row>
    <row r="301" spans="1:7" x14ac:dyDescent="0.25">
      <c r="A301" s="8">
        <v>42584.184965277775</v>
      </c>
      <c r="B301" t="s">
        <v>105</v>
      </c>
      <c r="C301" t="s">
        <v>375</v>
      </c>
      <c r="D301">
        <v>1090000</v>
      </c>
      <c r="E301" t="s">
        <v>111</v>
      </c>
      <c r="F301" s="24" t="str">
        <f t="shared" si="12"/>
        <v>rtdc.l.rtdc.4025:itc</v>
      </c>
      <c r="G301" s="8">
        <f t="shared" si="13"/>
        <v>42584.184965277775</v>
      </c>
    </row>
    <row r="302" spans="1:7" x14ac:dyDescent="0.25">
      <c r="F302" s="24">
        <f t="shared" si="12"/>
        <v>0</v>
      </c>
      <c r="G302" s="8">
        <f t="shared" si="13"/>
        <v>0</v>
      </c>
    </row>
    <row r="303" spans="1:7" x14ac:dyDescent="0.25">
      <c r="A303" s="8">
        <v>42581.915625000001</v>
      </c>
      <c r="B303" t="s">
        <v>105</v>
      </c>
      <c r="C303" t="s">
        <v>332</v>
      </c>
      <c r="D303">
        <v>2000000</v>
      </c>
      <c r="E303" t="s">
        <v>336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172</v>
      </c>
      <c r="C304" t="s">
        <v>338</v>
      </c>
      <c r="D304">
        <v>1260000</v>
      </c>
      <c r="E304" t="s">
        <v>180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334</v>
      </c>
      <c r="D305">
        <v>2000000</v>
      </c>
      <c r="E305" t="s">
        <v>336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200</v>
      </c>
      <c r="C306" t="s">
        <v>330</v>
      </c>
      <c r="D306">
        <v>1780000</v>
      </c>
      <c r="E306" t="s">
        <v>290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261</v>
      </c>
      <c r="D308">
        <v>1180000</v>
      </c>
      <c r="E308" t="s">
        <v>203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311</v>
      </c>
      <c r="C309" t="s">
        <v>312</v>
      </c>
      <c r="D309">
        <v>2010000</v>
      </c>
      <c r="E309" t="s">
        <v>288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200</v>
      </c>
      <c r="C310" t="s">
        <v>282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313</v>
      </c>
      <c r="D311">
        <v>2010000</v>
      </c>
      <c r="E311" t="s">
        <v>288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260</v>
      </c>
      <c r="D312">
        <v>1180000</v>
      </c>
      <c r="E312" t="s">
        <v>203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311</v>
      </c>
      <c r="C313" t="s">
        <v>314</v>
      </c>
      <c r="D313">
        <v>2010000</v>
      </c>
      <c r="E313" t="s">
        <v>288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200</v>
      </c>
      <c r="C314" t="s">
        <v>279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315</v>
      </c>
      <c r="D315">
        <v>1830000</v>
      </c>
      <c r="E315" t="s">
        <v>310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263</v>
      </c>
      <c r="D316">
        <v>950000</v>
      </c>
      <c r="E316" t="s">
        <v>283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316</v>
      </c>
      <c r="D317">
        <v>1830000</v>
      </c>
      <c r="E317" t="s">
        <v>310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144</v>
      </c>
      <c r="C318" t="s">
        <v>303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265</v>
      </c>
      <c r="D320">
        <v>1300000</v>
      </c>
      <c r="E320" t="s">
        <v>148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172</v>
      </c>
      <c r="C321" t="s">
        <v>287</v>
      </c>
      <c r="D321">
        <v>2010000</v>
      </c>
      <c r="E321" t="s">
        <v>288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172</v>
      </c>
      <c r="C322" t="s">
        <v>232</v>
      </c>
      <c r="D322">
        <v>1750000</v>
      </c>
      <c r="E322" t="s">
        <v>181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261</v>
      </c>
      <c r="D323">
        <v>1180000</v>
      </c>
      <c r="E323" t="s">
        <v>203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215</v>
      </c>
      <c r="D324">
        <v>1100000</v>
      </c>
      <c r="E324" t="s">
        <v>161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200</v>
      </c>
      <c r="C325" t="s">
        <v>282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171</v>
      </c>
      <c r="C326" t="s">
        <v>233</v>
      </c>
      <c r="D326">
        <v>1750000</v>
      </c>
      <c r="E326" t="s">
        <v>181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260</v>
      </c>
      <c r="D327">
        <v>1180000</v>
      </c>
      <c r="E327" t="s">
        <v>203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216</v>
      </c>
      <c r="D328">
        <v>1260000</v>
      </c>
      <c r="E328" t="s">
        <v>180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200</v>
      </c>
      <c r="C329" t="s">
        <v>279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216</v>
      </c>
      <c r="D330">
        <v>1260000</v>
      </c>
      <c r="E330" t="s">
        <v>180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263</v>
      </c>
      <c r="D331">
        <v>950000</v>
      </c>
      <c r="E331" t="s">
        <v>283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218</v>
      </c>
      <c r="D332">
        <v>1990000</v>
      </c>
      <c r="E332" t="s">
        <v>204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200</v>
      </c>
      <c r="C333" t="s">
        <v>276</v>
      </c>
      <c r="D333">
        <v>1770000</v>
      </c>
      <c r="E333" t="s">
        <v>175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143</v>
      </c>
      <c r="C334" t="s">
        <v>235</v>
      </c>
      <c r="D334">
        <v>1540000</v>
      </c>
      <c r="E334" t="s">
        <v>182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259</v>
      </c>
      <c r="D335">
        <v>1780000</v>
      </c>
      <c r="E335" t="s">
        <v>290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267</v>
      </c>
      <c r="D336">
        <v>1300000</v>
      </c>
      <c r="E336" t="s">
        <v>148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162</v>
      </c>
      <c r="C337" t="s">
        <v>275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200</v>
      </c>
      <c r="C338" t="s">
        <v>268</v>
      </c>
      <c r="D338">
        <v>1300000</v>
      </c>
      <c r="E338" t="s">
        <v>148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274</v>
      </c>
      <c r="D339">
        <v>1770000</v>
      </c>
      <c r="E339" t="s">
        <v>175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219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171</v>
      </c>
      <c r="C341" t="s">
        <v>257</v>
      </c>
      <c r="D341">
        <v>940000</v>
      </c>
      <c r="E341" t="s">
        <v>206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171</v>
      </c>
      <c r="C342" t="s">
        <v>220</v>
      </c>
      <c r="D342">
        <v>1750000</v>
      </c>
      <c r="E342" t="s">
        <v>181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162</v>
      </c>
      <c r="C343" t="s">
        <v>273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269</v>
      </c>
      <c r="D344">
        <v>1300000</v>
      </c>
      <c r="E344" t="s">
        <v>148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144</v>
      </c>
      <c r="C345" t="s">
        <v>255</v>
      </c>
      <c r="D345">
        <v>1520000</v>
      </c>
      <c r="E345" t="s">
        <v>173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172</v>
      </c>
      <c r="C346" t="s">
        <v>238</v>
      </c>
      <c r="D346">
        <v>1750000</v>
      </c>
      <c r="E346" t="s">
        <v>181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231</v>
      </c>
      <c r="D347">
        <v>880000</v>
      </c>
      <c r="E347" t="s">
        <v>177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240</v>
      </c>
      <c r="D348">
        <v>1280000</v>
      </c>
      <c r="E348" t="s">
        <v>179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256</v>
      </c>
      <c r="D349">
        <v>950000</v>
      </c>
      <c r="E349" t="s">
        <v>283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222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143</v>
      </c>
      <c r="C351" t="s">
        <v>254</v>
      </c>
      <c r="D351">
        <v>1520000</v>
      </c>
      <c r="E351" t="s">
        <v>173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243</v>
      </c>
      <c r="D352">
        <v>950000</v>
      </c>
      <c r="E352" t="s">
        <v>283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162</v>
      </c>
      <c r="C353" t="s">
        <v>271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244</v>
      </c>
      <c r="D354">
        <v>1280000</v>
      </c>
      <c r="E354" t="s">
        <v>179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253</v>
      </c>
      <c r="D355">
        <v>1140000</v>
      </c>
      <c r="E355" t="s">
        <v>174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226</v>
      </c>
      <c r="D356">
        <v>1770000</v>
      </c>
      <c r="E356" t="s">
        <v>175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171</v>
      </c>
      <c r="C357" t="s">
        <v>227</v>
      </c>
      <c r="D357">
        <v>940000</v>
      </c>
      <c r="E357" t="s">
        <v>206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200</v>
      </c>
      <c r="C358" t="s">
        <v>228</v>
      </c>
      <c r="D358">
        <v>1770000</v>
      </c>
      <c r="E358" t="s">
        <v>175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248</v>
      </c>
      <c r="D359">
        <v>1120000</v>
      </c>
      <c r="E359" t="s">
        <v>202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249</v>
      </c>
      <c r="D360">
        <v>1140000</v>
      </c>
      <c r="E360" t="s">
        <v>174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246</v>
      </c>
      <c r="D361">
        <v>880000</v>
      </c>
      <c r="E361" t="s">
        <v>177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247</v>
      </c>
      <c r="D362">
        <v>880000</v>
      </c>
      <c r="E362" t="s">
        <v>177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144</v>
      </c>
      <c r="C363" t="s">
        <v>225</v>
      </c>
      <c r="D363">
        <v>1520000</v>
      </c>
      <c r="E363" t="s">
        <v>173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143</v>
      </c>
      <c r="C364" t="s">
        <v>250</v>
      </c>
      <c r="D364">
        <v>1520000</v>
      </c>
      <c r="E364" t="s">
        <v>173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270</v>
      </c>
      <c r="D365">
        <v>1300000</v>
      </c>
      <c r="E365" t="s">
        <v>148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146</v>
      </c>
      <c r="C366" t="s">
        <v>229</v>
      </c>
      <c r="D366">
        <v>1120000</v>
      </c>
      <c r="E366" t="s">
        <v>202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224</v>
      </c>
      <c r="D367">
        <v>880000</v>
      </c>
      <c r="E367" t="s">
        <v>177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172</v>
      </c>
      <c r="C368" t="s">
        <v>230</v>
      </c>
      <c r="D368">
        <v>940000</v>
      </c>
      <c r="E368" t="s">
        <v>206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242</v>
      </c>
      <c r="D369">
        <v>1120000</v>
      </c>
      <c r="E369" t="s">
        <v>202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251</v>
      </c>
      <c r="D370">
        <v>1280000</v>
      </c>
      <c r="E370" t="s">
        <v>179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239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252</v>
      </c>
      <c r="D372">
        <v>1280000</v>
      </c>
      <c r="E372" t="s">
        <v>179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200</v>
      </c>
      <c r="C373" t="s">
        <v>221</v>
      </c>
      <c r="D373">
        <v>1300000</v>
      </c>
      <c r="E373" t="s">
        <v>148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200</v>
      </c>
      <c r="C374" t="s">
        <v>272</v>
      </c>
      <c r="D374">
        <v>1770000</v>
      </c>
      <c r="E374" t="s">
        <v>175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236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258</v>
      </c>
      <c r="D376">
        <v>1180000</v>
      </c>
      <c r="E376" t="s">
        <v>203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234</v>
      </c>
      <c r="D377">
        <v>1100000</v>
      </c>
      <c r="E377" t="s">
        <v>161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162</v>
      </c>
      <c r="C378" t="s">
        <v>281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218</v>
      </c>
      <c r="D379">
        <v>1990000</v>
      </c>
      <c r="E379" t="s">
        <v>204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278</v>
      </c>
      <c r="D380">
        <v>1770000</v>
      </c>
      <c r="E380" t="s">
        <v>175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200</v>
      </c>
      <c r="C381" t="s">
        <v>217</v>
      </c>
      <c r="D381">
        <v>1300000</v>
      </c>
      <c r="E381" t="s">
        <v>148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200</v>
      </c>
      <c r="C382" t="s">
        <v>277</v>
      </c>
      <c r="D382">
        <v>1770000</v>
      </c>
      <c r="E382" t="s">
        <v>175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162</v>
      </c>
      <c r="C383" t="s">
        <v>266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280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207</v>
      </c>
      <c r="D385">
        <v>1990000</v>
      </c>
      <c r="E385" t="s">
        <v>204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262</v>
      </c>
      <c r="D386">
        <v>1230000</v>
      </c>
      <c r="E386" t="s">
        <v>154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200</v>
      </c>
      <c r="C387" t="s">
        <v>208</v>
      </c>
      <c r="D387">
        <v>1300000</v>
      </c>
      <c r="E387" t="s">
        <v>148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264</v>
      </c>
      <c r="D388">
        <v>1800000</v>
      </c>
      <c r="E388" t="s">
        <v>178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146</v>
      </c>
      <c r="C389" t="s">
        <v>205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172</v>
      </c>
      <c r="C390" t="s">
        <v>291</v>
      </c>
      <c r="D390">
        <v>2010000</v>
      </c>
      <c r="E390" t="s">
        <v>288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195</v>
      </c>
      <c r="D391">
        <v>1180000</v>
      </c>
      <c r="E391" t="s">
        <v>203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292</v>
      </c>
      <c r="D392">
        <v>1100000</v>
      </c>
      <c r="E392" t="s">
        <v>161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194</v>
      </c>
      <c r="D393">
        <v>1800000</v>
      </c>
      <c r="E393" t="s">
        <v>178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285</v>
      </c>
      <c r="D394">
        <v>1360000</v>
      </c>
      <c r="E394" t="s">
        <v>286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194</v>
      </c>
      <c r="D395">
        <v>1800000</v>
      </c>
      <c r="E395" t="s">
        <v>178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284</v>
      </c>
      <c r="D396">
        <v>1100000</v>
      </c>
      <c r="E396" t="s">
        <v>161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200</v>
      </c>
      <c r="C397" t="s">
        <v>193</v>
      </c>
      <c r="D397">
        <v>1180000</v>
      </c>
      <c r="E397" t="s">
        <v>203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289</v>
      </c>
      <c r="D398">
        <v>1190000</v>
      </c>
      <c r="E398" t="s">
        <v>145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146</v>
      </c>
      <c r="C399" t="s">
        <v>199</v>
      </c>
      <c r="D399">
        <v>1290000</v>
      </c>
      <c r="E399" t="s">
        <v>151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285</v>
      </c>
      <c r="D400">
        <v>1360000</v>
      </c>
      <c r="E400" t="s">
        <v>286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191</v>
      </c>
      <c r="D401">
        <v>1810000</v>
      </c>
      <c r="E401" t="s">
        <v>176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293</v>
      </c>
      <c r="D402">
        <v>900000</v>
      </c>
      <c r="E402" t="s">
        <v>201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223</v>
      </c>
      <c r="D403">
        <v>1280000</v>
      </c>
      <c r="E403" t="s">
        <v>179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183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196</v>
      </c>
      <c r="D406">
        <v>1800000</v>
      </c>
      <c r="E406" t="s">
        <v>178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144</v>
      </c>
      <c r="C407" t="s">
        <v>184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198</v>
      </c>
      <c r="D408">
        <v>1230000</v>
      </c>
      <c r="E408" t="s">
        <v>154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185</v>
      </c>
      <c r="D409">
        <v>1190000</v>
      </c>
      <c r="E409" t="s">
        <v>145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197</v>
      </c>
      <c r="D410">
        <v>1800000</v>
      </c>
      <c r="E410" t="s">
        <v>178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186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209</v>
      </c>
      <c r="D412">
        <v>1990000</v>
      </c>
      <c r="E412" t="s">
        <v>204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155</v>
      </c>
      <c r="C413" t="s">
        <v>170</v>
      </c>
      <c r="D413">
        <v>1800000</v>
      </c>
      <c r="E413" t="s">
        <v>178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210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153</v>
      </c>
      <c r="C415" t="s">
        <v>169</v>
      </c>
      <c r="D415">
        <v>1800000</v>
      </c>
      <c r="E415" t="s">
        <v>178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211</v>
      </c>
      <c r="D416">
        <v>1990000</v>
      </c>
      <c r="E416" t="s">
        <v>204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172</v>
      </c>
      <c r="C417" t="s">
        <v>167</v>
      </c>
      <c r="D417">
        <v>1750000</v>
      </c>
      <c r="E417" t="s">
        <v>181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143</v>
      </c>
      <c r="C418" t="s">
        <v>212</v>
      </c>
      <c r="D418">
        <v>1540000</v>
      </c>
      <c r="E418" t="s">
        <v>182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168</v>
      </c>
      <c r="D419">
        <v>1290000</v>
      </c>
      <c r="E419" t="s">
        <v>151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213</v>
      </c>
      <c r="D420">
        <v>1100000</v>
      </c>
      <c r="E420" t="s">
        <v>161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189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143</v>
      </c>
      <c r="C422" t="s">
        <v>214</v>
      </c>
      <c r="D422">
        <v>1540000</v>
      </c>
      <c r="E422" t="s">
        <v>182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190</v>
      </c>
      <c r="D423">
        <v>880000</v>
      </c>
      <c r="E423" t="s">
        <v>177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0" bestFit="1" customWidth="1"/>
  </cols>
  <sheetData>
    <row r="1" spans="1:16" ht="45.75" x14ac:dyDescent="0.3">
      <c r="A1" s="14" t="s">
        <v>25</v>
      </c>
      <c r="C1" s="102" t="s">
        <v>294</v>
      </c>
      <c r="D1" s="103" t="s">
        <v>295</v>
      </c>
      <c r="J1" s="37" t="s">
        <v>296</v>
      </c>
      <c r="K1" s="37" t="s">
        <v>82</v>
      </c>
      <c r="L1" s="37" t="s">
        <v>83</v>
      </c>
      <c r="O1" s="106" t="s">
        <v>297</v>
      </c>
    </row>
    <row r="2" spans="1:16" ht="15.75" thickBot="1" x14ac:dyDescent="0.3">
      <c r="A2" s="15">
        <v>42585</v>
      </c>
      <c r="B2" s="4"/>
      <c r="C2" s="104">
        <v>50</v>
      </c>
      <c r="D2" s="105">
        <v>25</v>
      </c>
      <c r="F2" t="s">
        <v>60</v>
      </c>
      <c r="J2" s="37"/>
      <c r="K2" s="37" t="s">
        <v>82</v>
      </c>
      <c r="L2" s="37" t="s">
        <v>83</v>
      </c>
    </row>
    <row r="3" spans="1:16" x14ac:dyDescent="0.25">
      <c r="F3" t="s">
        <v>61</v>
      </c>
      <c r="J3" s="38" t="s">
        <v>84</v>
      </c>
      <c r="K3" s="39">
        <v>2.7052</v>
      </c>
      <c r="L3" s="39">
        <v>2.7349999999999999</v>
      </c>
      <c r="M3" s="80">
        <f t="shared" ref="M3:M14" si="0">AVERAGE(K3:L3)</f>
        <v>2.7201</v>
      </c>
      <c r="O3" t="s">
        <v>298</v>
      </c>
      <c r="P3" s="80">
        <f>AVERAGE(1.0714,1.1016)</f>
        <v>1.0865</v>
      </c>
    </row>
    <row r="4" spans="1:16" x14ac:dyDescent="0.25">
      <c r="F4" t="s">
        <v>62</v>
      </c>
      <c r="J4" s="38" t="s">
        <v>85</v>
      </c>
      <c r="K4" s="39">
        <v>3.0830000000000002</v>
      </c>
      <c r="L4" s="39">
        <v>3.097</v>
      </c>
      <c r="M4" s="80">
        <f t="shared" si="0"/>
        <v>3.09</v>
      </c>
    </row>
    <row r="5" spans="1:16" x14ac:dyDescent="0.25">
      <c r="J5" s="38" t="s">
        <v>86</v>
      </c>
      <c r="K5" s="39">
        <v>3.3136000000000001</v>
      </c>
      <c r="L5" s="39">
        <v>3.3256999999999999</v>
      </c>
      <c r="M5" s="80">
        <f t="shared" si="0"/>
        <v>3.3196500000000002</v>
      </c>
    </row>
    <row r="6" spans="1:16" x14ac:dyDescent="0.25">
      <c r="J6" s="38" t="s">
        <v>87</v>
      </c>
      <c r="K6" s="39">
        <v>4.2778999999999998</v>
      </c>
      <c r="L6" s="39">
        <v>4.2961</v>
      </c>
      <c r="M6" s="80">
        <f t="shared" si="0"/>
        <v>4.2869999999999999</v>
      </c>
    </row>
    <row r="7" spans="1:16" x14ac:dyDescent="0.25">
      <c r="J7" s="38" t="s">
        <v>88</v>
      </c>
      <c r="K7" s="39">
        <v>4.7865000000000002</v>
      </c>
      <c r="L7" s="39">
        <v>4.8048000000000002</v>
      </c>
      <c r="M7" s="80">
        <f t="shared" si="0"/>
        <v>4.7956500000000002</v>
      </c>
    </row>
    <row r="8" spans="1:16" x14ac:dyDescent="0.25">
      <c r="J8" s="38" t="s">
        <v>89</v>
      </c>
      <c r="K8" s="39">
        <v>5.3155000000000001</v>
      </c>
      <c r="L8" s="39">
        <v>5.3277000000000001</v>
      </c>
      <c r="M8" s="80">
        <f t="shared" si="0"/>
        <v>5.3216000000000001</v>
      </c>
    </row>
    <row r="9" spans="1:16" x14ac:dyDescent="0.25">
      <c r="J9" s="38" t="s">
        <v>90</v>
      </c>
      <c r="K9" s="39">
        <v>5.8117000000000001</v>
      </c>
      <c r="L9" s="39">
        <v>5.8300999999999998</v>
      </c>
      <c r="M9" s="80">
        <f t="shared" si="0"/>
        <v>5.8209</v>
      </c>
    </row>
    <row r="10" spans="1:16" x14ac:dyDescent="0.25">
      <c r="J10" s="38" t="s">
        <v>91</v>
      </c>
      <c r="K10" s="39">
        <v>5.8783000000000003</v>
      </c>
      <c r="L10" s="39">
        <v>5.8903999999999996</v>
      </c>
      <c r="M10" s="80">
        <f t="shared" si="0"/>
        <v>5.8843499999999995</v>
      </c>
    </row>
    <row r="11" spans="1:16" x14ac:dyDescent="0.25">
      <c r="J11" s="38" t="s">
        <v>92</v>
      </c>
      <c r="K11" s="39">
        <v>6.3068</v>
      </c>
      <c r="L11" s="39">
        <v>6.3308999999999997</v>
      </c>
      <c r="M11" s="80">
        <f t="shared" si="0"/>
        <v>6.3188499999999994</v>
      </c>
    </row>
    <row r="12" spans="1:16" x14ac:dyDescent="0.25">
      <c r="J12" s="38" t="s">
        <v>93</v>
      </c>
      <c r="K12" s="39">
        <v>7.8349000000000002</v>
      </c>
      <c r="L12" s="39">
        <v>7.8468999999999998</v>
      </c>
      <c r="M12" s="80">
        <f t="shared" si="0"/>
        <v>7.8408999999999995</v>
      </c>
    </row>
    <row r="13" spans="1:16" x14ac:dyDescent="0.25">
      <c r="J13" s="38" t="s">
        <v>94</v>
      </c>
      <c r="K13" s="39">
        <v>10.373799999999999</v>
      </c>
      <c r="L13" s="39">
        <v>10.38</v>
      </c>
      <c r="M13" s="80">
        <f t="shared" si="0"/>
        <v>10.376899999999999</v>
      </c>
    </row>
    <row r="14" spans="1:16" x14ac:dyDescent="0.25">
      <c r="J14" s="38" t="s">
        <v>95</v>
      </c>
      <c r="K14" s="39">
        <v>10.8954</v>
      </c>
      <c r="L14" s="39">
        <v>10.913500000000001</v>
      </c>
      <c r="M14" s="80">
        <f t="shared" si="0"/>
        <v>10.904450000000001</v>
      </c>
    </row>
    <row r="15" spans="1:16" x14ac:dyDescent="0.25">
      <c r="J15" s="38"/>
      <c r="K15" s="39"/>
      <c r="L15" s="39"/>
    </row>
    <row r="16" spans="1:16" x14ac:dyDescent="0.25">
      <c r="J16" s="38"/>
      <c r="K16" s="39"/>
      <c r="L16" s="39"/>
    </row>
    <row r="17" spans="10:13" x14ac:dyDescent="0.25">
      <c r="J17" s="38"/>
      <c r="K17" s="39"/>
      <c r="L17" s="39"/>
    </row>
    <row r="18" spans="10:13" x14ac:dyDescent="0.25">
      <c r="J18" s="38" t="s">
        <v>120</v>
      </c>
      <c r="K18" s="39"/>
      <c r="L18" s="39"/>
      <c r="M18" s="80" t="str">
        <f>"""C:\Program Files (x86)\AstroGrep\AstroGrep.exe"""</f>
        <v>"C:\Program Files (x86)\AstroGrep\AstroGrep.exe"</v>
      </c>
    </row>
    <row r="19" spans="10:13" x14ac:dyDescent="0.25">
      <c r="J19" s="38" t="s">
        <v>121</v>
      </c>
      <c r="K19" s="39"/>
      <c r="L19" s="39"/>
      <c r="M19" s="80" t="s">
        <v>496</v>
      </c>
    </row>
    <row r="20" spans="10:13" x14ac:dyDescent="0.25">
      <c r="J20" t="s">
        <v>122</v>
      </c>
      <c r="M20" s="80" t="s">
        <v>378</v>
      </c>
    </row>
    <row r="21" spans="10:13" x14ac:dyDescent="0.25">
      <c r="J21" s="24" t="s">
        <v>125</v>
      </c>
      <c r="K21" s="24" t="s">
        <v>126</v>
      </c>
      <c r="M21" s="80" t="s">
        <v>126</v>
      </c>
    </row>
    <row r="22" spans="10:13" x14ac:dyDescent="0.25">
      <c r="J22" s="24" t="s">
        <v>127</v>
      </c>
      <c r="K22" s="24" t="s">
        <v>128</v>
      </c>
      <c r="M22" s="80" t="s">
        <v>495</v>
      </c>
    </row>
    <row r="23" spans="10:13" x14ac:dyDescent="0.25">
      <c r="J23" s="34" t="s">
        <v>130</v>
      </c>
      <c r="K23" s="24"/>
      <c r="M23" s="80">
        <v>-6</v>
      </c>
    </row>
    <row r="24" spans="10:13" x14ac:dyDescent="0.25">
      <c r="J24" s="24" t="s">
        <v>379</v>
      </c>
      <c r="K24" s="24"/>
      <c r="M24" s="80" t="s">
        <v>494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refinertdcruntimes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2016-08-04T16:36:48Z</dcterms:modified>
</cp:coreProperties>
</file>