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18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Enforcements!$A$6:$V$55</definedName>
    <definedName name="_xlnm._FilterDatabase" localSheetId="2" hidden="1">'Missing Trips'!$A$2:$G$2</definedName>
    <definedName name="_xlnm._FilterDatabase" localSheetId="0" hidden="1">'Train Runs'!$A$12:$AG$155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6" i="1" l="1"/>
  <c r="X147" i="1"/>
  <c r="X148" i="1"/>
  <c r="X149" i="1"/>
  <c r="X150" i="1"/>
  <c r="P146" i="1"/>
  <c r="K146" i="1"/>
  <c r="L146" i="1"/>
  <c r="M146" i="1"/>
  <c r="T146" i="1"/>
  <c r="U146" i="1" s="1"/>
  <c r="S146" i="1" s="1"/>
  <c r="V146" i="1"/>
  <c r="AA146" i="1"/>
  <c r="W146" i="1" s="1"/>
  <c r="AB146" i="1"/>
  <c r="AC146" i="1"/>
  <c r="AD146" i="1"/>
  <c r="AG146" i="1" s="1"/>
  <c r="AE146" i="1"/>
  <c r="AF146" i="1"/>
  <c r="P126" i="1"/>
  <c r="P59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G15" i="1" s="1"/>
  <c r="AE15" i="1"/>
  <c r="AF15" i="1"/>
  <c r="K16" i="1"/>
  <c r="L16" i="1"/>
  <c r="M16" i="1"/>
  <c r="N16" i="1" s="1"/>
  <c r="T16" i="1"/>
  <c r="V16" i="1"/>
  <c r="X16" i="1"/>
  <c r="Y16" i="1"/>
  <c r="Z16" i="1"/>
  <c r="AA16" i="1"/>
  <c r="W16" i="1" s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G17" i="1" s="1"/>
  <c r="AE17" i="1"/>
  <c r="AF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G18" i="1" s="1"/>
  <c r="AE18" i="1"/>
  <c r="AF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G19" i="1" s="1"/>
  <c r="AE19" i="1"/>
  <c r="AF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G20" i="1" s="1"/>
  <c r="AE20" i="1"/>
  <c r="AF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G21" i="1" s="1"/>
  <c r="AE21" i="1"/>
  <c r="AF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G22" i="1" s="1"/>
  <c r="AE22" i="1"/>
  <c r="AF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G23" i="1" s="1"/>
  <c r="AE23" i="1"/>
  <c r="AF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G24" i="1" s="1"/>
  <c r="AE24" i="1"/>
  <c r="AF24" i="1"/>
  <c r="K25" i="1"/>
  <c r="L25" i="1"/>
  <c r="M25" i="1"/>
  <c r="N25" i="1" s="1"/>
  <c r="T25" i="1"/>
  <c r="V25" i="1"/>
  <c r="X25" i="1"/>
  <c r="Y25" i="1"/>
  <c r="Z25" i="1"/>
  <c r="AA25" i="1" s="1"/>
  <c r="W25" i="1" s="1"/>
  <c r="AB25" i="1"/>
  <c r="AC25" i="1"/>
  <c r="AD25" i="1"/>
  <c r="AG25" i="1" s="1"/>
  <c r="AE25" i="1"/>
  <c r="AF25" i="1"/>
  <c r="K26" i="1"/>
  <c r="L26" i="1"/>
  <c r="M26" i="1"/>
  <c r="N26" i="1" s="1"/>
  <c r="T26" i="1"/>
  <c r="V26" i="1"/>
  <c r="X26" i="1"/>
  <c r="Y26" i="1"/>
  <c r="U26" i="1" s="1"/>
  <c r="S26" i="1" s="1"/>
  <c r="Z26" i="1"/>
  <c r="AB26" i="1"/>
  <c r="AC26" i="1"/>
  <c r="AD26" i="1"/>
  <c r="AG26" i="1" s="1"/>
  <c r="AE26" i="1"/>
  <c r="AF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G27" i="1" s="1"/>
  <c r="AE27" i="1"/>
  <c r="AF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G28" i="1" s="1"/>
  <c r="AE28" i="1"/>
  <c r="AF28" i="1"/>
  <c r="K29" i="1"/>
  <c r="L29" i="1"/>
  <c r="M29" i="1"/>
  <c r="N29" i="1" s="1"/>
  <c r="T29" i="1"/>
  <c r="V29" i="1"/>
  <c r="X29" i="1"/>
  <c r="Y29" i="1"/>
  <c r="Z29" i="1"/>
  <c r="AA29" i="1" s="1"/>
  <c r="W29" i="1" s="1"/>
  <c r="AB29" i="1"/>
  <c r="AC29" i="1"/>
  <c r="AD29" i="1"/>
  <c r="AG29" i="1" s="1"/>
  <c r="AE29" i="1"/>
  <c r="AF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G30" i="1" s="1"/>
  <c r="AE30" i="1"/>
  <c r="AF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G31" i="1" s="1"/>
  <c r="AE31" i="1"/>
  <c r="AF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G32" i="1" s="1"/>
  <c r="AE32" i="1"/>
  <c r="AF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G33" i="1" s="1"/>
  <c r="AE33" i="1"/>
  <c r="AF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G34" i="1" s="1"/>
  <c r="AE34" i="1"/>
  <c r="AF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G35" i="1" s="1"/>
  <c r="AE35" i="1"/>
  <c r="AF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G36" i="1" s="1"/>
  <c r="AE36" i="1"/>
  <c r="AF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G37" i="1" s="1"/>
  <c r="AE37" i="1"/>
  <c r="AF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G38" i="1" s="1"/>
  <c r="AE38" i="1"/>
  <c r="AF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G39" i="1" s="1"/>
  <c r="AE39" i="1"/>
  <c r="AF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G40" i="1" s="1"/>
  <c r="AE40" i="1"/>
  <c r="AF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G41" i="1" s="1"/>
  <c r="AE41" i="1"/>
  <c r="AF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G42" i="1" s="1"/>
  <c r="AE42" i="1"/>
  <c r="AF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G43" i="1" s="1"/>
  <c r="AE43" i="1"/>
  <c r="AF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G44" i="1" s="1"/>
  <c r="AE44" i="1"/>
  <c r="AF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G45" i="1" s="1"/>
  <c r="AE45" i="1"/>
  <c r="AF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G46" i="1" s="1"/>
  <c r="AE46" i="1"/>
  <c r="AF46" i="1"/>
  <c r="K47" i="1"/>
  <c r="L47" i="1"/>
  <c r="M47" i="1"/>
  <c r="N47" i="1" s="1"/>
  <c r="T47" i="1"/>
  <c r="V47" i="1"/>
  <c r="X47" i="1"/>
  <c r="Y47" i="1"/>
  <c r="Z47" i="1"/>
  <c r="AA47" i="1" s="1"/>
  <c r="W47" i="1" s="1"/>
  <c r="AB47" i="1"/>
  <c r="AC47" i="1"/>
  <c r="AD47" i="1"/>
  <c r="AG47" i="1" s="1"/>
  <c r="AE47" i="1"/>
  <c r="AF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G48" i="1" s="1"/>
  <c r="AE48" i="1"/>
  <c r="AF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G49" i="1" s="1"/>
  <c r="AE49" i="1"/>
  <c r="AF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G50" i="1" s="1"/>
  <c r="AE50" i="1"/>
  <c r="AF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G51" i="1" s="1"/>
  <c r="AE51" i="1"/>
  <c r="AF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G52" i="1" s="1"/>
  <c r="AE52" i="1"/>
  <c r="AF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G53" i="1" s="1"/>
  <c r="AE53" i="1"/>
  <c r="AF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G55" i="1" s="1"/>
  <c r="AE55" i="1"/>
  <c r="AF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G56" i="1" s="1"/>
  <c r="AE56" i="1"/>
  <c r="AF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G57" i="1" s="1"/>
  <c r="AE57" i="1"/>
  <c r="AF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G58" i="1" s="1"/>
  <c r="AE58" i="1"/>
  <c r="AF58" i="1"/>
  <c r="K59" i="1"/>
  <c r="L59" i="1"/>
  <c r="M59" i="1"/>
  <c r="T59" i="1"/>
  <c r="V59" i="1"/>
  <c r="X59" i="1"/>
  <c r="Y59" i="1"/>
  <c r="Z59" i="1"/>
  <c r="AB59" i="1"/>
  <c r="AC59" i="1"/>
  <c r="AD59" i="1"/>
  <c r="AG59" i="1" s="1"/>
  <c r="AE59" i="1"/>
  <c r="AF59" i="1"/>
  <c r="K60" i="1"/>
  <c r="L60" i="1"/>
  <c r="M60" i="1"/>
  <c r="T60" i="1"/>
  <c r="V60" i="1"/>
  <c r="X60" i="1"/>
  <c r="Y60" i="1"/>
  <c r="Z60" i="1"/>
  <c r="AB60" i="1"/>
  <c r="AC60" i="1"/>
  <c r="AD60" i="1"/>
  <c r="AG60" i="1" s="1"/>
  <c r="AE60" i="1"/>
  <c r="AF60" i="1"/>
  <c r="K61" i="1"/>
  <c r="L61" i="1"/>
  <c r="M61" i="1"/>
  <c r="T61" i="1"/>
  <c r="V61" i="1"/>
  <c r="X61" i="1"/>
  <c r="Y61" i="1"/>
  <c r="Z61" i="1"/>
  <c r="AB61" i="1"/>
  <c r="AC61" i="1"/>
  <c r="AD61" i="1"/>
  <c r="AG61" i="1" s="1"/>
  <c r="AE61" i="1"/>
  <c r="AF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G62" i="1" s="1"/>
  <c r="AE62" i="1"/>
  <c r="AF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G63" i="1" s="1"/>
  <c r="AE63" i="1"/>
  <c r="AF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G64" i="1" s="1"/>
  <c r="AE64" i="1"/>
  <c r="AF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G65" i="1" s="1"/>
  <c r="AE65" i="1"/>
  <c r="AF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G66" i="1" s="1"/>
  <c r="AE66" i="1"/>
  <c r="AF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G67" i="1" s="1"/>
  <c r="AE67" i="1"/>
  <c r="AF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G68" i="1" s="1"/>
  <c r="AE68" i="1"/>
  <c r="AF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G69" i="1" s="1"/>
  <c r="AE69" i="1"/>
  <c r="AF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G70" i="1" s="1"/>
  <c r="AE70" i="1"/>
  <c r="AF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G71" i="1" s="1"/>
  <c r="AE71" i="1"/>
  <c r="AF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G72" i="1" s="1"/>
  <c r="AE72" i="1"/>
  <c r="AF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G73" i="1" s="1"/>
  <c r="AE73" i="1"/>
  <c r="AF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G74" i="1" s="1"/>
  <c r="AE74" i="1"/>
  <c r="AF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G75" i="1" s="1"/>
  <c r="AE75" i="1"/>
  <c r="AF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G76" i="1" s="1"/>
  <c r="AE76" i="1"/>
  <c r="AF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G77" i="1" s="1"/>
  <c r="AE77" i="1"/>
  <c r="AF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G78" i="1" s="1"/>
  <c r="AE78" i="1"/>
  <c r="AF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G79" i="1" s="1"/>
  <c r="AE79" i="1"/>
  <c r="AF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G80" i="1" s="1"/>
  <c r="AE80" i="1"/>
  <c r="AF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G81" i="1" s="1"/>
  <c r="AE81" i="1"/>
  <c r="AF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G82" i="1" s="1"/>
  <c r="AE82" i="1"/>
  <c r="AF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G83" i="1" s="1"/>
  <c r="AE83" i="1"/>
  <c r="AF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G84" i="1" s="1"/>
  <c r="AE84" i="1"/>
  <c r="AF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G85" i="1" s="1"/>
  <c r="AE85" i="1"/>
  <c r="AF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G86" i="1" s="1"/>
  <c r="AE86" i="1"/>
  <c r="AF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G87" i="1" s="1"/>
  <c r="AE87" i="1"/>
  <c r="AF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G88" i="1" s="1"/>
  <c r="AE88" i="1"/>
  <c r="AF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G89" i="1" s="1"/>
  <c r="AE89" i="1"/>
  <c r="AF89" i="1"/>
  <c r="K90" i="1"/>
  <c r="L90" i="1"/>
  <c r="M90" i="1"/>
  <c r="N90" i="1" s="1"/>
  <c r="T90" i="1"/>
  <c r="V90" i="1"/>
  <c r="X90" i="1"/>
  <c r="Y90" i="1"/>
  <c r="Z90" i="1"/>
  <c r="AA90" i="1" s="1"/>
  <c r="W90" i="1" s="1"/>
  <c r="AB90" i="1"/>
  <c r="AC90" i="1"/>
  <c r="AD90" i="1"/>
  <c r="AG90" i="1" s="1"/>
  <c r="AE90" i="1"/>
  <c r="AF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G91" i="1" s="1"/>
  <c r="AE91" i="1"/>
  <c r="AF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G92" i="1" s="1"/>
  <c r="AE92" i="1"/>
  <c r="AF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G93" i="1" s="1"/>
  <c r="AE93" i="1"/>
  <c r="AF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G94" i="1" s="1"/>
  <c r="AE94" i="1"/>
  <c r="AF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G95" i="1" s="1"/>
  <c r="AE95" i="1"/>
  <c r="AF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G96" i="1" s="1"/>
  <c r="AE96" i="1"/>
  <c r="AF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G97" i="1" s="1"/>
  <c r="AE97" i="1"/>
  <c r="AF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G98" i="1" s="1"/>
  <c r="AE98" i="1"/>
  <c r="AF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G99" i="1" s="1"/>
  <c r="AE99" i="1"/>
  <c r="AF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G100" i="1" s="1"/>
  <c r="AE100" i="1"/>
  <c r="AF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G101" i="1" s="1"/>
  <c r="AE101" i="1"/>
  <c r="AF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G102" i="1" s="1"/>
  <c r="AE102" i="1"/>
  <c r="AF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G103" i="1" s="1"/>
  <c r="AE103" i="1"/>
  <c r="AF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G104" i="1" s="1"/>
  <c r="AE104" i="1"/>
  <c r="AF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G105" i="1" s="1"/>
  <c r="AE105" i="1"/>
  <c r="AF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G106" i="1" s="1"/>
  <c r="AE106" i="1"/>
  <c r="AF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G107" i="1" s="1"/>
  <c r="AE107" i="1"/>
  <c r="AF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G108" i="1" s="1"/>
  <c r="AE108" i="1"/>
  <c r="AF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G109" i="1" s="1"/>
  <c r="AE109" i="1"/>
  <c r="AF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G110" i="1" s="1"/>
  <c r="AE110" i="1"/>
  <c r="AF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G111" i="1" s="1"/>
  <c r="AE111" i="1"/>
  <c r="AF111" i="1"/>
  <c r="K112" i="1"/>
  <c r="L112" i="1"/>
  <c r="M112" i="1"/>
  <c r="N112" i="1" s="1"/>
  <c r="T112" i="1"/>
  <c r="V112" i="1"/>
  <c r="X112" i="1"/>
  <c r="Y112" i="1"/>
  <c r="Z112" i="1"/>
  <c r="AA112" i="1" s="1"/>
  <c r="W112" i="1" s="1"/>
  <c r="AB112" i="1"/>
  <c r="AC112" i="1"/>
  <c r="AD112" i="1"/>
  <c r="AG112" i="1" s="1"/>
  <c r="AE112" i="1"/>
  <c r="AF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G113" i="1" s="1"/>
  <c r="AE113" i="1"/>
  <c r="AF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G114" i="1" s="1"/>
  <c r="AE114" i="1"/>
  <c r="AF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G115" i="1" s="1"/>
  <c r="AE115" i="1"/>
  <c r="AF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G116" i="1" s="1"/>
  <c r="AE116" i="1"/>
  <c r="AF116" i="1"/>
  <c r="K117" i="1"/>
  <c r="L117" i="1"/>
  <c r="M117" i="1"/>
  <c r="N117" i="1" s="1"/>
  <c r="T117" i="1"/>
  <c r="V117" i="1"/>
  <c r="X117" i="1"/>
  <c r="Y117" i="1"/>
  <c r="Z117" i="1"/>
  <c r="AA117" i="1" s="1"/>
  <c r="W117" i="1" s="1"/>
  <c r="AB117" i="1"/>
  <c r="AC117" i="1"/>
  <c r="AD117" i="1"/>
  <c r="AG117" i="1" s="1"/>
  <c r="AE117" i="1"/>
  <c r="AF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G118" i="1" s="1"/>
  <c r="AE118" i="1"/>
  <c r="AF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G119" i="1" s="1"/>
  <c r="AE119" i="1"/>
  <c r="AF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G120" i="1" s="1"/>
  <c r="AE120" i="1"/>
  <c r="AF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G121" i="1" s="1"/>
  <c r="AE121" i="1"/>
  <c r="AF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G122" i="1" s="1"/>
  <c r="AE122" i="1"/>
  <c r="AF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G123" i="1" s="1"/>
  <c r="AE123" i="1"/>
  <c r="AF123" i="1"/>
  <c r="K124" i="1"/>
  <c r="L124" i="1"/>
  <c r="M124" i="1"/>
  <c r="N124" i="1"/>
  <c r="T124" i="1"/>
  <c r="V124" i="1"/>
  <c r="X124" i="1"/>
  <c r="Y124" i="1"/>
  <c r="Z124" i="1"/>
  <c r="AB124" i="1"/>
  <c r="AC124" i="1"/>
  <c r="AD124" i="1"/>
  <c r="AG124" i="1" s="1"/>
  <c r="AE124" i="1"/>
  <c r="AF124" i="1"/>
  <c r="K125" i="1"/>
  <c r="L125" i="1"/>
  <c r="M125" i="1"/>
  <c r="N125" i="1" s="1"/>
  <c r="T125" i="1"/>
  <c r="V125" i="1"/>
  <c r="X125" i="1"/>
  <c r="Y125" i="1"/>
  <c r="AA125" i="1" s="1"/>
  <c r="W125" i="1" s="1"/>
  <c r="Z125" i="1"/>
  <c r="AB125" i="1"/>
  <c r="AC125" i="1"/>
  <c r="AD125" i="1"/>
  <c r="AG125" i="1" s="1"/>
  <c r="AE125" i="1"/>
  <c r="AF125" i="1"/>
  <c r="K126" i="1"/>
  <c r="L126" i="1"/>
  <c r="M126" i="1"/>
  <c r="T126" i="1"/>
  <c r="V126" i="1"/>
  <c r="X126" i="1"/>
  <c r="Y126" i="1"/>
  <c r="Z126" i="1"/>
  <c r="AA126" i="1" s="1"/>
  <c r="W126" i="1" s="1"/>
  <c r="AB126" i="1"/>
  <c r="AC126" i="1"/>
  <c r="AD126" i="1"/>
  <c r="AG126" i="1" s="1"/>
  <c r="AE126" i="1"/>
  <c r="AF126" i="1"/>
  <c r="K127" i="1"/>
  <c r="L127" i="1"/>
  <c r="M127" i="1"/>
  <c r="T127" i="1"/>
  <c r="V127" i="1"/>
  <c r="X127" i="1"/>
  <c r="Y127" i="1"/>
  <c r="Z127" i="1"/>
  <c r="AB127" i="1"/>
  <c r="AC127" i="1"/>
  <c r="AD127" i="1"/>
  <c r="AG127" i="1" s="1"/>
  <c r="AE127" i="1"/>
  <c r="AF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G128" i="1" s="1"/>
  <c r="AE128" i="1"/>
  <c r="AF128" i="1"/>
  <c r="K129" i="1"/>
  <c r="L129" i="1"/>
  <c r="M129" i="1"/>
  <c r="N129" i="1" s="1"/>
  <c r="T129" i="1"/>
  <c r="V129" i="1"/>
  <c r="X129" i="1"/>
  <c r="Y129" i="1"/>
  <c r="AA129" i="1" s="1"/>
  <c r="W129" i="1" s="1"/>
  <c r="Z129" i="1"/>
  <c r="AB129" i="1"/>
  <c r="AC129" i="1"/>
  <c r="AD129" i="1"/>
  <c r="AG129" i="1" s="1"/>
  <c r="AE129" i="1"/>
  <c r="AF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G130" i="1" s="1"/>
  <c r="AE130" i="1"/>
  <c r="AF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G131" i="1" s="1"/>
  <c r="AE131" i="1"/>
  <c r="AF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G132" i="1" s="1"/>
  <c r="AE132" i="1"/>
  <c r="AF132" i="1"/>
  <c r="K133" i="1"/>
  <c r="L133" i="1"/>
  <c r="M133" i="1"/>
  <c r="N133" i="1"/>
  <c r="T133" i="1"/>
  <c r="V133" i="1"/>
  <c r="X133" i="1"/>
  <c r="Y133" i="1"/>
  <c r="Z133" i="1"/>
  <c r="AB133" i="1"/>
  <c r="AC133" i="1"/>
  <c r="AD133" i="1"/>
  <c r="AG133" i="1" s="1"/>
  <c r="AE133" i="1"/>
  <c r="AF133" i="1"/>
  <c r="K134" i="1"/>
  <c r="L134" i="1"/>
  <c r="M134" i="1"/>
  <c r="N134" i="1" s="1"/>
  <c r="T134" i="1"/>
  <c r="V134" i="1"/>
  <c r="X134" i="1"/>
  <c r="Y134" i="1"/>
  <c r="Z134" i="1"/>
  <c r="AA134" i="1" s="1"/>
  <c r="W134" i="1" s="1"/>
  <c r="AB134" i="1"/>
  <c r="AC134" i="1"/>
  <c r="AD134" i="1"/>
  <c r="AG134" i="1" s="1"/>
  <c r="AE134" i="1"/>
  <c r="AF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G135" i="1" s="1"/>
  <c r="AE135" i="1"/>
  <c r="AF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G136" i="1" s="1"/>
  <c r="AE136" i="1"/>
  <c r="AF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G137" i="1" s="1"/>
  <c r="AE137" i="1"/>
  <c r="AF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G138" i="1" s="1"/>
  <c r="AE138" i="1"/>
  <c r="AF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G139" i="1" s="1"/>
  <c r="AE139" i="1"/>
  <c r="AF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G140" i="1" s="1"/>
  <c r="AE140" i="1"/>
  <c r="AF140" i="1"/>
  <c r="K141" i="1"/>
  <c r="L141" i="1"/>
  <c r="M141" i="1"/>
  <c r="N141" i="1" s="1"/>
  <c r="T141" i="1"/>
  <c r="V141" i="1"/>
  <c r="X141" i="1"/>
  <c r="Y141" i="1"/>
  <c r="Z141" i="1"/>
  <c r="AA141" i="1" s="1"/>
  <c r="W141" i="1" s="1"/>
  <c r="AB141" i="1"/>
  <c r="AC141" i="1"/>
  <c r="AD141" i="1"/>
  <c r="AG141" i="1" s="1"/>
  <c r="AE141" i="1"/>
  <c r="AF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G142" i="1" s="1"/>
  <c r="AE142" i="1"/>
  <c r="AF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G143" i="1" s="1"/>
  <c r="AE143" i="1"/>
  <c r="AF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G144" i="1" s="1"/>
  <c r="AE144" i="1"/>
  <c r="AF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G145" i="1" s="1"/>
  <c r="AE145" i="1"/>
  <c r="AF145" i="1"/>
  <c r="K147" i="1"/>
  <c r="L147" i="1"/>
  <c r="M147" i="1"/>
  <c r="N147" i="1"/>
  <c r="T147" i="1"/>
  <c r="V147" i="1"/>
  <c r="Y147" i="1"/>
  <c r="Z147" i="1"/>
  <c r="AB147" i="1"/>
  <c r="AC147" i="1"/>
  <c r="AD147" i="1"/>
  <c r="AG147" i="1" s="1"/>
  <c r="AE147" i="1"/>
  <c r="AF147" i="1"/>
  <c r="K148" i="1"/>
  <c r="L148" i="1"/>
  <c r="M148" i="1"/>
  <c r="N148" i="1" s="1"/>
  <c r="T148" i="1"/>
  <c r="V148" i="1"/>
  <c r="Y148" i="1"/>
  <c r="Z148" i="1"/>
  <c r="AB148" i="1"/>
  <c r="AC148" i="1"/>
  <c r="AD148" i="1"/>
  <c r="AG148" i="1" s="1"/>
  <c r="AE148" i="1"/>
  <c r="AF148" i="1"/>
  <c r="K149" i="1"/>
  <c r="L149" i="1"/>
  <c r="M149" i="1"/>
  <c r="N149" i="1" s="1"/>
  <c r="T149" i="1"/>
  <c r="V149" i="1"/>
  <c r="Y149" i="1"/>
  <c r="Z149" i="1"/>
  <c r="AB149" i="1"/>
  <c r="AC149" i="1"/>
  <c r="AD149" i="1"/>
  <c r="AG149" i="1" s="1"/>
  <c r="AE149" i="1"/>
  <c r="AF149" i="1"/>
  <c r="K150" i="1"/>
  <c r="L150" i="1"/>
  <c r="M150" i="1"/>
  <c r="N150" i="1" s="1"/>
  <c r="T150" i="1"/>
  <c r="V150" i="1"/>
  <c r="Y150" i="1"/>
  <c r="Z150" i="1"/>
  <c r="AB150" i="1"/>
  <c r="AC150" i="1"/>
  <c r="AD150" i="1"/>
  <c r="AG150" i="1" s="1"/>
  <c r="AE150" i="1"/>
  <c r="AF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G151" i="1" s="1"/>
  <c r="AE151" i="1"/>
  <c r="AF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G152" i="1" s="1"/>
  <c r="AE152" i="1"/>
  <c r="AF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G153" i="1" s="1"/>
  <c r="AE153" i="1"/>
  <c r="AF153" i="1"/>
  <c r="K154" i="1"/>
  <c r="L154" i="1"/>
  <c r="M154" i="1"/>
  <c r="N154" i="1" s="1"/>
  <c r="T154" i="1"/>
  <c r="V154" i="1"/>
  <c r="X154" i="1"/>
  <c r="Y154" i="1"/>
  <c r="Z154" i="1"/>
  <c r="AA154" i="1" s="1"/>
  <c r="W154" i="1" s="1"/>
  <c r="AB154" i="1"/>
  <c r="AC154" i="1"/>
  <c r="AD154" i="1"/>
  <c r="AG154" i="1" s="1"/>
  <c r="AE154" i="1"/>
  <c r="AF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G155" i="1" s="1"/>
  <c r="AE155" i="1"/>
  <c r="AF155" i="1"/>
  <c r="U116" i="1" l="1"/>
  <c r="S116" i="1" s="1"/>
  <c r="U74" i="1"/>
  <c r="S74" i="1" s="1"/>
  <c r="U98" i="1"/>
  <c r="S98" i="1" s="1"/>
  <c r="AA138" i="1"/>
  <c r="W138" i="1" s="1"/>
  <c r="AA150" i="1"/>
  <c r="W150" i="1" s="1"/>
  <c r="AA144" i="1"/>
  <c r="W144" i="1" s="1"/>
  <c r="AA137" i="1"/>
  <c r="W137" i="1" s="1"/>
  <c r="AA118" i="1"/>
  <c r="W118" i="1" s="1"/>
  <c r="AA82" i="1"/>
  <c r="W82" i="1" s="1"/>
  <c r="AA68" i="1"/>
  <c r="W68" i="1" s="1"/>
  <c r="AA44" i="1"/>
  <c r="W44" i="1" s="1"/>
  <c r="AA20" i="1"/>
  <c r="W20" i="1" s="1"/>
  <c r="AA135" i="1"/>
  <c r="W135" i="1" s="1"/>
  <c r="AA120" i="1"/>
  <c r="W120" i="1" s="1"/>
  <c r="AA94" i="1"/>
  <c r="W94" i="1" s="1"/>
  <c r="U88" i="1"/>
  <c r="S88" i="1" s="1"/>
  <c r="AA64" i="1"/>
  <c r="W64" i="1" s="1"/>
  <c r="AA59" i="1"/>
  <c r="W59" i="1" s="1"/>
  <c r="AA151" i="1"/>
  <c r="W151" i="1" s="1"/>
  <c r="U129" i="1"/>
  <c r="S129" i="1" s="1"/>
  <c r="AA145" i="1"/>
  <c r="W145" i="1" s="1"/>
  <c r="AA130" i="1"/>
  <c r="W130" i="1" s="1"/>
  <c r="AA122" i="1"/>
  <c r="W122" i="1" s="1"/>
  <c r="AA108" i="1"/>
  <c r="W108" i="1" s="1"/>
  <c r="AA107" i="1"/>
  <c r="W107" i="1" s="1"/>
  <c r="AA102" i="1"/>
  <c r="W102" i="1" s="1"/>
  <c r="U104" i="1"/>
  <c r="S104" i="1" s="1"/>
  <c r="AA95" i="1"/>
  <c r="W95" i="1" s="1"/>
  <c r="AA85" i="1"/>
  <c r="W85" i="1" s="1"/>
  <c r="AA53" i="1"/>
  <c r="W53" i="1" s="1"/>
  <c r="AA37" i="1"/>
  <c r="W37" i="1" s="1"/>
  <c r="U121" i="1"/>
  <c r="S121" i="1" s="1"/>
  <c r="AA100" i="1"/>
  <c r="W100" i="1" s="1"/>
  <c r="AA84" i="1"/>
  <c r="W84" i="1" s="1"/>
  <c r="U82" i="1"/>
  <c r="S82" i="1" s="1"/>
  <c r="AA76" i="1"/>
  <c r="W76" i="1" s="1"/>
  <c r="AA33" i="1"/>
  <c r="W33" i="1" s="1"/>
  <c r="U34" i="1"/>
  <c r="S34" i="1" s="1"/>
  <c r="AA155" i="1"/>
  <c r="W155" i="1" s="1"/>
  <c r="AA143" i="1"/>
  <c r="W143" i="1" s="1"/>
  <c r="AA136" i="1"/>
  <c r="W136" i="1" s="1"/>
  <c r="AA133" i="1"/>
  <c r="W133" i="1" s="1"/>
  <c r="AA113" i="1"/>
  <c r="W113" i="1" s="1"/>
  <c r="U100" i="1"/>
  <c r="S100" i="1" s="1"/>
  <c r="U96" i="1"/>
  <c r="S96" i="1" s="1"/>
  <c r="AA81" i="1"/>
  <c r="W81" i="1" s="1"/>
  <c r="AA78" i="1"/>
  <c r="W78" i="1" s="1"/>
  <c r="U76" i="1"/>
  <c r="S76" i="1" s="1"/>
  <c r="U65" i="1"/>
  <c r="S65" i="1" s="1"/>
  <c r="AA56" i="1"/>
  <c r="W56" i="1" s="1"/>
  <c r="AA49" i="1"/>
  <c r="W49" i="1" s="1"/>
  <c r="AA40" i="1"/>
  <c r="W40" i="1" s="1"/>
  <c r="AA35" i="1"/>
  <c r="W35" i="1" s="1"/>
  <c r="AA32" i="1"/>
  <c r="W32" i="1" s="1"/>
  <c r="U30" i="1"/>
  <c r="S30" i="1" s="1"/>
  <c r="AA22" i="1"/>
  <c r="W22" i="1" s="1"/>
  <c r="U92" i="1"/>
  <c r="S92" i="1" s="1"/>
  <c r="U154" i="1"/>
  <c r="S154" i="1" s="1"/>
  <c r="AA152" i="1"/>
  <c r="W152" i="1" s="1"/>
  <c r="AA147" i="1"/>
  <c r="W147" i="1" s="1"/>
  <c r="AA142" i="1"/>
  <c r="W142" i="1" s="1"/>
  <c r="U128" i="1"/>
  <c r="S128" i="1" s="1"/>
  <c r="U124" i="1"/>
  <c r="S124" i="1" s="1"/>
  <c r="AA92" i="1"/>
  <c r="W92" i="1" s="1"/>
  <c r="U86" i="1"/>
  <c r="S86" i="1" s="1"/>
  <c r="U55" i="1"/>
  <c r="S55" i="1" s="1"/>
  <c r="U39" i="1"/>
  <c r="S39" i="1" s="1"/>
  <c r="U31" i="1"/>
  <c r="S31" i="1" s="1"/>
  <c r="AA153" i="1"/>
  <c r="W153" i="1" s="1"/>
  <c r="AA149" i="1"/>
  <c r="W149" i="1" s="1"/>
  <c r="U132" i="1"/>
  <c r="S132" i="1" s="1"/>
  <c r="AA114" i="1"/>
  <c r="W114" i="1" s="1"/>
  <c r="U110" i="1"/>
  <c r="S110" i="1" s="1"/>
  <c r="AA109" i="1"/>
  <c r="W109" i="1" s="1"/>
  <c r="AA106" i="1"/>
  <c r="W106" i="1" s="1"/>
  <c r="AA101" i="1"/>
  <c r="W101" i="1" s="1"/>
  <c r="U90" i="1"/>
  <c r="S90" i="1" s="1"/>
  <c r="U84" i="1"/>
  <c r="S84" i="1" s="1"/>
  <c r="AA80" i="1"/>
  <c r="W80" i="1" s="1"/>
  <c r="AA79" i="1"/>
  <c r="W79" i="1" s="1"/>
  <c r="U72" i="1"/>
  <c r="S72" i="1" s="1"/>
  <c r="AA67" i="1"/>
  <c r="W67" i="1" s="1"/>
  <c r="U62" i="1"/>
  <c r="S62" i="1" s="1"/>
  <c r="U54" i="1"/>
  <c r="S54" i="1" s="1"/>
  <c r="U50" i="1"/>
  <c r="S50" i="1" s="1"/>
  <c r="AA46" i="1"/>
  <c r="W46" i="1" s="1"/>
  <c r="U38" i="1"/>
  <c r="S38" i="1" s="1"/>
  <c r="AA23" i="1"/>
  <c r="W23" i="1" s="1"/>
  <c r="U138" i="1"/>
  <c r="S138" i="1" s="1"/>
  <c r="U126" i="1"/>
  <c r="U122" i="1"/>
  <c r="S122" i="1" s="1"/>
  <c r="U107" i="1"/>
  <c r="S107" i="1" s="1"/>
  <c r="U67" i="1"/>
  <c r="S67" i="1" s="1"/>
  <c r="U49" i="1"/>
  <c r="S49" i="1" s="1"/>
  <c r="U40" i="1"/>
  <c r="S40" i="1" s="1"/>
  <c r="U25" i="1"/>
  <c r="S25" i="1" s="1"/>
  <c r="U22" i="1"/>
  <c r="S22" i="1" s="1"/>
  <c r="U151" i="1"/>
  <c r="S151" i="1" s="1"/>
  <c r="U150" i="1"/>
  <c r="S150" i="1" s="1"/>
  <c r="U135" i="1"/>
  <c r="S135" i="1" s="1"/>
  <c r="U133" i="1"/>
  <c r="S133" i="1" s="1"/>
  <c r="U117" i="1"/>
  <c r="S117" i="1" s="1"/>
  <c r="U147" i="1"/>
  <c r="S147" i="1" s="1"/>
  <c r="U145" i="1"/>
  <c r="S145" i="1" s="1"/>
  <c r="U142" i="1"/>
  <c r="S142" i="1" s="1"/>
  <c r="AA140" i="1"/>
  <c r="W140" i="1" s="1"/>
  <c r="U139" i="1"/>
  <c r="S139" i="1" s="1"/>
  <c r="AA128" i="1"/>
  <c r="W128" i="1" s="1"/>
  <c r="AA127" i="1"/>
  <c r="W127" i="1" s="1"/>
  <c r="U125" i="1"/>
  <c r="S125" i="1" s="1"/>
  <c r="U108" i="1"/>
  <c r="S108" i="1" s="1"/>
  <c r="AA103" i="1"/>
  <c r="W103" i="1" s="1"/>
  <c r="U103" i="1"/>
  <c r="S103" i="1" s="1"/>
  <c r="U102" i="1"/>
  <c r="S102" i="1" s="1"/>
  <c r="AA86" i="1"/>
  <c r="W86" i="1" s="1"/>
  <c r="U80" i="1"/>
  <c r="S80" i="1" s="1"/>
  <c r="AA75" i="1"/>
  <c r="W75" i="1" s="1"/>
  <c r="U75" i="1"/>
  <c r="S75" i="1" s="1"/>
  <c r="AA60" i="1"/>
  <c r="W60" i="1" s="1"/>
  <c r="U56" i="1"/>
  <c r="S56" i="1" s="1"/>
  <c r="AA51" i="1"/>
  <c r="W51" i="1" s="1"/>
  <c r="AA36" i="1"/>
  <c r="W36" i="1" s="1"/>
  <c r="U32" i="1"/>
  <c r="S32" i="1" s="1"/>
  <c r="AA27" i="1"/>
  <c r="W27" i="1" s="1"/>
  <c r="U106" i="1"/>
  <c r="S106" i="1" s="1"/>
  <c r="AA97" i="1"/>
  <c r="W97" i="1" s="1"/>
  <c r="AA96" i="1"/>
  <c r="W96" i="1" s="1"/>
  <c r="AA93" i="1"/>
  <c r="W93" i="1" s="1"/>
  <c r="AA91" i="1"/>
  <c r="W91" i="1" s="1"/>
  <c r="U91" i="1"/>
  <c r="S91" i="1" s="1"/>
  <c r="U61" i="1"/>
  <c r="U59" i="1"/>
  <c r="S59" i="1" s="1"/>
  <c r="U53" i="1"/>
  <c r="S53" i="1" s="1"/>
  <c r="AA48" i="1"/>
  <c r="W48" i="1" s="1"/>
  <c r="U44" i="1"/>
  <c r="S44" i="1" s="1"/>
  <c r="U29" i="1"/>
  <c r="S29" i="1" s="1"/>
  <c r="AA24" i="1"/>
  <c r="W24" i="1" s="1"/>
  <c r="U20" i="1"/>
  <c r="S20" i="1" s="1"/>
  <c r="U155" i="1"/>
  <c r="S155" i="1" s="1"/>
  <c r="U143" i="1"/>
  <c r="S143" i="1" s="1"/>
  <c r="U79" i="1"/>
  <c r="S79" i="1" s="1"/>
  <c r="U46" i="1"/>
  <c r="S46" i="1" s="1"/>
  <c r="AA119" i="1"/>
  <c r="W119" i="1" s="1"/>
  <c r="AA148" i="1"/>
  <c r="W148" i="1" s="1"/>
  <c r="U141" i="1"/>
  <c r="S141" i="1" s="1"/>
  <c r="U137" i="1"/>
  <c r="S137" i="1" s="1"/>
  <c r="U130" i="1"/>
  <c r="S130" i="1" s="1"/>
  <c r="AA121" i="1"/>
  <c r="W121" i="1" s="1"/>
  <c r="U120" i="1"/>
  <c r="S120" i="1" s="1"/>
  <c r="U118" i="1"/>
  <c r="S118" i="1" s="1"/>
  <c r="U114" i="1"/>
  <c r="S114" i="1" s="1"/>
  <c r="AA110" i="1"/>
  <c r="W110" i="1" s="1"/>
  <c r="AA98" i="1"/>
  <c r="W98" i="1" s="1"/>
  <c r="U95" i="1"/>
  <c r="S95" i="1" s="1"/>
  <c r="AA74" i="1"/>
  <c r="W74" i="1" s="1"/>
  <c r="AA63" i="1"/>
  <c r="W63" i="1" s="1"/>
  <c r="AA58" i="1"/>
  <c r="W58" i="1" s="1"/>
  <c r="AA52" i="1"/>
  <c r="W52" i="1" s="1"/>
  <c r="U37" i="1"/>
  <c r="S37" i="1" s="1"/>
  <c r="AA34" i="1"/>
  <c r="W34" i="1" s="1"/>
  <c r="AA28" i="1"/>
  <c r="W28" i="1" s="1"/>
  <c r="U136" i="1"/>
  <c r="S136" i="1" s="1"/>
  <c r="U134" i="1"/>
  <c r="S134" i="1" s="1"/>
  <c r="AA132" i="1"/>
  <c r="W132" i="1" s="1"/>
  <c r="AA131" i="1"/>
  <c r="W131" i="1" s="1"/>
  <c r="AA124" i="1"/>
  <c r="W124" i="1" s="1"/>
  <c r="AA123" i="1"/>
  <c r="W123" i="1" s="1"/>
  <c r="AA116" i="1"/>
  <c r="W116" i="1" s="1"/>
  <c r="AA115" i="1"/>
  <c r="W115" i="1" s="1"/>
  <c r="U112" i="1"/>
  <c r="S112" i="1" s="1"/>
  <c r="AA111" i="1"/>
  <c r="W111" i="1" s="1"/>
  <c r="AA105" i="1"/>
  <c r="W105" i="1" s="1"/>
  <c r="AA104" i="1"/>
  <c r="W104" i="1" s="1"/>
  <c r="AA99" i="1"/>
  <c r="W99" i="1" s="1"/>
  <c r="U99" i="1"/>
  <c r="S99" i="1" s="1"/>
  <c r="U94" i="1"/>
  <c r="S94" i="1" s="1"/>
  <c r="AA89" i="1"/>
  <c r="W89" i="1" s="1"/>
  <c r="AA88" i="1"/>
  <c r="W88" i="1" s="1"/>
  <c r="AA83" i="1"/>
  <c r="W83" i="1" s="1"/>
  <c r="U83" i="1"/>
  <c r="S83" i="1" s="1"/>
  <c r="U78" i="1"/>
  <c r="S78" i="1" s="1"/>
  <c r="AA73" i="1"/>
  <c r="W73" i="1" s="1"/>
  <c r="AA72" i="1"/>
  <c r="W72" i="1" s="1"/>
  <c r="U70" i="1"/>
  <c r="S70" i="1" s="1"/>
  <c r="U68" i="1"/>
  <c r="S68" i="1" s="1"/>
  <c r="AA65" i="1"/>
  <c r="W65" i="1" s="1"/>
  <c r="U64" i="1"/>
  <c r="S64" i="1" s="1"/>
  <c r="AA54" i="1"/>
  <c r="W54" i="1" s="1"/>
  <c r="U47" i="1"/>
  <c r="S47" i="1" s="1"/>
  <c r="AA43" i="1"/>
  <c r="W43" i="1" s="1"/>
  <c r="U42" i="1"/>
  <c r="S42" i="1" s="1"/>
  <c r="AA38" i="1"/>
  <c r="W38" i="1" s="1"/>
  <c r="U35" i="1"/>
  <c r="S35" i="1" s="1"/>
  <c r="AA30" i="1"/>
  <c r="W30" i="1" s="1"/>
  <c r="U23" i="1"/>
  <c r="S23" i="1" s="1"/>
  <c r="AA19" i="1"/>
  <c r="W19" i="1" s="1"/>
  <c r="U18" i="1"/>
  <c r="S18" i="1" s="1"/>
  <c r="U16" i="1"/>
  <c r="S16" i="1" s="1"/>
  <c r="AA87" i="1"/>
  <c r="W87" i="1" s="1"/>
  <c r="U87" i="1"/>
  <c r="S87" i="1" s="1"/>
  <c r="AA77" i="1"/>
  <c r="W77" i="1" s="1"/>
  <c r="AA71" i="1"/>
  <c r="W71" i="1" s="1"/>
  <c r="U69" i="1"/>
  <c r="S69" i="1" s="1"/>
  <c r="AA66" i="1"/>
  <c r="W66" i="1" s="1"/>
  <c r="U60" i="1"/>
  <c r="AA57" i="1"/>
  <c r="W57" i="1" s="1"/>
  <c r="U57" i="1"/>
  <c r="S57" i="1" s="1"/>
  <c r="AA55" i="1"/>
  <c r="W55" i="1" s="1"/>
  <c r="U52" i="1"/>
  <c r="S52" i="1" s="1"/>
  <c r="U48" i="1"/>
  <c r="S48" i="1" s="1"/>
  <c r="AA45" i="1"/>
  <c r="W45" i="1" s="1"/>
  <c r="U45" i="1"/>
  <c r="S45" i="1" s="1"/>
  <c r="AA41" i="1"/>
  <c r="W41" i="1" s="1"/>
  <c r="U41" i="1"/>
  <c r="S41" i="1" s="1"/>
  <c r="AA39" i="1"/>
  <c r="W39" i="1" s="1"/>
  <c r="U36" i="1"/>
  <c r="S36" i="1" s="1"/>
  <c r="U33" i="1"/>
  <c r="S33" i="1" s="1"/>
  <c r="AA31" i="1"/>
  <c r="W31" i="1" s="1"/>
  <c r="U28" i="1"/>
  <c r="S28" i="1" s="1"/>
  <c r="U24" i="1"/>
  <c r="S24" i="1" s="1"/>
  <c r="AA21" i="1"/>
  <c r="W21" i="1" s="1"/>
  <c r="U21" i="1"/>
  <c r="S21" i="1" s="1"/>
  <c r="AA17" i="1"/>
  <c r="W17" i="1" s="1"/>
  <c r="U17" i="1"/>
  <c r="S17" i="1" s="1"/>
  <c r="AA15" i="1"/>
  <c r="W15" i="1" s="1"/>
  <c r="U149" i="1"/>
  <c r="S149" i="1" s="1"/>
  <c r="U152" i="1"/>
  <c r="S152" i="1" s="1"/>
  <c r="U144" i="1"/>
  <c r="S144" i="1" s="1"/>
  <c r="U140" i="1"/>
  <c r="S140" i="1" s="1"/>
  <c r="U148" i="1"/>
  <c r="S148" i="1" s="1"/>
  <c r="U153" i="1"/>
  <c r="S153" i="1" s="1"/>
  <c r="AA139" i="1"/>
  <c r="W139" i="1" s="1"/>
  <c r="U115" i="1"/>
  <c r="S115" i="1" s="1"/>
  <c r="U119" i="1"/>
  <c r="S119" i="1" s="1"/>
  <c r="U113" i="1"/>
  <c r="S113" i="1" s="1"/>
  <c r="U111" i="1"/>
  <c r="S111" i="1" s="1"/>
  <c r="U109" i="1"/>
  <c r="S109" i="1" s="1"/>
  <c r="U105" i="1"/>
  <c r="S105" i="1" s="1"/>
  <c r="U101" i="1"/>
  <c r="S101" i="1" s="1"/>
  <c r="U97" i="1"/>
  <c r="S97" i="1" s="1"/>
  <c r="U93" i="1"/>
  <c r="S93" i="1" s="1"/>
  <c r="U89" i="1"/>
  <c r="S89" i="1" s="1"/>
  <c r="U85" i="1"/>
  <c r="S85" i="1" s="1"/>
  <c r="U81" i="1"/>
  <c r="S81" i="1" s="1"/>
  <c r="U77" i="1"/>
  <c r="S77" i="1" s="1"/>
  <c r="U73" i="1"/>
  <c r="S73" i="1" s="1"/>
  <c r="U131" i="1"/>
  <c r="S131" i="1" s="1"/>
  <c r="U127" i="1"/>
  <c r="U123" i="1"/>
  <c r="S123" i="1" s="1"/>
  <c r="U58" i="1"/>
  <c r="S58" i="1" s="1"/>
  <c r="U63" i="1"/>
  <c r="S63" i="1" s="1"/>
  <c r="AA62" i="1"/>
  <c r="W62" i="1" s="1"/>
  <c r="AA61" i="1"/>
  <c r="W61" i="1" s="1"/>
  <c r="AA50" i="1"/>
  <c r="W50" i="1" s="1"/>
  <c r="U43" i="1"/>
  <c r="S43" i="1" s="1"/>
  <c r="AA26" i="1"/>
  <c r="W26" i="1" s="1"/>
  <c r="U71" i="1"/>
  <c r="S71" i="1" s="1"/>
  <c r="AA70" i="1"/>
  <c r="W70" i="1" s="1"/>
  <c r="AA69" i="1"/>
  <c r="W69" i="1" s="1"/>
  <c r="U51" i="1"/>
  <c r="S51" i="1" s="1"/>
  <c r="AA42" i="1"/>
  <c r="W42" i="1" s="1"/>
  <c r="U27" i="1"/>
  <c r="S27" i="1" s="1"/>
  <c r="AA18" i="1"/>
  <c r="W18" i="1" s="1"/>
  <c r="U66" i="1"/>
  <c r="S66" i="1" s="1"/>
  <c r="U19" i="1"/>
  <c r="S19" i="1" s="1"/>
  <c r="U15" i="1"/>
  <c r="S15" i="1" s="1"/>
  <c r="U26" i="3"/>
  <c r="U9" i="3"/>
  <c r="U27" i="3"/>
  <c r="U42" i="3"/>
  <c r="U24" i="3"/>
  <c r="U28" i="3"/>
  <c r="U43" i="3"/>
  <c r="U41" i="3"/>
  <c r="U12" i="3"/>
  <c r="U15" i="3"/>
  <c r="U51" i="3"/>
  <c r="U34" i="3"/>
  <c r="U29" i="3"/>
  <c r="U44" i="3"/>
  <c r="U52" i="3"/>
  <c r="U19" i="3"/>
  <c r="U53" i="3"/>
  <c r="U20" i="3"/>
  <c r="U21" i="3"/>
  <c r="U45" i="3"/>
  <c r="U35" i="3"/>
  <c r="U46" i="3"/>
  <c r="U7" i="3"/>
  <c r="U36" i="3"/>
  <c r="U47" i="3"/>
  <c r="U48" i="3"/>
  <c r="U54" i="3"/>
  <c r="U23" i="3"/>
  <c r="U37" i="3"/>
  <c r="U38" i="3"/>
  <c r="U13" i="3"/>
  <c r="U30" i="3"/>
  <c r="U16" i="3"/>
  <c r="U49" i="3"/>
  <c r="U31" i="3"/>
  <c r="U18" i="3"/>
  <c r="U8" i="3"/>
  <c r="U32" i="3"/>
  <c r="U10" i="3"/>
  <c r="U39" i="3"/>
  <c r="U22" i="3"/>
  <c r="U55" i="3"/>
  <c r="U40" i="3"/>
  <c r="U11" i="3"/>
  <c r="U50" i="3"/>
  <c r="U33" i="3"/>
  <c r="U14" i="3"/>
  <c r="U17" i="3"/>
  <c r="U25" i="3"/>
  <c r="S126" i="1" l="1"/>
  <c r="Q47" i="3"/>
  <c r="P54" i="3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6" i="6"/>
  <c r="F6" i="6"/>
  <c r="G6" i="6"/>
  <c r="E7" i="6"/>
  <c r="F7" i="6"/>
  <c r="G7" i="6"/>
  <c r="Q22" i="3"/>
  <c r="P41" i="3"/>
  <c r="L16" i="3"/>
  <c r="S16" i="3"/>
  <c r="R16" i="3" s="1"/>
  <c r="T16" i="3"/>
  <c r="V16" i="3"/>
  <c r="L48" i="3"/>
  <c r="S48" i="3"/>
  <c r="R48" i="3" s="1"/>
  <c r="T48" i="3"/>
  <c r="V48" i="3"/>
  <c r="L21" i="3"/>
  <c r="S21" i="3"/>
  <c r="R21" i="3" s="1"/>
  <c r="T21" i="3"/>
  <c r="V21" i="3"/>
  <c r="L29" i="3"/>
  <c r="S29" i="3"/>
  <c r="R29" i="3" s="1"/>
  <c r="T29" i="3"/>
  <c r="V29" i="3"/>
  <c r="L35" i="3"/>
  <c r="S35" i="3"/>
  <c r="R35" i="3" s="1"/>
  <c r="T35" i="3"/>
  <c r="V35" i="3"/>
  <c r="L39" i="3"/>
  <c r="S39" i="3"/>
  <c r="R39" i="3" s="1"/>
  <c r="T39" i="3"/>
  <c r="V39" i="3"/>
  <c r="L49" i="3"/>
  <c r="S49" i="3"/>
  <c r="R49" i="3" s="1"/>
  <c r="T49" i="3"/>
  <c r="V49" i="3"/>
  <c r="L43" i="3"/>
  <c r="S43" i="3"/>
  <c r="R43" i="3" s="1"/>
  <c r="T43" i="3"/>
  <c r="V43" i="3"/>
  <c r="L12" i="3"/>
  <c r="S12" i="3"/>
  <c r="R12" i="3" s="1"/>
  <c r="T12" i="3"/>
  <c r="V12" i="3"/>
  <c r="L31" i="3"/>
  <c r="S31" i="3"/>
  <c r="R31" i="3" s="1"/>
  <c r="T31" i="3"/>
  <c r="V31" i="3"/>
  <c r="L47" i="3"/>
  <c r="S47" i="3"/>
  <c r="R47" i="3" s="1"/>
  <c r="T47" i="3"/>
  <c r="V47" i="3"/>
  <c r="L54" i="3"/>
  <c r="S54" i="3"/>
  <c r="R54" i="3" s="1"/>
  <c r="T54" i="3"/>
  <c r="V54" i="3"/>
  <c r="L19" i="3"/>
  <c r="S19" i="3"/>
  <c r="R19" i="3" s="1"/>
  <c r="T19" i="3"/>
  <c r="V19" i="3"/>
  <c r="L41" i="3"/>
  <c r="S41" i="3"/>
  <c r="R41" i="3" s="1"/>
  <c r="T41" i="3"/>
  <c r="V41" i="3"/>
  <c r="L38" i="3"/>
  <c r="S38" i="3"/>
  <c r="R38" i="3" s="1"/>
  <c r="T38" i="3"/>
  <c r="V38" i="3"/>
  <c r="L22" i="3"/>
  <c r="S22" i="3"/>
  <c r="R22" i="3" s="1"/>
  <c r="T22" i="3"/>
  <c r="V22" i="3"/>
  <c r="L13" i="3"/>
  <c r="S13" i="3"/>
  <c r="R13" i="3" s="1"/>
  <c r="T13" i="3"/>
  <c r="V13" i="3"/>
  <c r="L20" i="3"/>
  <c r="S20" i="3"/>
  <c r="R20" i="3" s="1"/>
  <c r="T20" i="3"/>
  <c r="V20" i="3"/>
  <c r="L33" i="3"/>
  <c r="S33" i="3"/>
  <c r="R33" i="3" s="1"/>
  <c r="T33" i="3"/>
  <c r="V33" i="3"/>
  <c r="Q16" i="3"/>
  <c r="P16" i="3"/>
  <c r="Q48" i="3"/>
  <c r="P48" i="3"/>
  <c r="Q13" i="3"/>
  <c r="P13" i="3"/>
  <c r="Q19" i="3"/>
  <c r="P19" i="3"/>
  <c r="Q29" i="3"/>
  <c r="Q39" i="3"/>
  <c r="P39" i="3"/>
  <c r="Q49" i="3"/>
  <c r="Q43" i="3"/>
  <c r="P43" i="3"/>
  <c r="Q35" i="3"/>
  <c r="P35" i="3"/>
  <c r="Q31" i="3"/>
  <c r="P31" i="3"/>
  <c r="P38" i="3"/>
  <c r="Q33" i="3"/>
  <c r="P33" i="3"/>
  <c r="Q38" i="3" l="1"/>
  <c r="Q41" i="3"/>
  <c r="Q54" i="3"/>
  <c r="P47" i="3"/>
  <c r="Q20" i="3"/>
  <c r="P20" i="3"/>
  <c r="P22" i="3"/>
  <c r="P12" i="3"/>
  <c r="Q12" i="3"/>
  <c r="P49" i="3"/>
  <c r="P21" i="3"/>
  <c r="P29" i="3"/>
  <c r="Q21" i="3"/>
  <c r="L52" i="3"/>
  <c r="S52" i="3"/>
  <c r="R52" i="3" s="1"/>
  <c r="T52" i="3"/>
  <c r="V52" i="3"/>
  <c r="L36" i="3"/>
  <c r="S36" i="3"/>
  <c r="R36" i="3" s="1"/>
  <c r="T36" i="3"/>
  <c r="V36" i="3"/>
  <c r="L18" i="3"/>
  <c r="S18" i="3"/>
  <c r="R18" i="3" s="1"/>
  <c r="T18" i="3"/>
  <c r="V18" i="3"/>
  <c r="L45" i="3"/>
  <c r="S45" i="3"/>
  <c r="R45" i="3" s="1"/>
  <c r="T45" i="3"/>
  <c r="V45" i="3"/>
  <c r="L25" i="3"/>
  <c r="S25" i="3"/>
  <c r="R25" i="3" s="1"/>
  <c r="T25" i="3"/>
  <c r="V25" i="3"/>
  <c r="L51" i="3"/>
  <c r="S51" i="3"/>
  <c r="R51" i="3" s="1"/>
  <c r="T51" i="3"/>
  <c r="V51" i="3"/>
  <c r="L11" i="3"/>
  <c r="S11" i="3"/>
  <c r="R11" i="3" s="1"/>
  <c r="T11" i="3"/>
  <c r="V11" i="3"/>
  <c r="L37" i="3"/>
  <c r="S37" i="3"/>
  <c r="R37" i="3" s="1"/>
  <c r="T37" i="3"/>
  <c r="V37" i="3"/>
  <c r="L23" i="3"/>
  <c r="S23" i="3"/>
  <c r="R23" i="3" s="1"/>
  <c r="T23" i="3"/>
  <c r="V23" i="3"/>
  <c r="L30" i="3"/>
  <c r="S30" i="3"/>
  <c r="R30" i="3" s="1"/>
  <c r="T30" i="3"/>
  <c r="V30" i="3"/>
  <c r="L55" i="3"/>
  <c r="S55" i="3"/>
  <c r="R55" i="3" s="1"/>
  <c r="T55" i="3"/>
  <c r="V55" i="3"/>
  <c r="L46" i="3"/>
  <c r="S46" i="3"/>
  <c r="R46" i="3" s="1"/>
  <c r="T46" i="3"/>
  <c r="V46" i="3"/>
  <c r="L32" i="3"/>
  <c r="S32" i="3"/>
  <c r="R32" i="3" s="1"/>
  <c r="T32" i="3"/>
  <c r="V32" i="3"/>
  <c r="L28" i="3"/>
  <c r="S28" i="3"/>
  <c r="R28" i="3" s="1"/>
  <c r="T28" i="3"/>
  <c r="V28" i="3"/>
  <c r="L14" i="3"/>
  <c r="S14" i="3"/>
  <c r="R14" i="3" s="1"/>
  <c r="T14" i="3"/>
  <c r="V14" i="3"/>
  <c r="L10" i="3"/>
  <c r="S10" i="3"/>
  <c r="R10" i="3" s="1"/>
  <c r="T10" i="3"/>
  <c r="V10" i="3"/>
  <c r="L15" i="3"/>
  <c r="S15" i="3"/>
  <c r="R15" i="3" s="1"/>
  <c r="T15" i="3"/>
  <c r="V15" i="3"/>
  <c r="L53" i="3"/>
  <c r="S53" i="3"/>
  <c r="R53" i="3" s="1"/>
  <c r="T53" i="3"/>
  <c r="V53" i="3"/>
  <c r="L24" i="3"/>
  <c r="S24" i="3"/>
  <c r="R24" i="3" s="1"/>
  <c r="T24" i="3"/>
  <c r="V24" i="3"/>
  <c r="L40" i="3"/>
  <c r="S40" i="3"/>
  <c r="R40" i="3" s="1"/>
  <c r="T40" i="3"/>
  <c r="V40" i="3"/>
  <c r="L26" i="3"/>
  <c r="S26" i="3"/>
  <c r="R26" i="3" s="1"/>
  <c r="T26" i="3"/>
  <c r="V26" i="3"/>
  <c r="L44" i="3"/>
  <c r="S44" i="3"/>
  <c r="R44" i="3" s="1"/>
  <c r="T44" i="3"/>
  <c r="V44" i="3"/>
  <c r="L9" i="3"/>
  <c r="S9" i="3"/>
  <c r="R9" i="3" s="1"/>
  <c r="T9" i="3"/>
  <c r="V9" i="3"/>
  <c r="L50" i="3"/>
  <c r="S50" i="3"/>
  <c r="R50" i="3" s="1"/>
  <c r="T50" i="3"/>
  <c r="V50" i="3"/>
  <c r="L34" i="3"/>
  <c r="S34" i="3"/>
  <c r="R34" i="3" s="1"/>
  <c r="T34" i="3"/>
  <c r="V34" i="3"/>
  <c r="L8" i="3"/>
  <c r="S8" i="3"/>
  <c r="R8" i="3" s="1"/>
  <c r="T8" i="3"/>
  <c r="V8" i="3"/>
  <c r="L27" i="3"/>
  <c r="S27" i="3"/>
  <c r="R27" i="3" s="1"/>
  <c r="T27" i="3"/>
  <c r="V27" i="3"/>
  <c r="L7" i="3"/>
  <c r="S7" i="3"/>
  <c r="R7" i="3" s="1"/>
  <c r="T7" i="3"/>
  <c r="V7" i="3"/>
  <c r="L17" i="3"/>
  <c r="S17" i="3"/>
  <c r="R17" i="3" s="1"/>
  <c r="T17" i="3"/>
  <c r="V17" i="3"/>
  <c r="L42" i="3"/>
  <c r="S42" i="3"/>
  <c r="R42" i="3" s="1"/>
  <c r="T42" i="3"/>
  <c r="V42" i="3"/>
  <c r="P55" i="3" l="1"/>
  <c r="Q52" i="3"/>
  <c r="P28" i="3"/>
  <c r="Q51" i="3"/>
  <c r="P51" i="3"/>
  <c r="Q37" i="3"/>
  <c r="P37" i="3"/>
  <c r="Q15" i="3"/>
  <c r="P15" i="3"/>
  <c r="Q24" i="3"/>
  <c r="P24" i="3"/>
  <c r="Q45" i="3"/>
  <c r="P45" i="3"/>
  <c r="Q40" i="3"/>
  <c r="P40" i="3"/>
  <c r="Q26" i="3"/>
  <c r="P26" i="3"/>
  <c r="Q44" i="3"/>
  <c r="P44" i="3"/>
  <c r="P9" i="3"/>
  <c r="Q9" i="3" l="1"/>
  <c r="P10" i="3"/>
  <c r="Q55" i="3"/>
  <c r="Q50" i="3"/>
  <c r="P53" i="3"/>
  <c r="P14" i="3"/>
  <c r="Q28" i="3"/>
  <c r="Q32" i="3"/>
  <c r="Q30" i="3"/>
  <c r="P50" i="3"/>
  <c r="Q53" i="3"/>
  <c r="Q10" i="3"/>
  <c r="Q14" i="3"/>
  <c r="P52" i="3"/>
  <c r="P32" i="3"/>
  <c r="P30" i="3"/>
  <c r="P18" i="3"/>
  <c r="Q11" i="3"/>
  <c r="Q27" i="3"/>
  <c r="Q36" i="3"/>
  <c r="P42" i="3"/>
  <c r="P11" i="3"/>
  <c r="P27" i="3"/>
  <c r="Q42" i="3"/>
  <c r="Q17" i="3"/>
  <c r="Q7" i="3"/>
  <c r="P8" i="3"/>
  <c r="P34" i="3"/>
  <c r="P36" i="3"/>
  <c r="Q18" i="3"/>
  <c r="Q8" i="3"/>
  <c r="Q34" i="3"/>
  <c r="P17" i="3"/>
  <c r="P7" i="3"/>
  <c r="V14" i="1" l="1"/>
  <c r="V13" i="1"/>
  <c r="Q23" i="3" l="1"/>
  <c r="Q25" i="3"/>
  <c r="Q46" i="3"/>
  <c r="AF14" i="1"/>
  <c r="AF13" i="1"/>
  <c r="AE13" i="1" l="1"/>
  <c r="AE14" i="1"/>
  <c r="P23" i="3" l="1"/>
  <c r="P25" i="3"/>
  <c r="P46" i="3"/>
  <c r="M19" i="5"/>
  <c r="M18" i="5"/>
  <c r="AD14" i="1" l="1"/>
  <c r="AG14" i="1" s="1"/>
  <c r="AD13" i="1"/>
  <c r="AG13" i="1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266" i="4" l="1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5" i="6" l="1"/>
  <c r="F5" i="6"/>
  <c r="G5" i="6"/>
  <c r="E4" i="6"/>
  <c r="F4" i="6"/>
  <c r="G4" i="6"/>
  <c r="E3" i="6"/>
  <c r="F3" i="6"/>
  <c r="G3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Y13" i="1"/>
  <c r="Z13" i="1"/>
  <c r="U13" i="1" l="1"/>
  <c r="S13" i="1" s="1"/>
  <c r="S11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<sst xmlns="http://schemas.openxmlformats.org/spreadsheetml/2006/main" count="1883" uniqueCount="652">
  <si>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</si>
  <si>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</si>
  <si>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</si>
  <si>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</si>
  <si>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</si>
  <si>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</si>
  <si>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</si>
  <si>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</si>
  <si>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</si>
  <si>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</si>
  <si>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</si>
  <si>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</si>
  <si>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</si>
  <si>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</si>
  <si>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</si>
  <si>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</si>
  <si>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</si>
  <si>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</si>
  <si>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</si>
  <si>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</si>
  <si>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</si>
  <si>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</si>
  <si>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</si>
  <si>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</si>
  <si>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</si>
  <si>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</si>
  <si>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</si>
  <si>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</si>
  <si>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</si>
  <si>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</si>
  <si>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</si>
  <si>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</si>
  <si>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</si>
  <si>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</si>
  <si>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</si>
  <si>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</si>
  <si>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</si>
  <si>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</si>
  <si>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</si>
  <si>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</si>
  <si>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</si>
  <si>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</si>
  <si>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</si>
  <si>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</si>
  <si>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</si>
  <si>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</si>
  <si>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</si>
  <si>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</si>
  <si>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</si>
  <si>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</si>
  <si>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</si>
  <si>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</si>
  <si>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</si>
  <si>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</si>
  <si>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</si>
  <si>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</si>
  <si>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</si>
  <si>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</si>
  <si>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</si>
  <si>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</si>
  <si>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</si>
  <si>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</si>
  <si>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</si>
  <si>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</si>
  <si>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</si>
  <si>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</si>
  <si>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</si>
  <si>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204:232977</t>
  </si>
  <si>
    <t>Kibana URL</t>
  </si>
  <si>
    <t>rtdc.l.rtdc.4019:itc</t>
  </si>
  <si>
    <t>rtdc.l.rtdc.4020:itc</t>
  </si>
  <si>
    <t>rtdc.l.rtdc.4018:itc</t>
  </si>
  <si>
    <t>rtdc.l.rtdc.4017:itc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</si>
  <si>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</si>
  <si>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</si>
  <si>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</si>
  <si>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</si>
  <si>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</si>
  <si>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</si>
  <si>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</si>
  <si>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</si>
  <si>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</si>
  <si>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</si>
  <si>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</si>
  <si>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</si>
  <si>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</si>
  <si>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</si>
  <si>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</si>
  <si>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</si>
  <si>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</si>
  <si>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</si>
  <si>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</si>
  <si>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</si>
  <si>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</si>
  <si>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</si>
  <si>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</si>
  <si>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</si>
  <si>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</si>
  <si>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</si>
  <si>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Y</t>
  </si>
  <si>
    <t>N</t>
  </si>
  <si>
    <t>Possible System Enforcement</t>
  </si>
  <si>
    <t>Training enforcement</t>
  </si>
  <si>
    <t>204:143</t>
  </si>
  <si>
    <t>rtdc.l.rtdc.4038:itc</t>
  </si>
  <si>
    <t>MALAVE</t>
  </si>
  <si>
    <t>204:451</t>
  </si>
  <si>
    <t>STURGEON</t>
  </si>
  <si>
    <t>rtdc.l.rtdc.4026:itc</t>
  </si>
  <si>
    <t>rtdc.l.rtdc.4013:itc</t>
  </si>
  <si>
    <t>rtdc.l.rtdc.4025:itc</t>
  </si>
  <si>
    <t>rtdc.l.rtdc.4028:itc</t>
  </si>
  <si>
    <t>rtdc.l.rtdc.4029:itc</t>
  </si>
  <si>
    <t>rtdc.l.rtdc.4030:itc</t>
  </si>
  <si>
    <t>rtdc.l.rtdc.4027:itc</t>
  </si>
  <si>
    <t>204:156</t>
  </si>
  <si>
    <t>SPECTOR</t>
  </si>
  <si>
    <t>rtdc.l.rtdc.4044:itc</t>
  </si>
  <si>
    <t>rtdc.l.rtdc.4008:itc</t>
  </si>
  <si>
    <t>rtdc.l.rtdc.4043:itc</t>
  </si>
  <si>
    <t>GRASTON</t>
  </si>
  <si>
    <t>rtdc.l.rtdc.4007:itc</t>
  </si>
  <si>
    <t>DE LA ROSA</t>
  </si>
  <si>
    <t>Trip Number Sortable</t>
  </si>
  <si>
    <t>204:161</t>
  </si>
  <si>
    <t>rtdc.l.rtdc.4039:itc</t>
  </si>
  <si>
    <t>204:458</t>
  </si>
  <si>
    <t>KILLION</t>
  </si>
  <si>
    <t>STARKS</t>
  </si>
  <si>
    <t>MAELZER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</si>
  <si>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</si>
  <si>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</si>
  <si>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</si>
  <si>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</si>
  <si>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</si>
  <si>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</si>
  <si>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</si>
  <si>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</si>
  <si>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</si>
  <si>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</si>
  <si>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</si>
  <si>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</si>
  <si>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</si>
  <si>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</si>
  <si>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</si>
  <si>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rtdc.l.rtdc.4015:itc</t>
  </si>
  <si>
    <t>rtdc.l.rtdc.4016:itc</t>
  </si>
  <si>
    <t>EC or NWGL</t>
  </si>
  <si>
    <t>204:233299</t>
  </si>
  <si>
    <t>EC/NWGL</t>
  </si>
  <si>
    <t>204:154</t>
  </si>
  <si>
    <t>204:150</t>
  </si>
  <si>
    <t>204:464</t>
  </si>
  <si>
    <t>204:139</t>
  </si>
  <si>
    <t>204:462</t>
  </si>
  <si>
    <t>204:232980</t>
  </si>
  <si>
    <t>204:232982</t>
  </si>
  <si>
    <t>Omit due to TWC &lt; 1</t>
  </si>
  <si>
    <t>Reactive Enforcement (3)</t>
  </si>
  <si>
    <t>204:233312</t>
  </si>
  <si>
    <t>204:233305</t>
  </si>
  <si>
    <t>rtdc.l.rtdc.4010:itc</t>
  </si>
  <si>
    <t>204:232984</t>
  </si>
  <si>
    <t>BRANNON</t>
  </si>
  <si>
    <t>rtdc.l.rtdc.4041:itc</t>
  </si>
  <si>
    <t>204:141</t>
  </si>
  <si>
    <t>204:233289</t>
  </si>
  <si>
    <t>LEVIN</t>
  </si>
  <si>
    <t>204:233293</t>
  </si>
  <si>
    <t>204:449</t>
  </si>
  <si>
    <t>204:160</t>
  </si>
  <si>
    <t>204:473</t>
  </si>
  <si>
    <t>204:467</t>
  </si>
  <si>
    <t>COOLAHAN</t>
  </si>
  <si>
    <t>204:163</t>
  </si>
  <si>
    <t>204:233303</t>
  </si>
  <si>
    <t>204:169</t>
  </si>
  <si>
    <t>rtdc.l.rtdc.4011:itc</t>
  </si>
  <si>
    <t>YANAI</t>
  </si>
  <si>
    <t>rtdc.l.rtdc.4012:itc</t>
  </si>
  <si>
    <t>Wi-MAX outage</t>
  </si>
  <si>
    <t>204:233295</t>
  </si>
  <si>
    <t>204:233306</t>
  </si>
  <si>
    <t>204:233308</t>
  </si>
  <si>
    <t>Not found in PTC data</t>
  </si>
  <si>
    <t>Discover</t>
  </si>
  <si>
    <t>Visualize</t>
  </si>
  <si>
    <t>Dashboard</t>
  </si>
  <si>
    <t>Settings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</si>
  <si>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</si>
  <si>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</si>
  <si>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</si>
  <si>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</si>
  <si>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</si>
  <si>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</si>
  <si>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</si>
  <si>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</si>
  <si>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</si>
  <si>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</si>
  <si>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</si>
  <si>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</si>
  <si>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</si>
  <si>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</si>
  <si>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</si>
  <si>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</si>
  <si>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</si>
  <si>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</si>
  <si>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</si>
  <si>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</si>
  <si>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</si>
  <si>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</si>
  <si>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</si>
  <si>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</si>
  <si>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</si>
  <si>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</si>
  <si>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</si>
  <si>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</si>
  <si>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</si>
  <si>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</si>
  <si>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</si>
  <si>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</si>
  <si>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</si>
  <si>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</si>
  <si>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</si>
  <si>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</si>
  <si>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</si>
  <si>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</si>
  <si>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</si>
  <si>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</si>
  <si>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</si>
  <si>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</si>
  <si>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</si>
  <si>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</si>
  <si>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</si>
  <si>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</si>
  <si>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</si>
  <si>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</si>
  <si>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204:232998</t>
  </si>
  <si>
    <t>204:233286</t>
  </si>
  <si>
    <t>204:233310</t>
  </si>
  <si>
    <t>204:232975</t>
  </si>
  <si>
    <t>204:233302</t>
  </si>
  <si>
    <t>204:455</t>
  </si>
  <si>
    <t>204:232969</t>
  </si>
  <si>
    <t>204:453</t>
  </si>
  <si>
    <t>204:471</t>
  </si>
  <si>
    <t>204:446</t>
  </si>
  <si>
    <t>204:233284</t>
  </si>
  <si>
    <t>204:165</t>
  </si>
  <si>
    <t>204:233315</t>
  </si>
  <si>
    <t>204:232993</t>
  </si>
  <si>
    <t>204:475</t>
  </si>
  <si>
    <t>Overspeed</t>
  </si>
  <si>
    <t>204:233320</t>
  </si>
  <si>
    <t>204:232973</t>
  </si>
  <si>
    <t>204:232971</t>
  </si>
  <si>
    <t>204:149</t>
  </si>
  <si>
    <t>204:233301</t>
  </si>
  <si>
    <t>204:158</t>
  </si>
  <si>
    <t>204:232991</t>
  </si>
  <si>
    <t>204:233316</t>
  </si>
  <si>
    <t>204:233288</t>
  </si>
  <si>
    <t>204:233274</t>
  </si>
  <si>
    <t>204:232978</t>
  </si>
  <si>
    <t>204:493</t>
  </si>
  <si>
    <t>rtdc.l.rtdc.4040:itc</t>
  </si>
  <si>
    <t>MOSES</t>
  </si>
  <si>
    <t>GEBRETEKLE</t>
  </si>
  <si>
    <t>ADANE</t>
  </si>
  <si>
    <t>YORK</t>
  </si>
  <si>
    <t>rtdc.l.rtdc.4014:itc</t>
  </si>
  <si>
    <t>102-24</t>
  </si>
  <si>
    <t>204:233325</t>
  </si>
  <si>
    <t>108-24</t>
  </si>
  <si>
    <t>204:457</t>
  </si>
  <si>
    <t>110-24</t>
  </si>
  <si>
    <t>204:447</t>
  </si>
  <si>
    <t>111-24</t>
  </si>
  <si>
    <t>112-24</t>
  </si>
  <si>
    <t>204:232974</t>
  </si>
  <si>
    <t>204:176</t>
  </si>
  <si>
    <t>204:429</t>
  </si>
  <si>
    <t>114-24</t>
  </si>
  <si>
    <t>117-24</t>
  </si>
  <si>
    <t>119-24</t>
  </si>
  <si>
    <t>122-24</t>
  </si>
  <si>
    <t>204:233008</t>
  </si>
  <si>
    <t>204:232983</t>
  </si>
  <si>
    <t>131-24</t>
  </si>
  <si>
    <t>133-24</t>
  </si>
  <si>
    <t>204:488</t>
  </si>
  <si>
    <t>204:232989</t>
  </si>
  <si>
    <t>137-24</t>
  </si>
  <si>
    <t>138-24</t>
  </si>
  <si>
    <t>140-24</t>
  </si>
  <si>
    <t>204:232981</t>
  </si>
  <si>
    <t>204:477</t>
  </si>
  <si>
    <t>144-24</t>
  </si>
  <si>
    <t>146-24</t>
  </si>
  <si>
    <t>204:147</t>
  </si>
  <si>
    <t>149-24</t>
  </si>
  <si>
    <t>150-24</t>
  </si>
  <si>
    <t>151-24</t>
  </si>
  <si>
    <t>155-24</t>
  </si>
  <si>
    <t>156-24</t>
  </si>
  <si>
    <t>204:172</t>
  </si>
  <si>
    <t>204:233298</t>
  </si>
  <si>
    <t>167-24</t>
  </si>
  <si>
    <t>169-24</t>
  </si>
  <si>
    <t>171-24</t>
  </si>
  <si>
    <t>172-24</t>
  </si>
  <si>
    <t>175-24</t>
  </si>
  <si>
    <t>204:480</t>
  </si>
  <si>
    <t>180-24</t>
  </si>
  <si>
    <t>1810-24</t>
  </si>
  <si>
    <t>1812-24</t>
  </si>
  <si>
    <t>1813-24</t>
  </si>
  <si>
    <t>1815-24</t>
  </si>
  <si>
    <t>1816-24</t>
  </si>
  <si>
    <t>1817-24</t>
  </si>
  <si>
    <t>204:187</t>
  </si>
  <si>
    <t>1820-24</t>
  </si>
  <si>
    <t>1821-24</t>
  </si>
  <si>
    <t>1823-24</t>
  </si>
  <si>
    <t>1828-24</t>
  </si>
  <si>
    <t>1833-24</t>
  </si>
  <si>
    <t>185-24</t>
  </si>
  <si>
    <t>188-24</t>
  </si>
  <si>
    <t>189-24</t>
  </si>
  <si>
    <t>190-24</t>
  </si>
  <si>
    <t>191-24</t>
  </si>
  <si>
    <t>193-24</t>
  </si>
  <si>
    <t>194-24</t>
  </si>
  <si>
    <t>195-24</t>
  </si>
  <si>
    <t>196-24</t>
  </si>
  <si>
    <t>204:233300</t>
  </si>
  <si>
    <t>200-24</t>
  </si>
  <si>
    <t>201-24</t>
  </si>
  <si>
    <t>202-24</t>
  </si>
  <si>
    <t>203-24</t>
  </si>
  <si>
    <t>204-24</t>
  </si>
  <si>
    <t>204:427</t>
  </si>
  <si>
    <t>206-24</t>
  </si>
  <si>
    <t>204:233280</t>
  </si>
  <si>
    <t>208-24</t>
  </si>
  <si>
    <t>204:232970</t>
  </si>
  <si>
    <t>209-24</t>
  </si>
  <si>
    <t>212-24</t>
  </si>
  <si>
    <t>213-24</t>
  </si>
  <si>
    <t>204:232986</t>
  </si>
  <si>
    <t>220-24</t>
  </si>
  <si>
    <t>204:178</t>
  </si>
  <si>
    <t>204:233264</t>
  </si>
  <si>
    <t>224-24</t>
  </si>
  <si>
    <t>226-24</t>
  </si>
  <si>
    <t>204:478</t>
  </si>
  <si>
    <t>241-24</t>
  </si>
  <si>
    <t>243-24</t>
  </si>
  <si>
    <t>244-24</t>
  </si>
  <si>
    <t>1802-24</t>
  </si>
  <si>
    <t>1803-24</t>
  </si>
  <si>
    <t>1804-24</t>
  </si>
  <si>
    <t>1805-24</t>
  </si>
  <si>
    <t>1807-24</t>
  </si>
  <si>
    <t>1809-24</t>
  </si>
  <si>
    <t>EQUIPMENT RESTRICTION</t>
  </si>
  <si>
    <t>rtdc.l.rtdc.4031:itc</t>
  </si>
  <si>
    <t>rtdc.l.rtdc.4032:itc</t>
  </si>
  <si>
    <t>STAMBAUGH</t>
  </si>
  <si>
    <t>MAYBERRY</t>
  </si>
  <si>
    <t>YOUNG</t>
  </si>
  <si>
    <t>STORY</t>
  </si>
  <si>
    <t>BRUDER</t>
  </si>
  <si>
    <t>NEWELL</t>
  </si>
  <si>
    <t>STEWART</t>
  </si>
  <si>
    <t>CHANDLER</t>
  </si>
  <si>
    <t>BARTLETT</t>
  </si>
  <si>
    <t>SANTIZO</t>
  </si>
  <si>
    <t>900-25</t>
  </si>
  <si>
    <t>LOZA</t>
  </si>
  <si>
    <t>106-25</t>
  </si>
  <si>
    <t>ACKERMAN</t>
  </si>
  <si>
    <t>244-23</t>
  </si>
  <si>
    <t>REBOLETTI</t>
  </si>
  <si>
    <t>HELVIE</t>
  </si>
  <si>
    <t>228-23</t>
  </si>
  <si>
    <t>226-23</t>
  </si>
  <si>
    <t>236-23</t>
  </si>
  <si>
    <t>245-23</t>
  </si>
  <si>
    <t>237-23</t>
  </si>
  <si>
    <t>1830-23</t>
  </si>
  <si>
    <t>124-25</t>
  </si>
  <si>
    <t>123-25</t>
  </si>
  <si>
    <t>119-25</t>
  </si>
  <si>
    <t>111-25</t>
  </si>
  <si>
    <t>102-25</t>
  </si>
  <si>
    <t>105-25</t>
  </si>
  <si>
    <t>101-25</t>
  </si>
  <si>
    <t>234-23</t>
  </si>
  <si>
    <t>239-23</t>
  </si>
  <si>
    <t>103-25</t>
  </si>
  <si>
    <t>232-23</t>
  </si>
  <si>
    <t>107-25</t>
  </si>
  <si>
    <t>104-25</t>
  </si>
  <si>
    <t>110-25</t>
  </si>
  <si>
    <t>247-23</t>
  </si>
  <si>
    <t>115-25</t>
  </si>
  <si>
    <t>222-23</t>
  </si>
  <si>
    <t>121-25</t>
  </si>
  <si>
    <t>118-25</t>
  </si>
  <si>
    <t>101-22</t>
  </si>
  <si>
    <t>204:739</t>
  </si>
  <si>
    <t>102-22</t>
  </si>
  <si>
    <t>204:232681</t>
  </si>
  <si>
    <t>204:118</t>
  </si>
  <si>
    <t>103-22</t>
  </si>
  <si>
    <t>204:730</t>
  </si>
  <si>
    <t>104-22</t>
  </si>
  <si>
    <t>204:232654</t>
  </si>
  <si>
    <t>105-22</t>
  </si>
  <si>
    <t>204:688</t>
  </si>
  <si>
    <t>204:233414</t>
  </si>
  <si>
    <t>106-22</t>
  </si>
  <si>
    <t>204:232754</t>
  </si>
  <si>
    <t>107-22</t>
  </si>
  <si>
    <t>204:333</t>
  </si>
  <si>
    <t>204:233321</t>
  </si>
  <si>
    <t>108-22</t>
  </si>
  <si>
    <t>109-22</t>
  </si>
  <si>
    <t>204:444</t>
  </si>
  <si>
    <t>110-22</t>
  </si>
  <si>
    <t>204:232961</t>
  </si>
  <si>
    <t>111-22</t>
  </si>
  <si>
    <t>204:765</t>
  </si>
  <si>
    <t>112-22</t>
  </si>
  <si>
    <t>204:233002</t>
  </si>
  <si>
    <t>113-22</t>
  </si>
  <si>
    <t>114-22</t>
  </si>
  <si>
    <t>115-22</t>
  </si>
  <si>
    <t>204:732</t>
  </si>
  <si>
    <t>116-22</t>
  </si>
  <si>
    <t>204:1188</t>
  </si>
  <si>
    <t>117-22</t>
  </si>
  <si>
    <t>204:418</t>
  </si>
  <si>
    <t>118-22</t>
  </si>
  <si>
    <t>204:232967</t>
  </si>
  <si>
    <t>119-22</t>
  </si>
  <si>
    <t>204:783</t>
  </si>
  <si>
    <t>120-22</t>
  </si>
  <si>
    <t>121-22</t>
  </si>
  <si>
    <t>204:233115</t>
  </si>
  <si>
    <t>122-22</t>
  </si>
  <si>
    <t>204:232798</t>
  </si>
  <si>
    <t>123-22</t>
  </si>
  <si>
    <t>204:233363</t>
  </si>
  <si>
    <t>124-22</t>
  </si>
  <si>
    <t>204:233011</t>
  </si>
  <si>
    <t>125-22</t>
  </si>
  <si>
    <t>204:466</t>
  </si>
  <si>
    <t>126-22</t>
  </si>
  <si>
    <t>127-22</t>
  </si>
  <si>
    <t>204:233314</t>
  </si>
  <si>
    <t>128-22</t>
  </si>
  <si>
    <t>129-22</t>
  </si>
  <si>
    <t>204:233297</t>
  </si>
  <si>
    <t>130-22</t>
  </si>
  <si>
    <t>131-22</t>
  </si>
  <si>
    <t>132-22</t>
  </si>
  <si>
    <t>133-22</t>
  </si>
  <si>
    <t>135-22</t>
  </si>
  <si>
    <t>136-22</t>
  </si>
  <si>
    <t>137-22</t>
  </si>
  <si>
    <t>204:233278</t>
  </si>
  <si>
    <t>138-22</t>
  </si>
  <si>
    <t>204:232965</t>
  </si>
  <si>
    <t>139-22</t>
  </si>
  <si>
    <t>204:482</t>
  </si>
  <si>
    <t>204:233317</t>
  </si>
  <si>
    <t>140-22</t>
  </si>
  <si>
    <t>141-22</t>
  </si>
  <si>
    <t>142-22</t>
  </si>
  <si>
    <t>143-22</t>
  </si>
  <si>
    <t>204:469</t>
  </si>
  <si>
    <t>144-22</t>
  </si>
  <si>
    <t>145-22</t>
  </si>
  <si>
    <t>146-22</t>
  </si>
  <si>
    <t>147-22</t>
  </si>
  <si>
    <t>204:19130</t>
  </si>
  <si>
    <t>204:20408</t>
  </si>
  <si>
    <t>204:37186</t>
  </si>
  <si>
    <t>148-22</t>
  </si>
  <si>
    <t>149-22</t>
  </si>
  <si>
    <t>204:440</t>
  </si>
  <si>
    <t>150-22</t>
  </si>
  <si>
    <t>151-22</t>
  </si>
  <si>
    <t>204:233287</t>
  </si>
  <si>
    <t>152-22</t>
  </si>
  <si>
    <t>153-22</t>
  </si>
  <si>
    <t>154-22</t>
  </si>
  <si>
    <t>204:233001</t>
  </si>
  <si>
    <t>155-22</t>
  </si>
  <si>
    <t>156-22</t>
  </si>
  <si>
    <t>157-22</t>
  </si>
  <si>
    <t>158-22</t>
  </si>
  <si>
    <t>159-22</t>
  </si>
  <si>
    <t>204:233281</t>
  </si>
  <si>
    <t>161-22</t>
  </si>
  <si>
    <t>162-22</t>
  </si>
  <si>
    <t>163-22</t>
  </si>
  <si>
    <t>204:233266</t>
  </si>
  <si>
    <t>164-22</t>
  </si>
  <si>
    <t>204:232959</t>
  </si>
  <si>
    <t>165-22</t>
  </si>
  <si>
    <t>166-22</t>
  </si>
  <si>
    <t>204:170</t>
  </si>
  <si>
    <t>167-22</t>
  </si>
  <si>
    <t>168-22</t>
  </si>
  <si>
    <t>169-22</t>
  </si>
  <si>
    <t>204:233276</t>
  </si>
  <si>
    <t>170-22</t>
  </si>
  <si>
    <t>171-22</t>
  </si>
  <si>
    <t>172-22</t>
  </si>
  <si>
    <t>204:136</t>
  </si>
  <si>
    <t>173-22</t>
  </si>
  <si>
    <t>204:233337</t>
  </si>
  <si>
    <t>175-22</t>
  </si>
  <si>
    <t>176-22</t>
  </si>
  <si>
    <t>204:134</t>
  </si>
  <si>
    <t>177-22</t>
  </si>
  <si>
    <t>178-22</t>
  </si>
  <si>
    <t>179-22</t>
  </si>
  <si>
    <t>180-22</t>
  </si>
  <si>
    <t>181-22</t>
  </si>
  <si>
    <t>182-22</t>
  </si>
  <si>
    <t>204:232963</t>
  </si>
  <si>
    <t>183-22</t>
  </si>
  <si>
    <t>204:233364</t>
  </si>
  <si>
    <t>184-22</t>
  </si>
  <si>
    <t>204:233060</t>
  </si>
  <si>
    <t>185-22</t>
  </si>
  <si>
    <t>186-22</t>
  </si>
  <si>
    <t>187-22</t>
  </si>
  <si>
    <t>188-22</t>
  </si>
  <si>
    <t>190-22</t>
  </si>
  <si>
    <t>191-22</t>
  </si>
  <si>
    <t>204:233249</t>
  </si>
  <si>
    <t>192-22</t>
  </si>
  <si>
    <t>204:232955</t>
  </si>
  <si>
    <t>193-22</t>
  </si>
  <si>
    <t>194-22</t>
  </si>
  <si>
    <t>195-22</t>
  </si>
  <si>
    <t>204:442</t>
  </si>
  <si>
    <t>197-22</t>
  </si>
  <si>
    <t>204:233334</t>
  </si>
  <si>
    <t>198-22</t>
  </si>
  <si>
    <t>204:233021</t>
  </si>
  <si>
    <t>204:508</t>
  </si>
  <si>
    <t>199-22</t>
  </si>
  <si>
    <t>204:435</t>
  </si>
  <si>
    <t>204:233357</t>
  </si>
  <si>
    <t>200-22</t>
  </si>
  <si>
    <t>201-22</t>
  </si>
  <si>
    <t>202-22</t>
  </si>
  <si>
    <t>203-22</t>
  </si>
  <si>
    <t>204:1532</t>
  </si>
  <si>
    <t>205-22</t>
  </si>
  <si>
    <t>204:808</t>
  </si>
  <si>
    <t>206-22</t>
  </si>
  <si>
    <t>207-22</t>
  </si>
  <si>
    <t>208-22</t>
  </si>
  <si>
    <t>209-22</t>
  </si>
  <si>
    <t>204:759</t>
  </si>
  <si>
    <t>210-22</t>
  </si>
  <si>
    <t>211-22</t>
  </si>
  <si>
    <t>204:826</t>
  </si>
  <si>
    <t>204:233368</t>
  </si>
  <si>
    <t>212-22</t>
  </si>
  <si>
    <t>204:233043</t>
  </si>
  <si>
    <t>204:102</t>
  </si>
  <si>
    <t>213-22</t>
  </si>
  <si>
    <t>204:484</t>
  </si>
  <si>
    <t>204:233311</t>
  </si>
  <si>
    <t>214-22</t>
  </si>
  <si>
    <t>215-22</t>
  </si>
  <si>
    <t>216-22</t>
  </si>
  <si>
    <t>217-22</t>
  </si>
  <si>
    <t>204:1522</t>
  </si>
  <si>
    <t>204:1978</t>
  </si>
  <si>
    <t>204:19148</t>
  </si>
  <si>
    <t>218-22</t>
  </si>
  <si>
    <t>204:232988</t>
  </si>
  <si>
    <t>219-22</t>
  </si>
  <si>
    <t>220-22</t>
  </si>
  <si>
    <t>221-22</t>
  </si>
  <si>
    <t>222-22</t>
  </si>
  <si>
    <t>223-22</t>
  </si>
  <si>
    <t>224-22</t>
  </si>
  <si>
    <t>225-22</t>
  </si>
  <si>
    <t>226-22</t>
  </si>
  <si>
    <t>204:211</t>
  </si>
  <si>
    <t>227-22</t>
  </si>
  <si>
    <t>228-22</t>
  </si>
  <si>
    <t>229-22</t>
  </si>
  <si>
    <t>230-22</t>
  </si>
  <si>
    <t>231-22</t>
  </si>
  <si>
    <t>232-22</t>
  </si>
  <si>
    <t>204:232966</t>
  </si>
  <si>
    <t>233-22</t>
  </si>
  <si>
    <t>204:517</t>
  </si>
  <si>
    <t>234-22</t>
  </si>
  <si>
    <t>235-22</t>
  </si>
  <si>
    <t>237-22</t>
  </si>
  <si>
    <t>238-22</t>
  </si>
  <si>
    <t>239-22</t>
  </si>
  <si>
    <t>240-22</t>
  </si>
  <si>
    <t>241-22</t>
  </si>
  <si>
    <t>242-22</t>
  </si>
  <si>
    <t>243-22</t>
  </si>
  <si>
    <t>204:233209</t>
  </si>
  <si>
    <t>245-22</t>
  </si>
  <si>
    <t>204:431</t>
  </si>
  <si>
    <t>246-22</t>
  </si>
  <si>
    <t>815-22</t>
  </si>
  <si>
    <t>rtdc.l.rtdc.4037:itc</t>
  </si>
  <si>
    <t>SPEED RESTRICTION</t>
  </si>
  <si>
    <t xml:space="preserve">2016-07-22 00:05:13.822 to 2016-07-23 04:20:13.822 </t>
  </si>
  <si>
    <t>Trip IDs  160 hits</t>
  </si>
  <si>
    <t>2016-07-22 00:05:13.822 - 2016-07-23 04:20:13.822</t>
  </si>
  <si>
    <t>WEBSTER</t>
  </si>
  <si>
    <t>NELSON</t>
  </si>
  <si>
    <t>ROCHA</t>
  </si>
  <si>
    <t>SHOOK</t>
  </si>
  <si>
    <t>240-21</t>
  </si>
  <si>
    <t>242-21</t>
  </si>
  <si>
    <t>243-21</t>
  </si>
  <si>
    <t>LEVERE</t>
  </si>
  <si>
    <t>105-23</t>
  </si>
  <si>
    <t>244-21</t>
  </si>
  <si>
    <t>236-22</t>
  </si>
  <si>
    <t>102-23</t>
  </si>
  <si>
    <t>Comm outage caused by comparator issue</t>
  </si>
  <si>
    <t>Departure from Main 3</t>
  </si>
  <si>
    <t>134-22</t>
  </si>
  <si>
    <t>160-22</t>
  </si>
  <si>
    <t>174-22</t>
  </si>
  <si>
    <t>189-22</t>
  </si>
  <si>
    <t>196-22</t>
  </si>
  <si>
    <t>204-22</t>
  </si>
  <si>
    <t>244-22</t>
  </si>
  <si>
    <t>Onboard in-route failure</t>
  </si>
  <si>
    <t>EC0206RH 15-1T 1N was STOP &amp; PROCEED</t>
  </si>
  <si>
    <t>Chambers 2N was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</si>
</sst>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1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5" xfId="0" applyNumberFormat="1" applyBorder="1" applyAlignment="1">
      <alignment horizontal="left"/>
    </xf>
    <xf numFmtId="169" fontId="0" fillId="0" borderId="5" xfId="0" applyBorder="1" applyAlignment="1">
      <alignment horizontal="left"/>
    </xf>
    <xf numFmtId="167" fontId="0" fillId="0" borderId="5" xfId="0" applyNumberFormat="1" applyBorder="1" applyAlignment="1">
      <alignment horizontal="left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5"/>
  <sheetViews>
    <sheetView tabSelected="1" zoomScale="85" zoomScaleNormal="85" workbookViewId="0"/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4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3">
        <f>Variables!A2</f>
        <v>42575</v>
      </c>
      <c r="J2" s="114"/>
      <c r="K2" s="57"/>
      <c r="L2" s="57"/>
      <c r="M2" s="115" t="s">
        <v>8</v>
      </c>
      <c r="N2" s="116"/>
      <c r="O2" s="117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8" t="s">
        <v>10</v>
      </c>
      <c r="J3" s="119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COUNT($N$13:$P$1662)</f>
        <v>140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COUNT($N$13:$N$1662)</f>
        <v>137</v>
      </c>
      <c r="K5" s="61"/>
      <c r="L5" s="61"/>
      <c r="M5" s="62">
        <f>AVERAGE($N$13:$N$662)</f>
        <v>42.51934306543103</v>
      </c>
      <c r="N5" s="60">
        <f>MIN($N$13:$N$662)</f>
        <v>34.800000004470348</v>
      </c>
      <c r="O5" s="3">
        <f>MAX($N$13:$N$662)</f>
        <v>55.33333332859911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COUNT($O$13:$O$662)</f>
        <v>0</v>
      </c>
      <c r="K6" s="61"/>
      <c r="L6" s="61"/>
      <c r="M6" s="62">
        <f>IFERROR(AVERAGE($O$13:$O$662),0)</f>
        <v>0</v>
      </c>
      <c r="N6" s="60">
        <f>MIN($O$13:$O$662)</f>
        <v>0</v>
      </c>
      <c r="O6" s="3">
        <f>MAX($O$13:$O$662)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COUNT($P$13:$P$662)</f>
        <v>3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COUNT($N$13:$O$662)</f>
        <v>137</v>
      </c>
      <c r="K8" s="61"/>
      <c r="L8" s="61"/>
      <c r="M8" s="62">
        <f>AVERAGE($N$13:$P$662)</f>
        <v>42.443809523405172</v>
      </c>
      <c r="N8" s="60">
        <f>MIN($N$13:$O$662)</f>
        <v>34.800000004470348</v>
      </c>
      <c r="O8" s="3">
        <f>MAX($N$13:$O$662)</f>
        <v>55.33333332859911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0.97857142857142854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12" t="str">
        <f>"Eagle P3 System Performance - "&amp;TEXT(Variables!A2,"yyyy-mm-dd")</f>
        <v>Eagle P3 System Performance - 2016-07-24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S11" s="108">
        <f>AVERAGE(S13:S155)</f>
        <v>0.9910714285714286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81</v>
      </c>
      <c r="T12" s="76" t="s">
        <v>82</v>
      </c>
      <c r="U12" s="95" t="s">
        <v>83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123</v>
      </c>
      <c r="AE12" s="73" t="s">
        <v>138</v>
      </c>
      <c r="AF12" s="73" t="s">
        <v>143</v>
      </c>
      <c r="AG12" s="4" t="s">
        <v>149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410</v>
      </c>
      <c r="B13" s="7">
        <v>4027</v>
      </c>
      <c r="C13" s="26" t="s">
        <v>59</v>
      </c>
      <c r="D13" s="26" t="s">
        <v>411</v>
      </c>
      <c r="E13" s="16">
        <v>42573.134965277779</v>
      </c>
      <c r="F13" s="16">
        <v>42573.13658564815</v>
      </c>
      <c r="G13" s="7">
        <v>2</v>
      </c>
      <c r="H13" s="16" t="s">
        <v>253</v>
      </c>
      <c r="I13" s="16">
        <v>42573.162754629629</v>
      </c>
      <c r="J13" s="7">
        <v>0</v>
      </c>
      <c r="K13" s="26" t="str">
        <f>IF(ISEVEN(B13),(B13-1)&amp;"/"&amp;B13,B13&amp;"/"&amp;(B13+1))</f>
        <v>4027/4028</v>
      </c>
      <c r="L13" s="26" t="str">
        <f>VLOOKUP(A13,'Trips&amp;Operators'!$C$1:$E$10000,3,FALSE)</f>
        <v>MAELZER</v>
      </c>
      <c r="M13" s="6">
        <f>I13-F13</f>
        <v>2.6168981479713693E-2</v>
      </c>
      <c r="N13" s="7">
        <f>24*60*SUM($M13:$M13)</f>
        <v>37.683333330787718</v>
      </c>
      <c r="O13" s="7"/>
      <c r="P13" s="7"/>
      <c r="Q13" s="7"/>
      <c r="R13" s="7"/>
      <c r="S13" s="45">
        <f>SUM(U13:U13)/12</f>
        <v>1</v>
      </c>
      <c r="T13" s="69" t="str">
        <f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https://search-rtdc-monitor-bjffxe2xuh6vdkpspy63sjmuny.us-east-1.es.amazonaws.com/_plugin/kibana/#/discover/Steve-Slow-Train-Analysis-(2080s-and-2083s)?_g=(refreshInterval:(display:Off,section:0,value:0),time:(from:'2016-07-22 02:14:21-0600',mode:absolute,to:'2016-07-22 04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" s="74" t="str">
        <f>IF(AA13&lt;23,"Y","N")</f>
        <v>N</v>
      </c>
      <c r="X13" s="92" t="e">
        <f>VALUE(LEFT(A13,3))-VALUE(LEFT(#REF!,3))</f>
        <v>#REF!</v>
      </c>
      <c r="Y13" s="89">
        <f>RIGHT(D13,LEN(D13)-4)/10000</f>
        <v>7.3899999999999993E-2</v>
      </c>
      <c r="Z13" s="89">
        <f>RIGHT(H13,LEN(H13)-4)/10000</f>
        <v>23.332000000000001</v>
      </c>
      <c r="AA13" s="89">
        <f>ABS(Z13-Y13)</f>
        <v>23.258100000000002</v>
      </c>
      <c r="AB13" s="86" t="e">
        <f>VLOOKUP(A13,Enforcements!$C$7:$J$24,8,0)</f>
        <v>#N/A</v>
      </c>
      <c r="AC13" s="82" t="e">
        <f>VLOOKUP(A13,Enforcements!$C$7:$E$24,3,0)</f>
        <v>#N/A</v>
      </c>
      <c r="AD13" s="83" t="str">
        <f>IF(LEN(A13)=6,"0"&amp;A13,A13)</f>
        <v>0101-22</v>
      </c>
      <c r="AE13" s="75" t="str">
        <f t="shared" ref="AE13:AE14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s3://rtdc.mdm.uploadarchive/RTDC4027/2016-07-22/ "C:\Users\stu\Documents\Analysis\2016-02-23 RTDC Observations"\RTDC4027\2016-07-22 --recursive &amp; "C:\Users\stu\Documents\GitHub\mrs-test-scripts\Headless Mode &amp; Sideloading\WalkAndUnGZ.bat" "C:\Users\stu\Documents\Analysis\2016-02-23 RTDC Observations"\RTDC4027\2016-07-22 &amp; aws s3 cp s3://rtdc.mdm.uploadarchive/RTDC4027/2016-07-23/ "C:\Users\stu\Documents\Analysis\2016-02-23 RTDC Observations"\RTDC4027\2016-07-23 --recursive &amp; "C:\Users\stu\Documents\GitHub\mrs-test-scripts\Headless Mode &amp; Sideloading\WalkAndUnGZ.bat" "C:\Users\stu\Documents\Analysis\2016-02-23 RTDC Observations"\RTDC4027\2016-07-23</v>
      </c>
      <c r="AF13" s="75" t="str">
        <f t="shared" ref="AF13:AF14" si="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/stypes="*4027*20160722*" /stext=" 09:.+((prompt.+disp)|(slice.+state.+chan)|(ment ac)|(system.+state.+chan)|(\|lc)|(penalty)|(\[timeout))" /e /r /s</v>
      </c>
      <c r="AG13" s="1" t="str">
        <f>IF(VALUE(LEFT(AD13,4))&lt;300,"EC","NWGL")</f>
        <v>EC</v>
      </c>
    </row>
    <row r="14" spans="1:91" s="1" customFormat="1" x14ac:dyDescent="0.25">
      <c r="A14" s="49" t="s">
        <v>412</v>
      </c>
      <c r="B14" s="7">
        <v>4013</v>
      </c>
      <c r="C14" s="26" t="s">
        <v>59</v>
      </c>
      <c r="D14" s="26" t="s">
        <v>413</v>
      </c>
      <c r="E14" s="16">
        <v>42573.168842592589</v>
      </c>
      <c r="F14" s="16">
        <v>42573.169768518521</v>
      </c>
      <c r="G14" s="7">
        <v>1</v>
      </c>
      <c r="H14" s="16" t="s">
        <v>414</v>
      </c>
      <c r="I14" s="16">
        <v>42573.200902777775</v>
      </c>
      <c r="J14" s="7">
        <v>1</v>
      </c>
      <c r="K14" s="26" t="str">
        <f>IF(ISEVEN(B14),(B14-1)&amp;"/"&amp;B14,B14&amp;"/"&amp;(B14+1))</f>
        <v>4013/4014</v>
      </c>
      <c r="L14" s="26" t="str">
        <f>VLOOKUP(A14,'Trips&amp;Operators'!$C$1:$E$10000,3,FALSE)</f>
        <v>MAELZER</v>
      </c>
      <c r="M14" s="6">
        <f>I14-F14</f>
        <v>3.1134259254031349E-2</v>
      </c>
      <c r="N14" s="7">
        <f>24*60*SUM($M14:$M14)</f>
        <v>44.833333325805143</v>
      </c>
      <c r="O14" s="7"/>
      <c r="P14" s="7"/>
      <c r="Q14" s="27"/>
      <c r="R14" s="27"/>
      <c r="S14" s="45">
        <f>SUM(U14:U14)/12</f>
        <v>1</v>
      </c>
      <c r="T14" s="69" t="str">
        <f>IF(ISEVEN(LEFT(A14,3)),"Southbound","NorthBound")</f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https://search-rtdc-monitor-bjffxe2xuh6vdkpspy63sjmuny.us-east-1.es.amazonaws.com/_plugin/kibana/#/discover/Steve-Slow-Train-Analysis-(2080s-and-2083s)?_g=(refreshInterval:(display:Off,section:0,value:0),time:(from:'2016-07-22 03:03:08-0600',mode:absolute,to:'2016-07-22 05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" s="74" t="str">
        <f>IF(AA14&lt;23,"Y","N")</f>
        <v>N</v>
      </c>
      <c r="X14" s="92">
        <f>VALUE(LEFT(A14,3))-VALUE(LEFT(A13,3))</f>
        <v>1</v>
      </c>
      <c r="Y14" s="89">
        <f>RIGHT(D14,LEN(D14)-4)/10000</f>
        <v>23.2681</v>
      </c>
      <c r="Z14" s="89">
        <f>RIGHT(H14,LEN(H14)-4)/10000</f>
        <v>1.18E-2</v>
      </c>
      <c r="AA14" s="89">
        <f>ABS(Z14-Y14)</f>
        <v>23.2563</v>
      </c>
      <c r="AB14" s="86" t="e">
        <f>VLOOKUP(A14,Enforcements!$C$7:$J$24,8,0)</f>
        <v>#N/A</v>
      </c>
      <c r="AC14" s="82" t="e">
        <f>VLOOKUP(A14,Enforcements!$C$7:$E$24,3,0)</f>
        <v>#N/A</v>
      </c>
      <c r="AD14" s="83" t="str">
        <f>IF(LEN(A14)=6,"0"&amp;A14,A14)</f>
        <v>0102-22</v>
      </c>
      <c r="AE14" s="75" t="str">
        <f t="shared" si="0"/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AF14" s="75" t="str">
        <f t="shared" si="1"/>
        <v>"C:\Program Files (x86)\AstroGrep\AstroGrep.exe" /spath="C:\Users\stu\Documents\Analysis\2016-02-23 RTDC Observations" /stypes="*4013*20160722*" /stext=" 10:.+((prompt.+disp)|(slice.+state.+chan)|(ment ac)|(system.+state.+chan)|(\|lc)|(penalty)|(\[timeout))" /e /r /s</v>
      </c>
      <c r="AG14" s="1" t="str">
        <f t="shared" ref="AG14" si="2">IF(VALUE(LEFT(AD14,4))&lt;300,"EC","NWGL")</f>
        <v>EC</v>
      </c>
    </row>
    <row r="15" spans="1:91" s="1" customFormat="1" x14ac:dyDescent="0.25">
      <c r="A15" s="49" t="s">
        <v>415</v>
      </c>
      <c r="B15" s="7">
        <v>4040</v>
      </c>
      <c r="C15" s="26" t="s">
        <v>59</v>
      </c>
      <c r="D15" s="26" t="s">
        <v>416</v>
      </c>
      <c r="E15" s="16">
        <v>42573.153819444444</v>
      </c>
      <c r="F15" s="16">
        <v>42573.155243055553</v>
      </c>
      <c r="G15" s="7">
        <v>2</v>
      </c>
      <c r="H15" s="16" t="s">
        <v>238</v>
      </c>
      <c r="I15" s="16">
        <v>42573.182766203703</v>
      </c>
      <c r="J15" s="7">
        <v>0</v>
      </c>
      <c r="K15" s="26" t="str">
        <f t="shared" ref="K15:K78" si="3">IF(ISEVEN(B15),(B15-1)&amp;"/"&amp;B15,B15&amp;"/"&amp;(B15+1))</f>
        <v>4039/4040</v>
      </c>
      <c r="L15" s="26" t="str">
        <f>VLOOKUP(A15,'Trips&amp;Operators'!$C$1:$E$10000,3,FALSE)</f>
        <v>NELSON</v>
      </c>
      <c r="M15" s="6">
        <f t="shared" ref="M15:M78" si="4">I15-F15</f>
        <v>2.7523148150066845E-2</v>
      </c>
      <c r="N15" s="7">
        <f t="shared" ref="N15:P78" si="5">24*60*SUM($M15:$M15)</f>
        <v>39.633333336096257</v>
      </c>
      <c r="O15" s="7"/>
      <c r="P15" s="7"/>
      <c r="Q15" s="27"/>
      <c r="R15" s="27"/>
      <c r="S15" s="45">
        <f t="shared" ref="S15:S78" si="6">SUM(U15:U15)/12</f>
        <v>1</v>
      </c>
      <c r="T15" s="69" t="str">
        <f t="shared" ref="T15:T78" si="7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8" si="8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https://search-rtdc-monitor-bjffxe2xuh6vdkpspy63sjmuny.us-east-1.es.amazonaws.com/_plugin/kibana/#/discover/Steve-Slow-Train-Analysis-(2080s-and-2083s)?_g=(refreshInterval:(display:Off,section:0,value:0),time:(from:'2016-07-22 02:41:30-0600',mode:absolute,to:'2016-07-22 05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" s="74" t="str">
        <f t="shared" ref="W15:W78" si="9">IF(AA15&lt;23,"Y","N")</f>
        <v>N</v>
      </c>
      <c r="X15" s="92">
        <f t="shared" ref="X15:X78" si="10">VALUE(LEFT(A15,3))-VALUE(LEFT(A14,3))</f>
        <v>1</v>
      </c>
      <c r="Y15" s="89">
        <f t="shared" ref="Y15:Y78" si="11">RIGHT(D15,LEN(D15)-4)/10000</f>
        <v>7.2999999999999995E-2</v>
      </c>
      <c r="Z15" s="89">
        <f t="shared" ref="Z15:Z78" si="12">RIGHT(H15,LEN(H15)-4)/10000</f>
        <v>23.328600000000002</v>
      </c>
      <c r="AA15" s="89">
        <f t="shared" ref="AA15:AA78" si="13">ABS(Z15-Y15)</f>
        <v>23.255600000000001</v>
      </c>
      <c r="AB15" s="86" t="e">
        <f>VLOOKUP(A15,Enforcements!$C$7:$J$24,8,0)</f>
        <v>#N/A</v>
      </c>
      <c r="AC15" s="82" t="e">
        <f>VLOOKUP(A15,Enforcements!$C$7:$E$24,3,0)</f>
        <v>#N/A</v>
      </c>
      <c r="AD15" s="83" t="str">
        <f t="shared" ref="AD15:AD78" si="14">IF(LEN(A15)=6,"0"&amp;A15,A15)</f>
        <v>0103-22</v>
      </c>
      <c r="AE15" s="75" t="str">
        <f t="shared" ref="AE15:AE78" si="15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AF15" s="75" t="str">
        <f t="shared" ref="AF15:AF78" si="16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/stypes="*4040*20160722*" /stext=" 10:.+((prompt.+disp)|(slice.+state.+chan)|(ment ac)|(system.+state.+chan)|(\|lc)|(penalty)|(\[timeout))" /e /r /s</v>
      </c>
      <c r="AG15" s="1" t="str">
        <f t="shared" ref="AG15:AG78" si="17">IF(VALUE(LEFT(AD15,4))&lt;300,"EC","NWGL")</f>
        <v>EC</v>
      </c>
    </row>
    <row r="16" spans="1:91" s="1" customFormat="1" x14ac:dyDescent="0.25">
      <c r="A16" s="49" t="s">
        <v>417</v>
      </c>
      <c r="B16" s="7">
        <v>4017</v>
      </c>
      <c r="C16" s="26" t="s">
        <v>59</v>
      </c>
      <c r="D16" s="26" t="s">
        <v>418</v>
      </c>
      <c r="E16" s="16">
        <v>42573.189872685187</v>
      </c>
      <c r="F16" s="16">
        <v>42573.19091435185</v>
      </c>
      <c r="G16" s="7">
        <v>1</v>
      </c>
      <c r="H16" s="16" t="s">
        <v>150</v>
      </c>
      <c r="I16" s="16">
        <v>42573.223368055558</v>
      </c>
      <c r="J16" s="7">
        <v>1</v>
      </c>
      <c r="K16" s="26" t="str">
        <f t="shared" si="3"/>
        <v>4017/4018</v>
      </c>
      <c r="L16" s="26" t="str">
        <f>VLOOKUP(A16,'Trips&amp;Operators'!$C$1:$E$10000,3,FALSE)</f>
        <v>NELSON</v>
      </c>
      <c r="M16" s="6">
        <f t="shared" si="4"/>
        <v>3.2453703708597459E-2</v>
      </c>
      <c r="N16" s="7">
        <f t="shared" si="5"/>
        <v>46.733333340380341</v>
      </c>
      <c r="O16" s="7"/>
      <c r="P16" s="7"/>
      <c r="Q16" s="27"/>
      <c r="R16" s="27"/>
      <c r="S16" s="45">
        <f t="shared" si="6"/>
        <v>1</v>
      </c>
      <c r="T16" s="69" t="str">
        <f t="shared" si="7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03:33:25-0600',mode:absolute,to:'2016-07-22 06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74" t="str">
        <f t="shared" si="9"/>
        <v>N</v>
      </c>
      <c r="X16" s="92">
        <f t="shared" si="10"/>
        <v>1</v>
      </c>
      <c r="Y16" s="89">
        <f t="shared" si="11"/>
        <v>23.2654</v>
      </c>
      <c r="Z16" s="89">
        <f t="shared" si="12"/>
        <v>1.54E-2</v>
      </c>
      <c r="AA16" s="89">
        <f t="shared" si="13"/>
        <v>23.25</v>
      </c>
      <c r="AB16" s="86" t="e">
        <f>VLOOKUP(A16,Enforcements!$C$7:$J$24,8,0)</f>
        <v>#N/A</v>
      </c>
      <c r="AC16" s="82" t="e">
        <f>VLOOKUP(A16,Enforcements!$C$7:$E$24,3,0)</f>
        <v>#N/A</v>
      </c>
      <c r="AD16" s="83" t="str">
        <f t="shared" si="14"/>
        <v>0104-22</v>
      </c>
      <c r="AE16" s="75" t="str">
        <f t="shared" si="15"/>
        <v>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 &amp; 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</v>
      </c>
      <c r="AF16" s="75" t="str">
        <f t="shared" si="16"/>
        <v>"C:\Program Files (x86)\AstroGrep\AstroGrep.exe" /spath="C:\Users\stu\Documents\Analysis\2016-02-23 RTDC Observations" /stypes="*4017*20160722*" /stext=" 11:.+((prompt.+disp)|(slice.+state.+chan)|(ment ac)|(system.+state.+chan)|(\|lc)|(penalty)|(\[timeout))" /e /r /s</v>
      </c>
      <c r="AG16" s="1" t="str">
        <f t="shared" si="17"/>
        <v>EC</v>
      </c>
    </row>
    <row r="17" spans="1:33" s="1" customFormat="1" x14ac:dyDescent="0.25">
      <c r="A17" s="49" t="s">
        <v>419</v>
      </c>
      <c r="B17" s="7">
        <v>4020</v>
      </c>
      <c r="C17" s="26" t="s">
        <v>59</v>
      </c>
      <c r="D17" s="26" t="s">
        <v>420</v>
      </c>
      <c r="E17" s="16">
        <v>42573.175937499997</v>
      </c>
      <c r="F17" s="16">
        <v>42573.179282407407</v>
      </c>
      <c r="G17" s="7">
        <v>4</v>
      </c>
      <c r="H17" s="16" t="s">
        <v>421</v>
      </c>
      <c r="I17" s="16">
        <v>42573.205069444448</v>
      </c>
      <c r="J17" s="7">
        <v>0</v>
      </c>
      <c r="K17" s="26" t="str">
        <f t="shared" si="3"/>
        <v>4019/4020</v>
      </c>
      <c r="L17" s="26" t="str">
        <f>VLOOKUP(A17,'Trips&amp;Operators'!$C$1:$E$10000,3,FALSE)</f>
        <v>MALAVE</v>
      </c>
      <c r="M17" s="6">
        <f t="shared" si="4"/>
        <v>2.5787037040572613E-2</v>
      </c>
      <c r="N17" s="7">
        <f t="shared" si="5"/>
        <v>37.133333338424563</v>
      </c>
      <c r="O17" s="7"/>
      <c r="P17" s="7"/>
      <c r="Q17" s="27"/>
      <c r="R17" s="27"/>
      <c r="S17" s="45">
        <f t="shared" si="6"/>
        <v>1</v>
      </c>
      <c r="T17" s="69" t="str">
        <f t="shared" si="7"/>
        <v>NorthBound</v>
      </c>
      <c r="U17" s="96">
        <f>COUNTIFS(Variables!$M$2:$M$19,IF(T17="NorthBound","&gt;=","&lt;=")&amp;Y17,Variables!$M$2:$M$19,IF(T17="NorthBound","&lt;=","&gt;=")&amp;Z17)</f>
        <v>12</v>
      </c>
      <c r="V1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03:13:21-0600',mode:absolute,to:'2016-07-22 05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7" s="74" t="str">
        <f t="shared" si="9"/>
        <v>N</v>
      </c>
      <c r="X17" s="92">
        <f t="shared" si="10"/>
        <v>1</v>
      </c>
      <c r="Y17" s="89">
        <f t="shared" si="11"/>
        <v>6.88E-2</v>
      </c>
      <c r="Z17" s="89">
        <f t="shared" si="12"/>
        <v>23.3414</v>
      </c>
      <c r="AA17" s="89">
        <f t="shared" si="13"/>
        <v>23.272600000000001</v>
      </c>
      <c r="AB17" s="86" t="e">
        <f>VLOOKUP(A17,Enforcements!$C$7:$J$24,8,0)</f>
        <v>#N/A</v>
      </c>
      <c r="AC17" s="82" t="e">
        <f>VLOOKUP(A17,Enforcements!$C$7:$E$24,3,0)</f>
        <v>#N/A</v>
      </c>
      <c r="AD17" s="83" t="str">
        <f t="shared" si="14"/>
        <v>0105-22</v>
      </c>
      <c r="AE17" s="75" t="str">
        <f t="shared" si="15"/>
        <v>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 &amp; 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</v>
      </c>
      <c r="AF17" s="75" t="str">
        <f t="shared" si="16"/>
        <v>"C:\Program Files (x86)\AstroGrep\AstroGrep.exe" /spath="C:\Users\stu\Documents\Analysis\2016-02-23 RTDC Observations" /stypes="*4020*20160722*" /stext=" 10:.+((prompt.+disp)|(slice.+state.+chan)|(ment ac)|(system.+state.+chan)|(\|lc)|(penalty)|(\[timeout))" /e /r /s</v>
      </c>
      <c r="AG17" s="1" t="str">
        <f t="shared" si="17"/>
        <v>EC</v>
      </c>
    </row>
    <row r="18" spans="1:33" s="1" customFormat="1" ht="16.5" customHeight="1" x14ac:dyDescent="0.25">
      <c r="A18" s="49" t="s">
        <v>422</v>
      </c>
      <c r="B18" s="7">
        <v>4037</v>
      </c>
      <c r="C18" s="26" t="s">
        <v>59</v>
      </c>
      <c r="D18" s="26" t="s">
        <v>423</v>
      </c>
      <c r="E18" s="16">
        <v>42573.214120370372</v>
      </c>
      <c r="F18" s="16">
        <v>42573.21502314815</v>
      </c>
      <c r="G18" s="7">
        <v>1</v>
      </c>
      <c r="H18" s="16" t="s">
        <v>115</v>
      </c>
      <c r="I18" s="16">
        <v>42573.242048611108</v>
      </c>
      <c r="J18" s="7">
        <v>1</v>
      </c>
      <c r="K18" s="26" t="str">
        <f t="shared" si="3"/>
        <v>4037/4038</v>
      </c>
      <c r="L18" s="26" t="str">
        <f>VLOOKUP(A18,'Trips&amp;Operators'!$C$1:$E$10000,3,FALSE)</f>
        <v>MALAVE</v>
      </c>
      <c r="M18" s="6">
        <f t="shared" si="4"/>
        <v>2.7025462957681157E-2</v>
      </c>
      <c r="N18" s="7">
        <f t="shared" si="5"/>
        <v>38.916666659060866</v>
      </c>
      <c r="O18" s="7"/>
      <c r="P18" s="7"/>
      <c r="Q18" s="27"/>
      <c r="R18" s="27"/>
      <c r="S18" s="45">
        <f t="shared" si="6"/>
        <v>1</v>
      </c>
      <c r="T18" s="69" t="str">
        <f t="shared" si="7"/>
        <v>Southbound</v>
      </c>
      <c r="U18" s="96">
        <f>COUNTIFS(Variables!$M$2:$M$19,IF(T18="NorthBound","&gt;=","&lt;=")&amp;Y18,Variables!$M$2:$M$19,IF(T18="NorthBound","&lt;=","&gt;=")&amp;Z18)</f>
        <v>12</v>
      </c>
      <c r="V1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04:08:20-0600',mode:absolute,to:'2016-07-22 06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" s="74" t="str">
        <f t="shared" si="9"/>
        <v>N</v>
      </c>
      <c r="X18" s="92">
        <f t="shared" si="10"/>
        <v>1</v>
      </c>
      <c r="Y18" s="89">
        <f t="shared" si="11"/>
        <v>23.275400000000001</v>
      </c>
      <c r="Z18" s="89">
        <f t="shared" si="12"/>
        <v>1.5599999999999999E-2</v>
      </c>
      <c r="AA18" s="89">
        <f t="shared" si="13"/>
        <v>23.259800000000002</v>
      </c>
      <c r="AB18" s="86" t="e">
        <f>VLOOKUP(A18,Enforcements!$C$7:$J$24,8,0)</f>
        <v>#N/A</v>
      </c>
      <c r="AC18" s="82" t="e">
        <f>VLOOKUP(A18,Enforcements!$C$7:$E$24,3,0)</f>
        <v>#N/A</v>
      </c>
      <c r="AD18" s="83" t="str">
        <f t="shared" si="14"/>
        <v>0106-22</v>
      </c>
      <c r="AE18" s="75" t="str">
        <f t="shared" si="15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18" s="75" t="str">
        <f t="shared" si="16"/>
        <v>"C:\Program Files (x86)\AstroGrep\AstroGrep.exe" /spath="C:\Users\stu\Documents\Analysis\2016-02-23 RTDC Observations" /stypes="*4037*20160722*" /stext=" 11:.+((prompt.+disp)|(slice.+state.+chan)|(ment ac)|(system.+state.+chan)|(\|lc)|(penalty)|(\[timeout))" /e /r /s</v>
      </c>
      <c r="AG18" s="1" t="str">
        <f t="shared" si="17"/>
        <v>EC</v>
      </c>
    </row>
    <row r="19" spans="1:33" s="1" customFormat="1" x14ac:dyDescent="0.25">
      <c r="A19" s="49" t="s">
        <v>424</v>
      </c>
      <c r="B19" s="7">
        <v>4042</v>
      </c>
      <c r="C19" s="26" t="s">
        <v>59</v>
      </c>
      <c r="D19" s="26" t="s">
        <v>425</v>
      </c>
      <c r="E19" s="16">
        <v>42573.182349537034</v>
      </c>
      <c r="F19" s="16">
        <v>42573.184513888889</v>
      </c>
      <c r="G19" s="7">
        <v>3</v>
      </c>
      <c r="H19" s="16" t="s">
        <v>426</v>
      </c>
      <c r="I19" s="16">
        <v>42573.212268518517</v>
      </c>
      <c r="J19" s="7">
        <v>0</v>
      </c>
      <c r="K19" s="26" t="str">
        <f t="shared" si="3"/>
        <v>4041/4042</v>
      </c>
      <c r="L19" s="26" t="str">
        <f>VLOOKUP(A19,'Trips&amp;Operators'!$C$1:$E$10000,3,FALSE)</f>
        <v>BRANNON</v>
      </c>
      <c r="M19" s="6">
        <f t="shared" si="4"/>
        <v>2.7754629627452232E-2</v>
      </c>
      <c r="N19" s="7">
        <f t="shared" si="5"/>
        <v>39.966666663531214</v>
      </c>
      <c r="O19" s="7"/>
      <c r="P19" s="7"/>
      <c r="Q19" s="27"/>
      <c r="R19" s="27"/>
      <c r="S19" s="45">
        <f t="shared" si="6"/>
        <v>1</v>
      </c>
      <c r="T19" s="69" t="str">
        <f t="shared" si="7"/>
        <v>NorthBound</v>
      </c>
      <c r="U19" s="96">
        <f>COUNTIFS(Variables!$M$2:$M$19,IF(T19="NorthBound","&gt;=","&lt;=")&amp;Y19,Variables!$M$2:$M$19,IF(T19="NorthBound","&lt;=","&gt;=")&amp;Z19)</f>
        <v>12</v>
      </c>
      <c r="V1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03:22:35-0600',mode:absolute,to:'2016-07-22 06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9" s="74" t="str">
        <f t="shared" si="9"/>
        <v>N</v>
      </c>
      <c r="X19" s="92">
        <f t="shared" si="10"/>
        <v>1</v>
      </c>
      <c r="Y19" s="89">
        <f t="shared" si="11"/>
        <v>3.3300000000000003E-2</v>
      </c>
      <c r="Z19" s="89">
        <f t="shared" si="12"/>
        <v>23.332100000000001</v>
      </c>
      <c r="AA19" s="89">
        <f t="shared" si="13"/>
        <v>23.2988</v>
      </c>
      <c r="AB19" s="86" t="e">
        <f>VLOOKUP(A19,Enforcements!$C$7:$J$24,8,0)</f>
        <v>#N/A</v>
      </c>
      <c r="AC19" s="82" t="e">
        <f>VLOOKUP(A19,Enforcements!$C$7:$E$24,3,0)</f>
        <v>#N/A</v>
      </c>
      <c r="AD19" s="83" t="str">
        <f t="shared" si="14"/>
        <v>0107-22</v>
      </c>
      <c r="AE19" s="75" t="str">
        <f t="shared" si="15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19" s="75" t="str">
        <f t="shared" si="16"/>
        <v>"C:\Program Files (x86)\AstroGrep\AstroGrep.exe" /spath="C:\Users\stu\Documents\Analysis\2016-02-23 RTDC Observations" /stypes="*4042*20160722*" /stext=" 11:.+((prompt.+disp)|(slice.+state.+chan)|(ment ac)|(system.+state.+chan)|(\|lc)|(penalty)|(\[timeout))" /e /r /s</v>
      </c>
      <c r="AG19" s="1" t="str">
        <f t="shared" si="17"/>
        <v>EC</v>
      </c>
    </row>
    <row r="20" spans="1:33" s="1" customFormat="1" x14ac:dyDescent="0.25">
      <c r="A20" s="49" t="s">
        <v>427</v>
      </c>
      <c r="B20" s="7">
        <v>4041</v>
      </c>
      <c r="C20" s="26" t="s">
        <v>59</v>
      </c>
      <c r="D20" s="26" t="s">
        <v>286</v>
      </c>
      <c r="E20" s="16">
        <v>42573.213958333334</v>
      </c>
      <c r="F20" s="16">
        <v>42573.214861111112</v>
      </c>
      <c r="G20" s="7">
        <v>1</v>
      </c>
      <c r="H20" s="16" t="s">
        <v>103</v>
      </c>
      <c r="I20" s="16">
        <v>42573.251481481479</v>
      </c>
      <c r="J20" s="7">
        <v>0</v>
      </c>
      <c r="K20" s="26" t="str">
        <f t="shared" si="3"/>
        <v>4041/4042</v>
      </c>
      <c r="L20" s="26" t="str">
        <f>VLOOKUP(A20,'Trips&amp;Operators'!$C$1:$E$10000,3,FALSE)</f>
        <v>BRANNON</v>
      </c>
      <c r="M20" s="6">
        <f t="shared" si="4"/>
        <v>3.662037036701804E-2</v>
      </c>
      <c r="N20" s="7">
        <f t="shared" si="5"/>
        <v>52.733333328505978</v>
      </c>
      <c r="O20" s="7"/>
      <c r="P20" s="7"/>
      <c r="Q20" s="27"/>
      <c r="R20" s="27"/>
      <c r="S20" s="45">
        <f t="shared" si="6"/>
        <v>1</v>
      </c>
      <c r="T20" s="69" t="str">
        <f t="shared" si="7"/>
        <v>Southbound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04:08:06-0600',mode:absolute,to:'2016-07-22 07:02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0" s="74" t="str">
        <f t="shared" si="9"/>
        <v>N</v>
      </c>
      <c r="X20" s="92">
        <f t="shared" si="10"/>
        <v>1</v>
      </c>
      <c r="Y20" s="89">
        <f t="shared" si="11"/>
        <v>23.300799999999999</v>
      </c>
      <c r="Z20" s="89">
        <f t="shared" si="12"/>
        <v>1.43E-2</v>
      </c>
      <c r="AA20" s="89">
        <f t="shared" si="13"/>
        <v>23.2865</v>
      </c>
      <c r="AB20" s="86" t="e">
        <f>VLOOKUP(A20,Enforcements!$C$7:$J$24,8,0)</f>
        <v>#N/A</v>
      </c>
      <c r="AC20" s="82" t="e">
        <f>VLOOKUP(A20,Enforcements!$C$7:$E$24,3,0)</f>
        <v>#N/A</v>
      </c>
      <c r="AD20" s="83" t="str">
        <f t="shared" si="14"/>
        <v>0108-22</v>
      </c>
      <c r="AE20" s="75" t="str">
        <f t="shared" si="15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20" s="75" t="str">
        <f t="shared" si="16"/>
        <v>"C:\Program Files (x86)\AstroGrep\AstroGrep.exe" /spath="C:\Users\stu\Documents\Analysis\2016-02-23 RTDC Observations" /stypes="*4041*20160722*" /stext=" 12:.+((prompt.+disp)|(slice.+state.+chan)|(ment ac)|(system.+state.+chan)|(\|lc)|(penalty)|(\[timeout))" /e /r /s</v>
      </c>
      <c r="AG20" s="1" t="str">
        <f t="shared" si="17"/>
        <v>EC</v>
      </c>
    </row>
    <row r="21" spans="1:33" s="1" customFormat="1" x14ac:dyDescent="0.25">
      <c r="A21" s="49" t="s">
        <v>428</v>
      </c>
      <c r="B21" s="7">
        <v>4044</v>
      </c>
      <c r="C21" s="26" t="s">
        <v>59</v>
      </c>
      <c r="D21" s="26" t="s">
        <v>429</v>
      </c>
      <c r="E21" s="16">
        <v>42573.189513888887</v>
      </c>
      <c r="F21" s="16">
        <v>42573.190578703703</v>
      </c>
      <c r="G21" s="7">
        <v>1</v>
      </c>
      <c r="H21" s="16" t="s">
        <v>238</v>
      </c>
      <c r="I21" s="16">
        <v>42573.222893518519</v>
      </c>
      <c r="J21" s="7">
        <v>0</v>
      </c>
      <c r="K21" s="26" t="str">
        <f t="shared" si="3"/>
        <v>4043/4044</v>
      </c>
      <c r="L21" s="26" t="str">
        <f>VLOOKUP(A21,'Trips&amp;Operators'!$C$1:$E$10000,3,FALSE)</f>
        <v>GEBRETEKLE</v>
      </c>
      <c r="M21" s="6">
        <f t="shared" si="4"/>
        <v>3.2314814816345461E-2</v>
      </c>
      <c r="N21" s="7">
        <f t="shared" si="5"/>
        <v>46.533333335537463</v>
      </c>
      <c r="O21" s="7"/>
      <c r="P21" s="7"/>
      <c r="Q21" s="27"/>
      <c r="R21" s="27"/>
      <c r="S21" s="45">
        <f t="shared" si="6"/>
        <v>1</v>
      </c>
      <c r="T21" s="69" t="str">
        <f t="shared" si="7"/>
        <v>NorthBound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03:32:54-0600',mode:absolute,to:'2016-07-22 06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1" s="74" t="str">
        <f t="shared" si="9"/>
        <v>N</v>
      </c>
      <c r="X21" s="92">
        <f t="shared" si="10"/>
        <v>1</v>
      </c>
      <c r="Y21" s="89">
        <f t="shared" si="11"/>
        <v>4.4400000000000002E-2</v>
      </c>
      <c r="Z21" s="89">
        <f t="shared" si="12"/>
        <v>23.328600000000002</v>
      </c>
      <c r="AA21" s="89">
        <f t="shared" si="13"/>
        <v>23.284200000000002</v>
      </c>
      <c r="AB21" s="86" t="e">
        <f>VLOOKUP(A21,Enforcements!$C$7:$J$24,8,0)</f>
        <v>#N/A</v>
      </c>
      <c r="AC21" s="82" t="e">
        <f>VLOOKUP(A21,Enforcements!$C$7:$E$24,3,0)</f>
        <v>#N/A</v>
      </c>
      <c r="AD21" s="83" t="str">
        <f t="shared" si="14"/>
        <v>0109-22</v>
      </c>
      <c r="AE21" s="75" t="str">
        <f t="shared" si="15"/>
        <v>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 &amp; 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</v>
      </c>
      <c r="AF21" s="75" t="str">
        <f t="shared" si="16"/>
        <v>"C:\Program Files (x86)\AstroGrep\AstroGrep.exe" /spath="C:\Users\stu\Documents\Analysis\2016-02-23 RTDC Observations" /stypes="*4044*20160722*" /stext=" 11:.+((prompt.+disp)|(slice.+state.+chan)|(ment ac)|(system.+state.+chan)|(\|lc)|(penalty)|(\[timeout))" /e /r /s</v>
      </c>
      <c r="AG21" s="1" t="str">
        <f t="shared" si="17"/>
        <v>EC</v>
      </c>
    </row>
    <row r="22" spans="1:33" s="39" customFormat="1" x14ac:dyDescent="0.25">
      <c r="A22" s="49" t="s">
        <v>430</v>
      </c>
      <c r="B22" s="7">
        <v>4043</v>
      </c>
      <c r="C22" s="26" t="s">
        <v>59</v>
      </c>
      <c r="D22" s="26" t="s">
        <v>431</v>
      </c>
      <c r="E22" s="16">
        <v>42573.233402777776</v>
      </c>
      <c r="F22" s="16">
        <v>42573.235046296293</v>
      </c>
      <c r="G22" s="7">
        <v>2</v>
      </c>
      <c r="H22" s="16" t="s">
        <v>305</v>
      </c>
      <c r="I22" s="16">
        <v>42573.262175925927</v>
      </c>
      <c r="J22" s="7">
        <v>0</v>
      </c>
      <c r="K22" s="26" t="str">
        <f t="shared" si="3"/>
        <v>4043/4044</v>
      </c>
      <c r="L22" s="26" t="str">
        <f>VLOOKUP(A22,'Trips&amp;Operators'!$C$1:$E$10000,3,FALSE)</f>
        <v>GEBRETEKLE</v>
      </c>
      <c r="M22" s="6">
        <f t="shared" si="4"/>
        <v>2.7129629634146113E-2</v>
      </c>
      <c r="N22" s="7">
        <f t="shared" si="5"/>
        <v>39.066666673170403</v>
      </c>
      <c r="O22" s="7"/>
      <c r="P22" s="7"/>
      <c r="Q22" s="27"/>
      <c r="R22" s="27"/>
      <c r="S22" s="45">
        <f t="shared" si="6"/>
        <v>1</v>
      </c>
      <c r="T22" s="69" t="str">
        <f t="shared" si="7"/>
        <v>Southbound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04:36:06-0600',mode:absolute,to:'2016-07-22 07:17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2" s="74" t="str">
        <f t="shared" si="9"/>
        <v>N</v>
      </c>
      <c r="X22" s="92">
        <f t="shared" si="10"/>
        <v>1</v>
      </c>
      <c r="Y22" s="89">
        <f t="shared" si="11"/>
        <v>23.296099999999999</v>
      </c>
      <c r="Z22" s="89">
        <f t="shared" si="12"/>
        <v>1.72E-2</v>
      </c>
      <c r="AA22" s="89">
        <f t="shared" si="13"/>
        <v>23.2789</v>
      </c>
      <c r="AB22" s="86" t="e">
        <f>VLOOKUP(A22,Enforcements!$C$7:$J$24,8,0)</f>
        <v>#N/A</v>
      </c>
      <c r="AC22" s="82" t="e">
        <f>VLOOKUP(A22,Enforcements!$C$7:$E$24,3,0)</f>
        <v>#N/A</v>
      </c>
      <c r="AD22" s="83" t="str">
        <f t="shared" si="14"/>
        <v>0110-22</v>
      </c>
      <c r="AE22" s="75" t="str">
        <f t="shared" si="15"/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AF22" s="75" t="str">
        <f t="shared" si="16"/>
        <v>"C:\Program Files (x86)\AstroGrep\AstroGrep.exe" /spath="C:\Users\stu\Documents\Analysis\2016-02-23 RTDC Observations" /stypes="*4043*20160722*" /stext=" 12:.+((prompt.+disp)|(slice.+state.+chan)|(ment ac)|(system.+state.+chan)|(\|lc)|(penalty)|(\[timeout))" /e /r /s</v>
      </c>
      <c r="AG22" s="1" t="str">
        <f t="shared" si="17"/>
        <v>EC</v>
      </c>
    </row>
    <row r="23" spans="1:33" s="1" customFormat="1" x14ac:dyDescent="0.25">
      <c r="A23" s="49" t="s">
        <v>432</v>
      </c>
      <c r="B23" s="7">
        <v>4027</v>
      </c>
      <c r="C23" s="26" t="s">
        <v>59</v>
      </c>
      <c r="D23" s="26" t="s">
        <v>433</v>
      </c>
      <c r="E23" s="16">
        <v>42573.205208333333</v>
      </c>
      <c r="F23" s="16">
        <v>42573.206400462965</v>
      </c>
      <c r="G23" s="7">
        <v>1</v>
      </c>
      <c r="H23" s="16" t="s">
        <v>159</v>
      </c>
      <c r="I23" s="16">
        <v>42573.233888888892</v>
      </c>
      <c r="J23" s="7">
        <v>0</v>
      </c>
      <c r="K23" s="26" t="str">
        <f t="shared" si="3"/>
        <v>4027/4028</v>
      </c>
      <c r="L23" s="26" t="str">
        <f>VLOOKUP(A23,'Trips&amp;Operators'!$C$1:$E$10000,3,FALSE)</f>
        <v>SPECTOR</v>
      </c>
      <c r="M23" s="6">
        <f t="shared" si="4"/>
        <v>2.7488425927003846E-2</v>
      </c>
      <c r="N23" s="7">
        <f t="shared" si="5"/>
        <v>39.583333334885538</v>
      </c>
      <c r="O23" s="7"/>
      <c r="P23" s="7"/>
      <c r="Q23" s="27"/>
      <c r="R23" s="27"/>
      <c r="S23" s="45">
        <f t="shared" si="6"/>
        <v>1</v>
      </c>
      <c r="T23" s="69" t="str">
        <f t="shared" si="7"/>
        <v>NorthBound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03:55:30-0600',mode:absolute,to:'2016-07-22 06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74" t="str">
        <f t="shared" si="9"/>
        <v>N</v>
      </c>
      <c r="X23" s="92">
        <f t="shared" si="10"/>
        <v>1</v>
      </c>
      <c r="Y23" s="89">
        <f t="shared" si="11"/>
        <v>7.6499999999999999E-2</v>
      </c>
      <c r="Z23" s="89">
        <f t="shared" si="12"/>
        <v>23.331199999999999</v>
      </c>
      <c r="AA23" s="89">
        <f t="shared" si="13"/>
        <v>23.2547</v>
      </c>
      <c r="AB23" s="86" t="e">
        <f>VLOOKUP(A23,Enforcements!$C$7:$J$24,8,0)</f>
        <v>#N/A</v>
      </c>
      <c r="AC23" s="82" t="e">
        <f>VLOOKUP(A23,Enforcements!$C$7:$E$24,3,0)</f>
        <v>#N/A</v>
      </c>
      <c r="AD23" s="83" t="str">
        <f t="shared" si="14"/>
        <v>0111-22</v>
      </c>
      <c r="AE23" s="75" t="str">
        <f t="shared" si="15"/>
        <v>aws s3 cp s3://rtdc.mdm.uploadarchive/RTDC4027/2016-07-22/ "C:\Users\stu\Documents\Analysis\2016-02-23 RTDC Observations"\RTDC4027\2016-07-22 --recursive &amp; "C:\Users\stu\Documents\GitHub\mrs-test-scripts\Headless Mode &amp; Sideloading\WalkAndUnGZ.bat" "C:\Users\stu\Documents\Analysis\2016-02-23 RTDC Observations"\RTDC4027\2016-07-22 &amp; aws s3 cp s3://rtdc.mdm.uploadarchive/RTDC4027/2016-07-23/ "C:\Users\stu\Documents\Analysis\2016-02-23 RTDC Observations"\RTDC4027\2016-07-23 --recursive &amp; "C:\Users\stu\Documents\GitHub\mrs-test-scripts\Headless Mode &amp; Sideloading\WalkAndUnGZ.bat" "C:\Users\stu\Documents\Analysis\2016-02-23 RTDC Observations"\RTDC4027\2016-07-23</v>
      </c>
      <c r="AF23" s="75" t="str">
        <f t="shared" si="16"/>
        <v>"C:\Program Files (x86)\AstroGrep\AstroGrep.exe" /spath="C:\Users\stu\Documents\Analysis\2016-02-23 RTDC Observations" /stypes="*4027*20160722*" /stext=" 11:.+((prompt.+disp)|(slice.+state.+chan)|(ment ac)|(system.+state.+chan)|(\|lc)|(penalty)|(\[timeout))" /e /r /s</v>
      </c>
      <c r="AG23" s="1" t="str">
        <f t="shared" si="17"/>
        <v>EC</v>
      </c>
    </row>
    <row r="24" spans="1:33" s="1" customFormat="1" ht="14.25" customHeight="1" x14ac:dyDescent="0.25">
      <c r="A24" s="49" t="s">
        <v>434</v>
      </c>
      <c r="B24" s="7">
        <v>4028</v>
      </c>
      <c r="C24" s="26" t="s">
        <v>59</v>
      </c>
      <c r="D24" s="26" t="s">
        <v>435</v>
      </c>
      <c r="E24" s="16">
        <v>42573.243043981478</v>
      </c>
      <c r="F24" s="16">
        <v>42573.244699074072</v>
      </c>
      <c r="G24" s="7">
        <v>2</v>
      </c>
      <c r="H24" s="16" t="s">
        <v>150</v>
      </c>
      <c r="I24" s="16">
        <v>42573.273113425923</v>
      </c>
      <c r="J24" s="7">
        <v>0</v>
      </c>
      <c r="K24" s="26" t="str">
        <f t="shared" si="3"/>
        <v>4027/4028</v>
      </c>
      <c r="L24" s="26" t="str">
        <f>VLOOKUP(A24,'Trips&amp;Operators'!$C$1:$E$10000,3,FALSE)</f>
        <v>SPECTOR</v>
      </c>
      <c r="M24" s="6">
        <f t="shared" si="4"/>
        <v>2.8414351851097308E-2</v>
      </c>
      <c r="N24" s="7">
        <f t="shared" si="5"/>
        <v>40.916666665580124</v>
      </c>
      <c r="O24" s="7"/>
      <c r="P24" s="7"/>
      <c r="Q24" s="27"/>
      <c r="R24" s="27"/>
      <c r="S24" s="45">
        <f t="shared" si="6"/>
        <v>1</v>
      </c>
      <c r="T24" s="69" t="str">
        <f t="shared" si="7"/>
        <v>Southbound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04:49:59-0600',mode:absolute,to:'2016-07-22 07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74" t="str">
        <f t="shared" si="9"/>
        <v>N</v>
      </c>
      <c r="X24" s="92">
        <f t="shared" si="10"/>
        <v>1</v>
      </c>
      <c r="Y24" s="89">
        <f t="shared" si="11"/>
        <v>23.3002</v>
      </c>
      <c r="Z24" s="89">
        <f t="shared" si="12"/>
        <v>1.54E-2</v>
      </c>
      <c r="AA24" s="89">
        <f t="shared" si="13"/>
        <v>23.284800000000001</v>
      </c>
      <c r="AB24" s="86" t="e">
        <f>VLOOKUP(A24,Enforcements!$C$7:$J$24,8,0)</f>
        <v>#N/A</v>
      </c>
      <c r="AC24" s="82" t="e">
        <f>VLOOKUP(A24,Enforcements!$C$7:$E$24,3,0)</f>
        <v>#N/A</v>
      </c>
      <c r="AD24" s="83" t="str">
        <f t="shared" si="14"/>
        <v>0112-22</v>
      </c>
      <c r="AE24" s="75" t="str">
        <f t="shared" si="15"/>
        <v>aws s3 cp s3://rtdc.mdm.uploadarchive/RTDC4028/2016-07-22/ "C:\Users\stu\Documents\Analysis\2016-02-23 RTDC Observations"\RTDC4028\2016-07-22 --recursive &amp; "C:\Users\stu\Documents\GitHub\mrs-test-scripts\Headless Mode &amp; Sideloading\WalkAndUnGZ.bat" "C:\Users\stu\Documents\Analysis\2016-02-23 RTDC Observations"\RTDC4028\2016-07-22 &amp; aws s3 cp s3://rtdc.mdm.uploadarchive/RTDC4028/2016-07-23/ "C:\Users\stu\Documents\Analysis\2016-02-23 RTDC Observations"\RTDC4028\2016-07-23 --recursive &amp; "C:\Users\stu\Documents\GitHub\mrs-test-scripts\Headless Mode &amp; Sideloading\WalkAndUnGZ.bat" "C:\Users\stu\Documents\Analysis\2016-02-23 RTDC Observations"\RTDC4028\2016-07-23</v>
      </c>
      <c r="AF24" s="75" t="str">
        <f t="shared" si="16"/>
        <v>"C:\Program Files (x86)\AstroGrep\AstroGrep.exe" /spath="C:\Users\stu\Documents\Analysis\2016-02-23 RTDC Observations" /stypes="*4028*20160722*" /stext=" 12:.+((prompt.+disp)|(slice.+state.+chan)|(ment ac)|(system.+state.+chan)|(\|lc)|(penalty)|(\[timeout))" /e /r /s</v>
      </c>
      <c r="AG24" s="1" t="str">
        <f t="shared" si="17"/>
        <v>EC</v>
      </c>
    </row>
    <row r="25" spans="1:33" s="1" customFormat="1" x14ac:dyDescent="0.25">
      <c r="A25" s="49" t="s">
        <v>436</v>
      </c>
      <c r="B25" s="7">
        <v>4014</v>
      </c>
      <c r="C25" s="26" t="s">
        <v>59</v>
      </c>
      <c r="D25" s="26" t="s">
        <v>429</v>
      </c>
      <c r="E25" s="16">
        <v>42573.211319444446</v>
      </c>
      <c r="F25" s="16">
        <v>42573.212488425925</v>
      </c>
      <c r="G25" s="7">
        <v>1</v>
      </c>
      <c r="H25" s="16" t="s">
        <v>160</v>
      </c>
      <c r="I25" s="16">
        <v>42573.244467592594</v>
      </c>
      <c r="J25" s="7">
        <v>1</v>
      </c>
      <c r="K25" s="26" t="str">
        <f t="shared" si="3"/>
        <v>4013/4014</v>
      </c>
      <c r="L25" s="26" t="str">
        <f>VLOOKUP(A25,'Trips&amp;Operators'!$C$1:$E$10000,3,FALSE)</f>
        <v>MAELZER</v>
      </c>
      <c r="M25" s="6">
        <f t="shared" si="4"/>
        <v>3.1979166669771075E-2</v>
      </c>
      <c r="N25" s="7">
        <f t="shared" si="5"/>
        <v>46.050000004470348</v>
      </c>
      <c r="O25" s="7"/>
      <c r="P25" s="7"/>
      <c r="Q25" s="27"/>
      <c r="R25" s="27"/>
      <c r="S25" s="45">
        <f t="shared" si="6"/>
        <v>1</v>
      </c>
      <c r="T25" s="69" t="str">
        <f t="shared" si="7"/>
        <v>NorthBound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04:04:18-0600',mode:absolute,to:'2016-07-22 06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5" s="74" t="str">
        <f t="shared" si="9"/>
        <v>N</v>
      </c>
      <c r="X25" s="92">
        <f t="shared" si="10"/>
        <v>1</v>
      </c>
      <c r="Y25" s="89">
        <f t="shared" si="11"/>
        <v>4.4400000000000002E-2</v>
      </c>
      <c r="Z25" s="89">
        <f t="shared" si="12"/>
        <v>23.330500000000001</v>
      </c>
      <c r="AA25" s="89">
        <f t="shared" si="13"/>
        <v>23.286100000000001</v>
      </c>
      <c r="AB25" s="86">
        <f>VLOOKUP(A25,Enforcements!$C$7:$J$24,8,0)</f>
        <v>20338</v>
      </c>
      <c r="AC25" s="82" t="str">
        <f>VLOOKUP(A25,Enforcements!$C$7:$E$24,3,0)</f>
        <v>PERMANENT SPEED RESTRICTION</v>
      </c>
      <c r="AD25" s="83" t="str">
        <f t="shared" si="14"/>
        <v>0113-22</v>
      </c>
      <c r="AE25" s="75" t="str">
        <f t="shared" si="15"/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AF25" s="75" t="str">
        <f t="shared" si="16"/>
        <v>"C:\Program Files (x86)\AstroGrep\AstroGrep.exe" /spath="C:\Users\stu\Documents\Analysis\2016-02-23 RTDC Observations" /stypes="*4014*20160722*" /stext=" 11:.+((prompt.+disp)|(slice.+state.+chan)|(ment ac)|(system.+state.+chan)|(\|lc)|(penalty)|(\[timeout))" /e /r /s</v>
      </c>
      <c r="AG25" s="1" t="str">
        <f t="shared" si="17"/>
        <v>EC</v>
      </c>
    </row>
    <row r="26" spans="1:33" s="1" customFormat="1" x14ac:dyDescent="0.25">
      <c r="A26" s="49" t="s">
        <v>437</v>
      </c>
      <c r="B26" s="7">
        <v>4013</v>
      </c>
      <c r="C26" s="26" t="s">
        <v>59</v>
      </c>
      <c r="D26" s="26" t="s">
        <v>67</v>
      </c>
      <c r="E26" s="16">
        <v>42573.254062499997</v>
      </c>
      <c r="F26" s="16">
        <v>42573.255752314813</v>
      </c>
      <c r="G26" s="7">
        <v>2</v>
      </c>
      <c r="H26" s="16" t="s">
        <v>248</v>
      </c>
      <c r="I26" s="16">
        <v>42573.283252314817</v>
      </c>
      <c r="J26" s="7">
        <v>1</v>
      </c>
      <c r="K26" s="26" t="str">
        <f t="shared" si="3"/>
        <v>4013/4014</v>
      </c>
      <c r="L26" s="26" t="str">
        <f>VLOOKUP(A26,'Trips&amp;Operators'!$C$1:$E$10000,3,FALSE)</f>
        <v>MAELZER</v>
      </c>
      <c r="M26" s="6">
        <f t="shared" si="4"/>
        <v>2.7500000003783498E-2</v>
      </c>
      <c r="N26" s="7">
        <f t="shared" si="5"/>
        <v>39.600000005448237</v>
      </c>
      <c r="O26" s="7"/>
      <c r="P26" s="7"/>
      <c r="Q26" s="27"/>
      <c r="R26" s="27"/>
      <c r="S26" s="45">
        <f t="shared" si="6"/>
        <v>1</v>
      </c>
      <c r="T26" s="69" t="str">
        <f t="shared" si="7"/>
        <v>Southbound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05:05:51-0600',mode:absolute,to:'2016-07-22 07:47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6" s="74" t="str">
        <f t="shared" si="9"/>
        <v>N</v>
      </c>
      <c r="X26" s="92">
        <f t="shared" si="10"/>
        <v>1</v>
      </c>
      <c r="Y26" s="89">
        <f t="shared" si="11"/>
        <v>23.297699999999999</v>
      </c>
      <c r="Z26" s="89">
        <f t="shared" si="12"/>
        <v>1.6500000000000001E-2</v>
      </c>
      <c r="AA26" s="89">
        <f t="shared" si="13"/>
        <v>23.281199999999998</v>
      </c>
      <c r="AB26" s="86" t="e">
        <f>VLOOKUP(A26,Enforcements!$C$7:$J$24,8,0)</f>
        <v>#N/A</v>
      </c>
      <c r="AC26" s="82" t="e">
        <f>VLOOKUP(A26,Enforcements!$C$7:$E$24,3,0)</f>
        <v>#N/A</v>
      </c>
      <c r="AD26" s="83" t="str">
        <f t="shared" si="14"/>
        <v>0114-22</v>
      </c>
      <c r="AE26" s="75" t="str">
        <f t="shared" si="15"/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AF26" s="75" t="str">
        <f t="shared" si="16"/>
        <v>"C:\Program Files (x86)\AstroGrep\AstroGrep.exe" /spath="C:\Users\stu\Documents\Analysis\2016-02-23 RTDC Observations" /stypes="*4013*20160722*" /stext=" 12:.+((prompt.+disp)|(slice.+state.+chan)|(ment ac)|(system.+state.+chan)|(\|lc)|(penalty)|(\[timeout))" /e /r /s</v>
      </c>
      <c r="AG26" s="1" t="str">
        <f t="shared" si="17"/>
        <v>EC</v>
      </c>
    </row>
    <row r="27" spans="1:33" s="1" customFormat="1" x14ac:dyDescent="0.25">
      <c r="A27" s="49" t="s">
        <v>438</v>
      </c>
      <c r="B27" s="7">
        <v>4040</v>
      </c>
      <c r="C27" s="26" t="s">
        <v>59</v>
      </c>
      <c r="D27" s="26" t="s">
        <v>439</v>
      </c>
      <c r="E27" s="16">
        <v>42573.226168981484</v>
      </c>
      <c r="F27" s="16">
        <v>42573.227280092593</v>
      </c>
      <c r="G27" s="7">
        <v>1</v>
      </c>
      <c r="H27" s="16" t="s">
        <v>159</v>
      </c>
      <c r="I27" s="16">
        <v>42573.253969907404</v>
      </c>
      <c r="J27" s="7">
        <v>0</v>
      </c>
      <c r="K27" s="26" t="str">
        <f t="shared" si="3"/>
        <v>4039/4040</v>
      </c>
      <c r="L27" s="26" t="str">
        <f>VLOOKUP(A27,'Trips&amp;Operators'!$C$1:$E$10000,3,FALSE)</f>
        <v>ROCHA</v>
      </c>
      <c r="M27" s="6">
        <f t="shared" si="4"/>
        <v>2.6689814811106771E-2</v>
      </c>
      <c r="N27" s="7">
        <f t="shared" si="5"/>
        <v>38.433333327993751</v>
      </c>
      <c r="O27" s="7"/>
      <c r="P27" s="7"/>
      <c r="Q27" s="27"/>
      <c r="R27" s="27"/>
      <c r="S27" s="45">
        <f t="shared" si="6"/>
        <v>1</v>
      </c>
      <c r="T27" s="69" t="str">
        <f t="shared" si="7"/>
        <v>NorthBound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04:25:41-0600',mode:absolute,to:'2016-07-22 07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7" s="74" t="str">
        <f t="shared" si="9"/>
        <v>N</v>
      </c>
      <c r="X27" s="92">
        <f t="shared" si="10"/>
        <v>1</v>
      </c>
      <c r="Y27" s="89">
        <f t="shared" si="11"/>
        <v>7.3200000000000001E-2</v>
      </c>
      <c r="Z27" s="89">
        <f t="shared" si="12"/>
        <v>23.331199999999999</v>
      </c>
      <c r="AA27" s="89">
        <f t="shared" si="13"/>
        <v>23.257999999999999</v>
      </c>
      <c r="AB27" s="86" t="e">
        <f>VLOOKUP(A27,Enforcements!$C$7:$J$24,8,0)</f>
        <v>#N/A</v>
      </c>
      <c r="AC27" s="82" t="e">
        <f>VLOOKUP(A27,Enforcements!$C$7:$E$24,3,0)</f>
        <v>#N/A</v>
      </c>
      <c r="AD27" s="83" t="str">
        <f t="shared" si="14"/>
        <v>0115-22</v>
      </c>
      <c r="AE27" s="75" t="str">
        <f t="shared" si="15"/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AF27" s="75" t="str">
        <f t="shared" si="16"/>
        <v>"C:\Program Files (x86)\AstroGrep\AstroGrep.exe" /spath="C:\Users\stu\Documents\Analysis\2016-02-23 RTDC Observations" /stypes="*4040*20160722*" /stext=" 12:.+((prompt.+disp)|(slice.+state.+chan)|(ment ac)|(system.+state.+chan)|(\|lc)|(penalty)|(\[timeout))" /e /r /s</v>
      </c>
      <c r="AG27" s="1" t="str">
        <f t="shared" si="17"/>
        <v>EC</v>
      </c>
    </row>
    <row r="28" spans="1:33" s="1" customFormat="1" x14ac:dyDescent="0.25">
      <c r="A28" s="49" t="s">
        <v>440</v>
      </c>
      <c r="B28" s="7">
        <v>4039</v>
      </c>
      <c r="C28" s="26" t="s">
        <v>59</v>
      </c>
      <c r="D28" s="26" t="s">
        <v>259</v>
      </c>
      <c r="E28" s="16">
        <v>42573.267245370371</v>
      </c>
      <c r="F28" s="16">
        <v>42573.267951388887</v>
      </c>
      <c r="G28" s="7">
        <v>1</v>
      </c>
      <c r="H28" s="16" t="s">
        <v>441</v>
      </c>
      <c r="I28" s="16">
        <v>42573.293506944443</v>
      </c>
      <c r="J28" s="7">
        <v>2</v>
      </c>
      <c r="K28" s="26" t="str">
        <f t="shared" si="3"/>
        <v>4039/4040</v>
      </c>
      <c r="L28" s="26" t="str">
        <f>VLOOKUP(A28,'Trips&amp;Operators'!$C$1:$E$10000,3,FALSE)</f>
        <v>ROCHA</v>
      </c>
      <c r="M28" s="6">
        <f t="shared" si="4"/>
        <v>2.5555555555911269E-2</v>
      </c>
      <c r="N28" s="7">
        <f t="shared" si="5"/>
        <v>36.800000000512227</v>
      </c>
      <c r="O28" s="7"/>
      <c r="P28" s="7"/>
      <c r="Q28" s="27"/>
      <c r="R28" s="27"/>
      <c r="S28" s="45">
        <f t="shared" si="6"/>
        <v>1</v>
      </c>
      <c r="T28" s="69" t="str">
        <f t="shared" si="7"/>
        <v>Southbound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05:24:50-0600',mode:absolute,to:'2016-07-22 08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8" s="74" t="str">
        <f t="shared" si="9"/>
        <v>N</v>
      </c>
      <c r="X28" s="92">
        <f t="shared" si="10"/>
        <v>1</v>
      </c>
      <c r="Y28" s="89">
        <f t="shared" si="11"/>
        <v>23.299099999999999</v>
      </c>
      <c r="Z28" s="89">
        <f t="shared" si="12"/>
        <v>0.1188</v>
      </c>
      <c r="AA28" s="89">
        <f t="shared" si="13"/>
        <v>23.180299999999999</v>
      </c>
      <c r="AB28" s="86">
        <f>VLOOKUP(A28,Enforcements!$C$7:$J$24,8,0)</f>
        <v>126678</v>
      </c>
      <c r="AC28" s="82" t="str">
        <f>VLOOKUP(A28,Enforcements!$C$7:$E$24,3,0)</f>
        <v>SPEED RESTRICTION</v>
      </c>
      <c r="AD28" s="83" t="str">
        <f t="shared" si="14"/>
        <v>0116-22</v>
      </c>
      <c r="AE28" s="75" t="str">
        <f t="shared" si="15"/>
        <v>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 &amp; 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</v>
      </c>
      <c r="AF28" s="75" t="str">
        <f t="shared" si="16"/>
        <v>"C:\Program Files (x86)\AstroGrep\AstroGrep.exe" /spath="C:\Users\stu\Documents\Analysis\2016-02-23 RTDC Observations" /stypes="*4039*20160722*" /stext=" 13:.+((prompt.+disp)|(slice.+state.+chan)|(ment ac)|(system.+state.+chan)|(\|lc)|(penalty)|(\[timeout))" /e /r /s</v>
      </c>
      <c r="AG28" s="1" t="str">
        <f t="shared" si="17"/>
        <v>EC</v>
      </c>
    </row>
    <row r="29" spans="1:33" s="1" customFormat="1" x14ac:dyDescent="0.25">
      <c r="A29" s="49" t="s">
        <v>442</v>
      </c>
      <c r="B29" s="7">
        <v>4018</v>
      </c>
      <c r="C29" s="26" t="s">
        <v>59</v>
      </c>
      <c r="D29" s="26" t="s">
        <v>443</v>
      </c>
      <c r="E29" s="16">
        <v>42573.227037037039</v>
      </c>
      <c r="F29" s="16">
        <v>42573.228414351855</v>
      </c>
      <c r="G29" s="7">
        <v>1</v>
      </c>
      <c r="H29" s="16" t="s">
        <v>181</v>
      </c>
      <c r="I29" s="16">
        <v>42573.264340277776</v>
      </c>
      <c r="J29" s="7">
        <v>0</v>
      </c>
      <c r="K29" s="26" t="str">
        <f t="shared" si="3"/>
        <v>4017/4018</v>
      </c>
      <c r="L29" s="26" t="str">
        <f>VLOOKUP(A29,'Trips&amp;Operators'!$C$1:$E$10000,3,FALSE)</f>
        <v>NELSON</v>
      </c>
      <c r="M29" s="6">
        <f t="shared" si="4"/>
        <v>3.5925925920309965E-2</v>
      </c>
      <c r="N29" s="7">
        <f t="shared" si="5"/>
        <v>51.733333325246349</v>
      </c>
      <c r="O29" s="7"/>
      <c r="P29" s="7"/>
      <c r="Q29" s="27"/>
      <c r="R29" s="27"/>
      <c r="S29" s="45">
        <f t="shared" si="6"/>
        <v>1</v>
      </c>
      <c r="T29" s="69" t="str">
        <f t="shared" si="7"/>
        <v>NorthBound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04:26:56-0600',mode:absolute,to:'2016-07-22 07:20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9" s="74" t="str">
        <f t="shared" si="9"/>
        <v>N</v>
      </c>
      <c r="X29" s="92">
        <f t="shared" si="10"/>
        <v>1</v>
      </c>
      <c r="Y29" s="89">
        <f t="shared" si="11"/>
        <v>4.1799999999999997E-2</v>
      </c>
      <c r="Z29" s="89">
        <f t="shared" si="12"/>
        <v>23.329499999999999</v>
      </c>
      <c r="AA29" s="89">
        <f t="shared" si="13"/>
        <v>23.287700000000001</v>
      </c>
      <c r="AB29" s="86" t="e">
        <f>VLOOKUP(A29,Enforcements!$C$7:$J$24,8,0)</f>
        <v>#N/A</v>
      </c>
      <c r="AC29" s="82" t="e">
        <f>VLOOKUP(A29,Enforcements!$C$7:$E$24,3,0)</f>
        <v>#N/A</v>
      </c>
      <c r="AD29" s="83" t="str">
        <f t="shared" si="14"/>
        <v>0117-22</v>
      </c>
      <c r="AE29" s="75" t="str">
        <f t="shared" si="15"/>
        <v>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 &amp; 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</v>
      </c>
      <c r="AF29" s="75" t="str">
        <f t="shared" si="16"/>
        <v>"C:\Program Files (x86)\AstroGrep\AstroGrep.exe" /spath="C:\Users\stu\Documents\Analysis\2016-02-23 RTDC Observations" /stypes="*4018*20160722*" /stext=" 12:.+((prompt.+disp)|(slice.+state.+chan)|(ment ac)|(system.+state.+chan)|(\|lc)|(penalty)|(\[timeout))" /e /r /s</v>
      </c>
      <c r="AG29" s="1" t="str">
        <f t="shared" si="17"/>
        <v>EC</v>
      </c>
    </row>
    <row r="30" spans="1:33" s="1" customFormat="1" x14ac:dyDescent="0.25">
      <c r="A30" s="49" t="s">
        <v>442</v>
      </c>
      <c r="B30" s="7">
        <v>4018</v>
      </c>
      <c r="C30" s="26" t="s">
        <v>59</v>
      </c>
      <c r="D30" s="26" t="s">
        <v>264</v>
      </c>
      <c r="E30" s="16">
        <v>42573.235891203702</v>
      </c>
      <c r="F30" s="16">
        <v>42573.236805555556</v>
      </c>
      <c r="G30" s="7">
        <v>1</v>
      </c>
      <c r="H30" s="16" t="s">
        <v>181</v>
      </c>
      <c r="I30" s="16">
        <v>42573.264340277776</v>
      </c>
      <c r="J30" s="7">
        <v>0</v>
      </c>
      <c r="K30" s="26" t="str">
        <f t="shared" si="3"/>
        <v>4017/4018</v>
      </c>
      <c r="L30" s="26" t="str">
        <f>VLOOKUP(A30,'Trips&amp;Operators'!$C$1:$E$10000,3,FALSE)</f>
        <v>NELSON</v>
      </c>
      <c r="M30" s="6">
        <f t="shared" si="4"/>
        <v>2.753472221957054E-2</v>
      </c>
      <c r="N30" s="7">
        <f t="shared" si="5"/>
        <v>39.649999996181577</v>
      </c>
      <c r="O30" s="7"/>
      <c r="P30" s="7"/>
      <c r="Q30" s="27"/>
      <c r="R30" s="27"/>
      <c r="S30" s="45">
        <f t="shared" si="6"/>
        <v>1</v>
      </c>
      <c r="T30" s="69" t="str">
        <f t="shared" si="7"/>
        <v>NorthBound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04:39:41-0600',mode:absolute,to:'2016-07-22 07:20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0" s="74" t="str">
        <f t="shared" si="9"/>
        <v>N</v>
      </c>
      <c r="X30" s="92">
        <f t="shared" si="10"/>
        <v>0</v>
      </c>
      <c r="Y30" s="89">
        <f t="shared" si="11"/>
        <v>4.9299999999999997E-2</v>
      </c>
      <c r="Z30" s="89">
        <f t="shared" si="12"/>
        <v>23.329499999999999</v>
      </c>
      <c r="AA30" s="89">
        <f t="shared" si="13"/>
        <v>23.280200000000001</v>
      </c>
      <c r="AB30" s="86" t="e">
        <f>VLOOKUP(A30,Enforcements!$C$7:$J$24,8,0)</f>
        <v>#N/A</v>
      </c>
      <c r="AC30" s="82" t="e">
        <f>VLOOKUP(A30,Enforcements!$C$7:$E$24,3,0)</f>
        <v>#N/A</v>
      </c>
      <c r="AD30" s="83" t="str">
        <f t="shared" si="14"/>
        <v>0117-22</v>
      </c>
      <c r="AE30" s="75" t="str">
        <f t="shared" si="15"/>
        <v>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 &amp; 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</v>
      </c>
      <c r="AF30" s="75" t="str">
        <f t="shared" si="16"/>
        <v>"C:\Program Files (x86)\AstroGrep\AstroGrep.exe" /spath="C:\Users\stu\Documents\Analysis\2016-02-23 RTDC Observations" /stypes="*4018*20160722*" /stext=" 12:.+((prompt.+disp)|(slice.+state.+chan)|(ment ac)|(system.+state.+chan)|(\|lc)|(penalty)|(\[timeout))" /e /r /s</v>
      </c>
      <c r="AG30" s="1" t="str">
        <f t="shared" si="17"/>
        <v>EC</v>
      </c>
    </row>
    <row r="31" spans="1:33" s="1" customFormat="1" x14ac:dyDescent="0.25">
      <c r="A31" s="49" t="s">
        <v>444</v>
      </c>
      <c r="B31" s="7">
        <v>4017</v>
      </c>
      <c r="C31" s="26" t="s">
        <v>59</v>
      </c>
      <c r="D31" s="26" t="s">
        <v>445</v>
      </c>
      <c r="E31" s="16">
        <v>42573.273773148147</v>
      </c>
      <c r="F31" s="16">
        <v>42573.274560185186</v>
      </c>
      <c r="G31" s="7">
        <v>1</v>
      </c>
      <c r="H31" s="16" t="s">
        <v>165</v>
      </c>
      <c r="I31" s="16">
        <v>42573.304108796299</v>
      </c>
      <c r="J31" s="7">
        <v>0</v>
      </c>
      <c r="K31" s="26" t="str">
        <f t="shared" si="3"/>
        <v>4017/4018</v>
      </c>
      <c r="L31" s="26" t="str">
        <f>VLOOKUP(A31,'Trips&amp;Operators'!$C$1:$E$10000,3,FALSE)</f>
        <v>NELSON</v>
      </c>
      <c r="M31" s="6">
        <f t="shared" si="4"/>
        <v>2.9548611113568768E-2</v>
      </c>
      <c r="N31" s="7">
        <f t="shared" si="5"/>
        <v>42.550000003539026</v>
      </c>
      <c r="O31" s="7"/>
      <c r="P31" s="7"/>
      <c r="Q31" s="27"/>
      <c r="R31" s="27"/>
      <c r="S31" s="45">
        <f t="shared" si="6"/>
        <v>1</v>
      </c>
      <c r="T31" s="69" t="str">
        <f t="shared" si="7"/>
        <v>Southbound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05:34:14-0600',mode:absolute,to:'2016-07-22 08:17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1" s="74" t="str">
        <f t="shared" si="9"/>
        <v>N</v>
      </c>
      <c r="X31" s="92">
        <f t="shared" si="10"/>
        <v>1</v>
      </c>
      <c r="Y31" s="89">
        <f t="shared" si="11"/>
        <v>23.296700000000001</v>
      </c>
      <c r="Z31" s="89">
        <f t="shared" si="12"/>
        <v>1.41E-2</v>
      </c>
      <c r="AA31" s="89">
        <f t="shared" si="13"/>
        <v>23.282600000000002</v>
      </c>
      <c r="AB31" s="86" t="e">
        <f>VLOOKUP(A31,Enforcements!$C$7:$J$24,8,0)</f>
        <v>#N/A</v>
      </c>
      <c r="AC31" s="82" t="e">
        <f>VLOOKUP(A31,Enforcements!$C$7:$E$24,3,0)</f>
        <v>#N/A</v>
      </c>
      <c r="AD31" s="83" t="str">
        <f t="shared" si="14"/>
        <v>0118-22</v>
      </c>
      <c r="AE31" s="75" t="str">
        <f t="shared" si="15"/>
        <v>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 &amp; 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</v>
      </c>
      <c r="AF31" s="75" t="str">
        <f t="shared" si="16"/>
        <v>"C:\Program Files (x86)\AstroGrep\AstroGrep.exe" /spath="C:\Users\stu\Documents\Analysis\2016-02-23 RTDC Observations" /stypes="*4017*20160722*" /stext=" 13:.+((prompt.+disp)|(slice.+state.+chan)|(ment ac)|(system.+state.+chan)|(\|lc)|(penalty)|(\[timeout))" /e /r /s</v>
      </c>
      <c r="AG31" s="1" t="str">
        <f t="shared" si="17"/>
        <v>EC</v>
      </c>
    </row>
    <row r="32" spans="1:33" s="1" customFormat="1" x14ac:dyDescent="0.25">
      <c r="A32" s="49" t="s">
        <v>446</v>
      </c>
      <c r="B32" s="7">
        <v>4020</v>
      </c>
      <c r="C32" s="26" t="s">
        <v>59</v>
      </c>
      <c r="D32" s="26" t="s">
        <v>447</v>
      </c>
      <c r="E32" s="16">
        <v>42573.246944444443</v>
      </c>
      <c r="F32" s="16">
        <v>42573.248541666668</v>
      </c>
      <c r="G32" s="7">
        <v>2</v>
      </c>
      <c r="H32" s="16" t="s">
        <v>272</v>
      </c>
      <c r="I32" s="16">
        <v>42573.274884259263</v>
      </c>
      <c r="J32" s="7">
        <v>0</v>
      </c>
      <c r="K32" s="26" t="str">
        <f t="shared" si="3"/>
        <v>4019/4020</v>
      </c>
      <c r="L32" s="26" t="str">
        <f>VLOOKUP(A32,'Trips&amp;Operators'!$C$1:$E$10000,3,FALSE)</f>
        <v>MALAVE</v>
      </c>
      <c r="M32" s="6">
        <f t="shared" si="4"/>
        <v>2.6342592595028691E-2</v>
      </c>
      <c r="N32" s="7">
        <f t="shared" si="5"/>
        <v>37.933333336841315</v>
      </c>
      <c r="O32" s="7"/>
      <c r="P32" s="7"/>
      <c r="Q32" s="27"/>
      <c r="R32" s="27"/>
      <c r="S32" s="45">
        <f t="shared" si="6"/>
        <v>1</v>
      </c>
      <c r="T32" s="69" t="str">
        <f t="shared" si="7"/>
        <v>NorthBound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04:55:36-0600',mode:absolute,to:'2016-07-22 07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2" s="74" t="str">
        <f t="shared" si="9"/>
        <v>N</v>
      </c>
      <c r="X32" s="92">
        <f t="shared" si="10"/>
        <v>1</v>
      </c>
      <c r="Y32" s="89">
        <f t="shared" si="11"/>
        <v>7.8299999999999995E-2</v>
      </c>
      <c r="Z32" s="89">
        <f t="shared" si="12"/>
        <v>23.3325</v>
      </c>
      <c r="AA32" s="89">
        <f t="shared" si="13"/>
        <v>23.254200000000001</v>
      </c>
      <c r="AB32" s="86" t="e">
        <f>VLOOKUP(A32,Enforcements!$C$7:$J$24,8,0)</f>
        <v>#N/A</v>
      </c>
      <c r="AC32" s="82" t="e">
        <f>VLOOKUP(A32,Enforcements!$C$7:$E$24,3,0)</f>
        <v>#N/A</v>
      </c>
      <c r="AD32" s="83" t="str">
        <f t="shared" si="14"/>
        <v>0119-22</v>
      </c>
      <c r="AE32" s="75" t="str">
        <f t="shared" si="15"/>
        <v>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 &amp; 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</v>
      </c>
      <c r="AF32" s="75" t="str">
        <f t="shared" si="16"/>
        <v>"C:\Program Files (x86)\AstroGrep\AstroGrep.exe" /spath="C:\Users\stu\Documents\Analysis\2016-02-23 RTDC Observations" /stypes="*4020*20160722*" /stext=" 12:.+((prompt.+disp)|(slice.+state.+chan)|(ment ac)|(system.+state.+chan)|(\|lc)|(penalty)|(\[timeout))" /e /r /s</v>
      </c>
      <c r="AG32" s="1" t="str">
        <f t="shared" si="17"/>
        <v>EC</v>
      </c>
    </row>
    <row r="33" spans="1:33" s="1" customFormat="1" x14ac:dyDescent="0.25">
      <c r="A33" s="49" t="s">
        <v>448</v>
      </c>
      <c r="B33" s="7">
        <v>4019</v>
      </c>
      <c r="C33" s="26" t="s">
        <v>59</v>
      </c>
      <c r="D33" s="26" t="s">
        <v>287</v>
      </c>
      <c r="E33" s="16">
        <v>42573.290590277778</v>
      </c>
      <c r="F33" s="16">
        <v>42573.291585648149</v>
      </c>
      <c r="G33" s="7">
        <v>1</v>
      </c>
      <c r="H33" s="16" t="s">
        <v>174</v>
      </c>
      <c r="I33" s="16">
        <v>42573.316307870373</v>
      </c>
      <c r="J33" s="7">
        <v>0</v>
      </c>
      <c r="K33" s="26" t="str">
        <f t="shared" si="3"/>
        <v>4019/4020</v>
      </c>
      <c r="L33" s="26" t="str">
        <f>VLOOKUP(A33,'Trips&amp;Operators'!$C$1:$E$10000,3,FALSE)</f>
        <v>MALAVE</v>
      </c>
      <c r="M33" s="6">
        <f t="shared" si="4"/>
        <v>2.4722222224227153E-2</v>
      </c>
      <c r="N33" s="7">
        <f t="shared" si="5"/>
        <v>35.6000000028871</v>
      </c>
      <c r="O33" s="7"/>
      <c r="P33" s="7"/>
      <c r="Q33" s="27"/>
      <c r="R33" s="27"/>
      <c r="S33" s="45">
        <f t="shared" si="6"/>
        <v>1</v>
      </c>
      <c r="T33" s="69" t="str">
        <f t="shared" si="7"/>
        <v>Southbound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05:58:27-0600',mode:absolute,to:'2016-07-22 08:35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3" s="74" t="str">
        <f t="shared" si="9"/>
        <v>N</v>
      </c>
      <c r="X33" s="92">
        <f t="shared" si="10"/>
        <v>1</v>
      </c>
      <c r="Y33" s="89">
        <f t="shared" si="11"/>
        <v>23.298300000000001</v>
      </c>
      <c r="Z33" s="89">
        <f t="shared" si="12"/>
        <v>1.6299999999999999E-2</v>
      </c>
      <c r="AA33" s="89">
        <f t="shared" si="13"/>
        <v>23.282</v>
      </c>
      <c r="AB33" s="86" t="e">
        <f>VLOOKUP(A33,Enforcements!$C$7:$J$24,8,0)</f>
        <v>#N/A</v>
      </c>
      <c r="AC33" s="82" t="e">
        <f>VLOOKUP(A33,Enforcements!$C$7:$E$24,3,0)</f>
        <v>#N/A</v>
      </c>
      <c r="AD33" s="83" t="str">
        <f t="shared" si="14"/>
        <v>0120-22</v>
      </c>
      <c r="AE33" s="75" t="str">
        <f t="shared" si="15"/>
        <v>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 &amp; 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</v>
      </c>
      <c r="AF33" s="75" t="str">
        <f t="shared" si="16"/>
        <v>"C:\Program Files (x86)\AstroGrep\AstroGrep.exe" /spath="C:\Users\stu\Documents\Analysis\2016-02-23 RTDC Observations" /stypes="*4019*20160722*" /stext=" 13:.+((prompt.+disp)|(slice.+state.+chan)|(ment ac)|(system.+state.+chan)|(\|lc)|(penalty)|(\[timeout))" /e /r /s</v>
      </c>
      <c r="AG33" s="1" t="str">
        <f t="shared" si="17"/>
        <v>EC</v>
      </c>
    </row>
    <row r="34" spans="1:33" s="1" customFormat="1" x14ac:dyDescent="0.25">
      <c r="A34" s="49" t="s">
        <v>449</v>
      </c>
      <c r="B34" s="7">
        <v>4042</v>
      </c>
      <c r="C34" s="26" t="s">
        <v>59</v>
      </c>
      <c r="D34" s="26" t="s">
        <v>244</v>
      </c>
      <c r="E34" s="16">
        <v>42573.252812500003</v>
      </c>
      <c r="F34" s="16">
        <v>42573.254050925927</v>
      </c>
      <c r="G34" s="7">
        <v>1</v>
      </c>
      <c r="H34" s="16" t="s">
        <v>450</v>
      </c>
      <c r="I34" s="16">
        <v>42573.285497685189</v>
      </c>
      <c r="J34" s="7">
        <v>1</v>
      </c>
      <c r="K34" s="26" t="str">
        <f t="shared" si="3"/>
        <v>4041/4042</v>
      </c>
      <c r="L34" s="26" t="str">
        <f>VLOOKUP(A34,'Trips&amp;Operators'!$C$1:$E$10000,3,FALSE)</f>
        <v>BRANNON</v>
      </c>
      <c r="M34" s="6">
        <f t="shared" si="4"/>
        <v>3.1446759261598345E-2</v>
      </c>
      <c r="N34" s="7">
        <f t="shared" si="5"/>
        <v>45.283333336701617</v>
      </c>
      <c r="O34" s="7"/>
      <c r="P34" s="7"/>
      <c r="Q34" s="27"/>
      <c r="R34" s="27"/>
      <c r="S34" s="45">
        <f t="shared" si="6"/>
        <v>1</v>
      </c>
      <c r="T34" s="69" t="str">
        <f t="shared" si="7"/>
        <v>NorthBound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05:04:03-0600',mode:absolute,to:'2016-07-22 07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4" s="74" t="str">
        <f t="shared" si="9"/>
        <v>N</v>
      </c>
      <c r="X34" s="92">
        <f t="shared" si="10"/>
        <v>1</v>
      </c>
      <c r="Y34" s="89">
        <f t="shared" si="11"/>
        <v>4.53E-2</v>
      </c>
      <c r="Z34" s="89">
        <f t="shared" si="12"/>
        <v>23.311499999999999</v>
      </c>
      <c r="AA34" s="89">
        <f t="shared" si="13"/>
        <v>23.266199999999998</v>
      </c>
      <c r="AB34" s="86" t="e">
        <f>VLOOKUP(A34,Enforcements!$C$7:$J$24,8,0)</f>
        <v>#N/A</v>
      </c>
      <c r="AC34" s="82" t="e">
        <f>VLOOKUP(A34,Enforcements!$C$7:$E$24,3,0)</f>
        <v>#N/A</v>
      </c>
      <c r="AD34" s="83" t="str">
        <f t="shared" si="14"/>
        <v>0121-22</v>
      </c>
      <c r="AE34" s="75" t="str">
        <f t="shared" si="15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34" s="75" t="str">
        <f t="shared" si="16"/>
        <v>"C:\Program Files (x86)\AstroGrep\AstroGrep.exe" /spath="C:\Users\stu\Documents\Analysis\2016-02-23 RTDC Observations" /stypes="*4042*20160722*" /stext=" 12:.+((prompt.+disp)|(slice.+state.+chan)|(ment ac)|(system.+state.+chan)|(\|lc)|(penalty)|(\[timeout))" /e /r /s</v>
      </c>
      <c r="AG34" s="1" t="str">
        <f t="shared" si="17"/>
        <v>EC</v>
      </c>
    </row>
    <row r="35" spans="1:33" s="1" customFormat="1" x14ac:dyDescent="0.25">
      <c r="A35" s="49" t="s">
        <v>451</v>
      </c>
      <c r="B35" s="7">
        <v>4041</v>
      </c>
      <c r="C35" s="26" t="s">
        <v>59</v>
      </c>
      <c r="D35" s="26" t="s">
        <v>452</v>
      </c>
      <c r="E35" s="16">
        <v>42573.296122685184</v>
      </c>
      <c r="F35" s="16">
        <v>42573.297118055554</v>
      </c>
      <c r="G35" s="7">
        <v>1</v>
      </c>
      <c r="H35" s="16" t="s">
        <v>60</v>
      </c>
      <c r="I35" s="16">
        <v>42573.324363425927</v>
      </c>
      <c r="J35" s="7">
        <v>0</v>
      </c>
      <c r="K35" s="26" t="str">
        <f t="shared" si="3"/>
        <v>4041/4042</v>
      </c>
      <c r="L35" s="26" t="str">
        <f>VLOOKUP(A35,'Trips&amp;Operators'!$C$1:$E$10000,3,FALSE)</f>
        <v>BRANNON</v>
      </c>
      <c r="M35" s="6">
        <f t="shared" si="4"/>
        <v>2.7245370372838806E-2</v>
      </c>
      <c r="N35" s="7">
        <f t="shared" si="5"/>
        <v>39.233333336887881</v>
      </c>
      <c r="O35" s="7"/>
      <c r="P35" s="7"/>
      <c r="Q35" s="27"/>
      <c r="R35" s="27"/>
      <c r="S35" s="45">
        <f t="shared" si="6"/>
        <v>1</v>
      </c>
      <c r="T35" s="69" t="str">
        <f t="shared" si="7"/>
        <v>Southbound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06:06:25-0600',mode:absolute,to:'2016-07-22 08:47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5" s="74" t="str">
        <f t="shared" si="9"/>
        <v>N</v>
      </c>
      <c r="X35" s="92">
        <f t="shared" si="10"/>
        <v>1</v>
      </c>
      <c r="Y35" s="89">
        <f t="shared" si="11"/>
        <v>23.279800000000002</v>
      </c>
      <c r="Z35" s="89">
        <f t="shared" si="12"/>
        <v>1.4500000000000001E-2</v>
      </c>
      <c r="AA35" s="89">
        <f t="shared" si="13"/>
        <v>23.2653</v>
      </c>
      <c r="AB35" s="86" t="e">
        <f>VLOOKUP(A35,Enforcements!$C$7:$J$24,8,0)</f>
        <v>#N/A</v>
      </c>
      <c r="AC35" s="82" t="e">
        <f>VLOOKUP(A35,Enforcements!$C$7:$E$24,3,0)</f>
        <v>#N/A</v>
      </c>
      <c r="AD35" s="83" t="str">
        <f t="shared" si="14"/>
        <v>0122-22</v>
      </c>
      <c r="AE35" s="75" t="str">
        <f t="shared" si="15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35" s="75" t="str">
        <f t="shared" si="16"/>
        <v>"C:\Program Files (x86)\AstroGrep\AstroGrep.exe" /spath="C:\Users\stu\Documents\Analysis\2016-02-23 RTDC Observations" /stypes="*4041*20160722*" /stext=" 13:.+((prompt.+disp)|(slice.+state.+chan)|(ment ac)|(system.+state.+chan)|(\|lc)|(penalty)|(\[timeout))" /e /r /s</v>
      </c>
      <c r="AG35" s="1" t="str">
        <f t="shared" si="17"/>
        <v>EC</v>
      </c>
    </row>
    <row r="36" spans="1:33" s="1" customFormat="1" x14ac:dyDescent="0.25">
      <c r="A36" s="49" t="s">
        <v>453</v>
      </c>
      <c r="B36" s="7">
        <v>4044</v>
      </c>
      <c r="C36" s="26" t="s">
        <v>59</v>
      </c>
      <c r="D36" s="26" t="s">
        <v>274</v>
      </c>
      <c r="E36" s="16">
        <v>42573.264305555553</v>
      </c>
      <c r="F36" s="16">
        <v>42573.266319444447</v>
      </c>
      <c r="G36" s="7">
        <v>2</v>
      </c>
      <c r="H36" s="16" t="s">
        <v>454</v>
      </c>
      <c r="I36" s="16">
        <v>42573.296006944445</v>
      </c>
      <c r="J36" s="7">
        <v>0</v>
      </c>
      <c r="K36" s="26" t="str">
        <f t="shared" si="3"/>
        <v>4043/4044</v>
      </c>
      <c r="L36" s="26" t="str">
        <f>VLOOKUP(A36,'Trips&amp;Operators'!$C$1:$E$10000,3,FALSE)</f>
        <v>GEBRETEKLE</v>
      </c>
      <c r="M36" s="6">
        <f t="shared" si="4"/>
        <v>2.9687499998544808E-2</v>
      </c>
      <c r="N36" s="7">
        <f t="shared" si="5"/>
        <v>42.749999997904524</v>
      </c>
      <c r="O36" s="7"/>
      <c r="P36" s="7"/>
      <c r="Q36" s="27"/>
      <c r="R36" s="27"/>
      <c r="S36" s="45">
        <f t="shared" si="6"/>
        <v>1</v>
      </c>
      <c r="T36" s="69" t="str">
        <f t="shared" si="7"/>
        <v>NorthBound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05:20:36-0600',mode:absolute,to:'2016-07-22 08:06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6" s="74" t="str">
        <f t="shared" si="9"/>
        <v>N</v>
      </c>
      <c r="X36" s="92">
        <f t="shared" si="10"/>
        <v>1</v>
      </c>
      <c r="Y36" s="89">
        <f t="shared" si="11"/>
        <v>4.5699999999999998E-2</v>
      </c>
      <c r="Z36" s="89">
        <f t="shared" si="12"/>
        <v>23.336300000000001</v>
      </c>
      <c r="AA36" s="89">
        <f t="shared" si="13"/>
        <v>23.290600000000001</v>
      </c>
      <c r="AB36" s="86" t="e">
        <f>VLOOKUP(A36,Enforcements!$C$7:$J$24,8,0)</f>
        <v>#N/A</v>
      </c>
      <c r="AC36" s="82" t="e">
        <f>VLOOKUP(A36,Enforcements!$C$7:$E$24,3,0)</f>
        <v>#N/A</v>
      </c>
      <c r="AD36" s="83" t="str">
        <f t="shared" si="14"/>
        <v>0123-22</v>
      </c>
      <c r="AE36" s="75" t="str">
        <f t="shared" si="15"/>
        <v>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 &amp; 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</v>
      </c>
      <c r="AF36" s="75" t="str">
        <f t="shared" si="16"/>
        <v>"C:\Program Files (x86)\AstroGrep\AstroGrep.exe" /spath="C:\Users\stu\Documents\Analysis\2016-02-23 RTDC Observations" /stypes="*4044*20160722*" /stext=" 13:.+((prompt.+disp)|(slice.+state.+chan)|(ment ac)|(system.+state.+chan)|(\|lc)|(penalty)|(\[timeout))" /e /r /s</v>
      </c>
      <c r="AG36" s="1" t="str">
        <f t="shared" si="17"/>
        <v>EC</v>
      </c>
    </row>
    <row r="37" spans="1:33" s="1" customFormat="1" x14ac:dyDescent="0.25">
      <c r="A37" s="49" t="s">
        <v>455</v>
      </c>
      <c r="B37" s="7">
        <v>4043</v>
      </c>
      <c r="C37" s="26" t="s">
        <v>59</v>
      </c>
      <c r="D37" s="26" t="s">
        <v>456</v>
      </c>
      <c r="E37" s="16">
        <v>42573.30400462963</v>
      </c>
      <c r="F37" s="16">
        <v>42573.305543981478</v>
      </c>
      <c r="G37" s="7">
        <v>2</v>
      </c>
      <c r="H37" s="16" t="s">
        <v>61</v>
      </c>
      <c r="I37" s="16">
        <v>42573.336400462962</v>
      </c>
      <c r="J37" s="7">
        <v>0</v>
      </c>
      <c r="K37" s="26" t="str">
        <f t="shared" si="3"/>
        <v>4043/4044</v>
      </c>
      <c r="L37" s="26" t="str">
        <f>VLOOKUP(A37,'Trips&amp;Operators'!$C$1:$E$10000,3,FALSE)</f>
        <v>GEBRETEKLE</v>
      </c>
      <c r="M37" s="6">
        <f t="shared" si="4"/>
        <v>3.0856481484079268E-2</v>
      </c>
      <c r="N37" s="7">
        <f t="shared" si="5"/>
        <v>44.433333337074146</v>
      </c>
      <c r="O37" s="7"/>
      <c r="P37" s="7"/>
      <c r="Q37" s="27"/>
      <c r="R37" s="27"/>
      <c r="S37" s="45">
        <f t="shared" si="6"/>
        <v>1</v>
      </c>
      <c r="T37" s="69" t="str">
        <f t="shared" si="7"/>
        <v>Southbound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06:17:46-0600',mode:absolute,to:'2016-07-22 09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7" s="74" t="str">
        <f t="shared" si="9"/>
        <v>N</v>
      </c>
      <c r="X37" s="92">
        <f t="shared" si="10"/>
        <v>1</v>
      </c>
      <c r="Y37" s="89">
        <f t="shared" si="11"/>
        <v>23.301100000000002</v>
      </c>
      <c r="Z37" s="89">
        <f t="shared" si="12"/>
        <v>1.52E-2</v>
      </c>
      <c r="AA37" s="89">
        <f t="shared" si="13"/>
        <v>23.285900000000002</v>
      </c>
      <c r="AB37" s="86" t="e">
        <f>VLOOKUP(A37,Enforcements!$C$7:$J$24,8,0)</f>
        <v>#N/A</v>
      </c>
      <c r="AC37" s="82" t="e">
        <f>VLOOKUP(A37,Enforcements!$C$7:$E$24,3,0)</f>
        <v>#N/A</v>
      </c>
      <c r="AD37" s="83" t="str">
        <f t="shared" si="14"/>
        <v>0124-22</v>
      </c>
      <c r="AE37" s="75" t="str">
        <f t="shared" si="15"/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AF37" s="75" t="str">
        <f t="shared" si="16"/>
        <v>"C:\Program Files (x86)\AstroGrep\AstroGrep.exe" /spath="C:\Users\stu\Documents\Analysis\2016-02-23 RTDC Observations" /stypes="*4043*20160722*" /stext=" 14:.+((prompt.+disp)|(slice.+state.+chan)|(ment ac)|(system.+state.+chan)|(\|lc)|(penalty)|(\[timeout))" /e /r /s</v>
      </c>
      <c r="AG37" s="1" t="str">
        <f t="shared" si="17"/>
        <v>EC</v>
      </c>
    </row>
    <row r="38" spans="1:33" s="1" customFormat="1" x14ac:dyDescent="0.25">
      <c r="A38" s="49" t="s">
        <v>457</v>
      </c>
      <c r="B38" s="7">
        <v>4027</v>
      </c>
      <c r="C38" s="26" t="s">
        <v>59</v>
      </c>
      <c r="D38" s="26" t="s">
        <v>458</v>
      </c>
      <c r="E38" s="16">
        <v>42573.276967592596</v>
      </c>
      <c r="F38" s="16">
        <v>42573.277708333335</v>
      </c>
      <c r="G38" s="7">
        <v>1</v>
      </c>
      <c r="H38" s="16" t="s">
        <v>260</v>
      </c>
      <c r="I38" s="16">
        <v>42573.305671296293</v>
      </c>
      <c r="J38" s="7">
        <v>0</v>
      </c>
      <c r="K38" s="26" t="str">
        <f t="shared" si="3"/>
        <v>4027/4028</v>
      </c>
      <c r="L38" s="26" t="str">
        <f>VLOOKUP(A38,'Trips&amp;Operators'!$C$1:$E$10000,3,FALSE)</f>
        <v>SPECTOR</v>
      </c>
      <c r="M38" s="6">
        <f t="shared" si="4"/>
        <v>2.7962962958554272E-2</v>
      </c>
      <c r="N38" s="7">
        <f t="shared" si="5"/>
        <v>40.266666660318151</v>
      </c>
      <c r="O38" s="7"/>
      <c r="P38" s="7"/>
      <c r="Q38" s="27"/>
      <c r="R38" s="27"/>
      <c r="S38" s="45">
        <f t="shared" si="6"/>
        <v>1</v>
      </c>
      <c r="T38" s="69" t="str">
        <f t="shared" si="7"/>
        <v>NorthBound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05:38:50-0600',mode:absolute,to:'2016-07-22 08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74" t="str">
        <f t="shared" si="9"/>
        <v>N</v>
      </c>
      <c r="X38" s="92">
        <f t="shared" si="10"/>
        <v>1</v>
      </c>
      <c r="Y38" s="89">
        <f t="shared" si="11"/>
        <v>4.6600000000000003E-2</v>
      </c>
      <c r="Z38" s="89">
        <f t="shared" si="12"/>
        <v>23.331600000000002</v>
      </c>
      <c r="AA38" s="89">
        <f t="shared" si="13"/>
        <v>23.285</v>
      </c>
      <c r="AB38" s="86" t="e">
        <f>VLOOKUP(A38,Enforcements!$C$7:$J$24,8,0)</f>
        <v>#N/A</v>
      </c>
      <c r="AC38" s="82" t="e">
        <f>VLOOKUP(A38,Enforcements!$C$7:$E$24,3,0)</f>
        <v>#N/A</v>
      </c>
      <c r="AD38" s="83" t="str">
        <f t="shared" si="14"/>
        <v>0125-22</v>
      </c>
      <c r="AE38" s="75" t="str">
        <f t="shared" si="15"/>
        <v>aws s3 cp s3://rtdc.mdm.uploadarchive/RTDC4027/2016-07-22/ "C:\Users\stu\Documents\Analysis\2016-02-23 RTDC Observations"\RTDC4027\2016-07-22 --recursive &amp; "C:\Users\stu\Documents\GitHub\mrs-test-scripts\Headless Mode &amp; Sideloading\WalkAndUnGZ.bat" "C:\Users\stu\Documents\Analysis\2016-02-23 RTDC Observations"\RTDC4027\2016-07-22 &amp; aws s3 cp s3://rtdc.mdm.uploadarchive/RTDC4027/2016-07-23/ "C:\Users\stu\Documents\Analysis\2016-02-23 RTDC Observations"\RTDC4027\2016-07-23 --recursive &amp; "C:\Users\stu\Documents\GitHub\mrs-test-scripts\Headless Mode &amp; Sideloading\WalkAndUnGZ.bat" "C:\Users\stu\Documents\Analysis\2016-02-23 RTDC Observations"\RTDC4027\2016-07-23</v>
      </c>
      <c r="AF38" s="75" t="str">
        <f t="shared" si="16"/>
        <v>"C:\Program Files (x86)\AstroGrep\AstroGrep.exe" /spath="C:\Users\stu\Documents\Analysis\2016-02-23 RTDC Observations" /stypes="*4027*20160722*" /stext=" 13:.+((prompt.+disp)|(slice.+state.+chan)|(ment ac)|(system.+state.+chan)|(\|lc)|(penalty)|(\[timeout))" /e /r /s</v>
      </c>
      <c r="AG38" s="1" t="str">
        <f t="shared" si="17"/>
        <v>EC</v>
      </c>
    </row>
    <row r="39" spans="1:33" s="1" customFormat="1" x14ac:dyDescent="0.25">
      <c r="A39" s="49" t="s">
        <v>459</v>
      </c>
      <c r="B39" s="7">
        <v>4028</v>
      </c>
      <c r="C39" s="26" t="s">
        <v>59</v>
      </c>
      <c r="D39" s="26" t="s">
        <v>237</v>
      </c>
      <c r="E39" s="16">
        <v>42573.314513888887</v>
      </c>
      <c r="F39" s="16">
        <v>42573.315497685187</v>
      </c>
      <c r="G39" s="7">
        <v>1</v>
      </c>
      <c r="H39" s="16" t="s">
        <v>258</v>
      </c>
      <c r="I39" s="16">
        <v>42573.346342592595</v>
      </c>
      <c r="J39" s="7">
        <v>1</v>
      </c>
      <c r="K39" s="26" t="str">
        <f t="shared" si="3"/>
        <v>4027/4028</v>
      </c>
      <c r="L39" s="26" t="str">
        <f>VLOOKUP(A39,'Trips&amp;Operators'!$C$1:$E$10000,3,FALSE)</f>
        <v>SPECTOR</v>
      </c>
      <c r="M39" s="6">
        <f t="shared" si="4"/>
        <v>3.0844907407299615E-2</v>
      </c>
      <c r="N39" s="7">
        <f t="shared" si="5"/>
        <v>44.416666666511446</v>
      </c>
      <c r="O39" s="7"/>
      <c r="P39" s="7"/>
      <c r="Q39" s="27"/>
      <c r="R39" s="27"/>
      <c r="S39" s="45">
        <f t="shared" si="6"/>
        <v>1</v>
      </c>
      <c r="T39" s="69" t="str">
        <f t="shared" si="7"/>
        <v>Southbound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06:32:54-0600',mode:absolute,to:'2016-07-22 09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74" t="str">
        <f t="shared" si="9"/>
        <v>N</v>
      </c>
      <c r="X39" s="92">
        <f t="shared" si="10"/>
        <v>1</v>
      </c>
      <c r="Y39" s="89">
        <f t="shared" si="11"/>
        <v>23.299800000000001</v>
      </c>
      <c r="Z39" s="89">
        <f t="shared" si="12"/>
        <v>1.5800000000000002E-2</v>
      </c>
      <c r="AA39" s="89">
        <f t="shared" si="13"/>
        <v>23.284000000000002</v>
      </c>
      <c r="AB39" s="86" t="e">
        <f>VLOOKUP(A39,Enforcements!$C$7:$J$24,8,0)</f>
        <v>#N/A</v>
      </c>
      <c r="AC39" s="82" t="e">
        <f>VLOOKUP(A39,Enforcements!$C$7:$E$24,3,0)</f>
        <v>#N/A</v>
      </c>
      <c r="AD39" s="83" t="str">
        <f t="shared" si="14"/>
        <v>0126-22</v>
      </c>
      <c r="AE39" s="75" t="str">
        <f t="shared" si="15"/>
        <v>aws s3 cp s3://rtdc.mdm.uploadarchive/RTDC4028/2016-07-22/ "C:\Users\stu\Documents\Analysis\2016-02-23 RTDC Observations"\RTDC4028\2016-07-22 --recursive &amp; "C:\Users\stu\Documents\GitHub\mrs-test-scripts\Headless Mode &amp; Sideloading\WalkAndUnGZ.bat" "C:\Users\stu\Documents\Analysis\2016-02-23 RTDC Observations"\RTDC4028\2016-07-22 &amp; aws s3 cp s3://rtdc.mdm.uploadarchive/RTDC4028/2016-07-23/ "C:\Users\stu\Documents\Analysis\2016-02-23 RTDC Observations"\RTDC4028\2016-07-23 --recursive &amp; "C:\Users\stu\Documents\GitHub\mrs-test-scripts\Headless Mode &amp; Sideloading\WalkAndUnGZ.bat" "C:\Users\stu\Documents\Analysis\2016-02-23 RTDC Observations"\RTDC4028\2016-07-23</v>
      </c>
      <c r="AF39" s="75" t="str">
        <f t="shared" si="16"/>
        <v>"C:\Program Files (x86)\AstroGrep\AstroGrep.exe" /spath="C:\Users\stu\Documents\Analysis\2016-02-23 RTDC Observations" /stypes="*4028*20160722*" /stext=" 14:.+((prompt.+disp)|(slice.+state.+chan)|(ment ac)|(system.+state.+chan)|(\|lc)|(penalty)|(\[timeout))" /e /r /s</v>
      </c>
      <c r="AG39" s="1" t="str">
        <f t="shared" si="17"/>
        <v>EC</v>
      </c>
    </row>
    <row r="40" spans="1:33" s="1" customFormat="1" x14ac:dyDescent="0.25">
      <c r="A40" s="49" t="s">
        <v>460</v>
      </c>
      <c r="B40" s="7">
        <v>4014</v>
      </c>
      <c r="C40" s="26" t="s">
        <v>59</v>
      </c>
      <c r="D40" s="26" t="s">
        <v>66</v>
      </c>
      <c r="E40" s="16">
        <v>42573.286851851852</v>
      </c>
      <c r="F40" s="16">
        <v>42573.287604166668</v>
      </c>
      <c r="G40" s="7">
        <v>1</v>
      </c>
      <c r="H40" s="16" t="s">
        <v>461</v>
      </c>
      <c r="I40" s="16">
        <v>42573.318009259259</v>
      </c>
      <c r="J40" s="7">
        <v>0</v>
      </c>
      <c r="K40" s="26" t="str">
        <f t="shared" si="3"/>
        <v>4013/4014</v>
      </c>
      <c r="L40" s="26" t="str">
        <f>VLOOKUP(A40,'Trips&amp;Operators'!$C$1:$E$10000,3,FALSE)</f>
        <v>MAELZER</v>
      </c>
      <c r="M40" s="6">
        <f t="shared" si="4"/>
        <v>3.0405092591536231E-2</v>
      </c>
      <c r="N40" s="7">
        <f t="shared" si="5"/>
        <v>43.783333331812173</v>
      </c>
      <c r="O40" s="7"/>
      <c r="P40" s="7"/>
      <c r="Q40" s="27"/>
      <c r="R40" s="27"/>
      <c r="S40" s="45">
        <f t="shared" si="6"/>
        <v>1</v>
      </c>
      <c r="T40" s="69" t="str">
        <f t="shared" si="7"/>
        <v>NorthBound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05:53:04-0600',mode:absolute,to:'2016-07-22 08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0" s="74" t="str">
        <f t="shared" si="9"/>
        <v>N</v>
      </c>
      <c r="X40" s="92">
        <f t="shared" si="10"/>
        <v>1</v>
      </c>
      <c r="Y40" s="89">
        <f t="shared" si="11"/>
        <v>4.5999999999999999E-2</v>
      </c>
      <c r="Z40" s="89">
        <f t="shared" si="12"/>
        <v>23.331399999999999</v>
      </c>
      <c r="AA40" s="89">
        <f t="shared" si="13"/>
        <v>23.285399999999999</v>
      </c>
      <c r="AB40" s="86" t="e">
        <f>VLOOKUP(A40,Enforcements!$C$7:$J$24,8,0)</f>
        <v>#N/A</v>
      </c>
      <c r="AC40" s="82" t="e">
        <f>VLOOKUP(A40,Enforcements!$C$7:$E$24,3,0)</f>
        <v>#N/A</v>
      </c>
      <c r="AD40" s="83" t="str">
        <f t="shared" si="14"/>
        <v>0127-22</v>
      </c>
      <c r="AE40" s="75" t="str">
        <f t="shared" si="15"/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AF40" s="75" t="str">
        <f t="shared" si="16"/>
        <v>"C:\Program Files (x86)\AstroGrep\AstroGrep.exe" /spath="C:\Users\stu\Documents\Analysis\2016-02-23 RTDC Observations" /stypes="*4014*20160722*" /stext=" 13:.+((prompt.+disp)|(slice.+state.+chan)|(ment ac)|(system.+state.+chan)|(\|lc)|(penalty)|(\[timeout))" /e /r /s</v>
      </c>
      <c r="AG40" s="1" t="str">
        <f t="shared" si="17"/>
        <v>EC</v>
      </c>
    </row>
    <row r="41" spans="1:33" s="1" customFormat="1" x14ac:dyDescent="0.25">
      <c r="A41" s="49" t="s">
        <v>462</v>
      </c>
      <c r="B41" s="7">
        <v>4013</v>
      </c>
      <c r="C41" s="26" t="s">
        <v>59</v>
      </c>
      <c r="D41" s="26" t="s">
        <v>130</v>
      </c>
      <c r="E41" s="16">
        <v>42573.324259259258</v>
      </c>
      <c r="F41" s="16">
        <v>42573.325694444444</v>
      </c>
      <c r="G41" s="7">
        <v>2</v>
      </c>
      <c r="H41" s="16" t="s">
        <v>153</v>
      </c>
      <c r="I41" s="16">
        <v>42573.356770833336</v>
      </c>
      <c r="J41" s="7">
        <v>0</v>
      </c>
      <c r="K41" s="26" t="str">
        <f t="shared" si="3"/>
        <v>4013/4014</v>
      </c>
      <c r="L41" s="26" t="str">
        <f>VLOOKUP(A41,'Trips&amp;Operators'!$C$1:$E$10000,3,FALSE)</f>
        <v>MAELZER</v>
      </c>
      <c r="M41" s="6">
        <f t="shared" si="4"/>
        <v>3.107638889196096E-2</v>
      </c>
      <c r="N41" s="7">
        <f t="shared" si="5"/>
        <v>44.750000004423782</v>
      </c>
      <c r="O41" s="7"/>
      <c r="P41" s="7"/>
      <c r="Q41" s="27"/>
      <c r="R41" s="27"/>
      <c r="S41" s="45">
        <f t="shared" si="6"/>
        <v>1</v>
      </c>
      <c r="T41" s="69" t="str">
        <f t="shared" si="7"/>
        <v>Southbound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06:46:56-0600',mode:absolute,to:'2016-07-22 09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1" s="74" t="str">
        <f t="shared" si="9"/>
        <v>N</v>
      </c>
      <c r="X41" s="92">
        <f t="shared" si="10"/>
        <v>1</v>
      </c>
      <c r="Y41" s="89">
        <f t="shared" si="11"/>
        <v>23.299600000000002</v>
      </c>
      <c r="Z41" s="89">
        <f t="shared" si="12"/>
        <v>1.3899999999999999E-2</v>
      </c>
      <c r="AA41" s="89">
        <f t="shared" si="13"/>
        <v>23.285700000000002</v>
      </c>
      <c r="AB41" s="86" t="e">
        <f>VLOOKUP(A41,Enforcements!$C$7:$J$24,8,0)</f>
        <v>#N/A</v>
      </c>
      <c r="AC41" s="82" t="e">
        <f>VLOOKUP(A41,Enforcements!$C$7:$E$24,3,0)</f>
        <v>#N/A</v>
      </c>
      <c r="AD41" s="83" t="str">
        <f t="shared" si="14"/>
        <v>0128-22</v>
      </c>
      <c r="AE41" s="75" t="str">
        <f t="shared" si="15"/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AF41" s="75" t="str">
        <f t="shared" si="16"/>
        <v>"C:\Program Files (x86)\AstroGrep\AstroGrep.exe" /spath="C:\Users\stu\Documents\Analysis\2016-02-23 RTDC Observations" /stypes="*4013*20160722*" /stext=" 14:.+((prompt.+disp)|(slice.+state.+chan)|(ment ac)|(system.+state.+chan)|(\|lc)|(penalty)|(\[timeout))" /e /r /s</v>
      </c>
      <c r="AG41" s="1" t="str">
        <f t="shared" si="17"/>
        <v>EC</v>
      </c>
    </row>
    <row r="42" spans="1:33" s="1" customFormat="1" x14ac:dyDescent="0.25">
      <c r="A42" s="49" t="s">
        <v>463</v>
      </c>
      <c r="B42" s="7">
        <v>4038</v>
      </c>
      <c r="C42" s="26" t="s">
        <v>59</v>
      </c>
      <c r="D42" s="26" t="s">
        <v>172</v>
      </c>
      <c r="E42" s="16">
        <v>42573.30027777778</v>
      </c>
      <c r="F42" s="16">
        <v>42573.301354166666</v>
      </c>
      <c r="G42" s="7">
        <v>1</v>
      </c>
      <c r="H42" s="16" t="s">
        <v>464</v>
      </c>
      <c r="I42" s="16">
        <v>42573.326666666668</v>
      </c>
      <c r="J42" s="7">
        <v>0</v>
      </c>
      <c r="K42" s="26" t="str">
        <f t="shared" si="3"/>
        <v>4037/4038</v>
      </c>
      <c r="L42" s="26" t="str">
        <f>VLOOKUP(A42,'Trips&amp;Operators'!$C$1:$E$10000,3,FALSE)</f>
        <v>ROCHA</v>
      </c>
      <c r="M42" s="6">
        <f t="shared" si="4"/>
        <v>2.531250000174623E-2</v>
      </c>
      <c r="N42" s="7">
        <f t="shared" si="5"/>
        <v>36.450000002514571</v>
      </c>
      <c r="O42" s="7"/>
      <c r="P42" s="7"/>
      <c r="Q42" s="27"/>
      <c r="R42" s="27"/>
      <c r="S42" s="45">
        <f t="shared" si="6"/>
        <v>1</v>
      </c>
      <c r="T42" s="69" t="str">
        <f t="shared" si="7"/>
        <v>NorthBound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06:12:24-0600',mode:absolute,to:'2016-07-22 08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2" s="74" t="str">
        <f t="shared" si="9"/>
        <v>N</v>
      </c>
      <c r="X42" s="92">
        <f t="shared" si="10"/>
        <v>1</v>
      </c>
      <c r="Y42" s="89">
        <f t="shared" si="11"/>
        <v>4.6699999999999998E-2</v>
      </c>
      <c r="Z42" s="89">
        <f t="shared" si="12"/>
        <v>23.329699999999999</v>
      </c>
      <c r="AA42" s="89">
        <f t="shared" si="13"/>
        <v>23.282999999999998</v>
      </c>
      <c r="AB42" s="86" t="e">
        <f>VLOOKUP(A42,Enforcements!$C$7:$J$24,8,0)</f>
        <v>#N/A</v>
      </c>
      <c r="AC42" s="82" t="e">
        <f>VLOOKUP(A42,Enforcements!$C$7:$E$24,3,0)</f>
        <v>#N/A</v>
      </c>
      <c r="AD42" s="83" t="str">
        <f t="shared" si="14"/>
        <v>0129-22</v>
      </c>
      <c r="AE42" s="75" t="str">
        <f t="shared" si="15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42" s="75" t="str">
        <f t="shared" si="16"/>
        <v>"C:\Program Files (x86)\AstroGrep\AstroGrep.exe" /spath="C:\Users\stu\Documents\Analysis\2016-02-23 RTDC Observations" /stypes="*4038*20160722*" /stext=" 13:.+((prompt.+disp)|(slice.+state.+chan)|(ment ac)|(system.+state.+chan)|(\|lc)|(penalty)|(\[timeout))" /e /r /s</v>
      </c>
      <c r="AG42" s="1" t="str">
        <f t="shared" si="17"/>
        <v>EC</v>
      </c>
    </row>
    <row r="43" spans="1:33" s="1" customFormat="1" x14ac:dyDescent="0.25">
      <c r="A43" s="49" t="s">
        <v>465</v>
      </c>
      <c r="B43" s="7">
        <v>4037</v>
      </c>
      <c r="C43" s="26" t="s">
        <v>59</v>
      </c>
      <c r="D43" s="26" t="s">
        <v>155</v>
      </c>
      <c r="E43" s="16">
        <v>42573.339930555558</v>
      </c>
      <c r="F43" s="16">
        <v>42573.34103009259</v>
      </c>
      <c r="G43" s="7">
        <v>1</v>
      </c>
      <c r="H43" s="16" t="s">
        <v>151</v>
      </c>
      <c r="I43" s="16">
        <v>42573.366828703707</v>
      </c>
      <c r="J43" s="7">
        <v>0</v>
      </c>
      <c r="K43" s="26" t="str">
        <f t="shared" si="3"/>
        <v>4037/4038</v>
      </c>
      <c r="L43" s="26" t="str">
        <f>VLOOKUP(A43,'Trips&amp;Operators'!$C$1:$E$10000,3,FALSE)</f>
        <v>ROCHA</v>
      </c>
      <c r="M43" s="6">
        <f t="shared" si="4"/>
        <v>2.5798611117352266E-2</v>
      </c>
      <c r="N43" s="7">
        <f t="shared" si="5"/>
        <v>37.150000008987263</v>
      </c>
      <c r="O43" s="7"/>
      <c r="P43" s="7"/>
      <c r="Q43" s="27"/>
      <c r="R43" s="27"/>
      <c r="S43" s="45">
        <f t="shared" si="6"/>
        <v>1</v>
      </c>
      <c r="T43" s="69" t="str">
        <f t="shared" si="7"/>
        <v>Southbound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07:09:30-0600',mode:absolute,to:'2016-07-22 09:48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3" s="74" t="str">
        <f t="shared" si="9"/>
        <v>N</v>
      </c>
      <c r="X43" s="92">
        <f t="shared" si="10"/>
        <v>1</v>
      </c>
      <c r="Y43" s="89">
        <f t="shared" si="11"/>
        <v>23.297999999999998</v>
      </c>
      <c r="Z43" s="89">
        <f t="shared" si="12"/>
        <v>1.4999999999999999E-2</v>
      </c>
      <c r="AA43" s="89">
        <f t="shared" si="13"/>
        <v>23.282999999999998</v>
      </c>
      <c r="AB43" s="86" t="e">
        <f>VLOOKUP(A43,Enforcements!$C$7:$J$24,8,0)</f>
        <v>#N/A</v>
      </c>
      <c r="AC43" s="82" t="e">
        <f>VLOOKUP(A43,Enforcements!$C$7:$E$24,3,0)</f>
        <v>#N/A</v>
      </c>
      <c r="AD43" s="83" t="str">
        <f t="shared" si="14"/>
        <v>0130-22</v>
      </c>
      <c r="AE43" s="75" t="str">
        <f t="shared" si="15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43" s="75" t="str">
        <f t="shared" si="16"/>
        <v>"C:\Program Files (x86)\AstroGrep\AstroGrep.exe" /spath="C:\Users\stu\Documents\Analysis\2016-02-23 RTDC Observations" /stypes="*4037*20160722*" /stext=" 14:.+((prompt.+disp)|(slice.+state.+chan)|(ment ac)|(system.+state.+chan)|(\|lc)|(penalty)|(\[timeout))" /e /r /s</v>
      </c>
      <c r="AG43" s="1" t="str">
        <f t="shared" si="17"/>
        <v>EC</v>
      </c>
    </row>
    <row r="44" spans="1:33" s="1" customFormat="1" x14ac:dyDescent="0.25">
      <c r="A44" s="49" t="s">
        <v>466</v>
      </c>
      <c r="B44" s="7">
        <v>4018</v>
      </c>
      <c r="C44" s="26" t="s">
        <v>59</v>
      </c>
      <c r="D44" s="26" t="s">
        <v>169</v>
      </c>
      <c r="E44" s="16">
        <v>42573.305787037039</v>
      </c>
      <c r="F44" s="16">
        <v>42573.306817129633</v>
      </c>
      <c r="G44" s="7">
        <v>1</v>
      </c>
      <c r="H44" s="16" t="s">
        <v>464</v>
      </c>
      <c r="I44" s="16">
        <v>42573.337569444448</v>
      </c>
      <c r="J44" s="7">
        <v>0</v>
      </c>
      <c r="K44" s="26" t="str">
        <f t="shared" si="3"/>
        <v>4017/4018</v>
      </c>
      <c r="L44" s="26" t="str">
        <f>VLOOKUP(A44,'Trips&amp;Operators'!$C$1:$E$10000,3,FALSE)</f>
        <v>NELSON</v>
      </c>
      <c r="M44" s="6">
        <f t="shared" si="4"/>
        <v>3.0752314814890269E-2</v>
      </c>
      <c r="N44" s="7">
        <f t="shared" si="5"/>
        <v>44.283333333441988</v>
      </c>
      <c r="O44" s="7"/>
      <c r="P44" s="7"/>
      <c r="Q44" s="27"/>
      <c r="R44" s="27"/>
      <c r="S44" s="45">
        <f t="shared" si="6"/>
        <v>1</v>
      </c>
      <c r="T44" s="69" t="str">
        <f t="shared" si="7"/>
        <v>NorthBound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06:20:20-0600',mode:absolute,to:'2016-07-22 09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4" s="74" t="str">
        <f t="shared" si="9"/>
        <v>N</v>
      </c>
      <c r="X44" s="92">
        <f t="shared" si="10"/>
        <v>1</v>
      </c>
      <c r="Y44" s="89">
        <f t="shared" si="11"/>
        <v>4.4900000000000002E-2</v>
      </c>
      <c r="Z44" s="89">
        <f t="shared" si="12"/>
        <v>23.329699999999999</v>
      </c>
      <c r="AA44" s="89">
        <f t="shared" si="13"/>
        <v>23.284800000000001</v>
      </c>
      <c r="AB44" s="86" t="e">
        <f>VLOOKUP(A44,Enforcements!$C$7:$J$24,8,0)</f>
        <v>#N/A</v>
      </c>
      <c r="AC44" s="82" t="e">
        <f>VLOOKUP(A44,Enforcements!$C$7:$E$24,3,0)</f>
        <v>#N/A</v>
      </c>
      <c r="AD44" s="83" t="str">
        <f t="shared" si="14"/>
        <v>0131-22</v>
      </c>
      <c r="AE44" s="75" t="str">
        <f t="shared" si="15"/>
        <v>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 &amp; 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</v>
      </c>
      <c r="AF44" s="75" t="str">
        <f t="shared" si="16"/>
        <v>"C:\Program Files (x86)\AstroGrep\AstroGrep.exe" /spath="C:\Users\stu\Documents\Analysis\2016-02-23 RTDC Observations" /stypes="*4018*20160722*" /stext=" 14:.+((prompt.+disp)|(slice.+state.+chan)|(ment ac)|(system.+state.+chan)|(\|lc)|(penalty)|(\[timeout))" /e /r /s</v>
      </c>
      <c r="AG44" s="1" t="str">
        <f t="shared" si="17"/>
        <v>EC</v>
      </c>
    </row>
    <row r="45" spans="1:33" s="1" customFormat="1" x14ac:dyDescent="0.25">
      <c r="A45" s="49" t="s">
        <v>467</v>
      </c>
      <c r="B45" s="7">
        <v>4017</v>
      </c>
      <c r="C45" s="26" t="s">
        <v>59</v>
      </c>
      <c r="D45" s="26" t="s">
        <v>287</v>
      </c>
      <c r="E45" s="16">
        <v>42573.346342592595</v>
      </c>
      <c r="F45" s="16">
        <v>42573.347303240742</v>
      </c>
      <c r="G45" s="7">
        <v>1</v>
      </c>
      <c r="H45" s="16" t="s">
        <v>60</v>
      </c>
      <c r="I45" s="16">
        <v>42573.377222222225</v>
      </c>
      <c r="J45" s="7">
        <v>0</v>
      </c>
      <c r="K45" s="26" t="str">
        <f t="shared" si="3"/>
        <v>4017/4018</v>
      </c>
      <c r="L45" s="26" t="str">
        <f>VLOOKUP(A45,'Trips&amp;Operators'!$C$1:$E$10000,3,FALSE)</f>
        <v>NELSON</v>
      </c>
      <c r="M45" s="6">
        <f t="shared" si="4"/>
        <v>2.9918981483206153E-2</v>
      </c>
      <c r="N45" s="7">
        <f t="shared" si="5"/>
        <v>43.08333333581686</v>
      </c>
      <c r="O45" s="7"/>
      <c r="P45" s="7"/>
      <c r="Q45" s="27"/>
      <c r="R45" s="27"/>
      <c r="S45" s="45">
        <f t="shared" si="6"/>
        <v>1</v>
      </c>
      <c r="T45" s="69" t="str">
        <f t="shared" si="7"/>
        <v>Southbound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07:18:44-0600',mode:absolute,to:'2016-07-22 10:03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5" s="74" t="str">
        <f t="shared" si="9"/>
        <v>N</v>
      </c>
      <c r="X45" s="92">
        <f t="shared" si="10"/>
        <v>1</v>
      </c>
      <c r="Y45" s="89">
        <f t="shared" si="11"/>
        <v>23.298300000000001</v>
      </c>
      <c r="Z45" s="89">
        <f t="shared" si="12"/>
        <v>1.4500000000000001E-2</v>
      </c>
      <c r="AA45" s="89">
        <f t="shared" si="13"/>
        <v>23.283799999999999</v>
      </c>
      <c r="AB45" s="86" t="e">
        <f>VLOOKUP(A45,Enforcements!$C$7:$J$24,8,0)</f>
        <v>#N/A</v>
      </c>
      <c r="AC45" s="82" t="e">
        <f>VLOOKUP(A45,Enforcements!$C$7:$E$24,3,0)</f>
        <v>#N/A</v>
      </c>
      <c r="AD45" s="83" t="str">
        <f t="shared" si="14"/>
        <v>0132-22</v>
      </c>
      <c r="AE45" s="75" t="str">
        <f t="shared" si="15"/>
        <v>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 &amp; 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</v>
      </c>
      <c r="AF45" s="75" t="str">
        <f t="shared" si="16"/>
        <v>"C:\Program Files (x86)\AstroGrep\AstroGrep.exe" /spath="C:\Users\stu\Documents\Analysis\2016-02-23 RTDC Observations" /stypes="*4017*20160722*" /stext=" 15:.+((prompt.+disp)|(slice.+state.+chan)|(ment ac)|(system.+state.+chan)|(\|lc)|(penalty)|(\[timeout))" /e /r /s</v>
      </c>
      <c r="AG45" s="1" t="str">
        <f t="shared" si="17"/>
        <v>EC</v>
      </c>
    </row>
    <row r="46" spans="1:33" s="1" customFormat="1" x14ac:dyDescent="0.25">
      <c r="A46" s="49" t="s">
        <v>468</v>
      </c>
      <c r="B46" s="7">
        <v>4020</v>
      </c>
      <c r="C46" s="26" t="s">
        <v>59</v>
      </c>
      <c r="D46" s="26" t="s">
        <v>169</v>
      </c>
      <c r="E46" s="16">
        <v>42573.321666666663</v>
      </c>
      <c r="F46" s="16">
        <v>42573.322928240741</v>
      </c>
      <c r="G46" s="7">
        <v>1</v>
      </c>
      <c r="H46" s="16" t="s">
        <v>181</v>
      </c>
      <c r="I46" s="16">
        <v>42573.348761574074</v>
      </c>
      <c r="J46" s="7">
        <v>0</v>
      </c>
      <c r="K46" s="26" t="str">
        <f t="shared" si="3"/>
        <v>4019/4020</v>
      </c>
      <c r="L46" s="26" t="str">
        <f>VLOOKUP(A46,'Trips&amp;Operators'!$C$1:$E$10000,3,FALSE)</f>
        <v>MALAVE</v>
      </c>
      <c r="M46" s="6">
        <f t="shared" si="4"/>
        <v>2.5833333333139308E-2</v>
      </c>
      <c r="N46" s="7">
        <f t="shared" si="5"/>
        <v>37.199999999720603</v>
      </c>
      <c r="O46" s="7"/>
      <c r="P46" s="7"/>
      <c r="Q46" s="27"/>
      <c r="R46" s="27"/>
      <c r="S46" s="45">
        <f t="shared" si="6"/>
        <v>1</v>
      </c>
      <c r="T46" s="69" t="str">
        <f t="shared" si="7"/>
        <v>NorthBound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06:43:12-0600',mode:absolute,to:'2016-07-22 09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6" s="74" t="str">
        <f t="shared" si="9"/>
        <v>N</v>
      </c>
      <c r="X46" s="92">
        <f t="shared" si="10"/>
        <v>1</v>
      </c>
      <c r="Y46" s="89">
        <f t="shared" si="11"/>
        <v>4.4900000000000002E-2</v>
      </c>
      <c r="Z46" s="89">
        <f t="shared" si="12"/>
        <v>23.329499999999999</v>
      </c>
      <c r="AA46" s="89">
        <f t="shared" si="13"/>
        <v>23.284600000000001</v>
      </c>
      <c r="AB46" s="86" t="e">
        <f>VLOOKUP(A46,Enforcements!$C$7:$J$24,8,0)</f>
        <v>#N/A</v>
      </c>
      <c r="AC46" s="82" t="e">
        <f>VLOOKUP(A46,Enforcements!$C$7:$E$24,3,0)</f>
        <v>#N/A</v>
      </c>
      <c r="AD46" s="83" t="str">
        <f t="shared" si="14"/>
        <v>0133-22</v>
      </c>
      <c r="AE46" s="75" t="str">
        <f t="shared" si="15"/>
        <v>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 &amp; 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</v>
      </c>
      <c r="AF46" s="75" t="str">
        <f t="shared" si="16"/>
        <v>"C:\Program Files (x86)\AstroGrep\AstroGrep.exe" /spath="C:\Users\stu\Documents\Analysis\2016-02-23 RTDC Observations" /stypes="*4020*20160722*" /stext=" 14:.+((prompt.+disp)|(slice.+state.+chan)|(ment ac)|(system.+state.+chan)|(\|lc)|(penalty)|(\[timeout))" /e /r /s</v>
      </c>
      <c r="AG46" s="1" t="str">
        <f t="shared" si="17"/>
        <v>EC</v>
      </c>
    </row>
    <row r="47" spans="1:33" s="1" customFormat="1" x14ac:dyDescent="0.25">
      <c r="A47" s="49" t="s">
        <v>469</v>
      </c>
      <c r="B47" s="7">
        <v>4042</v>
      </c>
      <c r="C47" s="26" t="s">
        <v>59</v>
      </c>
      <c r="D47" s="26" t="s">
        <v>171</v>
      </c>
      <c r="E47" s="16">
        <v>42573.325868055559</v>
      </c>
      <c r="F47" s="16">
        <v>42573.326886574076</v>
      </c>
      <c r="G47" s="7">
        <v>1</v>
      </c>
      <c r="H47" s="16" t="s">
        <v>168</v>
      </c>
      <c r="I47" s="16">
        <v>42573.35800925926</v>
      </c>
      <c r="J47" s="7">
        <v>1</v>
      </c>
      <c r="K47" s="26" t="str">
        <f t="shared" si="3"/>
        <v>4041/4042</v>
      </c>
      <c r="L47" s="26" t="str">
        <f>VLOOKUP(A47,'Trips&amp;Operators'!$C$1:$E$10000,3,FALSE)</f>
        <v>BRANNON</v>
      </c>
      <c r="M47" s="6">
        <f t="shared" si="4"/>
        <v>3.1122685184527654E-2</v>
      </c>
      <c r="N47" s="7">
        <f t="shared" si="5"/>
        <v>44.816666665719822</v>
      </c>
      <c r="O47" s="7"/>
      <c r="P47" s="7"/>
      <c r="Q47" s="27"/>
      <c r="R47" s="27"/>
      <c r="S47" s="45">
        <f t="shared" si="6"/>
        <v>1</v>
      </c>
      <c r="T47" s="69" t="str">
        <f t="shared" si="7"/>
        <v>NorthBound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06:49:15-0600',mode:absolute,to:'2016-07-22 09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7" s="74" t="str">
        <f t="shared" si="9"/>
        <v>N</v>
      </c>
      <c r="X47" s="92">
        <f t="shared" si="10"/>
        <v>2</v>
      </c>
      <c r="Y47" s="89">
        <f t="shared" si="11"/>
        <v>4.7300000000000002E-2</v>
      </c>
      <c r="Z47" s="89">
        <f t="shared" si="12"/>
        <v>23.3293</v>
      </c>
      <c r="AA47" s="89">
        <f t="shared" si="13"/>
        <v>23.282</v>
      </c>
      <c r="AB47" s="86" t="e">
        <f>VLOOKUP(A47,Enforcements!$C$7:$J$24,8,0)</f>
        <v>#N/A</v>
      </c>
      <c r="AC47" s="82" t="e">
        <f>VLOOKUP(A47,Enforcements!$C$7:$E$24,3,0)</f>
        <v>#N/A</v>
      </c>
      <c r="AD47" s="83" t="str">
        <f t="shared" si="14"/>
        <v>0135-22</v>
      </c>
      <c r="AE47" s="75" t="str">
        <f t="shared" si="15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47" s="75" t="str">
        <f t="shared" si="16"/>
        <v>"C:\Program Files (x86)\AstroGrep\AstroGrep.exe" /spath="C:\Users\stu\Documents\Analysis\2016-02-23 RTDC Observations" /stypes="*4042*20160722*" /stext=" 14:.+((prompt.+disp)|(slice.+state.+chan)|(ment ac)|(system.+state.+chan)|(\|lc)|(penalty)|(\[timeout))" /e /r /s</v>
      </c>
      <c r="AG47" s="1" t="str">
        <f t="shared" si="17"/>
        <v>EC</v>
      </c>
    </row>
    <row r="48" spans="1:33" s="1" customFormat="1" x14ac:dyDescent="0.25">
      <c r="A48" s="49" t="s">
        <v>470</v>
      </c>
      <c r="B48" s="7">
        <v>4041</v>
      </c>
      <c r="C48" s="26" t="s">
        <v>59</v>
      </c>
      <c r="D48" s="26" t="s">
        <v>259</v>
      </c>
      <c r="E48" s="16">
        <v>42573.370034722226</v>
      </c>
      <c r="F48" s="16">
        <v>42573.371111111112</v>
      </c>
      <c r="G48" s="7">
        <v>1</v>
      </c>
      <c r="H48" s="16" t="s">
        <v>176</v>
      </c>
      <c r="I48" s="16">
        <v>42573.397592592592</v>
      </c>
      <c r="J48" s="7">
        <v>0</v>
      </c>
      <c r="K48" s="26" t="str">
        <f t="shared" si="3"/>
        <v>4041/4042</v>
      </c>
      <c r="L48" s="26" t="str">
        <f>VLOOKUP(A48,'Trips&amp;Operators'!$C$1:$E$10000,3,FALSE)</f>
        <v>BRANNON</v>
      </c>
      <c r="M48" s="6">
        <f t="shared" si="4"/>
        <v>2.6481481480004732E-2</v>
      </c>
      <c r="N48" s="7">
        <f t="shared" si="5"/>
        <v>38.133333331206813</v>
      </c>
      <c r="O48" s="7"/>
      <c r="P48" s="7"/>
      <c r="Q48" s="27"/>
      <c r="R48" s="27"/>
      <c r="S48" s="45">
        <f t="shared" si="6"/>
        <v>1</v>
      </c>
      <c r="T48" s="69" t="str">
        <f t="shared" si="7"/>
        <v>Southbound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07:52:51-0600',mode:absolute,to:'2016-07-22 10:32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8" s="74" t="str">
        <f t="shared" si="9"/>
        <v>N</v>
      </c>
      <c r="X48" s="92">
        <f t="shared" si="10"/>
        <v>1</v>
      </c>
      <c r="Y48" s="89">
        <f t="shared" si="11"/>
        <v>23.299099999999999</v>
      </c>
      <c r="Z48" s="89">
        <f t="shared" si="12"/>
        <v>1.6899999999999998E-2</v>
      </c>
      <c r="AA48" s="89">
        <f t="shared" si="13"/>
        <v>23.2822</v>
      </c>
      <c r="AB48" s="86" t="e">
        <f>VLOOKUP(A48,Enforcements!$C$7:$J$24,8,0)</f>
        <v>#N/A</v>
      </c>
      <c r="AC48" s="82" t="e">
        <f>VLOOKUP(A48,Enforcements!$C$7:$E$24,3,0)</f>
        <v>#N/A</v>
      </c>
      <c r="AD48" s="83" t="str">
        <f t="shared" si="14"/>
        <v>0136-22</v>
      </c>
      <c r="AE48" s="75" t="str">
        <f t="shared" si="15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48" s="75" t="str">
        <f t="shared" si="16"/>
        <v>"C:\Program Files (x86)\AstroGrep\AstroGrep.exe" /spath="C:\Users\stu\Documents\Analysis\2016-02-23 RTDC Observations" /stypes="*4041*20160722*" /stext=" 15:.+((prompt.+disp)|(slice.+state.+chan)|(ment ac)|(system.+state.+chan)|(\|lc)|(penalty)|(\[timeout))" /e /r /s</v>
      </c>
      <c r="AG48" s="1" t="str">
        <f t="shared" si="17"/>
        <v>EC</v>
      </c>
    </row>
    <row r="49" spans="1:33" s="1" customFormat="1" x14ac:dyDescent="0.25">
      <c r="A49" s="49" t="s">
        <v>471</v>
      </c>
      <c r="B49" s="7">
        <v>4044</v>
      </c>
      <c r="C49" s="26" t="s">
        <v>59</v>
      </c>
      <c r="D49" s="26" t="s">
        <v>154</v>
      </c>
      <c r="E49" s="16">
        <v>42573.340150462966</v>
      </c>
      <c r="F49" s="16">
        <v>42573.341157407405</v>
      </c>
      <c r="G49" s="7">
        <v>1</v>
      </c>
      <c r="H49" s="16" t="s">
        <v>472</v>
      </c>
      <c r="I49" s="16">
        <v>42573.368541666663</v>
      </c>
      <c r="J49" s="7">
        <v>0</v>
      </c>
      <c r="K49" s="26" t="str">
        <f t="shared" si="3"/>
        <v>4043/4044</v>
      </c>
      <c r="L49" s="26" t="str">
        <f>VLOOKUP(A49,'Trips&amp;Operators'!$C$1:$E$10000,3,FALSE)</f>
        <v>GEBRETEKLE</v>
      </c>
      <c r="M49" s="6">
        <f t="shared" si="4"/>
        <v>2.7384259257814847E-2</v>
      </c>
      <c r="N49" s="7">
        <f t="shared" si="5"/>
        <v>39.43333333125338</v>
      </c>
      <c r="O49" s="7"/>
      <c r="P49" s="7"/>
      <c r="Q49" s="27"/>
      <c r="R49" s="27"/>
      <c r="S49" s="45">
        <f t="shared" si="6"/>
        <v>1</v>
      </c>
      <c r="T49" s="69" t="str">
        <f t="shared" si="7"/>
        <v>NorthBound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07:09:49-0600',mode:absolute,to:'2016-07-22 09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9" s="74" t="str">
        <f t="shared" si="9"/>
        <v>N</v>
      </c>
      <c r="X49" s="92">
        <f t="shared" si="10"/>
        <v>1</v>
      </c>
      <c r="Y49" s="89">
        <f t="shared" si="11"/>
        <v>4.6199999999999998E-2</v>
      </c>
      <c r="Z49" s="89">
        <f t="shared" si="12"/>
        <v>23.3278</v>
      </c>
      <c r="AA49" s="89">
        <f t="shared" si="13"/>
        <v>23.281600000000001</v>
      </c>
      <c r="AB49" s="86" t="e">
        <f>VLOOKUP(A49,Enforcements!$C$7:$J$24,8,0)</f>
        <v>#N/A</v>
      </c>
      <c r="AC49" s="82" t="e">
        <f>VLOOKUP(A49,Enforcements!$C$7:$E$24,3,0)</f>
        <v>#N/A</v>
      </c>
      <c r="AD49" s="83" t="str">
        <f t="shared" si="14"/>
        <v>0137-22</v>
      </c>
      <c r="AE49" s="75" t="str">
        <f t="shared" si="15"/>
        <v>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 &amp; 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</v>
      </c>
      <c r="AF49" s="75" t="str">
        <f t="shared" si="16"/>
        <v>"C:\Program Files (x86)\AstroGrep\AstroGrep.exe" /spath="C:\Users\stu\Documents\Analysis\2016-02-23 RTDC Observations" /stypes="*4044*20160722*" /stext=" 14:.+((prompt.+disp)|(slice.+state.+chan)|(ment ac)|(system.+state.+chan)|(\|lc)|(penalty)|(\[timeout))" /e /r /s</v>
      </c>
      <c r="AG49" s="1" t="str">
        <f t="shared" si="17"/>
        <v>EC</v>
      </c>
    </row>
    <row r="50" spans="1:33" s="1" customFormat="1" x14ac:dyDescent="0.25">
      <c r="A50" s="49" t="s">
        <v>473</v>
      </c>
      <c r="B50" s="7">
        <v>4043</v>
      </c>
      <c r="C50" s="26" t="s">
        <v>59</v>
      </c>
      <c r="D50" s="26" t="s">
        <v>474</v>
      </c>
      <c r="E50" s="16">
        <v>42573.375636574077</v>
      </c>
      <c r="F50" s="16">
        <v>42573.37699074074</v>
      </c>
      <c r="G50" s="7">
        <v>1</v>
      </c>
      <c r="H50" s="16" t="s">
        <v>153</v>
      </c>
      <c r="I50" s="16">
        <v>42573.408252314817</v>
      </c>
      <c r="J50" s="7">
        <v>0</v>
      </c>
      <c r="K50" s="26" t="str">
        <f t="shared" si="3"/>
        <v>4043/4044</v>
      </c>
      <c r="L50" s="26" t="str">
        <f>VLOOKUP(A50,'Trips&amp;Operators'!$C$1:$E$10000,3,FALSE)</f>
        <v>GEBRETEKLE</v>
      </c>
      <c r="M50" s="6">
        <f t="shared" si="4"/>
        <v>3.1261574076779652E-2</v>
      </c>
      <c r="N50" s="7">
        <f t="shared" si="5"/>
        <v>45.016666670562699</v>
      </c>
      <c r="O50" s="7"/>
      <c r="P50" s="7"/>
      <c r="Q50" s="27"/>
      <c r="R50" s="27"/>
      <c r="S50" s="45">
        <f t="shared" si="6"/>
        <v>1</v>
      </c>
      <c r="T50" s="69" t="str">
        <f t="shared" si="7"/>
        <v>Southbound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08:00:55-0600',mode:absolute,to:'2016-07-22 10:47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0" s="74" t="str">
        <f t="shared" si="9"/>
        <v>N</v>
      </c>
      <c r="X50" s="92">
        <f t="shared" si="10"/>
        <v>1</v>
      </c>
      <c r="Y50" s="89">
        <f t="shared" si="11"/>
        <v>23.296500000000002</v>
      </c>
      <c r="Z50" s="89">
        <f t="shared" si="12"/>
        <v>1.3899999999999999E-2</v>
      </c>
      <c r="AA50" s="89">
        <f t="shared" si="13"/>
        <v>23.282600000000002</v>
      </c>
      <c r="AB50" s="86" t="e">
        <f>VLOOKUP(A50,Enforcements!$C$7:$J$24,8,0)</f>
        <v>#N/A</v>
      </c>
      <c r="AC50" s="82" t="e">
        <f>VLOOKUP(A50,Enforcements!$C$7:$E$24,3,0)</f>
        <v>#N/A</v>
      </c>
      <c r="AD50" s="83" t="str">
        <f t="shared" si="14"/>
        <v>0138-22</v>
      </c>
      <c r="AE50" s="75" t="str">
        <f t="shared" si="15"/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AF50" s="75" t="str">
        <f t="shared" si="16"/>
        <v>"C:\Program Files (x86)\AstroGrep\AstroGrep.exe" /spath="C:\Users\stu\Documents\Analysis\2016-02-23 RTDC Observations" /stypes="*4043*20160722*" /stext=" 15:.+((prompt.+disp)|(slice.+state.+chan)|(ment ac)|(system.+state.+chan)|(\|lc)|(penalty)|(\[timeout))" /e /r /s</v>
      </c>
      <c r="AG50" s="1" t="str">
        <f t="shared" si="17"/>
        <v>EC</v>
      </c>
    </row>
    <row r="51" spans="1:33" x14ac:dyDescent="0.25">
      <c r="A51" s="49" t="s">
        <v>475</v>
      </c>
      <c r="B51" s="7">
        <v>4027</v>
      </c>
      <c r="C51" s="26" t="s">
        <v>59</v>
      </c>
      <c r="D51" s="26" t="s">
        <v>476</v>
      </c>
      <c r="E51" s="16">
        <v>42573.34888888889</v>
      </c>
      <c r="F51" s="16">
        <v>42573.349918981483</v>
      </c>
      <c r="G51" s="7">
        <v>1</v>
      </c>
      <c r="H51" s="16" t="s">
        <v>477</v>
      </c>
      <c r="I51" s="16">
        <v>42573.379050925927</v>
      </c>
      <c r="J51" s="7">
        <v>0</v>
      </c>
      <c r="K51" s="26" t="str">
        <f t="shared" si="3"/>
        <v>4027/4028</v>
      </c>
      <c r="L51" s="26" t="str">
        <f>VLOOKUP(A51,'Trips&amp;Operators'!$C$1:$E$10000,3,FALSE)</f>
        <v>SPECTOR</v>
      </c>
      <c r="M51" s="6">
        <f t="shared" si="4"/>
        <v>2.9131944444088731E-2</v>
      </c>
      <c r="N51" s="7">
        <f t="shared" si="5"/>
        <v>41.949999999487773</v>
      </c>
      <c r="O51" s="7"/>
      <c r="P51" s="7"/>
      <c r="Q51" s="27"/>
      <c r="R51" s="27"/>
      <c r="S51" s="45">
        <f t="shared" si="6"/>
        <v>1</v>
      </c>
      <c r="T51" s="69" t="str">
        <f t="shared" si="7"/>
        <v>NorthBound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07:22:24-0600',mode:absolute,to:'2016-07-22 10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74" t="str">
        <f t="shared" si="9"/>
        <v>N</v>
      </c>
      <c r="X51" s="92">
        <f t="shared" si="10"/>
        <v>1</v>
      </c>
      <c r="Y51" s="89">
        <f t="shared" si="11"/>
        <v>4.82E-2</v>
      </c>
      <c r="Z51" s="89">
        <f t="shared" si="12"/>
        <v>23.331700000000001</v>
      </c>
      <c r="AA51" s="89">
        <f t="shared" si="13"/>
        <v>23.2835</v>
      </c>
      <c r="AB51" s="86" t="e">
        <f>VLOOKUP(A51,Enforcements!$C$7:$J$24,8,0)</f>
        <v>#N/A</v>
      </c>
      <c r="AC51" s="82" t="e">
        <f>VLOOKUP(A51,Enforcements!$C$7:$E$24,3,0)</f>
        <v>#N/A</v>
      </c>
      <c r="AD51" s="83" t="str">
        <f t="shared" si="14"/>
        <v>0139-22</v>
      </c>
      <c r="AE51" s="75" t="str">
        <f t="shared" si="15"/>
        <v>aws s3 cp s3://rtdc.mdm.uploadarchive/RTDC4027/2016-07-22/ "C:\Users\stu\Documents\Analysis\2016-02-23 RTDC Observations"\RTDC4027\2016-07-22 --recursive &amp; "C:\Users\stu\Documents\GitHub\mrs-test-scripts\Headless Mode &amp; Sideloading\WalkAndUnGZ.bat" "C:\Users\stu\Documents\Analysis\2016-02-23 RTDC Observations"\RTDC4027\2016-07-22 &amp; aws s3 cp s3://rtdc.mdm.uploadarchive/RTDC4027/2016-07-23/ "C:\Users\stu\Documents\Analysis\2016-02-23 RTDC Observations"\RTDC4027\2016-07-23 --recursive &amp; "C:\Users\stu\Documents\GitHub\mrs-test-scripts\Headless Mode &amp; Sideloading\WalkAndUnGZ.bat" "C:\Users\stu\Documents\Analysis\2016-02-23 RTDC Observations"\RTDC4027\2016-07-23</v>
      </c>
      <c r="AF51" s="75" t="str">
        <f t="shared" si="16"/>
        <v>"C:\Program Files (x86)\AstroGrep\AstroGrep.exe" /spath="C:\Users\stu\Documents\Analysis\2016-02-23 RTDC Observations" /stypes="*4027*20160722*" /stext=" 15:.+((prompt.+disp)|(slice.+state.+chan)|(ment ac)|(system.+state.+chan)|(\|lc)|(penalty)|(\[timeout))" /e /r /s</v>
      </c>
      <c r="AG51" s="1" t="str">
        <f t="shared" si="17"/>
        <v>EC</v>
      </c>
    </row>
    <row r="52" spans="1:33" x14ac:dyDescent="0.25">
      <c r="A52" s="64" t="s">
        <v>478</v>
      </c>
      <c r="B52" s="7">
        <v>4028</v>
      </c>
      <c r="C52" s="26" t="s">
        <v>59</v>
      </c>
      <c r="D52" s="26" t="s">
        <v>435</v>
      </c>
      <c r="E52" s="16">
        <v>42573.391539351855</v>
      </c>
      <c r="F52" s="16">
        <v>42573.392754629633</v>
      </c>
      <c r="G52" s="7">
        <v>1</v>
      </c>
      <c r="H52" s="16" t="s">
        <v>165</v>
      </c>
      <c r="I52" s="16">
        <v>42573.419652777775</v>
      </c>
      <c r="J52" s="7">
        <v>0</v>
      </c>
      <c r="K52" s="26" t="str">
        <f t="shared" si="3"/>
        <v>4027/4028</v>
      </c>
      <c r="L52" s="26" t="str">
        <f>VLOOKUP(A52,'Trips&amp;Operators'!$C$1:$E$10000,3,FALSE)</f>
        <v>SPECTOR</v>
      </c>
      <c r="M52" s="6">
        <f t="shared" si="4"/>
        <v>2.6898148142208811E-2</v>
      </c>
      <c r="N52" s="7">
        <f t="shared" si="5"/>
        <v>38.733333324780688</v>
      </c>
      <c r="O52" s="7"/>
      <c r="P52" s="7"/>
      <c r="Q52" s="27"/>
      <c r="R52" s="27"/>
      <c r="S52" s="45">
        <f t="shared" si="6"/>
        <v>1</v>
      </c>
      <c r="T52" s="69" t="str">
        <f t="shared" si="7"/>
        <v>Southbound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08:23:49-0600',mode:absolute,to:'2016-07-22 11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74" t="str">
        <f t="shared" si="9"/>
        <v>N</v>
      </c>
      <c r="X52" s="92">
        <f t="shared" si="10"/>
        <v>1</v>
      </c>
      <c r="Y52" s="89">
        <f t="shared" si="11"/>
        <v>23.3002</v>
      </c>
      <c r="Z52" s="89">
        <f t="shared" si="12"/>
        <v>1.41E-2</v>
      </c>
      <c r="AA52" s="89">
        <f t="shared" si="13"/>
        <v>23.286100000000001</v>
      </c>
      <c r="AB52" s="86" t="e">
        <f>VLOOKUP(A52,Enforcements!$C$7:$J$24,8,0)</f>
        <v>#N/A</v>
      </c>
      <c r="AC52" s="82" t="e">
        <f>VLOOKUP(A52,Enforcements!$C$7:$E$24,3,0)</f>
        <v>#N/A</v>
      </c>
      <c r="AD52" s="83" t="str">
        <f t="shared" si="14"/>
        <v>0140-22</v>
      </c>
      <c r="AE52" s="75" t="str">
        <f t="shared" si="15"/>
        <v>aws s3 cp s3://rtdc.mdm.uploadarchive/RTDC4028/2016-07-22/ "C:\Users\stu\Documents\Analysis\2016-02-23 RTDC Observations"\RTDC4028\2016-07-22 --recursive &amp; "C:\Users\stu\Documents\GitHub\mrs-test-scripts\Headless Mode &amp; Sideloading\WalkAndUnGZ.bat" "C:\Users\stu\Documents\Analysis\2016-02-23 RTDC Observations"\RTDC4028\2016-07-22 &amp; aws s3 cp s3://rtdc.mdm.uploadarchive/RTDC4028/2016-07-23/ "C:\Users\stu\Documents\Analysis\2016-02-23 RTDC Observations"\RTDC4028\2016-07-23 --recursive &amp; "C:\Users\stu\Documents\GitHub\mrs-test-scripts\Headless Mode &amp; Sideloading\WalkAndUnGZ.bat" "C:\Users\stu\Documents\Analysis\2016-02-23 RTDC Observations"\RTDC4028\2016-07-23</v>
      </c>
      <c r="AF52" s="75" t="str">
        <f t="shared" si="16"/>
        <v>"C:\Program Files (x86)\AstroGrep\AstroGrep.exe" /spath="C:\Users\stu\Documents\Analysis\2016-02-23 RTDC Observations" /stypes="*4028*20160722*" /stext=" 16:.+((prompt.+disp)|(slice.+state.+chan)|(ment ac)|(system.+state.+chan)|(\|lc)|(penalty)|(\[timeout))" /e /r /s</v>
      </c>
      <c r="AG52" s="1" t="str">
        <f t="shared" si="17"/>
        <v>EC</v>
      </c>
    </row>
    <row r="53" spans="1:33" s="1" customFormat="1" x14ac:dyDescent="0.25">
      <c r="A53" s="49" t="s">
        <v>479</v>
      </c>
      <c r="B53" s="7">
        <v>4014</v>
      </c>
      <c r="C53" s="26" t="s">
        <v>59</v>
      </c>
      <c r="D53" s="26" t="s">
        <v>169</v>
      </c>
      <c r="E53" s="16">
        <v>42573.360462962963</v>
      </c>
      <c r="F53" s="16">
        <v>42573.361527777779</v>
      </c>
      <c r="G53" s="7">
        <v>1</v>
      </c>
      <c r="H53" s="16" t="s">
        <v>175</v>
      </c>
      <c r="I53" s="16">
        <v>42573.389432870368</v>
      </c>
      <c r="J53" s="7">
        <v>0</v>
      </c>
      <c r="K53" s="26" t="str">
        <f t="shared" si="3"/>
        <v>4013/4014</v>
      </c>
      <c r="L53" s="26" t="str">
        <f>VLOOKUP(A53,'Trips&amp;Operators'!$C$1:$E$10000,3,FALSE)</f>
        <v>MAELZER</v>
      </c>
      <c r="M53" s="6">
        <f t="shared" si="4"/>
        <v>2.7905092589207925E-2</v>
      </c>
      <c r="N53" s="7">
        <f t="shared" si="5"/>
        <v>40.183333328459412</v>
      </c>
      <c r="O53" s="7"/>
      <c r="P53" s="7"/>
      <c r="Q53" s="27"/>
      <c r="R53" s="27"/>
      <c r="S53" s="45">
        <f t="shared" si="6"/>
        <v>1</v>
      </c>
      <c r="T53" s="69" t="str">
        <f t="shared" si="7"/>
        <v>NorthBound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07:39:04-0600',mode:absolute,to:'2016-07-22 10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3" s="74" t="str">
        <f t="shared" si="9"/>
        <v>N</v>
      </c>
      <c r="X53" s="92">
        <f t="shared" si="10"/>
        <v>1</v>
      </c>
      <c r="Y53" s="89">
        <f t="shared" si="11"/>
        <v>4.4900000000000002E-2</v>
      </c>
      <c r="Z53" s="89">
        <f t="shared" si="12"/>
        <v>23.330300000000001</v>
      </c>
      <c r="AA53" s="89">
        <f t="shared" si="13"/>
        <v>23.285400000000003</v>
      </c>
      <c r="AB53" s="86" t="e">
        <f>VLOOKUP(A53,Enforcements!$C$7:$J$24,8,0)</f>
        <v>#N/A</v>
      </c>
      <c r="AC53" s="82" t="e">
        <f>VLOOKUP(A53,Enforcements!$C$7:$E$24,3,0)</f>
        <v>#N/A</v>
      </c>
      <c r="AD53" s="83" t="str">
        <f t="shared" si="14"/>
        <v>0141-22</v>
      </c>
      <c r="AE53" s="75" t="str">
        <f t="shared" si="15"/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AF53" s="75" t="str">
        <f t="shared" si="16"/>
        <v>"C:\Program Files (x86)\AstroGrep\AstroGrep.exe" /spath="C:\Users\stu\Documents\Analysis\2016-02-23 RTDC Observations" /stypes="*4014*20160722*" /stext=" 15:.+((prompt.+disp)|(slice.+state.+chan)|(ment ac)|(system.+state.+chan)|(\|lc)|(penalty)|(\[timeout))" /e /r /s</v>
      </c>
      <c r="AG53" s="1" t="str">
        <f t="shared" si="17"/>
        <v>EC</v>
      </c>
    </row>
    <row r="54" spans="1:33" x14ac:dyDescent="0.25">
      <c r="A54" s="49" t="s">
        <v>480</v>
      </c>
      <c r="B54" s="7">
        <v>4013</v>
      </c>
      <c r="C54" s="26" t="s">
        <v>59</v>
      </c>
      <c r="D54" s="26" t="s">
        <v>156</v>
      </c>
      <c r="E54" s="16">
        <v>42573.397638888891</v>
      </c>
      <c r="F54" s="16">
        <v>42573.399340277778</v>
      </c>
      <c r="G54" s="7">
        <v>2</v>
      </c>
      <c r="H54" s="16" t="s">
        <v>299</v>
      </c>
      <c r="I54" s="16">
        <v>42573.432974537034</v>
      </c>
      <c r="J54" s="7">
        <v>0</v>
      </c>
      <c r="K54" s="26" t="str">
        <f t="shared" si="3"/>
        <v>4013/4014</v>
      </c>
      <c r="L54" s="26" t="str">
        <f>VLOOKUP(A54,'Trips&amp;Operators'!$C$1:$E$10000,3,FALSE)</f>
        <v>MAELZER</v>
      </c>
      <c r="M54" s="6">
        <f t="shared" si="4"/>
        <v>3.3634259256359655E-2</v>
      </c>
      <c r="N54" s="7">
        <f t="shared" si="5"/>
        <v>48.433333329157904</v>
      </c>
      <c r="O54" s="7"/>
      <c r="P54" s="7"/>
      <c r="Q54" s="27"/>
      <c r="R54" s="27"/>
      <c r="S54" s="45">
        <f t="shared" si="6"/>
        <v>1</v>
      </c>
      <c r="T54" s="69" t="str">
        <f t="shared" si="7"/>
        <v>Southbound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08:32:36-0600',mode:absolute,to:'2016-07-22 11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4" s="74" t="str">
        <f t="shared" si="9"/>
        <v>N</v>
      </c>
      <c r="X54" s="92">
        <f t="shared" si="10"/>
        <v>1</v>
      </c>
      <c r="Y54" s="89">
        <f t="shared" si="11"/>
        <v>23.298200000000001</v>
      </c>
      <c r="Z54" s="89">
        <f t="shared" si="12"/>
        <v>1.47E-2</v>
      </c>
      <c r="AA54" s="89">
        <f t="shared" si="13"/>
        <v>23.2835</v>
      </c>
      <c r="AB54" s="86" t="e">
        <f>VLOOKUP(A54,Enforcements!$C$7:$J$24,8,0)</f>
        <v>#N/A</v>
      </c>
      <c r="AC54" s="82" t="e">
        <f>VLOOKUP(A54,Enforcements!$C$7:$E$24,3,0)</f>
        <v>#N/A</v>
      </c>
      <c r="AD54" s="83" t="str">
        <f t="shared" si="14"/>
        <v>0142-22</v>
      </c>
      <c r="AE54" s="75" t="str">
        <f t="shared" si="15"/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AF54" s="75" t="str">
        <f t="shared" si="16"/>
        <v>"C:\Program Files (x86)\AstroGrep\AstroGrep.exe" /spath="C:\Users\stu\Documents\Analysis\2016-02-23 RTDC Observations" /stypes="*4013*20160722*" /stext=" 16:.+((prompt.+disp)|(slice.+state.+chan)|(ment ac)|(system.+state.+chan)|(\|lc)|(penalty)|(\[timeout))" /e /r /s</v>
      </c>
      <c r="AG54" s="1" t="str">
        <f t="shared" si="17"/>
        <v>EC</v>
      </c>
    </row>
    <row r="55" spans="1:33" x14ac:dyDescent="0.25">
      <c r="A55" s="49" t="s">
        <v>481</v>
      </c>
      <c r="B55" s="7">
        <v>4038</v>
      </c>
      <c r="C55" s="26" t="s">
        <v>59</v>
      </c>
      <c r="D55" s="26" t="s">
        <v>482</v>
      </c>
      <c r="E55" s="16">
        <v>42573.372893518521</v>
      </c>
      <c r="F55" s="16">
        <v>42573.373854166668</v>
      </c>
      <c r="G55" s="7">
        <v>1</v>
      </c>
      <c r="H55" s="16" t="s">
        <v>159</v>
      </c>
      <c r="I55" s="16">
        <v>42573.400520833333</v>
      </c>
      <c r="J55" s="7">
        <v>0</v>
      </c>
      <c r="K55" s="26" t="str">
        <f t="shared" si="3"/>
        <v>4037/4038</v>
      </c>
      <c r="L55" s="26" t="str">
        <f>VLOOKUP(A55,'Trips&amp;Operators'!$C$1:$E$10000,3,FALSE)</f>
        <v>ROCHA</v>
      </c>
      <c r="M55" s="6">
        <f t="shared" si="4"/>
        <v>2.6666666664823424E-2</v>
      </c>
      <c r="N55" s="7">
        <f t="shared" si="5"/>
        <v>38.399999997345731</v>
      </c>
      <c r="O55" s="7"/>
      <c r="P55" s="7"/>
      <c r="Q55" s="27"/>
      <c r="R55" s="27"/>
      <c r="S55" s="45">
        <f t="shared" si="6"/>
        <v>1</v>
      </c>
      <c r="T55" s="69" t="str">
        <f t="shared" si="7"/>
        <v>NorthBound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07:56:58-0600',mode:absolute,to:'2016-07-22 10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5" s="74" t="str">
        <f t="shared" si="9"/>
        <v>N</v>
      </c>
      <c r="X55" s="92">
        <f t="shared" si="10"/>
        <v>1</v>
      </c>
      <c r="Y55" s="89">
        <f t="shared" si="11"/>
        <v>4.6899999999999997E-2</v>
      </c>
      <c r="Z55" s="89">
        <f t="shared" si="12"/>
        <v>23.331199999999999</v>
      </c>
      <c r="AA55" s="89">
        <f t="shared" si="13"/>
        <v>23.284299999999998</v>
      </c>
      <c r="AB55" s="86" t="e">
        <f>VLOOKUP(A55,Enforcements!$C$7:$J$24,8,0)</f>
        <v>#N/A</v>
      </c>
      <c r="AC55" s="82" t="e">
        <f>VLOOKUP(A55,Enforcements!$C$7:$E$24,3,0)</f>
        <v>#N/A</v>
      </c>
      <c r="AD55" s="83" t="str">
        <f t="shared" si="14"/>
        <v>0143-22</v>
      </c>
      <c r="AE55" s="75" t="str">
        <f t="shared" si="15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55" s="75" t="str">
        <f t="shared" si="16"/>
        <v>"C:\Program Files (x86)\AstroGrep\AstroGrep.exe" /spath="C:\Users\stu\Documents\Analysis\2016-02-23 RTDC Observations" /stypes="*4038*20160722*" /stext=" 15:.+((prompt.+disp)|(slice.+state.+chan)|(ment ac)|(system.+state.+chan)|(\|lc)|(penalty)|(\[timeout))" /e /r /s</v>
      </c>
      <c r="AG55" s="1" t="str">
        <f t="shared" si="17"/>
        <v>EC</v>
      </c>
    </row>
    <row r="56" spans="1:33" x14ac:dyDescent="0.25">
      <c r="A56" s="49" t="s">
        <v>483</v>
      </c>
      <c r="B56" s="7">
        <v>4037</v>
      </c>
      <c r="C56" s="26" t="s">
        <v>59</v>
      </c>
      <c r="D56" s="26" t="s">
        <v>250</v>
      </c>
      <c r="E56" s="16">
        <v>42573.413078703707</v>
      </c>
      <c r="F56" s="16">
        <v>42573.413935185185</v>
      </c>
      <c r="G56" s="7">
        <v>1</v>
      </c>
      <c r="H56" s="16" t="s">
        <v>103</v>
      </c>
      <c r="I56" s="16">
        <v>42573.442835648151</v>
      </c>
      <c r="J56" s="7">
        <v>0</v>
      </c>
      <c r="K56" s="26" t="str">
        <f t="shared" si="3"/>
        <v>4037/4038</v>
      </c>
      <c r="L56" s="26" t="str">
        <f>VLOOKUP(A56,'Trips&amp;Operators'!$C$1:$E$10000,3,FALSE)</f>
        <v>ROCHA</v>
      </c>
      <c r="M56" s="6">
        <f t="shared" si="4"/>
        <v>2.8900462966703344E-2</v>
      </c>
      <c r="N56" s="7">
        <f t="shared" si="5"/>
        <v>41.616666672052816</v>
      </c>
      <c r="O56" s="7"/>
      <c r="P56" s="7"/>
      <c r="Q56" s="27"/>
      <c r="R56" s="27"/>
      <c r="S56" s="45">
        <f t="shared" si="6"/>
        <v>1</v>
      </c>
      <c r="T56" s="69" t="str">
        <f t="shared" si="7"/>
        <v>Southbound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08:54:50-0600',mode:absolute,to:'2016-07-22 11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6" s="74" t="str">
        <f t="shared" si="9"/>
        <v>N</v>
      </c>
      <c r="X56" s="92">
        <f t="shared" si="10"/>
        <v>1</v>
      </c>
      <c r="Y56" s="89">
        <f t="shared" si="11"/>
        <v>23.299299999999999</v>
      </c>
      <c r="Z56" s="89">
        <f t="shared" si="12"/>
        <v>1.43E-2</v>
      </c>
      <c r="AA56" s="89">
        <f t="shared" si="13"/>
        <v>23.285</v>
      </c>
      <c r="AB56" s="86" t="e">
        <f>VLOOKUP(A56,Enforcements!$C$7:$J$24,8,0)</f>
        <v>#N/A</v>
      </c>
      <c r="AC56" s="82" t="e">
        <f>VLOOKUP(A56,Enforcements!$C$7:$E$24,3,0)</f>
        <v>#N/A</v>
      </c>
      <c r="AD56" s="83" t="str">
        <f t="shared" si="14"/>
        <v>0144-22</v>
      </c>
      <c r="AE56" s="75" t="str">
        <f t="shared" si="15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56" s="75" t="str">
        <f t="shared" si="16"/>
        <v>"C:\Program Files (x86)\AstroGrep\AstroGrep.exe" /spath="C:\Users\stu\Documents\Analysis\2016-02-23 RTDC Observations" /stypes="*4037*20160722*" /stext=" 16:.+((prompt.+disp)|(slice.+state.+chan)|(ment ac)|(system.+state.+chan)|(\|lc)|(penalty)|(\[timeout))" /e /r /s</v>
      </c>
      <c r="AG56" s="1" t="str">
        <f t="shared" si="17"/>
        <v>EC</v>
      </c>
    </row>
    <row r="57" spans="1:33" x14ac:dyDescent="0.25">
      <c r="A57" s="49" t="s">
        <v>484</v>
      </c>
      <c r="B57" s="7">
        <v>4018</v>
      </c>
      <c r="C57" s="26" t="s">
        <v>59</v>
      </c>
      <c r="D57" s="26" t="s">
        <v>274</v>
      </c>
      <c r="E57" s="16">
        <v>42573.379988425928</v>
      </c>
      <c r="F57" s="16">
        <v>42573.380937499998</v>
      </c>
      <c r="G57" s="7">
        <v>1</v>
      </c>
      <c r="H57" s="16" t="s">
        <v>168</v>
      </c>
      <c r="I57" s="16">
        <v>42573.410266203704</v>
      </c>
      <c r="J57" s="7">
        <v>1</v>
      </c>
      <c r="K57" s="26" t="str">
        <f t="shared" si="3"/>
        <v>4017/4018</v>
      </c>
      <c r="L57" s="26" t="str">
        <f>VLOOKUP(A57,'Trips&amp;Operators'!$C$1:$E$10000,3,FALSE)</f>
        <v>NELSON</v>
      </c>
      <c r="M57" s="6">
        <f t="shared" si="4"/>
        <v>2.9328703705687076E-2</v>
      </c>
      <c r="N57" s="7">
        <f t="shared" si="5"/>
        <v>42.233333336189389</v>
      </c>
      <c r="O57" s="7"/>
      <c r="P57" s="7"/>
      <c r="Q57" s="27"/>
      <c r="R57" s="27"/>
      <c r="S57" s="45">
        <f t="shared" si="6"/>
        <v>1</v>
      </c>
      <c r="T57" s="69" t="str">
        <f t="shared" si="7"/>
        <v>NorthBound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08:07:11-0600',mode:absolute,to:'2016-07-22 10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7" s="74" t="str">
        <f t="shared" si="9"/>
        <v>N</v>
      </c>
      <c r="X57" s="92">
        <f t="shared" si="10"/>
        <v>1</v>
      </c>
      <c r="Y57" s="89">
        <f t="shared" si="11"/>
        <v>4.5699999999999998E-2</v>
      </c>
      <c r="Z57" s="89">
        <f t="shared" si="12"/>
        <v>23.3293</v>
      </c>
      <c r="AA57" s="89">
        <f t="shared" si="13"/>
        <v>23.2836</v>
      </c>
      <c r="AB57" s="86" t="e">
        <f>VLOOKUP(A57,Enforcements!$C$7:$J$24,8,0)</f>
        <v>#N/A</v>
      </c>
      <c r="AC57" s="82" t="e">
        <f>VLOOKUP(A57,Enforcements!$C$7:$E$24,3,0)</f>
        <v>#N/A</v>
      </c>
      <c r="AD57" s="83" t="str">
        <f t="shared" si="14"/>
        <v>0145-22</v>
      </c>
      <c r="AE57" s="75" t="str">
        <f t="shared" si="15"/>
        <v>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 &amp; 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</v>
      </c>
      <c r="AF57" s="75" t="str">
        <f t="shared" si="16"/>
        <v>"C:\Program Files (x86)\AstroGrep\AstroGrep.exe" /spath="C:\Users\stu\Documents\Analysis\2016-02-23 RTDC Observations" /stypes="*4018*20160722*" /stext=" 15:.+((prompt.+disp)|(slice.+state.+chan)|(ment ac)|(system.+state.+chan)|(\|lc)|(penalty)|(\[timeout))" /e /r /s</v>
      </c>
      <c r="AG57" s="1" t="str">
        <f t="shared" si="17"/>
        <v>EC</v>
      </c>
    </row>
    <row r="58" spans="1:33" x14ac:dyDescent="0.25">
      <c r="A58" s="49" t="s">
        <v>485</v>
      </c>
      <c r="B58" s="7">
        <v>4017</v>
      </c>
      <c r="C58" s="26" t="s">
        <v>59</v>
      </c>
      <c r="D58" s="26" t="s">
        <v>254</v>
      </c>
      <c r="E58" s="16">
        <v>42573.418819444443</v>
      </c>
      <c r="F58" s="16">
        <v>42573.419537037036</v>
      </c>
      <c r="G58" s="7">
        <v>1</v>
      </c>
      <c r="H58" s="16" t="s">
        <v>256</v>
      </c>
      <c r="I58" s="16">
        <v>42573.450474537036</v>
      </c>
      <c r="J58" s="7">
        <v>0</v>
      </c>
      <c r="K58" s="26" t="str">
        <f t="shared" si="3"/>
        <v>4017/4018</v>
      </c>
      <c r="L58" s="26" t="str">
        <f>VLOOKUP(A58,'Trips&amp;Operators'!$C$1:$E$10000,3,FALSE)</f>
        <v>NELSON</v>
      </c>
      <c r="M58" s="6">
        <f t="shared" si="4"/>
        <v>3.0937499999708962E-2</v>
      </c>
      <c r="N58" s="7">
        <f t="shared" si="5"/>
        <v>44.549999999580905</v>
      </c>
      <c r="O58" s="7"/>
      <c r="P58" s="7"/>
      <c r="Q58" s="27"/>
      <c r="R58" s="27"/>
      <c r="S58" s="45">
        <f t="shared" si="6"/>
        <v>1</v>
      </c>
      <c r="T58" s="69" t="str">
        <f t="shared" si="7"/>
        <v>Southbound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09:03:06-0600',mode:absolute,to:'2016-07-22 11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8" s="74" t="str">
        <f t="shared" si="9"/>
        <v>N</v>
      </c>
      <c r="X58" s="92">
        <f t="shared" si="10"/>
        <v>1</v>
      </c>
      <c r="Y58" s="89">
        <f t="shared" si="11"/>
        <v>23.2973</v>
      </c>
      <c r="Z58" s="89">
        <f t="shared" si="12"/>
        <v>1.49E-2</v>
      </c>
      <c r="AA58" s="89">
        <f t="shared" si="13"/>
        <v>23.282399999999999</v>
      </c>
      <c r="AB58" s="86" t="e">
        <f>VLOOKUP(A58,Enforcements!$C$7:$J$24,8,0)</f>
        <v>#N/A</v>
      </c>
      <c r="AC58" s="82" t="e">
        <f>VLOOKUP(A58,Enforcements!$C$7:$E$24,3,0)</f>
        <v>#N/A</v>
      </c>
      <c r="AD58" s="83" t="str">
        <f t="shared" si="14"/>
        <v>0146-22</v>
      </c>
      <c r="AE58" s="75" t="str">
        <f t="shared" si="15"/>
        <v>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 &amp; 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</v>
      </c>
      <c r="AF58" s="75" t="str">
        <f t="shared" si="16"/>
        <v>"C:\Program Files (x86)\AstroGrep\AstroGrep.exe" /spath="C:\Users\stu\Documents\Analysis\2016-02-23 RTDC Observations" /stypes="*4017*20160722*" /stext=" 16:.+((prompt.+disp)|(slice.+state.+chan)|(ment ac)|(system.+state.+chan)|(\|lc)|(penalty)|(\[timeout))" /e /r /s</v>
      </c>
      <c r="AG58" s="1" t="str">
        <f t="shared" si="17"/>
        <v>EC</v>
      </c>
    </row>
    <row r="59" spans="1:33" x14ac:dyDescent="0.25">
      <c r="A59" s="49" t="s">
        <v>486</v>
      </c>
      <c r="B59" s="7">
        <v>4040</v>
      </c>
      <c r="C59" s="26" t="s">
        <v>59</v>
      </c>
      <c r="D59" s="26" t="s">
        <v>487</v>
      </c>
      <c r="E59" s="16">
        <v>42573.399317129632</v>
      </c>
      <c r="F59" s="16">
        <v>42573.400393518517</v>
      </c>
      <c r="G59" s="7">
        <v>1</v>
      </c>
      <c r="H59" s="16" t="s">
        <v>488</v>
      </c>
      <c r="I59" s="16">
        <v>42573.402881944443</v>
      </c>
      <c r="J59" s="7">
        <v>2</v>
      </c>
      <c r="K59" s="26" t="str">
        <f t="shared" si="3"/>
        <v>4039/4040</v>
      </c>
      <c r="L59" s="26" t="str">
        <f>VLOOKUP(A59,'Trips&amp;Operators'!$C$1:$E$10000,3,FALSE)</f>
        <v>MALAVE</v>
      </c>
      <c r="M59" s="6">
        <f t="shared" si="4"/>
        <v>2.488425925548654E-3</v>
      </c>
      <c r="N59" s="7"/>
      <c r="O59" s="7"/>
      <c r="P59" s="7">
        <f>24*60*SUM($M59:$M61)</f>
        <v>40.883333324454725</v>
      </c>
      <c r="Q59" s="27"/>
      <c r="R59" s="27" t="s">
        <v>640</v>
      </c>
      <c r="S59" s="45">
        <f>SUM(U59:U61)/12</f>
        <v>0.75</v>
      </c>
      <c r="T59" s="69" t="str">
        <f t="shared" si="7"/>
        <v>NorthBound</v>
      </c>
      <c r="U59" s="96">
        <f>COUNTIFS(Variables!$M$2:$M$19,IF(T59="NorthBound","&gt;=","&lt;=")&amp;Y59,Variables!$M$2:$M$19,IF(T59="NorthBound","&lt;=","&gt;=")&amp;Z59)</f>
        <v>0</v>
      </c>
      <c r="V5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08:35:01-0600',mode:absolute,to:'2016-07-22 10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9" s="74" t="str">
        <f t="shared" si="9"/>
        <v>Y</v>
      </c>
      <c r="X59" s="92">
        <f t="shared" si="10"/>
        <v>1</v>
      </c>
      <c r="Y59" s="89">
        <f t="shared" si="11"/>
        <v>1.913</v>
      </c>
      <c r="Z59" s="89">
        <f t="shared" si="12"/>
        <v>2.0407999999999999</v>
      </c>
      <c r="AA59" s="89">
        <f t="shared" si="13"/>
        <v>0.12779999999999991</v>
      </c>
      <c r="AB59" s="86">
        <f>VLOOKUP(A59,Enforcements!$C$7:$J$24,8,0)</f>
        <v>20617</v>
      </c>
      <c r="AC59" s="82" t="str">
        <f>VLOOKUP(A59,Enforcements!$C$7:$E$24,3,0)</f>
        <v>SIGNAL</v>
      </c>
      <c r="AD59" s="83" t="str">
        <f t="shared" si="14"/>
        <v>0147-22</v>
      </c>
      <c r="AE59" s="75" t="str">
        <f t="shared" si="15"/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AF59" s="75" t="str">
        <f t="shared" si="16"/>
        <v>"C:\Program Files (x86)\AstroGrep\AstroGrep.exe" /spath="C:\Users\stu\Documents\Analysis\2016-02-23 RTDC Observations" /stypes="*4040*20160722*" /stext=" 15:.+((prompt.+disp)|(slice.+state.+chan)|(ment ac)|(system.+state.+chan)|(\|lc)|(penalty)|(\[timeout))" /e /r /s</v>
      </c>
      <c r="AG59" s="1" t="str">
        <f t="shared" si="17"/>
        <v>EC</v>
      </c>
    </row>
    <row r="60" spans="1:33" x14ac:dyDescent="0.25">
      <c r="A60" s="49" t="s">
        <v>486</v>
      </c>
      <c r="B60" s="7">
        <v>4040</v>
      </c>
      <c r="C60" s="26" t="s">
        <v>59</v>
      </c>
      <c r="D60" s="26" t="s">
        <v>489</v>
      </c>
      <c r="E60" s="16">
        <v>42573.406631944446</v>
      </c>
      <c r="F60" s="16">
        <v>42573.407256944447</v>
      </c>
      <c r="G60" s="7">
        <v>0</v>
      </c>
      <c r="H60" s="16" t="s">
        <v>183</v>
      </c>
      <c r="I60" s="16">
        <v>42573.426076388889</v>
      </c>
      <c r="J60" s="7">
        <v>0</v>
      </c>
      <c r="K60" s="26" t="str">
        <f t="shared" si="3"/>
        <v>4039/4040</v>
      </c>
      <c r="L60" s="26" t="str">
        <f>VLOOKUP(A60,'Trips&amp;Operators'!$C$1:$E$10000,3,FALSE)</f>
        <v>MALAVE</v>
      </c>
      <c r="M60" s="6">
        <f t="shared" si="4"/>
        <v>1.8819444441760425E-2</v>
      </c>
      <c r="N60" s="7"/>
      <c r="O60" s="7"/>
      <c r="P60" s="7"/>
      <c r="Q60" s="27"/>
      <c r="R60" s="27"/>
      <c r="S60" s="45"/>
      <c r="T60" s="69" t="str">
        <f t="shared" si="7"/>
        <v>NorthBound</v>
      </c>
      <c r="U60" s="96">
        <f>COUNTIFS(Variables!$M$2:$M$19,IF(T60="NorthBound","&gt;=","&lt;=")&amp;Y60,Variables!$M$2:$M$19,IF(T60="NorthBound","&lt;=","&gt;=")&amp;Z60)</f>
        <v>9</v>
      </c>
      <c r="V6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08:45:33-0600',mode:absolute,to:'2016-07-22 11:13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0" s="74" t="str">
        <f t="shared" si="9"/>
        <v>Y</v>
      </c>
      <c r="X60" s="92">
        <f t="shared" si="10"/>
        <v>0</v>
      </c>
      <c r="Y60" s="89">
        <f t="shared" si="11"/>
        <v>3.7185999999999999</v>
      </c>
      <c r="Z60" s="89">
        <f t="shared" si="12"/>
        <v>23.3308</v>
      </c>
      <c r="AA60" s="89">
        <f t="shared" si="13"/>
        <v>19.612200000000001</v>
      </c>
      <c r="AB60" s="86">
        <f>VLOOKUP(A60,Enforcements!$C$7:$J$24,8,0)</f>
        <v>20617</v>
      </c>
      <c r="AC60" s="82" t="str">
        <f>VLOOKUP(A60,Enforcements!$C$7:$E$24,3,0)</f>
        <v>SIGNAL</v>
      </c>
      <c r="AD60" s="83" t="str">
        <f t="shared" si="14"/>
        <v>0147-22</v>
      </c>
      <c r="AE60" s="75" t="str">
        <f t="shared" si="15"/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AF60" s="75" t="str">
        <f t="shared" si="16"/>
        <v>"C:\Program Files (x86)\AstroGrep\AstroGrep.exe" /spath="C:\Users\stu\Documents\Analysis\2016-02-23 RTDC Observations" /stypes="*4040*20160722*" /stext=" 16:.+((prompt.+disp)|(slice.+state.+chan)|(ment ac)|(system.+state.+chan)|(\|lc)|(penalty)|(\[timeout))" /e /r /s</v>
      </c>
      <c r="AG60" s="1" t="str">
        <f t="shared" si="17"/>
        <v>EC</v>
      </c>
    </row>
    <row r="61" spans="1:33" x14ac:dyDescent="0.25">
      <c r="A61" s="49" t="s">
        <v>486</v>
      </c>
      <c r="B61" s="7">
        <v>4040</v>
      </c>
      <c r="C61" s="26" t="s">
        <v>59</v>
      </c>
      <c r="D61" s="26" t="s">
        <v>152</v>
      </c>
      <c r="E61" s="16">
        <v>42573.39471064815</v>
      </c>
      <c r="F61" s="16">
        <v>42573.395798611113</v>
      </c>
      <c r="G61" s="7">
        <v>1</v>
      </c>
      <c r="H61" s="16" t="s">
        <v>488</v>
      </c>
      <c r="I61" s="16">
        <v>42573.402881944443</v>
      </c>
      <c r="J61" s="7">
        <v>2</v>
      </c>
      <c r="K61" s="26" t="str">
        <f t="shared" si="3"/>
        <v>4039/4040</v>
      </c>
      <c r="L61" s="26" t="str">
        <f>VLOOKUP(A61,'Trips&amp;Operators'!$C$1:$E$10000,3,FALSE)</f>
        <v>MALAVE</v>
      </c>
      <c r="M61" s="6">
        <f t="shared" si="4"/>
        <v>7.0833333302289248E-3</v>
      </c>
      <c r="N61" s="7"/>
      <c r="O61" s="7"/>
      <c r="P61" s="7"/>
      <c r="Q61" s="27"/>
      <c r="R61" s="27"/>
      <c r="S61" s="45"/>
      <c r="T61" s="69" t="str">
        <f t="shared" si="7"/>
        <v>NorthBound</v>
      </c>
      <c r="U61" s="96">
        <f>COUNTIFS(Variables!$M$2:$M$19,IF(T61="NorthBound","&gt;=","&lt;=")&amp;Y61,Variables!$M$2:$M$19,IF(T61="NorthBound","&lt;=","&gt;=")&amp;Z61)</f>
        <v>0</v>
      </c>
      <c r="V6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08:28:23-0600',mode:absolute,to:'2016-07-22 10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1" s="74" t="str">
        <f t="shared" si="9"/>
        <v>Y</v>
      </c>
      <c r="X61" s="92">
        <f t="shared" si="10"/>
        <v>0</v>
      </c>
      <c r="Y61" s="89">
        <f t="shared" si="11"/>
        <v>4.6399999999999997E-2</v>
      </c>
      <c r="Z61" s="89">
        <f t="shared" si="12"/>
        <v>2.0407999999999999</v>
      </c>
      <c r="AA61" s="89">
        <f t="shared" si="13"/>
        <v>1.9944</v>
      </c>
      <c r="AB61" s="86">
        <f>VLOOKUP(A61,Enforcements!$C$7:$J$24,8,0)</f>
        <v>20617</v>
      </c>
      <c r="AC61" s="82" t="str">
        <f>VLOOKUP(A61,Enforcements!$C$7:$E$24,3,0)</f>
        <v>SIGNAL</v>
      </c>
      <c r="AD61" s="83" t="str">
        <f t="shared" si="14"/>
        <v>0147-22</v>
      </c>
      <c r="AE61" s="75" t="str">
        <f t="shared" si="15"/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AF61" s="75" t="str">
        <f t="shared" si="16"/>
        <v>"C:\Program Files (x86)\AstroGrep\AstroGrep.exe" /spath="C:\Users\stu\Documents\Analysis\2016-02-23 RTDC Observations" /stypes="*4040*20160722*" /stext=" 15:.+((prompt.+disp)|(slice.+state.+chan)|(ment ac)|(system.+state.+chan)|(\|lc)|(penalty)|(\[timeout))" /e /r /s</v>
      </c>
      <c r="AG61" s="1" t="str">
        <f t="shared" si="17"/>
        <v>EC</v>
      </c>
    </row>
    <row r="62" spans="1:33" x14ac:dyDescent="0.25">
      <c r="A62" s="49" t="s">
        <v>490</v>
      </c>
      <c r="B62" s="7">
        <v>4039</v>
      </c>
      <c r="C62" s="26" t="s">
        <v>59</v>
      </c>
      <c r="D62" s="26" t="s">
        <v>291</v>
      </c>
      <c r="E62" s="16">
        <v>42573.432824074072</v>
      </c>
      <c r="F62" s="16">
        <v>42573.43372685185</v>
      </c>
      <c r="G62" s="7">
        <v>1</v>
      </c>
      <c r="H62" s="16" t="s">
        <v>170</v>
      </c>
      <c r="I62" s="16">
        <v>42573.460995370369</v>
      </c>
      <c r="J62" s="7">
        <v>1</v>
      </c>
      <c r="K62" s="26" t="str">
        <f t="shared" si="3"/>
        <v>4039/4040</v>
      </c>
      <c r="L62" s="26" t="str">
        <f>VLOOKUP(A62,'Trips&amp;Operators'!$C$1:$E$10000,3,FALSE)</f>
        <v>MALAVE</v>
      </c>
      <c r="M62" s="6">
        <f t="shared" si="4"/>
        <v>2.7268518519122154E-2</v>
      </c>
      <c r="N62" s="7">
        <f t="shared" si="5"/>
        <v>39.266666667535901</v>
      </c>
      <c r="O62" s="7"/>
      <c r="P62" s="7"/>
      <c r="Q62" s="27"/>
      <c r="R62" s="27"/>
      <c r="S62" s="45">
        <f t="shared" si="6"/>
        <v>1</v>
      </c>
      <c r="T62" s="69" t="str">
        <f t="shared" si="7"/>
        <v>Southbound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09:23:16-0600',mode:absolute,to:'2016-07-22 12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2" s="74" t="str">
        <f t="shared" si="9"/>
        <v>N</v>
      </c>
      <c r="X62" s="92">
        <f t="shared" si="10"/>
        <v>1</v>
      </c>
      <c r="Y62" s="89">
        <f t="shared" si="11"/>
        <v>23.2989</v>
      </c>
      <c r="Z62" s="89">
        <f t="shared" si="12"/>
        <v>1.6E-2</v>
      </c>
      <c r="AA62" s="89">
        <f t="shared" si="13"/>
        <v>23.282900000000001</v>
      </c>
      <c r="AB62" s="86">
        <f>VLOOKUP(A62,Enforcements!$C$7:$J$24,8,0)</f>
        <v>103864</v>
      </c>
      <c r="AC62" s="82" t="str">
        <f>VLOOKUP(A62,Enforcements!$C$7:$E$24,3,0)</f>
        <v>EQUIPMENT RESTRICTION</v>
      </c>
      <c r="AD62" s="83" t="str">
        <f t="shared" si="14"/>
        <v>0148-22</v>
      </c>
      <c r="AE62" s="75" t="str">
        <f t="shared" si="15"/>
        <v>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 &amp; 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</v>
      </c>
      <c r="AF62" s="75" t="str">
        <f t="shared" si="16"/>
        <v>"C:\Program Files (x86)\AstroGrep\AstroGrep.exe" /spath="C:\Users\stu\Documents\Analysis\2016-02-23 RTDC Observations" /stypes="*4039*20160722*" /stext=" 17:.+((prompt.+disp)|(slice.+state.+chan)|(ment ac)|(system.+state.+chan)|(\|lc)|(penalty)|(\[timeout))" /e /r /s</v>
      </c>
      <c r="AG62" s="1" t="str">
        <f t="shared" si="17"/>
        <v>EC</v>
      </c>
    </row>
    <row r="63" spans="1:33" x14ac:dyDescent="0.25">
      <c r="A63" s="49" t="s">
        <v>491</v>
      </c>
      <c r="B63" s="7">
        <v>4042</v>
      </c>
      <c r="C63" s="26" t="s">
        <v>59</v>
      </c>
      <c r="D63" s="26" t="s">
        <v>492</v>
      </c>
      <c r="E63" s="16">
        <v>42573.398564814815</v>
      </c>
      <c r="F63" s="16">
        <v>42573.399618055555</v>
      </c>
      <c r="G63" s="7">
        <v>1</v>
      </c>
      <c r="H63" s="16" t="s">
        <v>175</v>
      </c>
      <c r="I63" s="16">
        <v>42573.431689814817</v>
      </c>
      <c r="J63" s="7">
        <v>0</v>
      </c>
      <c r="K63" s="26" t="str">
        <f t="shared" si="3"/>
        <v>4041/4042</v>
      </c>
      <c r="L63" s="26" t="str">
        <f>VLOOKUP(A63,'Trips&amp;Operators'!$C$1:$E$10000,3,FALSE)</f>
        <v>BRANNON</v>
      </c>
      <c r="M63" s="6">
        <f t="shared" si="4"/>
        <v>3.2071759262180422E-2</v>
      </c>
      <c r="N63" s="7">
        <f t="shared" si="5"/>
        <v>46.183333337539807</v>
      </c>
      <c r="O63" s="7"/>
      <c r="P63" s="7"/>
      <c r="Q63" s="27"/>
      <c r="R63" s="27"/>
      <c r="S63" s="45">
        <f t="shared" si="6"/>
        <v>1</v>
      </c>
      <c r="T63" s="69" t="str">
        <f t="shared" si="7"/>
        <v>NorthBound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08:33:56-0600',mode:absolute,to:'2016-07-22 11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3" s="74" t="str">
        <f t="shared" si="9"/>
        <v>N</v>
      </c>
      <c r="X63" s="92">
        <f t="shared" si="10"/>
        <v>1</v>
      </c>
      <c r="Y63" s="89">
        <f t="shared" si="11"/>
        <v>4.3999999999999997E-2</v>
      </c>
      <c r="Z63" s="89">
        <f t="shared" si="12"/>
        <v>23.330300000000001</v>
      </c>
      <c r="AA63" s="89">
        <f t="shared" si="13"/>
        <v>23.286300000000001</v>
      </c>
      <c r="AB63" s="86" t="e">
        <f>VLOOKUP(A63,Enforcements!$C$7:$J$24,8,0)</f>
        <v>#N/A</v>
      </c>
      <c r="AC63" s="82" t="e">
        <f>VLOOKUP(A63,Enforcements!$C$7:$E$24,3,0)</f>
        <v>#N/A</v>
      </c>
      <c r="AD63" s="83" t="str">
        <f t="shared" si="14"/>
        <v>0149-22</v>
      </c>
      <c r="AE63" s="75" t="str">
        <f t="shared" si="15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63" s="75" t="str">
        <f t="shared" si="16"/>
        <v>"C:\Program Files (x86)\AstroGrep\AstroGrep.exe" /spath="C:\Users\stu\Documents\Analysis\2016-02-23 RTDC Observations" /stypes="*4042*20160722*" /stext=" 16:.+((prompt.+disp)|(slice.+state.+chan)|(ment ac)|(system.+state.+chan)|(\|lc)|(penalty)|(\[timeout))" /e /r /s</v>
      </c>
      <c r="AG63" s="1" t="str">
        <f t="shared" si="17"/>
        <v>EC</v>
      </c>
    </row>
    <row r="64" spans="1:33" x14ac:dyDescent="0.25">
      <c r="A64" s="49" t="s">
        <v>493</v>
      </c>
      <c r="B64" s="7">
        <v>4041</v>
      </c>
      <c r="C64" s="26" t="s">
        <v>59</v>
      </c>
      <c r="D64" s="26" t="s">
        <v>240</v>
      </c>
      <c r="E64" s="16">
        <v>42573.43822916667</v>
      </c>
      <c r="F64" s="16">
        <v>42573.439039351855</v>
      </c>
      <c r="G64" s="7">
        <v>1</v>
      </c>
      <c r="H64" s="16" t="s">
        <v>299</v>
      </c>
      <c r="I64" s="16">
        <v>42573.470023148147</v>
      </c>
      <c r="J64" s="7">
        <v>0</v>
      </c>
      <c r="K64" s="26" t="str">
        <f t="shared" si="3"/>
        <v>4041/4042</v>
      </c>
      <c r="L64" s="26" t="str">
        <f>VLOOKUP(A64,'Trips&amp;Operators'!$C$1:$E$10000,3,FALSE)</f>
        <v>BRANNON</v>
      </c>
      <c r="M64" s="6">
        <f t="shared" si="4"/>
        <v>3.0983796292275656E-2</v>
      </c>
      <c r="N64" s="7">
        <f t="shared" si="5"/>
        <v>44.616666660876945</v>
      </c>
      <c r="O64" s="7"/>
      <c r="P64" s="7"/>
      <c r="Q64" s="27"/>
      <c r="R64" s="27"/>
      <c r="S64" s="45">
        <f t="shared" si="6"/>
        <v>1</v>
      </c>
      <c r="T64" s="69" t="str">
        <f t="shared" si="7"/>
        <v>Southbound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09:31:03-0600',mode:absolute,to:'2016-07-22 12:16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4" s="74" t="str">
        <f t="shared" si="9"/>
        <v>N</v>
      </c>
      <c r="X64" s="92">
        <f t="shared" si="10"/>
        <v>1</v>
      </c>
      <c r="Y64" s="89">
        <f t="shared" si="11"/>
        <v>23.297499999999999</v>
      </c>
      <c r="Z64" s="89">
        <f t="shared" si="12"/>
        <v>1.47E-2</v>
      </c>
      <c r="AA64" s="89">
        <f t="shared" si="13"/>
        <v>23.282799999999998</v>
      </c>
      <c r="AB64" s="86" t="e">
        <f>VLOOKUP(A64,Enforcements!$C$7:$J$24,8,0)</f>
        <v>#N/A</v>
      </c>
      <c r="AC64" s="82" t="e">
        <f>VLOOKUP(A64,Enforcements!$C$7:$E$24,3,0)</f>
        <v>#N/A</v>
      </c>
      <c r="AD64" s="83" t="str">
        <f t="shared" si="14"/>
        <v>0150-22</v>
      </c>
      <c r="AE64" s="75" t="str">
        <f t="shared" si="15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64" s="75" t="str">
        <f t="shared" si="16"/>
        <v>"C:\Program Files (x86)\AstroGrep\AstroGrep.exe" /spath="C:\Users\stu\Documents\Analysis\2016-02-23 RTDC Observations" /stypes="*4041*20160722*" /stext=" 17:.+((prompt.+disp)|(slice.+state.+chan)|(ment ac)|(system.+state.+chan)|(\|lc)|(penalty)|(\[timeout))" /e /r /s</v>
      </c>
      <c r="AG64" s="1" t="str">
        <f t="shared" si="17"/>
        <v>EC</v>
      </c>
    </row>
    <row r="65" spans="1:33" x14ac:dyDescent="0.25">
      <c r="A65" s="49" t="s">
        <v>494</v>
      </c>
      <c r="B65" s="7">
        <v>4044</v>
      </c>
      <c r="C65" s="26" t="s">
        <v>59</v>
      </c>
      <c r="D65" s="26" t="s">
        <v>126</v>
      </c>
      <c r="E65" s="16">
        <v>42573.411249999997</v>
      </c>
      <c r="F65" s="16">
        <v>42573.412581018521</v>
      </c>
      <c r="G65" s="7">
        <v>1</v>
      </c>
      <c r="H65" s="16" t="s">
        <v>495</v>
      </c>
      <c r="I65" s="16">
        <v>42573.442557870374</v>
      </c>
      <c r="J65" s="7">
        <v>1</v>
      </c>
      <c r="K65" s="26" t="str">
        <f t="shared" si="3"/>
        <v>4043/4044</v>
      </c>
      <c r="L65" s="26" t="str">
        <f>VLOOKUP(A65,'Trips&amp;Operators'!$C$1:$E$10000,3,FALSE)</f>
        <v>GEBRETEKLE</v>
      </c>
      <c r="M65" s="6">
        <f t="shared" si="4"/>
        <v>2.99768518525525E-2</v>
      </c>
      <c r="N65" s="7">
        <f t="shared" si="5"/>
        <v>43.166666667675599</v>
      </c>
      <c r="O65" s="7"/>
      <c r="P65" s="7"/>
      <c r="Q65" s="27"/>
      <c r="R65" s="27"/>
      <c r="S65" s="45">
        <f t="shared" si="6"/>
        <v>1</v>
      </c>
      <c r="T65" s="69" t="str">
        <f t="shared" si="7"/>
        <v>NorthBound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08:52:12-0600',mode:absolute,to:'2016-07-22 11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5" s="74" t="str">
        <f t="shared" si="9"/>
        <v>N</v>
      </c>
      <c r="X65" s="92">
        <f t="shared" si="10"/>
        <v>1</v>
      </c>
      <c r="Y65" s="89">
        <f t="shared" si="11"/>
        <v>4.58E-2</v>
      </c>
      <c r="Z65" s="89">
        <f t="shared" si="12"/>
        <v>23.328700000000001</v>
      </c>
      <c r="AA65" s="89">
        <f t="shared" si="13"/>
        <v>23.282900000000001</v>
      </c>
      <c r="AB65" s="86" t="e">
        <f>VLOOKUP(A65,Enforcements!$C$7:$J$24,8,0)</f>
        <v>#N/A</v>
      </c>
      <c r="AC65" s="82" t="e">
        <f>VLOOKUP(A65,Enforcements!$C$7:$E$24,3,0)</f>
        <v>#N/A</v>
      </c>
      <c r="AD65" s="83" t="str">
        <f t="shared" si="14"/>
        <v>0151-22</v>
      </c>
      <c r="AE65" s="75" t="str">
        <f t="shared" si="15"/>
        <v>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 &amp; 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</v>
      </c>
      <c r="AF65" s="75" t="str">
        <f t="shared" si="16"/>
        <v>"C:\Program Files (x86)\AstroGrep\AstroGrep.exe" /spath="C:\Users\stu\Documents\Analysis\2016-02-23 RTDC Observations" /stypes="*4044*20160722*" /stext=" 16:.+((prompt.+disp)|(slice.+state.+chan)|(ment ac)|(system.+state.+chan)|(\|lc)|(penalty)|(\[timeout))" /e /r /s</v>
      </c>
      <c r="AG65" s="1" t="str">
        <f t="shared" si="17"/>
        <v>EC</v>
      </c>
    </row>
    <row r="66" spans="1:33" s="25" customFormat="1" x14ac:dyDescent="0.25">
      <c r="A66" s="49" t="s">
        <v>496</v>
      </c>
      <c r="B66" s="7">
        <v>4043</v>
      </c>
      <c r="C66" s="26" t="s">
        <v>59</v>
      </c>
      <c r="D66" s="26" t="s">
        <v>279</v>
      </c>
      <c r="E66" s="16">
        <v>42573.449664351851</v>
      </c>
      <c r="F66" s="16">
        <v>42573.450590277775</v>
      </c>
      <c r="G66" s="7">
        <v>1</v>
      </c>
      <c r="H66" s="16" t="s">
        <v>151</v>
      </c>
      <c r="I66" s="16">
        <v>42573.481759259259</v>
      </c>
      <c r="J66" s="7">
        <v>0</v>
      </c>
      <c r="K66" s="26" t="str">
        <f t="shared" si="3"/>
        <v>4043/4044</v>
      </c>
      <c r="L66" s="26" t="str">
        <f>VLOOKUP(A66,'Trips&amp;Operators'!$C$1:$E$10000,3,FALSE)</f>
        <v>GEBRETEKLE</v>
      </c>
      <c r="M66" s="6">
        <f t="shared" si="4"/>
        <v>3.1168981484370306E-2</v>
      </c>
      <c r="N66" s="7">
        <f t="shared" si="5"/>
        <v>44.883333337493241</v>
      </c>
      <c r="O66" s="7"/>
      <c r="P66" s="7"/>
      <c r="Q66" s="27"/>
      <c r="R66" s="27"/>
      <c r="S66" s="45">
        <f t="shared" si="6"/>
        <v>1</v>
      </c>
      <c r="T66" s="69" t="str">
        <f t="shared" si="7"/>
        <v>Southbound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09:47:31-0600',mode:absolute,to:'2016-07-22 12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6" s="74" t="str">
        <f t="shared" si="9"/>
        <v>N</v>
      </c>
      <c r="X66" s="92">
        <f t="shared" si="10"/>
        <v>1</v>
      </c>
      <c r="Y66" s="89">
        <f t="shared" si="11"/>
        <v>23.2974</v>
      </c>
      <c r="Z66" s="89">
        <f t="shared" si="12"/>
        <v>1.4999999999999999E-2</v>
      </c>
      <c r="AA66" s="89">
        <f t="shared" si="13"/>
        <v>23.282399999999999</v>
      </c>
      <c r="AB66" s="86" t="e">
        <f>VLOOKUP(A66,Enforcements!$C$7:$J$24,8,0)</f>
        <v>#N/A</v>
      </c>
      <c r="AC66" s="82" t="e">
        <f>VLOOKUP(A66,Enforcements!$C$7:$E$24,3,0)</f>
        <v>#N/A</v>
      </c>
      <c r="AD66" s="83" t="str">
        <f t="shared" si="14"/>
        <v>0152-22</v>
      </c>
      <c r="AE66" s="75" t="str">
        <f t="shared" si="15"/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AF66" s="75" t="str">
        <f t="shared" si="16"/>
        <v>"C:\Program Files (x86)\AstroGrep\AstroGrep.exe" /spath="C:\Users\stu\Documents\Analysis\2016-02-23 RTDC Observations" /stypes="*4043*20160722*" /stext=" 17:.+((prompt.+disp)|(slice.+state.+chan)|(ment ac)|(system.+state.+chan)|(\|lc)|(penalty)|(\[timeout))" /e /r /s</v>
      </c>
      <c r="AG66" s="1" t="str">
        <f t="shared" si="17"/>
        <v>EC</v>
      </c>
    </row>
    <row r="67" spans="1:33" x14ac:dyDescent="0.25">
      <c r="A67" s="49" t="s">
        <v>497</v>
      </c>
      <c r="B67" s="7">
        <v>4027</v>
      </c>
      <c r="C67" s="26" t="s">
        <v>59</v>
      </c>
      <c r="D67" s="26" t="s">
        <v>492</v>
      </c>
      <c r="E67" s="16">
        <v>42573.423333333332</v>
      </c>
      <c r="F67" s="16">
        <v>42573.42423611111</v>
      </c>
      <c r="G67" s="7">
        <v>1</v>
      </c>
      <c r="H67" s="16" t="s">
        <v>159</v>
      </c>
      <c r="I67" s="16">
        <v>42573.453194444446</v>
      </c>
      <c r="J67" s="7">
        <v>0</v>
      </c>
      <c r="K67" s="26" t="str">
        <f t="shared" si="3"/>
        <v>4027/4028</v>
      </c>
      <c r="L67" s="26" t="str">
        <f>VLOOKUP(A67,'Trips&amp;Operators'!$C$1:$E$10000,3,FALSE)</f>
        <v>SPECTOR</v>
      </c>
      <c r="M67" s="6">
        <f t="shared" si="4"/>
        <v>2.8958333336049691E-2</v>
      </c>
      <c r="N67" s="7">
        <f t="shared" si="5"/>
        <v>41.700000003911555</v>
      </c>
      <c r="O67" s="7"/>
      <c r="P67" s="7"/>
      <c r="Q67" s="27"/>
      <c r="R67" s="27"/>
      <c r="S67" s="45">
        <f t="shared" si="6"/>
        <v>1</v>
      </c>
      <c r="T67" s="69" t="str">
        <f t="shared" si="7"/>
        <v>NorthBound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09:09:36-0600',mode:absolute,to:'2016-07-22 11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7" s="74" t="str">
        <f t="shared" si="9"/>
        <v>N</v>
      </c>
      <c r="X67" s="92">
        <f t="shared" si="10"/>
        <v>1</v>
      </c>
      <c r="Y67" s="89">
        <f t="shared" si="11"/>
        <v>4.3999999999999997E-2</v>
      </c>
      <c r="Z67" s="89">
        <f t="shared" si="12"/>
        <v>23.331199999999999</v>
      </c>
      <c r="AA67" s="89">
        <f t="shared" si="13"/>
        <v>23.287199999999999</v>
      </c>
      <c r="AB67" s="86" t="e">
        <f>VLOOKUP(A67,Enforcements!$C$7:$J$24,8,0)</f>
        <v>#N/A</v>
      </c>
      <c r="AC67" s="82" t="e">
        <f>VLOOKUP(A67,Enforcements!$C$7:$E$24,3,0)</f>
        <v>#N/A</v>
      </c>
      <c r="AD67" s="83" t="str">
        <f t="shared" si="14"/>
        <v>0153-22</v>
      </c>
      <c r="AE67" s="75" t="str">
        <f t="shared" si="15"/>
        <v>aws s3 cp s3://rtdc.mdm.uploadarchive/RTDC4027/2016-07-22/ "C:\Users\stu\Documents\Analysis\2016-02-23 RTDC Observations"\RTDC4027\2016-07-22 --recursive &amp; "C:\Users\stu\Documents\GitHub\mrs-test-scripts\Headless Mode &amp; Sideloading\WalkAndUnGZ.bat" "C:\Users\stu\Documents\Analysis\2016-02-23 RTDC Observations"\RTDC4027\2016-07-22 &amp; aws s3 cp s3://rtdc.mdm.uploadarchive/RTDC4027/2016-07-23/ "C:\Users\stu\Documents\Analysis\2016-02-23 RTDC Observations"\RTDC4027\2016-07-23 --recursive &amp; "C:\Users\stu\Documents\GitHub\mrs-test-scripts\Headless Mode &amp; Sideloading\WalkAndUnGZ.bat" "C:\Users\stu\Documents\Analysis\2016-02-23 RTDC Observations"\RTDC4027\2016-07-23</v>
      </c>
      <c r="AF67" s="75" t="str">
        <f t="shared" si="16"/>
        <v>"C:\Program Files (x86)\AstroGrep\AstroGrep.exe" /spath="C:\Users\stu\Documents\Analysis\2016-02-23 RTDC Observations" /stypes="*4027*20160722*" /stext=" 16:.+((prompt.+disp)|(slice.+state.+chan)|(ment ac)|(system.+state.+chan)|(\|lc)|(penalty)|(\[timeout))" /e /r /s</v>
      </c>
      <c r="AG67" s="1" t="str">
        <f t="shared" si="17"/>
        <v>EC</v>
      </c>
    </row>
    <row r="68" spans="1:33" s="25" customFormat="1" x14ac:dyDescent="0.25">
      <c r="A68" s="49" t="s">
        <v>498</v>
      </c>
      <c r="B68" s="7">
        <v>4028</v>
      </c>
      <c r="C68" s="26" t="s">
        <v>59</v>
      </c>
      <c r="D68" s="26" t="s">
        <v>499</v>
      </c>
      <c r="E68" s="16">
        <v>42573.462523148148</v>
      </c>
      <c r="F68" s="16">
        <v>42573.46371527778</v>
      </c>
      <c r="G68" s="7">
        <v>1</v>
      </c>
      <c r="H68" s="16" t="s">
        <v>151</v>
      </c>
      <c r="I68" s="16">
        <v>42573.492268518516</v>
      </c>
      <c r="J68" s="7">
        <v>0</v>
      </c>
      <c r="K68" s="26" t="str">
        <f t="shared" si="3"/>
        <v>4027/4028</v>
      </c>
      <c r="L68" s="26" t="str">
        <f>VLOOKUP(A68,'Trips&amp;Operators'!$C$1:$E$10000,3,FALSE)</f>
        <v>SPECTOR</v>
      </c>
      <c r="M68" s="6">
        <f t="shared" si="4"/>
        <v>2.8553240736073349E-2</v>
      </c>
      <c r="N68" s="7">
        <f t="shared" si="5"/>
        <v>41.116666659945622</v>
      </c>
      <c r="O68" s="7"/>
      <c r="P68" s="7"/>
      <c r="Q68" s="27"/>
      <c r="R68" s="27"/>
      <c r="S68" s="45">
        <f t="shared" si="6"/>
        <v>1</v>
      </c>
      <c r="T68" s="69" t="str">
        <f t="shared" si="7"/>
        <v>Southbound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10:06:02-0600',mode:absolute,to:'2016-07-22 12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8" s="74" t="str">
        <f t="shared" si="9"/>
        <v>N</v>
      </c>
      <c r="X68" s="92">
        <f t="shared" si="10"/>
        <v>1</v>
      </c>
      <c r="Y68" s="89">
        <f t="shared" si="11"/>
        <v>23.3001</v>
      </c>
      <c r="Z68" s="89">
        <f t="shared" si="12"/>
        <v>1.4999999999999999E-2</v>
      </c>
      <c r="AA68" s="89">
        <f t="shared" si="13"/>
        <v>23.2851</v>
      </c>
      <c r="AB68" s="86" t="e">
        <f>VLOOKUP(A68,Enforcements!$C$7:$J$24,8,0)</f>
        <v>#N/A</v>
      </c>
      <c r="AC68" s="82" t="e">
        <f>VLOOKUP(A68,Enforcements!$C$7:$E$24,3,0)</f>
        <v>#N/A</v>
      </c>
      <c r="AD68" s="83" t="str">
        <f t="shared" si="14"/>
        <v>0154-22</v>
      </c>
      <c r="AE68" s="75" t="str">
        <f t="shared" si="15"/>
        <v>aws s3 cp s3://rtdc.mdm.uploadarchive/RTDC4028/2016-07-22/ "C:\Users\stu\Documents\Analysis\2016-02-23 RTDC Observations"\RTDC4028\2016-07-22 --recursive &amp; "C:\Users\stu\Documents\GitHub\mrs-test-scripts\Headless Mode &amp; Sideloading\WalkAndUnGZ.bat" "C:\Users\stu\Documents\Analysis\2016-02-23 RTDC Observations"\RTDC4028\2016-07-22 &amp; aws s3 cp s3://rtdc.mdm.uploadarchive/RTDC4028/2016-07-23/ "C:\Users\stu\Documents\Analysis\2016-02-23 RTDC Observations"\RTDC4028\2016-07-23 --recursive &amp; "C:\Users\stu\Documents\GitHub\mrs-test-scripts\Headless Mode &amp; Sideloading\WalkAndUnGZ.bat" "C:\Users\stu\Documents\Analysis\2016-02-23 RTDC Observations"\RTDC4028\2016-07-23</v>
      </c>
      <c r="AF68" s="75" t="str">
        <f t="shared" si="16"/>
        <v>"C:\Program Files (x86)\AstroGrep\AstroGrep.exe" /spath="C:\Users\stu\Documents\Analysis\2016-02-23 RTDC Observations" /stypes="*4028*20160722*" /stext=" 17:.+((prompt.+disp)|(slice.+state.+chan)|(ment ac)|(system.+state.+chan)|(\|lc)|(penalty)|(\[timeout))" /e /r /s</v>
      </c>
      <c r="AG68" s="1" t="str">
        <f t="shared" si="17"/>
        <v>EC</v>
      </c>
    </row>
    <row r="69" spans="1:33" x14ac:dyDescent="0.25">
      <c r="A69" s="49" t="s">
        <v>500</v>
      </c>
      <c r="B69" s="7">
        <v>4014</v>
      </c>
      <c r="C69" s="26" t="s">
        <v>59</v>
      </c>
      <c r="D69" s="26" t="s">
        <v>246</v>
      </c>
      <c r="E69" s="16">
        <v>42573.434490740743</v>
      </c>
      <c r="F69" s="16">
        <v>42573.435624999998</v>
      </c>
      <c r="G69" s="7">
        <v>1</v>
      </c>
      <c r="H69" s="16" t="s">
        <v>249</v>
      </c>
      <c r="I69" s="16">
        <v>42573.462314814817</v>
      </c>
      <c r="J69" s="7">
        <v>0</v>
      </c>
      <c r="K69" s="26" t="str">
        <f t="shared" si="3"/>
        <v>4013/4014</v>
      </c>
      <c r="L69" s="26" t="str">
        <f>VLOOKUP(A69,'Trips&amp;Operators'!$C$1:$E$10000,3,FALSE)</f>
        <v>DE LA ROSA</v>
      </c>
      <c r="M69" s="6">
        <f t="shared" si="4"/>
        <v>2.6689814818382729E-2</v>
      </c>
      <c r="N69" s="7">
        <f t="shared" si="5"/>
        <v>38.43333333847113</v>
      </c>
      <c r="O69" s="7"/>
      <c r="P69" s="7"/>
      <c r="Q69" s="27"/>
      <c r="R69" s="27"/>
      <c r="S69" s="45">
        <f t="shared" si="6"/>
        <v>1</v>
      </c>
      <c r="T69" s="69" t="str">
        <f t="shared" si="7"/>
        <v>NorthBound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09:25:40-0600',mode:absolute,to:'2016-07-22 12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9" s="74" t="str">
        <f t="shared" si="9"/>
        <v>N</v>
      </c>
      <c r="X69" s="92">
        <f t="shared" si="10"/>
        <v>1</v>
      </c>
      <c r="Y69" s="89">
        <f t="shared" si="11"/>
        <v>4.4600000000000001E-2</v>
      </c>
      <c r="Z69" s="89">
        <f t="shared" si="12"/>
        <v>23.331499999999998</v>
      </c>
      <c r="AA69" s="89">
        <f t="shared" si="13"/>
        <v>23.286899999999999</v>
      </c>
      <c r="AB69" s="86" t="e">
        <f>VLOOKUP(A69,Enforcements!$C$7:$J$24,8,0)</f>
        <v>#N/A</v>
      </c>
      <c r="AC69" s="82" t="e">
        <f>VLOOKUP(A69,Enforcements!$C$7:$E$24,3,0)</f>
        <v>#N/A</v>
      </c>
      <c r="AD69" s="83" t="str">
        <f t="shared" si="14"/>
        <v>0155-22</v>
      </c>
      <c r="AE69" s="75" t="str">
        <f t="shared" si="15"/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AF69" s="75" t="str">
        <f t="shared" si="16"/>
        <v>"C:\Program Files (x86)\AstroGrep\AstroGrep.exe" /spath="C:\Users\stu\Documents\Analysis\2016-02-23 RTDC Observations" /stypes="*4014*20160722*" /stext=" 17:.+((prompt.+disp)|(slice.+state.+chan)|(ment ac)|(system.+state.+chan)|(\|lc)|(penalty)|(\[timeout))" /e /r /s</v>
      </c>
      <c r="AG69" s="1" t="str">
        <f t="shared" si="17"/>
        <v>EC</v>
      </c>
    </row>
    <row r="70" spans="1:33" s="25" customFormat="1" x14ac:dyDescent="0.25">
      <c r="A70" s="49" t="s">
        <v>501</v>
      </c>
      <c r="B70" s="7">
        <v>4013</v>
      </c>
      <c r="C70" s="26" t="s">
        <v>59</v>
      </c>
      <c r="D70" s="26" t="s">
        <v>250</v>
      </c>
      <c r="E70" s="16">
        <v>42573.473171296297</v>
      </c>
      <c r="F70" s="16">
        <v>42573.474710648145</v>
      </c>
      <c r="G70" s="7">
        <v>2</v>
      </c>
      <c r="H70" s="16" t="s">
        <v>174</v>
      </c>
      <c r="I70" s="16">
        <v>42573.502523148149</v>
      </c>
      <c r="J70" s="7">
        <v>1</v>
      </c>
      <c r="K70" s="26" t="str">
        <f t="shared" si="3"/>
        <v>4013/4014</v>
      </c>
      <c r="L70" s="26" t="str">
        <f>VLOOKUP(A70,'Trips&amp;Operators'!$C$1:$E$10000,3,FALSE)</f>
        <v>DE LA ROSA</v>
      </c>
      <c r="M70" s="6">
        <f t="shared" si="4"/>
        <v>2.7812500004074536E-2</v>
      </c>
      <c r="N70" s="7">
        <f t="shared" si="5"/>
        <v>40.050000005867332</v>
      </c>
      <c r="O70" s="7"/>
      <c r="P70" s="7"/>
      <c r="Q70" s="27"/>
      <c r="R70" s="27"/>
      <c r="S70" s="45">
        <f t="shared" si="6"/>
        <v>1</v>
      </c>
      <c r="T70" s="69" t="str">
        <f t="shared" si="7"/>
        <v>Southbound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10:21:22-0600',mode:absolute,to:'2016-07-22 13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0" s="74" t="str">
        <f t="shared" si="9"/>
        <v>N</v>
      </c>
      <c r="X70" s="92">
        <f t="shared" si="10"/>
        <v>1</v>
      </c>
      <c r="Y70" s="89">
        <f t="shared" si="11"/>
        <v>23.299299999999999</v>
      </c>
      <c r="Z70" s="89">
        <f t="shared" si="12"/>
        <v>1.6299999999999999E-2</v>
      </c>
      <c r="AA70" s="89">
        <f t="shared" si="13"/>
        <v>23.282999999999998</v>
      </c>
      <c r="AB70" s="86" t="e">
        <f>VLOOKUP(A70,Enforcements!$C$7:$J$24,8,0)</f>
        <v>#N/A</v>
      </c>
      <c r="AC70" s="82" t="e">
        <f>VLOOKUP(A70,Enforcements!$C$7:$E$24,3,0)</f>
        <v>#N/A</v>
      </c>
      <c r="AD70" s="83" t="str">
        <f t="shared" si="14"/>
        <v>0156-22</v>
      </c>
      <c r="AE70" s="75" t="str">
        <f t="shared" si="15"/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AF70" s="75" t="str">
        <f t="shared" si="16"/>
        <v>"C:\Program Files (x86)\AstroGrep\AstroGrep.exe" /spath="C:\Users\stu\Documents\Analysis\2016-02-23 RTDC Observations" /stypes="*4013*20160722*" /stext=" 18:.+((prompt.+disp)|(slice.+state.+chan)|(ment ac)|(system.+state.+chan)|(\|lc)|(penalty)|(\[timeout))" /e /r /s</v>
      </c>
      <c r="AG70" s="1" t="str">
        <f t="shared" si="17"/>
        <v>EC</v>
      </c>
    </row>
    <row r="71" spans="1:33" x14ac:dyDescent="0.25">
      <c r="A71" s="49" t="s">
        <v>502</v>
      </c>
      <c r="B71" s="7">
        <v>4038</v>
      </c>
      <c r="C71" s="26" t="s">
        <v>59</v>
      </c>
      <c r="D71" s="26" t="s">
        <v>106</v>
      </c>
      <c r="E71" s="16">
        <v>42573.446377314816</v>
      </c>
      <c r="F71" s="16">
        <v>42573.447175925925</v>
      </c>
      <c r="G71" s="7">
        <v>1</v>
      </c>
      <c r="H71" s="16" t="s">
        <v>461</v>
      </c>
      <c r="I71" s="16">
        <v>42573.47252314815</v>
      </c>
      <c r="J71" s="7">
        <v>1</v>
      </c>
      <c r="K71" s="26" t="str">
        <f t="shared" si="3"/>
        <v>4037/4038</v>
      </c>
      <c r="L71" s="26" t="str">
        <f>VLOOKUP(A71,'Trips&amp;Operators'!$C$1:$E$10000,3,FALSE)</f>
        <v>ROCHA</v>
      </c>
      <c r="M71" s="6">
        <f t="shared" si="4"/>
        <v>2.5347222224809229E-2</v>
      </c>
      <c r="N71" s="7">
        <f t="shared" si="5"/>
        <v>36.50000000372529</v>
      </c>
      <c r="O71" s="7"/>
      <c r="P71" s="7"/>
      <c r="Q71" s="27"/>
      <c r="R71" s="27"/>
      <c r="S71" s="45">
        <f t="shared" si="6"/>
        <v>1</v>
      </c>
      <c r="T71" s="69" t="str">
        <f t="shared" si="7"/>
        <v>NorthBound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09:42:47-0600',mode:absolute,to:'2016-07-22 12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1" s="74" t="str">
        <f t="shared" si="9"/>
        <v>N</v>
      </c>
      <c r="X71" s="92">
        <f t="shared" si="10"/>
        <v>1</v>
      </c>
      <c r="Y71" s="89">
        <f t="shared" si="11"/>
        <v>4.5100000000000001E-2</v>
      </c>
      <c r="Z71" s="89">
        <f t="shared" si="12"/>
        <v>23.331399999999999</v>
      </c>
      <c r="AA71" s="89">
        <f t="shared" si="13"/>
        <v>23.286299999999997</v>
      </c>
      <c r="AB71" s="86" t="e">
        <f>VLOOKUP(A71,Enforcements!$C$7:$J$24,8,0)</f>
        <v>#N/A</v>
      </c>
      <c r="AC71" s="82" t="e">
        <f>VLOOKUP(A71,Enforcements!$C$7:$E$24,3,0)</f>
        <v>#N/A</v>
      </c>
      <c r="AD71" s="83" t="str">
        <f t="shared" si="14"/>
        <v>0157-22</v>
      </c>
      <c r="AE71" s="75" t="str">
        <f t="shared" si="15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71" s="75" t="str">
        <f t="shared" si="16"/>
        <v>"C:\Program Files (x86)\AstroGrep\AstroGrep.exe" /spath="C:\Users\stu\Documents\Analysis\2016-02-23 RTDC Observations" /stypes="*4038*20160722*" /stext=" 17:.+((prompt.+disp)|(slice.+state.+chan)|(ment ac)|(system.+state.+chan)|(\|lc)|(penalty)|(\[timeout))" /e /r /s</v>
      </c>
      <c r="AG71" s="1" t="str">
        <f t="shared" si="17"/>
        <v>EC</v>
      </c>
    </row>
    <row r="72" spans="1:33" x14ac:dyDescent="0.25">
      <c r="A72" s="49" t="s">
        <v>503</v>
      </c>
      <c r="B72" s="7">
        <v>4037</v>
      </c>
      <c r="C72" s="26" t="s">
        <v>59</v>
      </c>
      <c r="D72" s="26" t="s">
        <v>349</v>
      </c>
      <c r="E72" s="16">
        <v>42573.486018518517</v>
      </c>
      <c r="F72" s="16">
        <v>42573.486898148149</v>
      </c>
      <c r="G72" s="7">
        <v>1</v>
      </c>
      <c r="H72" s="16" t="s">
        <v>60</v>
      </c>
      <c r="I72" s="16">
        <v>42573.511712962965</v>
      </c>
      <c r="J72" s="7">
        <v>0</v>
      </c>
      <c r="K72" s="26" t="str">
        <f t="shared" si="3"/>
        <v>4037/4038</v>
      </c>
      <c r="L72" s="26" t="str">
        <f>VLOOKUP(A72,'Trips&amp;Operators'!$C$1:$E$10000,3,FALSE)</f>
        <v>ROCHA</v>
      </c>
      <c r="M72" s="6">
        <f t="shared" si="4"/>
        <v>2.4814814816636499E-2</v>
      </c>
      <c r="N72" s="7">
        <f t="shared" si="5"/>
        <v>35.733333335956559</v>
      </c>
      <c r="O72" s="7"/>
      <c r="P72" s="7"/>
      <c r="Q72" s="27"/>
      <c r="R72" s="27"/>
      <c r="S72" s="45">
        <f t="shared" si="6"/>
        <v>1</v>
      </c>
      <c r="T72" s="69" t="str">
        <f t="shared" si="7"/>
        <v>Southbound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10:39:52-0600',mode:absolute,to:'2016-07-22 13:16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2" s="74" t="str">
        <f t="shared" si="9"/>
        <v>N</v>
      </c>
      <c r="X72" s="92">
        <f t="shared" si="10"/>
        <v>1</v>
      </c>
      <c r="Y72" s="89">
        <f t="shared" si="11"/>
        <v>23.2986</v>
      </c>
      <c r="Z72" s="89">
        <f t="shared" si="12"/>
        <v>1.4500000000000001E-2</v>
      </c>
      <c r="AA72" s="89">
        <f t="shared" si="13"/>
        <v>23.284099999999999</v>
      </c>
      <c r="AB72" s="86" t="e">
        <f>VLOOKUP(A72,Enforcements!$C$7:$J$24,8,0)</f>
        <v>#N/A</v>
      </c>
      <c r="AC72" s="82" t="e">
        <f>VLOOKUP(A72,Enforcements!$C$7:$E$24,3,0)</f>
        <v>#N/A</v>
      </c>
      <c r="AD72" s="83" t="str">
        <f t="shared" si="14"/>
        <v>0158-22</v>
      </c>
      <c r="AE72" s="75" t="str">
        <f t="shared" si="15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72" s="75" t="str">
        <f t="shared" si="16"/>
        <v>"C:\Program Files (x86)\AstroGrep\AstroGrep.exe" /spath="C:\Users\stu\Documents\Analysis\2016-02-23 RTDC Observations" /stypes="*4037*20160722*" /stext=" 18:.+((prompt.+disp)|(slice.+state.+chan)|(ment ac)|(system.+state.+chan)|(\|lc)|(penalty)|(\[timeout))" /e /r /s</v>
      </c>
      <c r="AG72" s="1" t="str">
        <f t="shared" si="17"/>
        <v>EC</v>
      </c>
    </row>
    <row r="73" spans="1:33" x14ac:dyDescent="0.25">
      <c r="A73" s="49" t="s">
        <v>504</v>
      </c>
      <c r="B73" s="7">
        <v>4018</v>
      </c>
      <c r="C73" s="26" t="s">
        <v>59</v>
      </c>
      <c r="D73" s="26" t="s">
        <v>458</v>
      </c>
      <c r="E73" s="16">
        <v>42573.45412037037</v>
      </c>
      <c r="F73" s="16">
        <v>42573.456111111111</v>
      </c>
      <c r="G73" s="7">
        <v>2</v>
      </c>
      <c r="H73" s="16" t="s">
        <v>505</v>
      </c>
      <c r="I73" s="16">
        <v>42573.483773148146</v>
      </c>
      <c r="J73" s="7">
        <v>1</v>
      </c>
      <c r="K73" s="26" t="str">
        <f t="shared" si="3"/>
        <v>4017/4018</v>
      </c>
      <c r="L73" s="26" t="str">
        <f>VLOOKUP(A73,'Trips&amp;Operators'!$C$1:$E$10000,3,FALSE)</f>
        <v>STEWART</v>
      </c>
      <c r="M73" s="6">
        <f t="shared" si="4"/>
        <v>2.7662037035042886E-2</v>
      </c>
      <c r="N73" s="7">
        <f t="shared" si="5"/>
        <v>39.833333330461755</v>
      </c>
      <c r="O73" s="7"/>
      <c r="P73" s="7"/>
      <c r="Q73" s="27"/>
      <c r="R73" s="27"/>
      <c r="S73" s="45">
        <f t="shared" si="6"/>
        <v>1</v>
      </c>
      <c r="T73" s="69" t="str">
        <f t="shared" si="7"/>
        <v>NorthBound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09:53:56-0600',mode:absolute,to:'2016-07-22 12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3" s="74" t="str">
        <f t="shared" si="9"/>
        <v>N</v>
      </c>
      <c r="X73" s="92">
        <f t="shared" si="10"/>
        <v>1</v>
      </c>
      <c r="Y73" s="89">
        <f t="shared" si="11"/>
        <v>4.6600000000000003E-2</v>
      </c>
      <c r="Z73" s="89">
        <f t="shared" si="12"/>
        <v>23.328099999999999</v>
      </c>
      <c r="AA73" s="89">
        <f t="shared" si="13"/>
        <v>23.281499999999998</v>
      </c>
      <c r="AB73" s="86" t="e">
        <f>VLOOKUP(A73,Enforcements!$C$7:$J$24,8,0)</f>
        <v>#N/A</v>
      </c>
      <c r="AC73" s="82" t="e">
        <f>VLOOKUP(A73,Enforcements!$C$7:$E$24,3,0)</f>
        <v>#N/A</v>
      </c>
      <c r="AD73" s="83" t="str">
        <f t="shared" si="14"/>
        <v>0159-22</v>
      </c>
      <c r="AE73" s="75" t="str">
        <f t="shared" si="15"/>
        <v>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 &amp; 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</v>
      </c>
      <c r="AF73" s="75" t="str">
        <f t="shared" si="16"/>
        <v>"C:\Program Files (x86)\AstroGrep\AstroGrep.exe" /spath="C:\Users\stu\Documents\Analysis\2016-02-23 RTDC Observations" /stypes="*4018*20160722*" /stext=" 17:.+((prompt.+disp)|(slice.+state.+chan)|(ment ac)|(system.+state.+chan)|(\|lc)|(penalty)|(\[timeout))" /e /r /s</v>
      </c>
      <c r="AG73" s="1" t="str">
        <f t="shared" si="17"/>
        <v>EC</v>
      </c>
    </row>
    <row r="74" spans="1:33" x14ac:dyDescent="0.25">
      <c r="A74" s="49" t="s">
        <v>506</v>
      </c>
      <c r="B74" s="7">
        <v>4040</v>
      </c>
      <c r="C74" s="26" t="s">
        <v>59</v>
      </c>
      <c r="D74" s="26" t="s">
        <v>296</v>
      </c>
      <c r="E74" s="16">
        <v>42573.463368055556</v>
      </c>
      <c r="F74" s="16">
        <v>42573.464583333334</v>
      </c>
      <c r="G74" s="7">
        <v>1</v>
      </c>
      <c r="H74" s="16" t="s">
        <v>148</v>
      </c>
      <c r="I74" s="16">
        <v>42573.493946759256</v>
      </c>
      <c r="J74" s="7">
        <v>0</v>
      </c>
      <c r="K74" s="26" t="str">
        <f t="shared" si="3"/>
        <v>4039/4040</v>
      </c>
      <c r="L74" s="26" t="str">
        <f>VLOOKUP(A74,'Trips&amp;Operators'!$C$1:$E$10000,3,FALSE)</f>
        <v>MAYBERRY</v>
      </c>
      <c r="M74" s="6">
        <f t="shared" si="4"/>
        <v>2.9363425921474118E-2</v>
      </c>
      <c r="N74" s="7">
        <f t="shared" si="5"/>
        <v>42.28333332692273</v>
      </c>
      <c r="O74" s="7"/>
      <c r="P74" s="7"/>
      <c r="Q74" s="27"/>
      <c r="R74" s="27"/>
      <c r="S74" s="45">
        <f t="shared" si="6"/>
        <v>1</v>
      </c>
      <c r="T74" s="69" t="str">
        <f t="shared" si="7"/>
        <v>NorthBound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10:07:15-0600',mode:absolute,to:'2016-07-22 12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74" t="str">
        <f t="shared" si="9"/>
        <v>N</v>
      </c>
      <c r="X74" s="92">
        <f t="shared" si="10"/>
        <v>2</v>
      </c>
      <c r="Y74" s="89">
        <f t="shared" si="11"/>
        <v>4.7699999999999999E-2</v>
      </c>
      <c r="Z74" s="89">
        <f t="shared" si="12"/>
        <v>23.329899999999999</v>
      </c>
      <c r="AA74" s="89">
        <f t="shared" si="13"/>
        <v>23.2822</v>
      </c>
      <c r="AB74" s="86" t="e">
        <f>VLOOKUP(A74,Enforcements!$C$7:$J$24,8,0)</f>
        <v>#N/A</v>
      </c>
      <c r="AC74" s="82" t="e">
        <f>VLOOKUP(A74,Enforcements!$C$7:$E$24,3,0)</f>
        <v>#N/A</v>
      </c>
      <c r="AD74" s="83" t="str">
        <f t="shared" si="14"/>
        <v>0161-22</v>
      </c>
      <c r="AE74" s="75" t="str">
        <f t="shared" si="15"/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AF74" s="75" t="str">
        <f t="shared" si="16"/>
        <v>"C:\Program Files (x86)\AstroGrep\AstroGrep.exe" /spath="C:\Users\stu\Documents\Analysis\2016-02-23 RTDC Observations" /stypes="*4040*20160722*" /stext=" 17:.+((prompt.+disp)|(slice.+state.+chan)|(ment ac)|(system.+state.+chan)|(\|lc)|(penalty)|(\[timeout))" /e /r /s</v>
      </c>
      <c r="AG74" s="1" t="str">
        <f t="shared" si="17"/>
        <v>EC</v>
      </c>
    </row>
    <row r="75" spans="1:33" x14ac:dyDescent="0.25">
      <c r="A75" s="49" t="s">
        <v>507</v>
      </c>
      <c r="B75" s="7">
        <v>4039</v>
      </c>
      <c r="C75" s="26" t="s">
        <v>59</v>
      </c>
      <c r="D75" s="26" t="s">
        <v>162</v>
      </c>
      <c r="E75" s="16">
        <v>42573.504606481481</v>
      </c>
      <c r="F75" s="16">
        <v>42573.505833333336</v>
      </c>
      <c r="G75" s="7">
        <v>1</v>
      </c>
      <c r="H75" s="16" t="s">
        <v>170</v>
      </c>
      <c r="I75" s="16">
        <v>42573.533159722225</v>
      </c>
      <c r="J75" s="7">
        <v>0</v>
      </c>
      <c r="K75" s="26" t="str">
        <f t="shared" si="3"/>
        <v>4039/4040</v>
      </c>
      <c r="L75" s="26" t="str">
        <f>VLOOKUP(A75,'Trips&amp;Operators'!$C$1:$E$10000,3,FALSE)</f>
        <v>MAYBERRY</v>
      </c>
      <c r="M75" s="6">
        <f t="shared" si="4"/>
        <v>2.73263888884685E-2</v>
      </c>
      <c r="N75" s="7">
        <f t="shared" si="5"/>
        <v>39.34999999939464</v>
      </c>
      <c r="O75" s="7"/>
      <c r="P75" s="7"/>
      <c r="Q75" s="27"/>
      <c r="R75" s="27"/>
      <c r="S75" s="45">
        <f t="shared" si="6"/>
        <v>1</v>
      </c>
      <c r="T75" s="69" t="str">
        <f t="shared" si="7"/>
        <v>Southbound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11:06:38-0600',mode:absolute,to:'2016-07-22 13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74" t="str">
        <f t="shared" si="9"/>
        <v>N</v>
      </c>
      <c r="X75" s="92">
        <f t="shared" si="10"/>
        <v>1</v>
      </c>
      <c r="Y75" s="89">
        <f t="shared" si="11"/>
        <v>23.298400000000001</v>
      </c>
      <c r="Z75" s="89">
        <f t="shared" si="12"/>
        <v>1.6E-2</v>
      </c>
      <c r="AA75" s="89">
        <f t="shared" si="13"/>
        <v>23.282400000000003</v>
      </c>
      <c r="AB75" s="86" t="e">
        <f>VLOOKUP(A75,Enforcements!$C$7:$J$24,8,0)</f>
        <v>#N/A</v>
      </c>
      <c r="AC75" s="82" t="e">
        <f>VLOOKUP(A75,Enforcements!$C$7:$E$24,3,0)</f>
        <v>#N/A</v>
      </c>
      <c r="AD75" s="83" t="str">
        <f t="shared" si="14"/>
        <v>0162-22</v>
      </c>
      <c r="AE75" s="75" t="str">
        <f t="shared" si="15"/>
        <v>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 &amp; 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</v>
      </c>
      <c r="AF75" s="75" t="str">
        <f t="shared" si="16"/>
        <v>"C:\Program Files (x86)\AstroGrep\AstroGrep.exe" /spath="C:\Users\stu\Documents\Analysis\2016-02-23 RTDC Observations" /stypes="*4039*20160722*" /stext=" 18:.+((prompt.+disp)|(slice.+state.+chan)|(ment ac)|(system.+state.+chan)|(\|lc)|(penalty)|(\[timeout))" /e /r /s</v>
      </c>
      <c r="AG75" s="1" t="str">
        <f t="shared" si="17"/>
        <v>EC</v>
      </c>
    </row>
    <row r="76" spans="1:33" x14ac:dyDescent="0.25">
      <c r="A76" s="49" t="s">
        <v>508</v>
      </c>
      <c r="B76" s="7">
        <v>4042</v>
      </c>
      <c r="C76" s="26" t="s">
        <v>59</v>
      </c>
      <c r="D76" s="26" t="s">
        <v>126</v>
      </c>
      <c r="E76" s="16">
        <v>42573.47320601852</v>
      </c>
      <c r="F76" s="16">
        <v>42573.474780092591</v>
      </c>
      <c r="G76" s="7">
        <v>2</v>
      </c>
      <c r="H76" s="16" t="s">
        <v>509</v>
      </c>
      <c r="I76" s="16">
        <v>42573.505706018521</v>
      </c>
      <c r="J76" s="7">
        <v>0</v>
      </c>
      <c r="K76" s="26" t="str">
        <f t="shared" si="3"/>
        <v>4041/4042</v>
      </c>
      <c r="L76" s="26" t="str">
        <f>VLOOKUP(A76,'Trips&amp;Operators'!$C$1:$E$10000,3,FALSE)</f>
        <v>HELVIE</v>
      </c>
      <c r="M76" s="6">
        <f t="shared" si="4"/>
        <v>3.0925925930205267E-2</v>
      </c>
      <c r="N76" s="7">
        <f t="shared" si="5"/>
        <v>44.533333339495584</v>
      </c>
      <c r="O76" s="7"/>
      <c r="P76" s="7"/>
      <c r="Q76" s="27"/>
      <c r="R76" s="27"/>
      <c r="S76" s="45">
        <f t="shared" si="6"/>
        <v>1</v>
      </c>
      <c r="T76" s="69" t="str">
        <f t="shared" si="7"/>
        <v>NorthBound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10:21:25-0600',mode:absolute,to:'2016-07-22 13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6" s="74" t="str">
        <f t="shared" si="9"/>
        <v>N</v>
      </c>
      <c r="X76" s="92">
        <f t="shared" si="10"/>
        <v>1</v>
      </c>
      <c r="Y76" s="89">
        <f t="shared" si="11"/>
        <v>4.58E-2</v>
      </c>
      <c r="Z76" s="89">
        <f t="shared" si="12"/>
        <v>23.326599999999999</v>
      </c>
      <c r="AA76" s="89">
        <f t="shared" si="13"/>
        <v>23.280799999999999</v>
      </c>
      <c r="AB76" s="86" t="e">
        <f>VLOOKUP(A76,Enforcements!$C$7:$J$24,8,0)</f>
        <v>#N/A</v>
      </c>
      <c r="AC76" s="82" t="e">
        <f>VLOOKUP(A76,Enforcements!$C$7:$E$24,3,0)</f>
        <v>#N/A</v>
      </c>
      <c r="AD76" s="83" t="str">
        <f t="shared" si="14"/>
        <v>0163-22</v>
      </c>
      <c r="AE76" s="75" t="str">
        <f t="shared" si="15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76" s="75" t="str">
        <f t="shared" si="16"/>
        <v>"C:\Program Files (x86)\AstroGrep\AstroGrep.exe" /spath="C:\Users\stu\Documents\Analysis\2016-02-23 RTDC Observations" /stypes="*4042*20160722*" /stext=" 18:.+((prompt.+disp)|(slice.+state.+chan)|(ment ac)|(system.+state.+chan)|(\|lc)|(penalty)|(\[timeout))" /e /r /s</v>
      </c>
      <c r="AG76" s="1" t="str">
        <f t="shared" si="17"/>
        <v>EC</v>
      </c>
    </row>
    <row r="77" spans="1:33" x14ac:dyDescent="0.25">
      <c r="A77" s="49" t="s">
        <v>510</v>
      </c>
      <c r="B77" s="7">
        <v>4041</v>
      </c>
      <c r="C77" s="26" t="s">
        <v>59</v>
      </c>
      <c r="D77" s="26" t="s">
        <v>511</v>
      </c>
      <c r="E77" s="16">
        <v>42573.512037037035</v>
      </c>
      <c r="F77" s="16">
        <v>42573.513252314813</v>
      </c>
      <c r="G77" s="7">
        <v>1</v>
      </c>
      <c r="H77" s="16" t="s">
        <v>170</v>
      </c>
      <c r="I77" s="16">
        <v>42573.547743055555</v>
      </c>
      <c r="J77" s="7">
        <v>2</v>
      </c>
      <c r="K77" s="26" t="str">
        <f t="shared" si="3"/>
        <v>4041/4042</v>
      </c>
      <c r="L77" s="26" t="str">
        <f>VLOOKUP(A77,'Trips&amp;Operators'!$C$1:$E$10000,3,FALSE)</f>
        <v>HELVIE</v>
      </c>
      <c r="M77" s="6">
        <f t="shared" si="4"/>
        <v>3.4490740741603076E-2</v>
      </c>
      <c r="N77" s="7">
        <f t="shared" si="5"/>
        <v>49.66666666790843</v>
      </c>
      <c r="O77" s="7"/>
      <c r="P77" s="7"/>
      <c r="Q77" s="27"/>
      <c r="R77" s="27"/>
      <c r="S77" s="45">
        <f t="shared" si="6"/>
        <v>1</v>
      </c>
      <c r="T77" s="69" t="str">
        <f t="shared" si="7"/>
        <v>Southbound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11:17:20-0600',mode:absolute,to:'2016-07-22 14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7" s="74" t="str">
        <f t="shared" si="9"/>
        <v>N</v>
      </c>
      <c r="X77" s="92">
        <f t="shared" si="10"/>
        <v>1</v>
      </c>
      <c r="Y77" s="89">
        <f t="shared" si="11"/>
        <v>23.2959</v>
      </c>
      <c r="Z77" s="89">
        <f t="shared" si="12"/>
        <v>1.6E-2</v>
      </c>
      <c r="AA77" s="89">
        <f t="shared" si="13"/>
        <v>23.279900000000001</v>
      </c>
      <c r="AB77" s="86">
        <f>VLOOKUP(A77,Enforcements!$C$7:$J$24,8,0)</f>
        <v>191108</v>
      </c>
      <c r="AC77" s="82" t="str">
        <f>VLOOKUP(A77,Enforcements!$C$7:$E$24,3,0)</f>
        <v>PERMANENT SPEED RESTRICTION</v>
      </c>
      <c r="AD77" s="83" t="str">
        <f t="shared" si="14"/>
        <v>0164-22</v>
      </c>
      <c r="AE77" s="75" t="str">
        <f t="shared" si="15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77" s="75" t="str">
        <f t="shared" si="16"/>
        <v>"C:\Program Files (x86)\AstroGrep\AstroGrep.exe" /spath="C:\Users\stu\Documents\Analysis\2016-02-23 RTDC Observations" /stypes="*4041*20160722*" /stext=" 19:.+((prompt.+disp)|(slice.+state.+chan)|(ment ac)|(system.+state.+chan)|(\|lc)|(penalty)|(\[timeout))" /e /r /s</v>
      </c>
      <c r="AG77" s="1" t="str">
        <f t="shared" si="17"/>
        <v>EC</v>
      </c>
    </row>
    <row r="78" spans="1:33" x14ac:dyDescent="0.25">
      <c r="A78" s="49" t="s">
        <v>512</v>
      </c>
      <c r="B78" s="7">
        <v>4044</v>
      </c>
      <c r="C78" s="26" t="s">
        <v>59</v>
      </c>
      <c r="D78" s="26" t="s">
        <v>169</v>
      </c>
      <c r="E78" s="16">
        <v>42573.486250000002</v>
      </c>
      <c r="F78" s="16">
        <v>42573.487627314818</v>
      </c>
      <c r="G78" s="7">
        <v>1</v>
      </c>
      <c r="H78" s="16" t="s">
        <v>343</v>
      </c>
      <c r="I78" s="16">
        <v>42573.514675925922</v>
      </c>
      <c r="J78" s="7">
        <v>0</v>
      </c>
      <c r="K78" s="26" t="str">
        <f t="shared" si="3"/>
        <v>4043/4044</v>
      </c>
      <c r="L78" s="26" t="str">
        <f>VLOOKUP(A78,'Trips&amp;Operators'!$C$1:$E$10000,3,FALSE)</f>
        <v>MOSES</v>
      </c>
      <c r="M78" s="6">
        <f t="shared" si="4"/>
        <v>2.7048611103964504E-2</v>
      </c>
      <c r="N78" s="7">
        <f t="shared" si="5"/>
        <v>38.949999989708886</v>
      </c>
      <c r="O78" s="7"/>
      <c r="P78" s="7"/>
      <c r="Q78" s="27"/>
      <c r="R78" s="27"/>
      <c r="S78" s="45">
        <f t="shared" si="6"/>
        <v>1</v>
      </c>
      <c r="T78" s="69" t="str">
        <f t="shared" si="7"/>
        <v>NorthBound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si="8"/>
        <v>https://search-rtdc-monitor-bjffxe2xuh6vdkpspy63sjmuny.us-east-1.es.amazonaws.com/_plugin/kibana/#/discover/Steve-Slow-Train-Analysis-(2080s-and-2083s)?_g=(refreshInterval:(display:Off,section:0,value:0),time:(from:'2016-07-22 10:40:12-0600',mode:absolute,to:'2016-07-22 13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8" s="74" t="str">
        <f t="shared" si="9"/>
        <v>N</v>
      </c>
      <c r="X78" s="92">
        <f t="shared" si="10"/>
        <v>1</v>
      </c>
      <c r="Y78" s="89">
        <f t="shared" si="11"/>
        <v>4.4900000000000002E-2</v>
      </c>
      <c r="Z78" s="89">
        <f t="shared" si="12"/>
        <v>23.327999999999999</v>
      </c>
      <c r="AA78" s="89">
        <f t="shared" si="13"/>
        <v>23.283100000000001</v>
      </c>
      <c r="AB78" s="86" t="e">
        <f>VLOOKUP(A78,Enforcements!$C$7:$J$24,8,0)</f>
        <v>#N/A</v>
      </c>
      <c r="AC78" s="82" t="e">
        <f>VLOOKUP(A78,Enforcements!$C$7:$E$24,3,0)</f>
        <v>#N/A</v>
      </c>
      <c r="AD78" s="83" t="str">
        <f t="shared" si="14"/>
        <v>0165-22</v>
      </c>
      <c r="AE78" s="75" t="str">
        <f t="shared" si="15"/>
        <v>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 &amp; 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</v>
      </c>
      <c r="AF78" s="75" t="str">
        <f t="shared" si="16"/>
        <v>"C:\Program Files (x86)\AstroGrep\AstroGrep.exe" /spath="C:\Users\stu\Documents\Analysis\2016-02-23 RTDC Observations" /stypes="*4044*20160722*" /stext=" 18:.+((prompt.+disp)|(slice.+state.+chan)|(ment ac)|(system.+state.+chan)|(\|lc)|(penalty)|(\[timeout))" /e /r /s</v>
      </c>
      <c r="AG78" s="1" t="str">
        <f t="shared" si="17"/>
        <v>EC</v>
      </c>
    </row>
    <row r="79" spans="1:33" x14ac:dyDescent="0.25">
      <c r="A79" s="49" t="s">
        <v>513</v>
      </c>
      <c r="B79" s="7">
        <v>4043</v>
      </c>
      <c r="C79" s="26" t="s">
        <v>59</v>
      </c>
      <c r="D79" s="26" t="s">
        <v>474</v>
      </c>
      <c r="E79" s="16">
        <v>42573.525046296294</v>
      </c>
      <c r="F79" s="16">
        <v>42573.526192129626</v>
      </c>
      <c r="G79" s="7">
        <v>1</v>
      </c>
      <c r="H79" s="16" t="s">
        <v>514</v>
      </c>
      <c r="I79" s="16">
        <v>42573.554583333331</v>
      </c>
      <c r="J79" s="7">
        <v>0</v>
      </c>
      <c r="K79" s="26" t="str">
        <f t="shared" ref="K79:K142" si="18">IF(ISEVEN(B79),(B79-1)&amp;"/"&amp;B79,B79&amp;"/"&amp;(B79+1))</f>
        <v>4043/4044</v>
      </c>
      <c r="L79" s="26" t="str">
        <f>VLOOKUP(A79,'Trips&amp;Operators'!$C$1:$E$10000,3,FALSE)</f>
        <v>MOSES</v>
      </c>
      <c r="M79" s="6">
        <f t="shared" ref="M79:M142" si="19">I79-F79</f>
        <v>2.8391203704813961E-2</v>
      </c>
      <c r="N79" s="7">
        <f t="shared" ref="N79:P142" si="20">24*60*SUM($M79:$M79)</f>
        <v>40.883333334932104</v>
      </c>
      <c r="O79" s="7"/>
      <c r="P79" s="7"/>
      <c r="Q79" s="27"/>
      <c r="R79" s="27"/>
      <c r="S79" s="45">
        <f t="shared" ref="S79:S142" si="21">SUM(U79:U79)/12</f>
        <v>1</v>
      </c>
      <c r="T79" s="69" t="str">
        <f t="shared" ref="T79:T142" si="22">IF(ISEVEN(LEFT(A79,3)),"Southbound","NorthBound")</f>
        <v>Southbound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ref="V79:V142" si="23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https://search-rtdc-monitor-bjffxe2xuh6vdkpspy63sjmuny.us-east-1.es.amazonaws.com/_plugin/kibana/#/discover/Steve-Slow-Train-Analysis-(2080s-and-2083s)?_g=(refreshInterval:(display:Off,section:0,value:0),time:(from:'2016-07-22 11:36:04-0600',mode:absolute,to:'2016-07-22 14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9" s="74" t="str">
        <f t="shared" ref="W79:W142" si="24">IF(AA79&lt;23,"Y","N")</f>
        <v>N</v>
      </c>
      <c r="X79" s="92">
        <f t="shared" ref="X79:X142" si="25">VALUE(LEFT(A79,3))-VALUE(LEFT(A78,3))</f>
        <v>1</v>
      </c>
      <c r="Y79" s="89">
        <f t="shared" ref="Y79:Y142" si="26">RIGHT(D79,LEN(D79)-4)/10000</f>
        <v>23.296500000000002</v>
      </c>
      <c r="Z79" s="89">
        <f t="shared" ref="Z79:Z142" si="27">RIGHT(H79,LEN(H79)-4)/10000</f>
        <v>1.7000000000000001E-2</v>
      </c>
      <c r="AA79" s="89">
        <f t="shared" ref="AA79:AA142" si="28">ABS(Z79-Y79)</f>
        <v>23.279500000000002</v>
      </c>
      <c r="AB79" s="86" t="e">
        <f>VLOOKUP(A79,Enforcements!$C$7:$J$24,8,0)</f>
        <v>#N/A</v>
      </c>
      <c r="AC79" s="82" t="e">
        <f>VLOOKUP(A79,Enforcements!$C$7:$E$24,3,0)</f>
        <v>#N/A</v>
      </c>
      <c r="AD79" s="83" t="str">
        <f t="shared" ref="AD79:AD142" si="29">IF(LEN(A79)=6,"0"&amp;A79,A79)</f>
        <v>0166-22</v>
      </c>
      <c r="AE79" s="75" t="str">
        <f t="shared" ref="AE79:AE142" si="30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AF79" s="75" t="str">
        <f t="shared" ref="AF79:AF142" si="31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/stypes="*4043*20160722*" /stext=" 19:.+((prompt.+disp)|(slice.+state.+chan)|(ment ac)|(system.+state.+chan)|(\|lc)|(penalty)|(\[timeout))" /e /r /s</v>
      </c>
      <c r="AG79" s="1" t="str">
        <f t="shared" ref="AG79:AG142" si="32">IF(VALUE(LEFT(AD79,4))&lt;300,"EC","NWGL")</f>
        <v>EC</v>
      </c>
    </row>
    <row r="80" spans="1:33" x14ac:dyDescent="0.25">
      <c r="A80" s="49" t="s">
        <v>515</v>
      </c>
      <c r="B80" s="7">
        <v>4027</v>
      </c>
      <c r="C80" s="26" t="s">
        <v>59</v>
      </c>
      <c r="D80" s="26" t="s">
        <v>276</v>
      </c>
      <c r="E80" s="16">
        <v>42573.495069444441</v>
      </c>
      <c r="F80" s="16">
        <v>42573.496840277781</v>
      </c>
      <c r="G80" s="7">
        <v>2</v>
      </c>
      <c r="H80" s="16" t="s">
        <v>183</v>
      </c>
      <c r="I80" s="16">
        <v>42573.525138888886</v>
      </c>
      <c r="J80" s="7">
        <v>0</v>
      </c>
      <c r="K80" s="26" t="str">
        <f t="shared" si="18"/>
        <v>4027/4028</v>
      </c>
      <c r="L80" s="26" t="str">
        <f>VLOOKUP(A80,'Trips&amp;Operators'!$C$1:$E$10000,3,FALSE)</f>
        <v>ADANE</v>
      </c>
      <c r="M80" s="6">
        <f t="shared" si="19"/>
        <v>2.8298611105128657E-2</v>
      </c>
      <c r="N80" s="7">
        <f t="shared" si="20"/>
        <v>40.749999991385266</v>
      </c>
      <c r="O80" s="7"/>
      <c r="P80" s="7"/>
      <c r="Q80" s="27"/>
      <c r="R80" s="27"/>
      <c r="S80" s="45">
        <f t="shared" si="21"/>
        <v>1</v>
      </c>
      <c r="T80" s="69" t="str">
        <f t="shared" si="22"/>
        <v>NorthBound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10:52:54-0600',mode:absolute,to:'2016-07-22 13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0" s="74" t="str">
        <f t="shared" si="24"/>
        <v>N</v>
      </c>
      <c r="X80" s="92">
        <f t="shared" si="25"/>
        <v>1</v>
      </c>
      <c r="Y80" s="89">
        <f t="shared" si="26"/>
        <v>4.4699999999999997E-2</v>
      </c>
      <c r="Z80" s="89">
        <f t="shared" si="27"/>
        <v>23.3308</v>
      </c>
      <c r="AA80" s="89">
        <f t="shared" si="28"/>
        <v>23.286100000000001</v>
      </c>
      <c r="AB80" s="86" t="e">
        <f>VLOOKUP(A80,Enforcements!$C$7:$J$24,8,0)</f>
        <v>#N/A</v>
      </c>
      <c r="AC80" s="82" t="e">
        <f>VLOOKUP(A80,Enforcements!$C$7:$E$24,3,0)</f>
        <v>#N/A</v>
      </c>
      <c r="AD80" s="83" t="str">
        <f t="shared" si="29"/>
        <v>0167-22</v>
      </c>
      <c r="AE80" s="75" t="str">
        <f t="shared" si="30"/>
        <v>aws s3 cp s3://rtdc.mdm.uploadarchive/RTDC4027/2016-07-22/ "C:\Users\stu\Documents\Analysis\2016-02-23 RTDC Observations"\RTDC4027\2016-07-22 --recursive &amp; "C:\Users\stu\Documents\GitHub\mrs-test-scripts\Headless Mode &amp; Sideloading\WalkAndUnGZ.bat" "C:\Users\stu\Documents\Analysis\2016-02-23 RTDC Observations"\RTDC4027\2016-07-22 &amp; aws s3 cp s3://rtdc.mdm.uploadarchive/RTDC4027/2016-07-23/ "C:\Users\stu\Documents\Analysis\2016-02-23 RTDC Observations"\RTDC4027\2016-07-23 --recursive &amp; "C:\Users\stu\Documents\GitHub\mrs-test-scripts\Headless Mode &amp; Sideloading\WalkAndUnGZ.bat" "C:\Users\stu\Documents\Analysis\2016-02-23 RTDC Observations"\RTDC4027\2016-07-23</v>
      </c>
      <c r="AF80" s="75" t="str">
        <f t="shared" si="31"/>
        <v>"C:\Program Files (x86)\AstroGrep\AstroGrep.exe" /spath="C:\Users\stu\Documents\Analysis\2016-02-23 RTDC Observations" /stypes="*4027*20160722*" /stext=" 18:.+((prompt.+disp)|(slice.+state.+chan)|(ment ac)|(system.+state.+chan)|(\|lc)|(penalty)|(\[timeout))" /e /r /s</v>
      </c>
      <c r="AG80" s="1" t="str">
        <f t="shared" si="32"/>
        <v>EC</v>
      </c>
    </row>
    <row r="81" spans="1:33" x14ac:dyDescent="0.25">
      <c r="A81" s="49" t="s">
        <v>516</v>
      </c>
      <c r="B81" s="7">
        <v>4028</v>
      </c>
      <c r="C81" s="26" t="s">
        <v>59</v>
      </c>
      <c r="D81" s="26" t="s">
        <v>250</v>
      </c>
      <c r="E81" s="16">
        <v>42573.535729166666</v>
      </c>
      <c r="F81" s="16">
        <v>42573.537106481483</v>
      </c>
      <c r="G81" s="7">
        <v>1</v>
      </c>
      <c r="H81" s="16" t="s">
        <v>60</v>
      </c>
      <c r="I81" s="16">
        <v>42573.56449074074</v>
      </c>
      <c r="J81" s="7">
        <v>0</v>
      </c>
      <c r="K81" s="26" t="str">
        <f t="shared" si="18"/>
        <v>4027/4028</v>
      </c>
      <c r="L81" s="26" t="str">
        <f>VLOOKUP(A81,'Trips&amp;Operators'!$C$1:$E$10000,3,FALSE)</f>
        <v>ADANE</v>
      </c>
      <c r="M81" s="6">
        <f t="shared" si="19"/>
        <v>2.7384259257814847E-2</v>
      </c>
      <c r="N81" s="7">
        <f t="shared" si="20"/>
        <v>39.43333333125338</v>
      </c>
      <c r="O81" s="7"/>
      <c r="P81" s="7"/>
      <c r="Q81" s="27"/>
      <c r="R81" s="27"/>
      <c r="S81" s="45">
        <f t="shared" si="21"/>
        <v>1</v>
      </c>
      <c r="T81" s="69" t="str">
        <f t="shared" si="22"/>
        <v>Southbound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11:51:27-0600',mode:absolute,to:'2016-07-22 14:32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1" s="74" t="str">
        <f t="shared" si="24"/>
        <v>N</v>
      </c>
      <c r="X81" s="92">
        <f t="shared" si="25"/>
        <v>1</v>
      </c>
      <c r="Y81" s="89">
        <f t="shared" si="26"/>
        <v>23.299299999999999</v>
      </c>
      <c r="Z81" s="89">
        <f t="shared" si="27"/>
        <v>1.4500000000000001E-2</v>
      </c>
      <c r="AA81" s="89">
        <f t="shared" si="28"/>
        <v>23.284799999999997</v>
      </c>
      <c r="AB81" s="86" t="e">
        <f>VLOOKUP(A81,Enforcements!$C$7:$J$24,8,0)</f>
        <v>#N/A</v>
      </c>
      <c r="AC81" s="82" t="e">
        <f>VLOOKUP(A81,Enforcements!$C$7:$E$24,3,0)</f>
        <v>#N/A</v>
      </c>
      <c r="AD81" s="83" t="str">
        <f t="shared" si="29"/>
        <v>0168-22</v>
      </c>
      <c r="AE81" s="75" t="str">
        <f t="shared" si="30"/>
        <v>aws s3 cp s3://rtdc.mdm.uploadarchive/RTDC4028/2016-07-22/ "C:\Users\stu\Documents\Analysis\2016-02-23 RTDC Observations"\RTDC4028\2016-07-22 --recursive &amp; "C:\Users\stu\Documents\GitHub\mrs-test-scripts\Headless Mode &amp; Sideloading\WalkAndUnGZ.bat" "C:\Users\stu\Documents\Analysis\2016-02-23 RTDC Observations"\RTDC4028\2016-07-22 &amp; aws s3 cp s3://rtdc.mdm.uploadarchive/RTDC4028/2016-07-23/ "C:\Users\stu\Documents\Analysis\2016-02-23 RTDC Observations"\RTDC4028\2016-07-23 --recursive &amp; "C:\Users\stu\Documents\GitHub\mrs-test-scripts\Headless Mode &amp; Sideloading\WalkAndUnGZ.bat" "C:\Users\stu\Documents\Analysis\2016-02-23 RTDC Observations"\RTDC4028\2016-07-23</v>
      </c>
      <c r="AF81" s="75" t="str">
        <f t="shared" si="31"/>
        <v>"C:\Program Files (x86)\AstroGrep\AstroGrep.exe" /spath="C:\Users\stu\Documents\Analysis\2016-02-23 RTDC Observations" /stypes="*4028*20160722*" /stext=" 19:.+((prompt.+disp)|(slice.+state.+chan)|(ment ac)|(system.+state.+chan)|(\|lc)|(penalty)|(\[timeout))" /e /r /s</v>
      </c>
      <c r="AG81" s="1" t="str">
        <f t="shared" si="32"/>
        <v>EC</v>
      </c>
    </row>
    <row r="82" spans="1:33" x14ac:dyDescent="0.25">
      <c r="A82" s="49" t="s">
        <v>517</v>
      </c>
      <c r="B82" s="7">
        <v>4014</v>
      </c>
      <c r="C82" s="26" t="s">
        <v>59</v>
      </c>
      <c r="D82" s="26" t="s">
        <v>355</v>
      </c>
      <c r="E82" s="16">
        <v>42573.505266203705</v>
      </c>
      <c r="F82" s="16">
        <v>42573.506620370368</v>
      </c>
      <c r="G82" s="7">
        <v>1</v>
      </c>
      <c r="H82" s="16" t="s">
        <v>518</v>
      </c>
      <c r="I82" s="16">
        <v>42573.536817129629</v>
      </c>
      <c r="J82" s="7">
        <v>0</v>
      </c>
      <c r="K82" s="26" t="str">
        <f t="shared" si="18"/>
        <v>4013/4014</v>
      </c>
      <c r="L82" s="26" t="str">
        <f>VLOOKUP(A82,'Trips&amp;Operators'!$C$1:$E$10000,3,FALSE)</f>
        <v>SHOOK</v>
      </c>
      <c r="M82" s="6">
        <f t="shared" si="19"/>
        <v>3.0196759260434192E-2</v>
      </c>
      <c r="N82" s="7">
        <f t="shared" si="20"/>
        <v>43.483333335025236</v>
      </c>
      <c r="O82" s="7"/>
      <c r="P82" s="7"/>
      <c r="Q82" s="27"/>
      <c r="R82" s="27"/>
      <c r="S82" s="45">
        <f t="shared" si="21"/>
        <v>1</v>
      </c>
      <c r="T82" s="69" t="str">
        <f t="shared" si="22"/>
        <v>NorthBound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11:07:35-0600',mode:absolute,to:'2016-07-22 13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2" s="74" t="str">
        <f t="shared" si="24"/>
        <v>N</v>
      </c>
      <c r="X82" s="92">
        <f t="shared" si="25"/>
        <v>1</v>
      </c>
      <c r="Y82" s="89">
        <f t="shared" si="26"/>
        <v>4.7800000000000002E-2</v>
      </c>
      <c r="Z82" s="89">
        <f t="shared" si="27"/>
        <v>23.3276</v>
      </c>
      <c r="AA82" s="89">
        <f t="shared" si="28"/>
        <v>23.279800000000002</v>
      </c>
      <c r="AB82" s="86" t="e">
        <f>VLOOKUP(A82,Enforcements!$C$7:$J$24,8,0)</f>
        <v>#N/A</v>
      </c>
      <c r="AC82" s="82" t="e">
        <f>VLOOKUP(A82,Enforcements!$C$7:$E$24,3,0)</f>
        <v>#N/A</v>
      </c>
      <c r="AD82" s="83" t="str">
        <f t="shared" si="29"/>
        <v>0169-22</v>
      </c>
      <c r="AE82" s="75" t="str">
        <f t="shared" si="30"/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AF82" s="75" t="str">
        <f t="shared" si="31"/>
        <v>"C:\Program Files (x86)\AstroGrep\AstroGrep.exe" /spath="C:\Users\stu\Documents\Analysis\2016-02-23 RTDC Observations" /stypes="*4014*20160722*" /stext=" 18:.+((prompt.+disp)|(slice.+state.+chan)|(ment ac)|(system.+state.+chan)|(\|lc)|(penalty)|(\[timeout))" /e /r /s</v>
      </c>
      <c r="AG82" s="1" t="str">
        <f t="shared" si="32"/>
        <v>EC</v>
      </c>
    </row>
    <row r="83" spans="1:33" x14ac:dyDescent="0.25">
      <c r="A83" s="49" t="s">
        <v>519</v>
      </c>
      <c r="B83" s="7">
        <v>4013</v>
      </c>
      <c r="C83" s="26" t="s">
        <v>59</v>
      </c>
      <c r="D83" s="26" t="s">
        <v>240</v>
      </c>
      <c r="E83" s="16">
        <v>42573.543229166666</v>
      </c>
      <c r="F83" s="16">
        <v>42573.545405092591</v>
      </c>
      <c r="G83" s="7">
        <v>3</v>
      </c>
      <c r="H83" s="16" t="s">
        <v>60</v>
      </c>
      <c r="I83" s="16">
        <v>42573.575775462959</v>
      </c>
      <c r="J83" s="7">
        <v>2</v>
      </c>
      <c r="K83" s="26" t="str">
        <f t="shared" si="18"/>
        <v>4013/4014</v>
      </c>
      <c r="L83" s="26" t="str">
        <f>VLOOKUP(A83,'Trips&amp;Operators'!$C$1:$E$10000,3,FALSE)</f>
        <v>SHOOK</v>
      </c>
      <c r="M83" s="6">
        <f t="shared" si="19"/>
        <v>3.0370370368473232E-2</v>
      </c>
      <c r="N83" s="7">
        <f t="shared" si="20"/>
        <v>43.733333330601454</v>
      </c>
      <c r="O83" s="7"/>
      <c r="P83" s="7"/>
      <c r="Q83" s="27"/>
      <c r="R83" s="27"/>
      <c r="S83" s="45">
        <f t="shared" si="21"/>
        <v>1</v>
      </c>
      <c r="T83" s="69" t="str">
        <f t="shared" si="22"/>
        <v>Southbound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12:02:15-0600',mode:absolute,to:'2016-07-22 14:49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3" s="74" t="str">
        <f t="shared" si="24"/>
        <v>N</v>
      </c>
      <c r="X83" s="92">
        <f t="shared" si="25"/>
        <v>1</v>
      </c>
      <c r="Y83" s="89">
        <f t="shared" si="26"/>
        <v>23.297499999999999</v>
      </c>
      <c r="Z83" s="89">
        <f t="shared" si="27"/>
        <v>1.4500000000000001E-2</v>
      </c>
      <c r="AA83" s="89">
        <f t="shared" si="28"/>
        <v>23.282999999999998</v>
      </c>
      <c r="AB83" s="86">
        <f>VLOOKUP(A83,Enforcements!$C$7:$J$24,8,0)</f>
        <v>4677</v>
      </c>
      <c r="AC83" s="82" t="str">
        <f>VLOOKUP(A83,Enforcements!$C$7:$E$24,3,0)</f>
        <v>PERMANENT SPEED RESTRICTION</v>
      </c>
      <c r="AD83" s="83" t="str">
        <f t="shared" si="29"/>
        <v>0170-22</v>
      </c>
      <c r="AE83" s="75" t="str">
        <f t="shared" si="30"/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AF83" s="75" t="str">
        <f t="shared" si="31"/>
        <v>"C:\Program Files (x86)\AstroGrep\AstroGrep.exe" /spath="C:\Users\stu\Documents\Analysis\2016-02-23 RTDC Observations" /stypes="*4013*20160722*" /stext=" 19:.+((prompt.+disp)|(slice.+state.+chan)|(ment ac)|(system.+state.+chan)|(\|lc)|(penalty)|(\[timeout))" /e /r /s</v>
      </c>
      <c r="AG83" s="1" t="str">
        <f t="shared" si="32"/>
        <v>EC</v>
      </c>
    </row>
    <row r="84" spans="1:33" x14ac:dyDescent="0.25">
      <c r="A84" s="49" t="s">
        <v>520</v>
      </c>
      <c r="B84" s="7">
        <v>4038</v>
      </c>
      <c r="C84" s="26" t="s">
        <v>59</v>
      </c>
      <c r="D84" s="26" t="s">
        <v>154</v>
      </c>
      <c r="E84" s="16">
        <v>42573.514803240738</v>
      </c>
      <c r="F84" s="16">
        <v>42573.516712962963</v>
      </c>
      <c r="G84" s="7">
        <v>2</v>
      </c>
      <c r="H84" s="16" t="s">
        <v>241</v>
      </c>
      <c r="I84" s="16">
        <v>42573.545949074076</v>
      </c>
      <c r="J84" s="7">
        <v>0</v>
      </c>
      <c r="K84" s="26" t="str">
        <f t="shared" si="18"/>
        <v>4037/4038</v>
      </c>
      <c r="L84" s="26" t="str">
        <f>VLOOKUP(A84,'Trips&amp;Operators'!$C$1:$E$10000,3,FALSE)</f>
        <v>WEBSTER</v>
      </c>
      <c r="M84" s="6">
        <f t="shared" si="19"/>
        <v>2.923611111327773E-2</v>
      </c>
      <c r="N84" s="7">
        <f t="shared" si="20"/>
        <v>42.100000003119931</v>
      </c>
      <c r="O84" s="7"/>
      <c r="P84" s="7"/>
      <c r="Q84" s="27"/>
      <c r="R84" s="27"/>
      <c r="S84" s="45">
        <f t="shared" si="21"/>
        <v>1</v>
      </c>
      <c r="T84" s="69" t="str">
        <f t="shared" si="22"/>
        <v>NorthBound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11:21:19-0600',mode:absolute,to:'2016-07-22 14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4" s="74" t="str">
        <f t="shared" si="24"/>
        <v>N</v>
      </c>
      <c r="X84" s="92">
        <f t="shared" si="25"/>
        <v>1</v>
      </c>
      <c r="Y84" s="89">
        <f t="shared" si="26"/>
        <v>4.6199999999999998E-2</v>
      </c>
      <c r="Z84" s="89">
        <f t="shared" si="27"/>
        <v>23.330200000000001</v>
      </c>
      <c r="AA84" s="89">
        <f t="shared" si="28"/>
        <v>23.284000000000002</v>
      </c>
      <c r="AB84" s="86" t="e">
        <f>VLOOKUP(A84,Enforcements!$C$7:$J$24,8,0)</f>
        <v>#N/A</v>
      </c>
      <c r="AC84" s="82" t="e">
        <f>VLOOKUP(A84,Enforcements!$C$7:$E$24,3,0)</f>
        <v>#N/A</v>
      </c>
      <c r="AD84" s="83" t="str">
        <f t="shared" si="29"/>
        <v>0171-22</v>
      </c>
      <c r="AE84" s="75" t="str">
        <f t="shared" si="30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84" s="75" t="str">
        <f t="shared" si="31"/>
        <v>"C:\Program Files (x86)\AstroGrep\AstroGrep.exe" /spath="C:\Users\stu\Documents\Analysis\2016-02-23 RTDC Observations" /stypes="*4038*20160722*" /stext=" 19:.+((prompt.+disp)|(slice.+state.+chan)|(ment ac)|(system.+state.+chan)|(\|lc)|(penalty)|(\[timeout))" /e /r /s</v>
      </c>
      <c r="AG84" s="1" t="str">
        <f t="shared" si="32"/>
        <v>EC</v>
      </c>
    </row>
    <row r="85" spans="1:33" x14ac:dyDescent="0.25">
      <c r="A85" s="49" t="s">
        <v>521</v>
      </c>
      <c r="B85" s="7">
        <v>4037</v>
      </c>
      <c r="C85" s="26" t="s">
        <v>59</v>
      </c>
      <c r="D85" s="26" t="s">
        <v>250</v>
      </c>
      <c r="E85" s="16">
        <v>42573.554259259261</v>
      </c>
      <c r="F85" s="16">
        <v>42573.555231481485</v>
      </c>
      <c r="G85" s="7">
        <v>1</v>
      </c>
      <c r="H85" s="16" t="s">
        <v>522</v>
      </c>
      <c r="I85" s="16">
        <v>42573.585810185185</v>
      </c>
      <c r="J85" s="7">
        <v>0</v>
      </c>
      <c r="K85" s="26" t="str">
        <f t="shared" si="18"/>
        <v>4037/4038</v>
      </c>
      <c r="L85" s="26" t="str">
        <f>VLOOKUP(A85,'Trips&amp;Operators'!$C$1:$E$10000,3,FALSE)</f>
        <v>WEBSTER</v>
      </c>
      <c r="M85" s="6">
        <f t="shared" si="19"/>
        <v>3.0578703699575271E-2</v>
      </c>
      <c r="N85" s="7">
        <f t="shared" si="20"/>
        <v>44.033333327388391</v>
      </c>
      <c r="O85" s="7"/>
      <c r="P85" s="7"/>
      <c r="Q85" s="27"/>
      <c r="R85" s="27"/>
      <c r="S85" s="45">
        <f t="shared" si="21"/>
        <v>1</v>
      </c>
      <c r="T85" s="69" t="str">
        <f t="shared" si="22"/>
        <v>Southbound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12:18:08-0600',mode:absolute,to:'2016-07-22 15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5" s="74" t="str">
        <f t="shared" si="24"/>
        <v>N</v>
      </c>
      <c r="X85" s="92">
        <f t="shared" si="25"/>
        <v>1</v>
      </c>
      <c r="Y85" s="89">
        <f t="shared" si="26"/>
        <v>23.299299999999999</v>
      </c>
      <c r="Z85" s="89">
        <f t="shared" si="27"/>
        <v>1.3599999999999999E-2</v>
      </c>
      <c r="AA85" s="89">
        <f t="shared" si="28"/>
        <v>23.285699999999999</v>
      </c>
      <c r="AB85" s="86" t="e">
        <f>VLOOKUP(A85,Enforcements!$C$7:$J$24,8,0)</f>
        <v>#N/A</v>
      </c>
      <c r="AC85" s="82" t="e">
        <f>VLOOKUP(A85,Enforcements!$C$7:$E$24,3,0)</f>
        <v>#N/A</v>
      </c>
      <c r="AD85" s="83" t="str">
        <f t="shared" si="29"/>
        <v>0172-22</v>
      </c>
      <c r="AE85" s="75" t="str">
        <f t="shared" si="30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85" s="75" t="str">
        <f t="shared" si="31"/>
        <v>"C:\Program Files (x86)\AstroGrep\AstroGrep.exe" /spath="C:\Users\stu\Documents\Analysis\2016-02-23 RTDC Observations" /stypes="*4037*20160722*" /stext=" 20:.+((prompt.+disp)|(slice.+state.+chan)|(ment ac)|(system.+state.+chan)|(\|lc)|(penalty)|(\[timeout))" /e /r /s</v>
      </c>
      <c r="AG85" s="1" t="str">
        <f t="shared" si="32"/>
        <v>EC</v>
      </c>
    </row>
    <row r="86" spans="1:33" x14ac:dyDescent="0.25">
      <c r="A86" s="49" t="s">
        <v>523</v>
      </c>
      <c r="B86" s="7">
        <v>4018</v>
      </c>
      <c r="C86" s="26" t="s">
        <v>59</v>
      </c>
      <c r="D86" s="26" t="s">
        <v>281</v>
      </c>
      <c r="E86" s="16">
        <v>42573.529270833336</v>
      </c>
      <c r="F86" s="16">
        <v>42573.53020833333</v>
      </c>
      <c r="G86" s="7">
        <v>1</v>
      </c>
      <c r="H86" s="16" t="s">
        <v>524</v>
      </c>
      <c r="I86" s="16">
        <v>42573.556898148148</v>
      </c>
      <c r="J86" s="7">
        <v>0</v>
      </c>
      <c r="K86" s="26" t="str">
        <f t="shared" si="18"/>
        <v>4017/4018</v>
      </c>
      <c r="L86" s="26" t="str">
        <f>VLOOKUP(A86,'Trips&amp;Operators'!$C$1:$E$10000,3,FALSE)</f>
        <v>STEWART</v>
      </c>
      <c r="M86" s="6">
        <f t="shared" si="19"/>
        <v>2.6689814818382729E-2</v>
      </c>
      <c r="N86" s="7">
        <f t="shared" si="20"/>
        <v>38.43333333847113</v>
      </c>
      <c r="O86" s="7"/>
      <c r="P86" s="7"/>
      <c r="Q86" s="27"/>
      <c r="R86" s="27"/>
      <c r="S86" s="45">
        <f t="shared" si="21"/>
        <v>1</v>
      </c>
      <c r="T86" s="69" t="str">
        <f t="shared" si="22"/>
        <v>NorthBound</v>
      </c>
      <c r="U86" s="96">
        <f>COUNTIFS(Variables!$M$2:$M$19,IF(T86="NorthBound","&gt;=","&lt;=")&amp;Y86,Variables!$M$2:$M$19,IF(T86="NorthBound","&lt;=","&gt;=")&amp;Z86)</f>
        <v>12</v>
      </c>
      <c r="V8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11:42:09-0600',mode:absolute,to:'2016-07-22 14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74" t="str">
        <f t="shared" si="24"/>
        <v>N</v>
      </c>
      <c r="X86" s="92">
        <f t="shared" si="25"/>
        <v>1</v>
      </c>
      <c r="Y86" s="89">
        <f t="shared" si="26"/>
        <v>4.2900000000000001E-2</v>
      </c>
      <c r="Z86" s="89">
        <f t="shared" si="27"/>
        <v>23.3337</v>
      </c>
      <c r="AA86" s="89">
        <f t="shared" si="28"/>
        <v>23.290800000000001</v>
      </c>
      <c r="AB86" s="86" t="e">
        <f>VLOOKUP(A86,Enforcements!$C$7:$J$24,8,0)</f>
        <v>#N/A</v>
      </c>
      <c r="AC86" s="82" t="e">
        <f>VLOOKUP(A86,Enforcements!$C$7:$E$24,3,0)</f>
        <v>#N/A</v>
      </c>
      <c r="AD86" s="83" t="str">
        <f t="shared" si="29"/>
        <v>0173-22</v>
      </c>
      <c r="AE86" s="75" t="str">
        <f t="shared" si="30"/>
        <v>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 &amp; 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</v>
      </c>
      <c r="AF86" s="75" t="str">
        <f t="shared" si="31"/>
        <v>"C:\Program Files (x86)\AstroGrep\AstroGrep.exe" /spath="C:\Users\stu\Documents\Analysis\2016-02-23 RTDC Observations" /stypes="*4018*20160722*" /stext=" 19:.+((prompt.+disp)|(slice.+state.+chan)|(ment ac)|(system.+state.+chan)|(\|lc)|(penalty)|(\[timeout))" /e /r /s</v>
      </c>
      <c r="AG86" s="1" t="str">
        <f t="shared" si="32"/>
        <v>EC</v>
      </c>
    </row>
    <row r="87" spans="1:33" x14ac:dyDescent="0.25">
      <c r="A87" s="49" t="s">
        <v>525</v>
      </c>
      <c r="B87" s="7">
        <v>4040</v>
      </c>
      <c r="C87" s="26" t="s">
        <v>59</v>
      </c>
      <c r="D87" s="26" t="s">
        <v>245</v>
      </c>
      <c r="E87" s="16">
        <v>42573.534363425926</v>
      </c>
      <c r="F87" s="16">
        <v>42573.535729166666</v>
      </c>
      <c r="G87" s="7">
        <v>1</v>
      </c>
      <c r="H87" s="16" t="s">
        <v>159</v>
      </c>
      <c r="I87" s="16">
        <v>42573.566851851851</v>
      </c>
      <c r="J87" s="7">
        <v>1</v>
      </c>
      <c r="K87" s="26" t="str">
        <f t="shared" si="18"/>
        <v>4039/4040</v>
      </c>
      <c r="L87" s="26" t="str">
        <f>VLOOKUP(A87,'Trips&amp;Operators'!$C$1:$E$10000,3,FALSE)</f>
        <v>MAYBERRY</v>
      </c>
      <c r="M87" s="6">
        <f t="shared" si="19"/>
        <v>3.1122685184527654E-2</v>
      </c>
      <c r="N87" s="7">
        <f t="shared" si="20"/>
        <v>44.816666665719822</v>
      </c>
      <c r="O87" s="7"/>
      <c r="P87" s="7"/>
      <c r="Q87" s="27"/>
      <c r="R87" s="27"/>
      <c r="S87" s="45">
        <f t="shared" si="21"/>
        <v>1</v>
      </c>
      <c r="T87" s="69" t="str">
        <f t="shared" si="22"/>
        <v>NorthBound</v>
      </c>
      <c r="U87" s="96">
        <f>COUNTIFS(Variables!$M$2:$M$19,IF(T87="NorthBound","&gt;=","&lt;=")&amp;Y87,Variables!$M$2:$M$19,IF(T87="NorthBound","&lt;=","&gt;=")&amp;Z87)</f>
        <v>12</v>
      </c>
      <c r="V8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11:49:29-0600',mode:absolute,to:'2016-07-22 14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7" s="74" t="str">
        <f t="shared" si="24"/>
        <v>N</v>
      </c>
      <c r="X87" s="92">
        <f t="shared" si="25"/>
        <v>2</v>
      </c>
      <c r="Y87" s="89">
        <f t="shared" si="26"/>
        <v>4.7100000000000003E-2</v>
      </c>
      <c r="Z87" s="89">
        <f t="shared" si="27"/>
        <v>23.331199999999999</v>
      </c>
      <c r="AA87" s="89">
        <f t="shared" si="28"/>
        <v>23.284099999999999</v>
      </c>
      <c r="AB87" s="86">
        <f>VLOOKUP(A87,Enforcements!$C$7:$J$24,8,0)</f>
        <v>230436</v>
      </c>
      <c r="AC87" s="82" t="str">
        <f>VLOOKUP(A87,Enforcements!$C$7:$E$24,3,0)</f>
        <v>PERMANENT SPEED RESTRICTION</v>
      </c>
      <c r="AD87" s="83" t="str">
        <f t="shared" si="29"/>
        <v>0175-22</v>
      </c>
      <c r="AE87" s="75" t="str">
        <f t="shared" si="30"/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AF87" s="75" t="str">
        <f t="shared" si="31"/>
        <v>"C:\Program Files (x86)\AstroGrep\AstroGrep.exe" /spath="C:\Users\stu\Documents\Analysis\2016-02-23 RTDC Observations" /stypes="*4040*20160722*" /stext=" 19:.+((prompt.+disp)|(slice.+state.+chan)|(ment ac)|(system.+state.+chan)|(\|lc)|(penalty)|(\[timeout))" /e /r /s</v>
      </c>
      <c r="AG87" s="1" t="str">
        <f t="shared" si="32"/>
        <v>EC</v>
      </c>
    </row>
    <row r="88" spans="1:33" x14ac:dyDescent="0.25">
      <c r="A88" s="49" t="s">
        <v>526</v>
      </c>
      <c r="B88" s="7">
        <v>4039</v>
      </c>
      <c r="C88" s="26" t="s">
        <v>59</v>
      </c>
      <c r="D88" s="26" t="s">
        <v>291</v>
      </c>
      <c r="E88" s="16">
        <v>42573.570810185185</v>
      </c>
      <c r="F88" s="16">
        <v>42573.571701388886</v>
      </c>
      <c r="G88" s="7">
        <v>1</v>
      </c>
      <c r="H88" s="16" t="s">
        <v>527</v>
      </c>
      <c r="I88" s="16">
        <v>42573.606550925928</v>
      </c>
      <c r="J88" s="7">
        <v>0</v>
      </c>
      <c r="K88" s="26" t="str">
        <f t="shared" si="18"/>
        <v>4039/4040</v>
      </c>
      <c r="L88" s="26" t="str">
        <f>VLOOKUP(A88,'Trips&amp;Operators'!$C$1:$E$10000,3,FALSE)</f>
        <v>MAYBERRY</v>
      </c>
      <c r="M88" s="6">
        <f t="shared" si="19"/>
        <v>3.4849537041736767E-2</v>
      </c>
      <c r="N88" s="7">
        <f t="shared" si="20"/>
        <v>50.183333340100944</v>
      </c>
      <c r="O88" s="7"/>
      <c r="P88" s="7"/>
      <c r="Q88" s="27"/>
      <c r="R88" s="27"/>
      <c r="S88" s="45">
        <f t="shared" si="21"/>
        <v>1</v>
      </c>
      <c r="T88" s="69" t="str">
        <f t="shared" si="22"/>
        <v>Southbound</v>
      </c>
      <c r="U88" s="96">
        <f>COUNTIFS(Variables!$M$2:$M$19,IF(T88="NorthBound","&gt;=","&lt;=")&amp;Y88,Variables!$M$2:$M$19,IF(T88="NorthBound","&lt;=","&gt;=")&amp;Z88)</f>
        <v>12</v>
      </c>
      <c r="V8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12:41:58-0600',mode:absolute,to:'2016-07-22 15:33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8" s="74" t="str">
        <f t="shared" si="24"/>
        <v>N</v>
      </c>
      <c r="X88" s="92">
        <f t="shared" si="25"/>
        <v>1</v>
      </c>
      <c r="Y88" s="89">
        <f t="shared" si="26"/>
        <v>23.2989</v>
      </c>
      <c r="Z88" s="89">
        <f t="shared" si="27"/>
        <v>1.34E-2</v>
      </c>
      <c r="AA88" s="89">
        <f t="shared" si="28"/>
        <v>23.285499999999999</v>
      </c>
      <c r="AB88" s="86" t="e">
        <f>VLOOKUP(A88,Enforcements!$C$7:$J$24,8,0)</f>
        <v>#N/A</v>
      </c>
      <c r="AC88" s="82" t="e">
        <f>VLOOKUP(A88,Enforcements!$C$7:$E$24,3,0)</f>
        <v>#N/A</v>
      </c>
      <c r="AD88" s="83" t="str">
        <f t="shared" si="29"/>
        <v>0176-22</v>
      </c>
      <c r="AE88" s="75" t="str">
        <f t="shared" si="30"/>
        <v>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 &amp; 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</v>
      </c>
      <c r="AF88" s="75" t="str">
        <f t="shared" si="31"/>
        <v>"C:\Program Files (x86)\AstroGrep\AstroGrep.exe" /spath="C:\Users\stu\Documents\Analysis\2016-02-23 RTDC Observations" /stypes="*4039*20160722*" /stext=" 20:.+((prompt.+disp)|(slice.+state.+chan)|(ment ac)|(system.+state.+chan)|(\|lc)|(penalty)|(\[timeout))" /e /r /s</v>
      </c>
      <c r="AG88" s="1" t="str">
        <f t="shared" si="32"/>
        <v>EC</v>
      </c>
    </row>
    <row r="89" spans="1:33" x14ac:dyDescent="0.25">
      <c r="A89" s="49" t="s">
        <v>528</v>
      </c>
      <c r="B89" s="7">
        <v>4042</v>
      </c>
      <c r="C89" s="26" t="s">
        <v>59</v>
      </c>
      <c r="D89" s="26" t="s">
        <v>172</v>
      </c>
      <c r="E89" s="16">
        <v>42573.549490740741</v>
      </c>
      <c r="F89" s="16">
        <v>42573.550752314812</v>
      </c>
      <c r="G89" s="7">
        <v>1</v>
      </c>
      <c r="H89" s="16" t="s">
        <v>247</v>
      </c>
      <c r="I89" s="16">
        <v>42573.577013888891</v>
      </c>
      <c r="J89" s="7">
        <v>0</v>
      </c>
      <c r="K89" s="26" t="str">
        <f t="shared" si="18"/>
        <v>4041/4042</v>
      </c>
      <c r="L89" s="26" t="str">
        <f>VLOOKUP(A89,'Trips&amp;Operators'!$C$1:$E$10000,3,FALSE)</f>
        <v>HELVIE</v>
      </c>
      <c r="M89" s="6">
        <f t="shared" si="19"/>
        <v>2.6261574079398997E-2</v>
      </c>
      <c r="N89" s="7">
        <f t="shared" si="20"/>
        <v>37.816666674334556</v>
      </c>
      <c r="O89" s="7"/>
      <c r="P89" s="7"/>
      <c r="Q89" s="27"/>
      <c r="R89" s="27"/>
      <c r="S89" s="45">
        <f t="shared" si="21"/>
        <v>1</v>
      </c>
      <c r="T89" s="69" t="str">
        <f t="shared" si="22"/>
        <v>NorthBound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12:11:16-0600',mode:absolute,to:'2016-07-22 14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9" s="74" t="str">
        <f t="shared" si="24"/>
        <v>N</v>
      </c>
      <c r="X89" s="92">
        <f t="shared" si="25"/>
        <v>1</v>
      </c>
      <c r="Y89" s="89">
        <f t="shared" si="26"/>
        <v>4.6699999999999998E-2</v>
      </c>
      <c r="Z89" s="89">
        <f t="shared" si="27"/>
        <v>23.328399999999998</v>
      </c>
      <c r="AA89" s="89">
        <f t="shared" si="28"/>
        <v>23.281699999999997</v>
      </c>
      <c r="AB89" s="86" t="e">
        <f>VLOOKUP(A89,Enforcements!$C$7:$J$24,8,0)</f>
        <v>#N/A</v>
      </c>
      <c r="AC89" s="82" t="e">
        <f>VLOOKUP(A89,Enforcements!$C$7:$E$24,3,0)</f>
        <v>#N/A</v>
      </c>
      <c r="AD89" s="83" t="str">
        <f t="shared" si="29"/>
        <v>0177-22</v>
      </c>
      <c r="AE89" s="75" t="str">
        <f t="shared" si="30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89" s="75" t="str">
        <f t="shared" si="31"/>
        <v>"C:\Program Files (x86)\AstroGrep\AstroGrep.exe" /spath="C:\Users\stu\Documents\Analysis\2016-02-23 RTDC Observations" /stypes="*4042*20160722*" /stext=" 19:.+((prompt.+disp)|(slice.+state.+chan)|(ment ac)|(system.+state.+chan)|(\|lc)|(penalty)|(\[timeout))" /e /r /s</v>
      </c>
      <c r="AG89" s="1" t="str">
        <f t="shared" si="32"/>
        <v>EC</v>
      </c>
    </row>
    <row r="90" spans="1:33" x14ac:dyDescent="0.25">
      <c r="A90" s="49" t="s">
        <v>529</v>
      </c>
      <c r="B90" s="7">
        <v>4041</v>
      </c>
      <c r="C90" s="26" t="s">
        <v>59</v>
      </c>
      <c r="D90" s="26" t="s">
        <v>67</v>
      </c>
      <c r="E90" s="16">
        <v>42573.585509259261</v>
      </c>
      <c r="F90" s="16">
        <v>42573.586365740739</v>
      </c>
      <c r="G90" s="7">
        <v>1</v>
      </c>
      <c r="H90" s="16" t="s">
        <v>61</v>
      </c>
      <c r="I90" s="16">
        <v>42573.617476851854</v>
      </c>
      <c r="J90" s="7">
        <v>0</v>
      </c>
      <c r="K90" s="26" t="str">
        <f t="shared" si="18"/>
        <v>4041/4042</v>
      </c>
      <c r="L90" s="26" t="str">
        <f>VLOOKUP(A90,'Trips&amp;Operators'!$C$1:$E$10000,3,FALSE)</f>
        <v>HELVIE</v>
      </c>
      <c r="M90" s="6">
        <f t="shared" si="19"/>
        <v>3.1111111115023959E-2</v>
      </c>
      <c r="N90" s="7">
        <f t="shared" si="20"/>
        <v>44.800000005634502</v>
      </c>
      <c r="O90" s="7"/>
      <c r="P90" s="7"/>
      <c r="Q90" s="27"/>
      <c r="R90" s="27"/>
      <c r="S90" s="45">
        <f t="shared" si="21"/>
        <v>1</v>
      </c>
      <c r="T90" s="69" t="str">
        <f t="shared" si="22"/>
        <v>Southbound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13:03:08-0600',mode:absolute,to:'2016-07-22 15:49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0" s="74" t="str">
        <f t="shared" si="24"/>
        <v>N</v>
      </c>
      <c r="X90" s="92">
        <f t="shared" si="25"/>
        <v>1</v>
      </c>
      <c r="Y90" s="89">
        <f t="shared" si="26"/>
        <v>23.297699999999999</v>
      </c>
      <c r="Z90" s="89">
        <f t="shared" si="27"/>
        <v>1.52E-2</v>
      </c>
      <c r="AA90" s="89">
        <f t="shared" si="28"/>
        <v>23.282499999999999</v>
      </c>
      <c r="AB90" s="86" t="e">
        <f>VLOOKUP(A90,Enforcements!$C$7:$J$24,8,0)</f>
        <v>#N/A</v>
      </c>
      <c r="AC90" s="82" t="e">
        <f>VLOOKUP(A90,Enforcements!$C$7:$E$24,3,0)</f>
        <v>#N/A</v>
      </c>
      <c r="AD90" s="83" t="str">
        <f t="shared" si="29"/>
        <v>0178-22</v>
      </c>
      <c r="AE90" s="75" t="str">
        <f t="shared" si="30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90" s="75" t="str">
        <f t="shared" si="31"/>
        <v>"C:\Program Files (x86)\AstroGrep\AstroGrep.exe" /spath="C:\Users\stu\Documents\Analysis\2016-02-23 RTDC Observations" /stypes="*4041*20160722*" /stext=" 20:.+((prompt.+disp)|(slice.+state.+chan)|(ment ac)|(system.+state.+chan)|(\|lc)|(penalty)|(\[timeout))" /e /r /s</v>
      </c>
      <c r="AG90" s="1" t="str">
        <f t="shared" si="32"/>
        <v>EC</v>
      </c>
    </row>
    <row r="91" spans="1:33" x14ac:dyDescent="0.25">
      <c r="A91" s="49" t="s">
        <v>530</v>
      </c>
      <c r="B91" s="7">
        <v>4044</v>
      </c>
      <c r="C91" s="26" t="s">
        <v>59</v>
      </c>
      <c r="D91" s="26" t="s">
        <v>169</v>
      </c>
      <c r="E91" s="16">
        <v>42573.558553240742</v>
      </c>
      <c r="F91" s="16">
        <v>42573.559664351851</v>
      </c>
      <c r="G91" s="7">
        <v>1</v>
      </c>
      <c r="H91" s="16" t="s">
        <v>241</v>
      </c>
      <c r="I91" s="16">
        <v>42573.587569444448</v>
      </c>
      <c r="J91" s="7">
        <v>0</v>
      </c>
      <c r="K91" s="26" t="str">
        <f t="shared" si="18"/>
        <v>4043/4044</v>
      </c>
      <c r="L91" s="26" t="str">
        <f>VLOOKUP(A91,'Trips&amp;Operators'!$C$1:$E$10000,3,FALSE)</f>
        <v>MOSES</v>
      </c>
      <c r="M91" s="6">
        <f t="shared" si="19"/>
        <v>2.7905092596483883E-2</v>
      </c>
      <c r="N91" s="7">
        <f t="shared" si="20"/>
        <v>40.183333338936791</v>
      </c>
      <c r="O91" s="7"/>
      <c r="P91" s="7"/>
      <c r="Q91" s="27"/>
      <c r="R91" s="27"/>
      <c r="S91" s="45">
        <f t="shared" si="21"/>
        <v>1</v>
      </c>
      <c r="T91" s="69" t="str">
        <f t="shared" si="22"/>
        <v>NorthBound</v>
      </c>
      <c r="U91" s="96">
        <f>COUNTIFS(Variables!$M$2:$M$19,IF(T91="NorthBound","&gt;=","&lt;=")&amp;Y91,Variables!$M$2:$M$19,IF(T91="NorthBound","&lt;=","&gt;=")&amp;Z91)</f>
        <v>12</v>
      </c>
      <c r="V9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12:24:19-0600',mode:absolute,to:'2016-07-22 15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1" s="74" t="str">
        <f t="shared" si="24"/>
        <v>N</v>
      </c>
      <c r="X91" s="92">
        <f t="shared" si="25"/>
        <v>1</v>
      </c>
      <c r="Y91" s="89">
        <f t="shared" si="26"/>
        <v>4.4900000000000002E-2</v>
      </c>
      <c r="Z91" s="89">
        <f t="shared" si="27"/>
        <v>23.330200000000001</v>
      </c>
      <c r="AA91" s="89">
        <f t="shared" si="28"/>
        <v>23.285300000000003</v>
      </c>
      <c r="AB91" s="86" t="e">
        <f>VLOOKUP(A91,Enforcements!$C$7:$J$24,8,0)</f>
        <v>#N/A</v>
      </c>
      <c r="AC91" s="82" t="e">
        <f>VLOOKUP(A91,Enforcements!$C$7:$E$24,3,0)</f>
        <v>#N/A</v>
      </c>
      <c r="AD91" s="83" t="str">
        <f t="shared" si="29"/>
        <v>0179-22</v>
      </c>
      <c r="AE91" s="75" t="str">
        <f t="shared" si="30"/>
        <v>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 &amp; 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</v>
      </c>
      <c r="AF91" s="75" t="str">
        <f t="shared" si="31"/>
        <v>"C:\Program Files (x86)\AstroGrep\AstroGrep.exe" /spath="C:\Users\stu\Documents\Analysis\2016-02-23 RTDC Observations" /stypes="*4044*20160722*" /stext=" 20:.+((prompt.+disp)|(slice.+state.+chan)|(ment ac)|(system.+state.+chan)|(\|lc)|(penalty)|(\[timeout))" /e /r /s</v>
      </c>
      <c r="AG91" s="1" t="str">
        <f t="shared" si="32"/>
        <v>EC</v>
      </c>
    </row>
    <row r="92" spans="1:33" x14ac:dyDescent="0.25">
      <c r="A92" s="49" t="s">
        <v>531</v>
      </c>
      <c r="B92" s="7">
        <v>4043</v>
      </c>
      <c r="C92" s="26" t="s">
        <v>59</v>
      </c>
      <c r="D92" s="26" t="s">
        <v>67</v>
      </c>
      <c r="E92" s="16">
        <v>42573.596435185187</v>
      </c>
      <c r="F92" s="16">
        <v>42573.598055555558</v>
      </c>
      <c r="G92" s="7">
        <v>2</v>
      </c>
      <c r="H92" s="16" t="s">
        <v>351</v>
      </c>
      <c r="I92" s="16">
        <v>42573.629432870373</v>
      </c>
      <c r="J92" s="7">
        <v>1</v>
      </c>
      <c r="K92" s="26" t="str">
        <f t="shared" si="18"/>
        <v>4043/4044</v>
      </c>
      <c r="L92" s="26" t="str">
        <f>VLOOKUP(A92,'Trips&amp;Operators'!$C$1:$E$10000,3,FALSE)</f>
        <v>MOSES</v>
      </c>
      <c r="M92" s="6">
        <f t="shared" si="19"/>
        <v>3.1377314815472346E-2</v>
      </c>
      <c r="N92" s="7">
        <f t="shared" si="20"/>
        <v>45.183333334280178</v>
      </c>
      <c r="O92" s="7"/>
      <c r="P92" s="7"/>
      <c r="Q92" s="27"/>
      <c r="R92" s="27"/>
      <c r="S92" s="45">
        <f t="shared" si="21"/>
        <v>1</v>
      </c>
      <c r="T92" s="69" t="str">
        <f t="shared" si="22"/>
        <v>Southbound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13:18:52-0600',mode:absolute,to:'2016-07-22 16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2" s="74" t="str">
        <f t="shared" si="24"/>
        <v>N</v>
      </c>
      <c r="X92" s="92">
        <f t="shared" si="25"/>
        <v>1</v>
      </c>
      <c r="Y92" s="89">
        <f t="shared" si="26"/>
        <v>23.297699999999999</v>
      </c>
      <c r="Z92" s="89">
        <f t="shared" si="27"/>
        <v>1.78E-2</v>
      </c>
      <c r="AA92" s="89">
        <f t="shared" si="28"/>
        <v>23.279899999999998</v>
      </c>
      <c r="AB92" s="86" t="e">
        <f>VLOOKUP(A92,Enforcements!$C$7:$J$24,8,0)</f>
        <v>#N/A</v>
      </c>
      <c r="AC92" s="82" t="e">
        <f>VLOOKUP(A92,Enforcements!$C$7:$E$24,3,0)</f>
        <v>#N/A</v>
      </c>
      <c r="AD92" s="83" t="str">
        <f t="shared" si="29"/>
        <v>0180-22</v>
      </c>
      <c r="AE92" s="75" t="str">
        <f t="shared" si="30"/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AF92" s="75" t="str">
        <f t="shared" si="31"/>
        <v>"C:\Program Files (x86)\AstroGrep\AstroGrep.exe" /spath="C:\Users\stu\Documents\Analysis\2016-02-23 RTDC Observations" /stypes="*4043*20160722*" /stext=" 21:.+((prompt.+disp)|(slice.+state.+chan)|(ment ac)|(system.+state.+chan)|(\|lc)|(penalty)|(\[timeout))" /e /r /s</v>
      </c>
      <c r="AG92" s="1" t="str">
        <f t="shared" si="32"/>
        <v>EC</v>
      </c>
    </row>
    <row r="93" spans="1:33" x14ac:dyDescent="0.25">
      <c r="A93" s="49" t="s">
        <v>532</v>
      </c>
      <c r="B93" s="7">
        <v>4027</v>
      </c>
      <c r="C93" s="26" t="s">
        <v>59</v>
      </c>
      <c r="D93" s="26" t="s">
        <v>126</v>
      </c>
      <c r="E93" s="16">
        <v>42573.569386574076</v>
      </c>
      <c r="F93" s="16">
        <v>42573.570196759261</v>
      </c>
      <c r="G93" s="7">
        <v>1</v>
      </c>
      <c r="H93" s="16" t="s">
        <v>181</v>
      </c>
      <c r="I93" s="16">
        <v>42573.597581018519</v>
      </c>
      <c r="J93" s="7">
        <v>0</v>
      </c>
      <c r="K93" s="26" t="str">
        <f t="shared" si="18"/>
        <v>4027/4028</v>
      </c>
      <c r="L93" s="26" t="str">
        <f>VLOOKUP(A93,'Trips&amp;Operators'!$C$1:$E$10000,3,FALSE)</f>
        <v>ADANE</v>
      </c>
      <c r="M93" s="6">
        <f t="shared" si="19"/>
        <v>2.7384259257814847E-2</v>
      </c>
      <c r="N93" s="7">
        <f t="shared" si="20"/>
        <v>39.43333333125338</v>
      </c>
      <c r="O93" s="7"/>
      <c r="P93" s="7"/>
      <c r="Q93" s="27"/>
      <c r="R93" s="27"/>
      <c r="S93" s="45">
        <f t="shared" si="21"/>
        <v>1</v>
      </c>
      <c r="T93" s="69" t="str">
        <f t="shared" si="22"/>
        <v>NorthBound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12:39:55-0600',mode:absolute,to:'2016-07-22 15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3" s="74" t="str">
        <f t="shared" si="24"/>
        <v>N</v>
      </c>
      <c r="X93" s="92">
        <f t="shared" si="25"/>
        <v>1</v>
      </c>
      <c r="Y93" s="89">
        <f t="shared" si="26"/>
        <v>4.58E-2</v>
      </c>
      <c r="Z93" s="89">
        <f t="shared" si="27"/>
        <v>23.329499999999999</v>
      </c>
      <c r="AA93" s="89">
        <f t="shared" si="28"/>
        <v>23.2837</v>
      </c>
      <c r="AB93" s="86" t="e">
        <f>VLOOKUP(A93,Enforcements!$C$7:$J$24,8,0)</f>
        <v>#N/A</v>
      </c>
      <c r="AC93" s="82" t="e">
        <f>VLOOKUP(A93,Enforcements!$C$7:$E$24,3,0)</f>
        <v>#N/A</v>
      </c>
      <c r="AD93" s="83" t="str">
        <f t="shared" si="29"/>
        <v>0181-22</v>
      </c>
      <c r="AE93" s="75" t="str">
        <f t="shared" si="30"/>
        <v>aws s3 cp s3://rtdc.mdm.uploadarchive/RTDC4027/2016-07-22/ "C:\Users\stu\Documents\Analysis\2016-02-23 RTDC Observations"\RTDC4027\2016-07-22 --recursive &amp; "C:\Users\stu\Documents\GitHub\mrs-test-scripts\Headless Mode &amp; Sideloading\WalkAndUnGZ.bat" "C:\Users\stu\Documents\Analysis\2016-02-23 RTDC Observations"\RTDC4027\2016-07-22 &amp; aws s3 cp s3://rtdc.mdm.uploadarchive/RTDC4027/2016-07-23/ "C:\Users\stu\Documents\Analysis\2016-02-23 RTDC Observations"\RTDC4027\2016-07-23 --recursive &amp; "C:\Users\stu\Documents\GitHub\mrs-test-scripts\Headless Mode &amp; Sideloading\WalkAndUnGZ.bat" "C:\Users\stu\Documents\Analysis\2016-02-23 RTDC Observations"\RTDC4027\2016-07-23</v>
      </c>
      <c r="AF93" s="75" t="str">
        <f t="shared" si="31"/>
        <v>"C:\Program Files (x86)\AstroGrep\AstroGrep.exe" /spath="C:\Users\stu\Documents\Analysis\2016-02-23 RTDC Observations" /stypes="*4027*20160722*" /stext=" 20:.+((prompt.+disp)|(slice.+state.+chan)|(ment ac)|(system.+state.+chan)|(\|lc)|(penalty)|(\[timeout))" /e /r /s</v>
      </c>
      <c r="AG93" s="1" t="str">
        <f t="shared" si="32"/>
        <v>EC</v>
      </c>
    </row>
    <row r="94" spans="1:33" x14ac:dyDescent="0.25">
      <c r="A94" s="49" t="s">
        <v>533</v>
      </c>
      <c r="B94" s="7">
        <v>4028</v>
      </c>
      <c r="C94" s="26" t="s">
        <v>59</v>
      </c>
      <c r="D94" s="26" t="s">
        <v>534</v>
      </c>
      <c r="E94" s="16">
        <v>42573.609756944446</v>
      </c>
      <c r="F94" s="16">
        <v>42573.610914351855</v>
      </c>
      <c r="G94" s="7">
        <v>1</v>
      </c>
      <c r="H94" s="16" t="s">
        <v>103</v>
      </c>
      <c r="I94" s="16">
        <v>42573.639444444445</v>
      </c>
      <c r="J94" s="7">
        <v>0</v>
      </c>
      <c r="K94" s="26" t="str">
        <f t="shared" si="18"/>
        <v>4027/4028</v>
      </c>
      <c r="L94" s="26" t="str">
        <f>VLOOKUP(A94,'Trips&amp;Operators'!$C$1:$E$10000,3,FALSE)</f>
        <v>ADANE</v>
      </c>
      <c r="M94" s="6">
        <f t="shared" si="19"/>
        <v>2.8530092589790002E-2</v>
      </c>
      <c r="N94" s="7">
        <f t="shared" si="20"/>
        <v>41.083333329297602</v>
      </c>
      <c r="O94" s="7"/>
      <c r="P94" s="7"/>
      <c r="Q94" s="27"/>
      <c r="R94" s="27"/>
      <c r="S94" s="45">
        <f t="shared" si="21"/>
        <v>1</v>
      </c>
      <c r="T94" s="69" t="str">
        <f t="shared" si="22"/>
        <v>Southbound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13:38:03-0600',mode:absolute,to:'2016-07-22 16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4" s="74" t="str">
        <f t="shared" si="24"/>
        <v>N</v>
      </c>
      <c r="X94" s="92">
        <f t="shared" si="25"/>
        <v>1</v>
      </c>
      <c r="Y94" s="89">
        <f t="shared" si="26"/>
        <v>23.296299999999999</v>
      </c>
      <c r="Z94" s="89">
        <f t="shared" si="27"/>
        <v>1.43E-2</v>
      </c>
      <c r="AA94" s="89">
        <f t="shared" si="28"/>
        <v>23.282</v>
      </c>
      <c r="AB94" s="86" t="e">
        <f>VLOOKUP(A94,Enforcements!$C$7:$J$24,8,0)</f>
        <v>#N/A</v>
      </c>
      <c r="AC94" s="82" t="e">
        <f>VLOOKUP(A94,Enforcements!$C$7:$E$24,3,0)</f>
        <v>#N/A</v>
      </c>
      <c r="AD94" s="83" t="str">
        <f t="shared" si="29"/>
        <v>0182-22</v>
      </c>
      <c r="AE94" s="75" t="str">
        <f t="shared" si="30"/>
        <v>aws s3 cp s3://rtdc.mdm.uploadarchive/RTDC4028/2016-07-22/ "C:\Users\stu\Documents\Analysis\2016-02-23 RTDC Observations"\RTDC4028\2016-07-22 --recursive &amp; "C:\Users\stu\Documents\GitHub\mrs-test-scripts\Headless Mode &amp; Sideloading\WalkAndUnGZ.bat" "C:\Users\stu\Documents\Analysis\2016-02-23 RTDC Observations"\RTDC4028\2016-07-22 &amp; aws s3 cp s3://rtdc.mdm.uploadarchive/RTDC4028/2016-07-23/ "C:\Users\stu\Documents\Analysis\2016-02-23 RTDC Observations"\RTDC4028\2016-07-23 --recursive &amp; "C:\Users\stu\Documents\GitHub\mrs-test-scripts\Headless Mode &amp; Sideloading\WalkAndUnGZ.bat" "C:\Users\stu\Documents\Analysis\2016-02-23 RTDC Observations"\RTDC4028\2016-07-23</v>
      </c>
      <c r="AF94" s="75" t="str">
        <f t="shared" si="31"/>
        <v>"C:\Program Files (x86)\AstroGrep\AstroGrep.exe" /spath="C:\Users\stu\Documents\Analysis\2016-02-23 RTDC Observations" /stypes="*4028*20160722*" /stext=" 21:.+((prompt.+disp)|(slice.+state.+chan)|(ment ac)|(system.+state.+chan)|(\|lc)|(penalty)|(\[timeout))" /e /r /s</v>
      </c>
      <c r="AG94" s="1" t="str">
        <f t="shared" si="32"/>
        <v>EC</v>
      </c>
    </row>
    <row r="95" spans="1:33" x14ac:dyDescent="0.25">
      <c r="A95" s="49" t="s">
        <v>535</v>
      </c>
      <c r="B95" s="7">
        <v>4014</v>
      </c>
      <c r="C95" s="26" t="s">
        <v>59</v>
      </c>
      <c r="D95" s="26" t="s">
        <v>242</v>
      </c>
      <c r="E95" s="16">
        <v>42573.577557870369</v>
      </c>
      <c r="F95" s="16">
        <v>42573.578784722224</v>
      </c>
      <c r="G95" s="7">
        <v>1</v>
      </c>
      <c r="H95" s="16" t="s">
        <v>536</v>
      </c>
      <c r="I95" s="16">
        <v>42573.609976851854</v>
      </c>
      <c r="J95" s="7">
        <v>1</v>
      </c>
      <c r="K95" s="26" t="str">
        <f t="shared" si="18"/>
        <v>4013/4014</v>
      </c>
      <c r="L95" s="26" t="str">
        <f>VLOOKUP(A95,'Trips&amp;Operators'!$C$1:$E$10000,3,FALSE)</f>
        <v>SHOOK</v>
      </c>
      <c r="M95" s="6">
        <f t="shared" si="19"/>
        <v>3.1192129630653653E-2</v>
      </c>
      <c r="N95" s="7">
        <f t="shared" si="20"/>
        <v>44.916666668141261</v>
      </c>
      <c r="O95" s="7"/>
      <c r="P95" s="7"/>
      <c r="Q95" s="27"/>
      <c r="R95" s="27"/>
      <c r="S95" s="45">
        <f t="shared" si="21"/>
        <v>1</v>
      </c>
      <c r="T95" s="69" t="str">
        <f t="shared" si="22"/>
        <v>NorthBound</v>
      </c>
      <c r="U95" s="96">
        <f>COUNTIFS(Variables!$M$2:$M$19,IF(T95="NorthBound","&gt;=","&lt;=")&amp;Y95,Variables!$M$2:$M$19,IF(T95="NorthBound","&lt;=","&gt;=")&amp;Z95)</f>
        <v>12</v>
      </c>
      <c r="V9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12:51:41-0600',mode:absolute,to:'2016-07-22 15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5" s="74" t="str">
        <f t="shared" si="24"/>
        <v>N</v>
      </c>
      <c r="X95" s="92">
        <f t="shared" si="25"/>
        <v>1</v>
      </c>
      <c r="Y95" s="89">
        <f t="shared" si="26"/>
        <v>4.5499999999999999E-2</v>
      </c>
      <c r="Z95" s="89">
        <f t="shared" si="27"/>
        <v>23.336400000000001</v>
      </c>
      <c r="AA95" s="89">
        <f t="shared" si="28"/>
        <v>23.290900000000001</v>
      </c>
      <c r="AB95" s="86">
        <f>VLOOKUP(A95,Enforcements!$C$7:$J$24,8,0)</f>
        <v>27333</v>
      </c>
      <c r="AC95" s="82" t="str">
        <f>VLOOKUP(A95,Enforcements!$C$7:$E$24,3,0)</f>
        <v>PERMANENT SPEED RESTRICTION</v>
      </c>
      <c r="AD95" s="83" t="str">
        <f t="shared" si="29"/>
        <v>0183-22</v>
      </c>
      <c r="AE95" s="75" t="str">
        <f t="shared" si="30"/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AF95" s="75" t="str">
        <f t="shared" si="31"/>
        <v>"C:\Program Files (x86)\AstroGrep\AstroGrep.exe" /spath="C:\Users\stu\Documents\Analysis\2016-02-23 RTDC Observations" /stypes="*4014*20160722*" /stext=" 20:.+((prompt.+disp)|(slice.+state.+chan)|(ment ac)|(system.+state.+chan)|(\|lc)|(penalty)|(\[timeout))" /e /r /s</v>
      </c>
      <c r="AG95" s="1" t="str">
        <f t="shared" si="32"/>
        <v>EC</v>
      </c>
    </row>
    <row r="96" spans="1:33" x14ac:dyDescent="0.25">
      <c r="A96" s="49" t="s">
        <v>537</v>
      </c>
      <c r="B96" s="7">
        <v>4013</v>
      </c>
      <c r="C96" s="26" t="s">
        <v>59</v>
      </c>
      <c r="D96" s="26" t="s">
        <v>538</v>
      </c>
      <c r="E96" s="16">
        <v>42573.619490740741</v>
      </c>
      <c r="F96" s="16">
        <v>42573.620393518519</v>
      </c>
      <c r="G96" s="7">
        <v>1</v>
      </c>
      <c r="H96" s="16" t="s">
        <v>60</v>
      </c>
      <c r="I96" s="16">
        <v>42573.651504629626</v>
      </c>
      <c r="J96" s="7">
        <v>0</v>
      </c>
      <c r="K96" s="26" t="str">
        <f t="shared" si="18"/>
        <v>4013/4014</v>
      </c>
      <c r="L96" s="26" t="str">
        <f>VLOOKUP(A96,'Trips&amp;Operators'!$C$1:$E$10000,3,FALSE)</f>
        <v>SHOOK</v>
      </c>
      <c r="M96" s="6">
        <f t="shared" si="19"/>
        <v>3.1111111107748002E-2</v>
      </c>
      <c r="N96" s="7">
        <f t="shared" si="20"/>
        <v>44.799999995157123</v>
      </c>
      <c r="O96" s="7"/>
      <c r="P96" s="7"/>
      <c r="Q96" s="27"/>
      <c r="R96" s="27"/>
      <c r="S96" s="45">
        <f t="shared" si="21"/>
        <v>1</v>
      </c>
      <c r="T96" s="69" t="str">
        <f t="shared" si="22"/>
        <v>Southbound</v>
      </c>
      <c r="U96" s="96">
        <f>COUNTIFS(Variables!$M$2:$M$19,IF(T96="NorthBound","&gt;=","&lt;=")&amp;Y96,Variables!$M$2:$M$19,IF(T96="NorthBound","&lt;=","&gt;=")&amp;Z96)</f>
        <v>12</v>
      </c>
      <c r="V9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13:52:04-0600',mode:absolute,to:'2016-07-22 16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74" t="str">
        <f t="shared" si="24"/>
        <v>N</v>
      </c>
      <c r="X96" s="92">
        <f t="shared" si="25"/>
        <v>1</v>
      </c>
      <c r="Y96" s="89">
        <f t="shared" si="26"/>
        <v>23.306000000000001</v>
      </c>
      <c r="Z96" s="89">
        <f t="shared" si="27"/>
        <v>1.4500000000000001E-2</v>
      </c>
      <c r="AA96" s="89">
        <f t="shared" si="28"/>
        <v>23.291499999999999</v>
      </c>
      <c r="AB96" s="86" t="e">
        <f>VLOOKUP(A96,Enforcements!$C$7:$J$24,8,0)</f>
        <v>#N/A</v>
      </c>
      <c r="AC96" s="82" t="e">
        <f>VLOOKUP(A96,Enforcements!$C$7:$E$24,3,0)</f>
        <v>#N/A</v>
      </c>
      <c r="AD96" s="83" t="str">
        <f t="shared" si="29"/>
        <v>0184-22</v>
      </c>
      <c r="AE96" s="75" t="str">
        <f t="shared" si="30"/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AF96" s="75" t="str">
        <f t="shared" si="31"/>
        <v>"C:\Program Files (x86)\AstroGrep\AstroGrep.exe" /spath="C:\Users\stu\Documents\Analysis\2016-02-23 RTDC Observations" /stypes="*4013*20160722*" /stext=" 21:.+((prompt.+disp)|(slice.+state.+chan)|(ment ac)|(system.+state.+chan)|(\|lc)|(penalty)|(\[timeout))" /e /r /s</v>
      </c>
      <c r="AG96" s="1" t="str">
        <f t="shared" si="32"/>
        <v>EC</v>
      </c>
    </row>
    <row r="97" spans="1:33" x14ac:dyDescent="0.25">
      <c r="A97" s="49" t="s">
        <v>539</v>
      </c>
      <c r="B97" s="7">
        <v>4038</v>
      </c>
      <c r="C97" s="26" t="s">
        <v>59</v>
      </c>
      <c r="D97" s="26" t="s">
        <v>276</v>
      </c>
      <c r="E97" s="16">
        <v>42573.590925925928</v>
      </c>
      <c r="F97" s="16">
        <v>42573.591921296298</v>
      </c>
      <c r="G97" s="7">
        <v>1</v>
      </c>
      <c r="H97" s="16" t="s">
        <v>166</v>
      </c>
      <c r="I97" s="16">
        <v>42573.627557870372</v>
      </c>
      <c r="J97" s="7">
        <v>2</v>
      </c>
      <c r="K97" s="26" t="str">
        <f t="shared" si="18"/>
        <v>4037/4038</v>
      </c>
      <c r="L97" s="26" t="str">
        <f>VLOOKUP(A97,'Trips&amp;Operators'!$C$1:$E$10000,3,FALSE)</f>
        <v>WEBSTER</v>
      </c>
      <c r="M97" s="6">
        <f t="shared" si="19"/>
        <v>3.5636574073578231E-2</v>
      </c>
      <c r="N97" s="7">
        <f t="shared" si="20"/>
        <v>51.316666665952653</v>
      </c>
      <c r="O97" s="7"/>
      <c r="P97" s="7"/>
      <c r="Q97" s="27"/>
      <c r="R97" s="27"/>
      <c r="S97" s="45">
        <f t="shared" si="21"/>
        <v>1</v>
      </c>
      <c r="T97" s="69" t="str">
        <f t="shared" si="22"/>
        <v>NorthBound</v>
      </c>
      <c r="U97" s="96">
        <f>COUNTIFS(Variables!$M$2:$M$19,IF(T97="NorthBound","&gt;=","&lt;=")&amp;Y97,Variables!$M$2:$M$19,IF(T97="NorthBound","&lt;=","&gt;=")&amp;Z97)</f>
        <v>12</v>
      </c>
      <c r="V9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13:10:56-0600',mode:absolute,to:'2016-07-22 16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7" s="74" t="str">
        <f t="shared" si="24"/>
        <v>N</v>
      </c>
      <c r="X97" s="92">
        <f t="shared" si="25"/>
        <v>1</v>
      </c>
      <c r="Y97" s="89">
        <f t="shared" si="26"/>
        <v>4.4699999999999997E-2</v>
      </c>
      <c r="Z97" s="89">
        <f t="shared" si="27"/>
        <v>23.328900000000001</v>
      </c>
      <c r="AA97" s="89">
        <f t="shared" si="28"/>
        <v>23.284200000000002</v>
      </c>
      <c r="AB97" s="86">
        <f>VLOOKUP(A97,Enforcements!$C$7:$J$24,8,0)</f>
        <v>27333</v>
      </c>
      <c r="AC97" s="82" t="str">
        <f>VLOOKUP(A97,Enforcements!$C$7:$E$24,3,0)</f>
        <v>PERMANENT SPEED RESTRICTION</v>
      </c>
      <c r="AD97" s="83" t="str">
        <f t="shared" si="29"/>
        <v>0185-22</v>
      </c>
      <c r="AE97" s="75" t="str">
        <f t="shared" si="30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97" s="75" t="str">
        <f t="shared" si="31"/>
        <v>"C:\Program Files (x86)\AstroGrep\AstroGrep.exe" /spath="C:\Users\stu\Documents\Analysis\2016-02-23 RTDC Observations" /stypes="*4038*20160722*" /stext=" 21:.+((prompt.+disp)|(slice.+state.+chan)|(ment ac)|(system.+state.+chan)|(\|lc)|(penalty)|(\[timeout))" /e /r /s</v>
      </c>
      <c r="AG97" s="1" t="str">
        <f t="shared" si="32"/>
        <v>EC</v>
      </c>
    </row>
    <row r="98" spans="1:33" x14ac:dyDescent="0.25">
      <c r="A98" s="49" t="s">
        <v>540</v>
      </c>
      <c r="B98" s="7">
        <v>4037</v>
      </c>
      <c r="C98" s="26" t="s">
        <v>59</v>
      </c>
      <c r="D98" s="26" t="s">
        <v>243</v>
      </c>
      <c r="E98" s="16">
        <v>42573.629490740743</v>
      </c>
      <c r="F98" s="16">
        <v>42573.630520833336</v>
      </c>
      <c r="G98" s="7">
        <v>1</v>
      </c>
      <c r="H98" s="16" t="s">
        <v>151</v>
      </c>
      <c r="I98" s="16">
        <v>42573.66207175926</v>
      </c>
      <c r="J98" s="7">
        <v>1</v>
      </c>
      <c r="K98" s="26" t="str">
        <f t="shared" si="18"/>
        <v>4037/4038</v>
      </c>
      <c r="L98" s="26" t="str">
        <f>VLOOKUP(A98,'Trips&amp;Operators'!$C$1:$E$10000,3,FALSE)</f>
        <v>WEBSTER</v>
      </c>
      <c r="M98" s="6">
        <f t="shared" si="19"/>
        <v>3.1550925923511386E-2</v>
      </c>
      <c r="N98" s="7">
        <f t="shared" si="20"/>
        <v>45.433333329856396</v>
      </c>
      <c r="O98" s="7"/>
      <c r="P98" s="7"/>
      <c r="Q98" s="27"/>
      <c r="R98" s="27"/>
      <c r="S98" s="45">
        <f t="shared" si="21"/>
        <v>1</v>
      </c>
      <c r="T98" s="69" t="str">
        <f t="shared" si="22"/>
        <v>Southbound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14:06:28-0600',mode:absolute,to:'2016-07-22 16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8" s="74" t="str">
        <f t="shared" si="24"/>
        <v>N</v>
      </c>
      <c r="X98" s="92">
        <f t="shared" si="25"/>
        <v>1</v>
      </c>
      <c r="Y98" s="89">
        <f t="shared" si="26"/>
        <v>23.296900000000001</v>
      </c>
      <c r="Z98" s="89">
        <f t="shared" si="27"/>
        <v>1.4999999999999999E-2</v>
      </c>
      <c r="AA98" s="89">
        <f t="shared" si="28"/>
        <v>23.2819</v>
      </c>
      <c r="AB98" s="86">
        <f>VLOOKUP(A98,Enforcements!$C$7:$J$24,8,0)</f>
        <v>119716</v>
      </c>
      <c r="AC98" s="82" t="str">
        <f>VLOOKUP(A98,Enforcements!$C$7:$E$24,3,0)</f>
        <v>PERMANENT SPEED RESTRICTION</v>
      </c>
      <c r="AD98" s="83" t="str">
        <f t="shared" si="29"/>
        <v>0186-22</v>
      </c>
      <c r="AE98" s="75" t="str">
        <f t="shared" si="30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98" s="75" t="str">
        <f t="shared" si="31"/>
        <v>"C:\Program Files (x86)\AstroGrep\AstroGrep.exe" /spath="C:\Users\stu\Documents\Analysis\2016-02-23 RTDC Observations" /stypes="*4037*20160722*" /stext=" 21:.+((prompt.+disp)|(slice.+state.+chan)|(ment ac)|(system.+state.+chan)|(\|lc)|(penalty)|(\[timeout))" /e /r /s</v>
      </c>
      <c r="AG98" s="1" t="str">
        <f t="shared" si="32"/>
        <v>EC</v>
      </c>
    </row>
    <row r="99" spans="1:33" x14ac:dyDescent="0.25">
      <c r="A99" s="49" t="s">
        <v>541</v>
      </c>
      <c r="B99" s="7">
        <v>4020</v>
      </c>
      <c r="C99" s="26" t="s">
        <v>59</v>
      </c>
      <c r="D99" s="26" t="s">
        <v>242</v>
      </c>
      <c r="E99" s="16">
        <v>42573.605694444443</v>
      </c>
      <c r="F99" s="16">
        <v>42573.606400462966</v>
      </c>
      <c r="G99" s="7">
        <v>1</v>
      </c>
      <c r="H99" s="16" t="s">
        <v>343</v>
      </c>
      <c r="I99" s="16">
        <v>42573.632870370369</v>
      </c>
      <c r="J99" s="7">
        <v>0</v>
      </c>
      <c r="K99" s="26" t="str">
        <f t="shared" si="18"/>
        <v>4019/4020</v>
      </c>
      <c r="L99" s="26" t="str">
        <f>VLOOKUP(A99,'Trips&amp;Operators'!$C$1:$E$10000,3,FALSE)</f>
        <v>STEWART</v>
      </c>
      <c r="M99" s="6">
        <f t="shared" si="19"/>
        <v>2.6469907403225079E-2</v>
      </c>
      <c r="N99" s="7">
        <f t="shared" si="20"/>
        <v>38.116666660644114</v>
      </c>
      <c r="O99" s="7"/>
      <c r="P99" s="7"/>
      <c r="Q99" s="27"/>
      <c r="R99" s="27"/>
      <c r="S99" s="45">
        <f t="shared" si="21"/>
        <v>1</v>
      </c>
      <c r="T99" s="69" t="str">
        <f t="shared" si="22"/>
        <v>NorthBound</v>
      </c>
      <c r="U99" s="96">
        <f>COUNTIFS(Variables!$M$2:$M$19,IF(T99="NorthBound","&gt;=","&lt;=")&amp;Y99,Variables!$M$2:$M$19,IF(T99="NorthBound","&lt;=","&gt;=")&amp;Z99)</f>
        <v>12</v>
      </c>
      <c r="V9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13:32:12-0600',mode:absolute,to:'2016-07-22 16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9" s="74" t="str">
        <f t="shared" si="24"/>
        <v>N</v>
      </c>
      <c r="X99" s="92">
        <f t="shared" si="25"/>
        <v>1</v>
      </c>
      <c r="Y99" s="89">
        <f t="shared" si="26"/>
        <v>4.5499999999999999E-2</v>
      </c>
      <c r="Z99" s="89">
        <f t="shared" si="27"/>
        <v>23.327999999999999</v>
      </c>
      <c r="AA99" s="89">
        <f t="shared" si="28"/>
        <v>23.282499999999999</v>
      </c>
      <c r="AB99" s="86" t="e">
        <f>VLOOKUP(A99,Enforcements!$C$7:$J$24,8,0)</f>
        <v>#N/A</v>
      </c>
      <c r="AC99" s="82" t="e">
        <f>VLOOKUP(A99,Enforcements!$C$7:$E$24,3,0)</f>
        <v>#N/A</v>
      </c>
      <c r="AD99" s="83" t="str">
        <f t="shared" si="29"/>
        <v>0187-22</v>
      </c>
      <c r="AE99" s="75" t="str">
        <f t="shared" si="30"/>
        <v>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 &amp; 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</v>
      </c>
      <c r="AF99" s="75" t="str">
        <f t="shared" si="31"/>
        <v>"C:\Program Files (x86)\AstroGrep\AstroGrep.exe" /spath="C:\Users\stu\Documents\Analysis\2016-02-23 RTDC Observations" /stypes="*4020*20160722*" /stext=" 21:.+((prompt.+disp)|(slice.+state.+chan)|(ment ac)|(system.+state.+chan)|(\|lc)|(penalty)|(\[timeout))" /e /r /s</v>
      </c>
      <c r="AG99" s="1" t="str">
        <f t="shared" si="32"/>
        <v>EC</v>
      </c>
    </row>
    <row r="100" spans="1:33" x14ac:dyDescent="0.25">
      <c r="A100" s="49" t="s">
        <v>542</v>
      </c>
      <c r="B100" s="7">
        <v>4019</v>
      </c>
      <c r="C100" s="26" t="s">
        <v>59</v>
      </c>
      <c r="D100" s="26" t="s">
        <v>67</v>
      </c>
      <c r="E100" s="16">
        <v>42573.641365740739</v>
      </c>
      <c r="F100" s="16">
        <v>42573.642546296294</v>
      </c>
      <c r="G100" s="7">
        <v>1</v>
      </c>
      <c r="H100" s="16" t="s">
        <v>258</v>
      </c>
      <c r="I100" s="16">
        <v>42573.67114583333</v>
      </c>
      <c r="J100" s="7">
        <v>0</v>
      </c>
      <c r="K100" s="26" t="str">
        <f t="shared" si="18"/>
        <v>4019/4020</v>
      </c>
      <c r="L100" s="26" t="str">
        <f>VLOOKUP(A100,'Trips&amp;Operators'!$C$1:$E$10000,3,FALSE)</f>
        <v>STEWART</v>
      </c>
      <c r="M100" s="6">
        <f t="shared" si="19"/>
        <v>2.8599537035916001E-2</v>
      </c>
      <c r="N100" s="7">
        <f t="shared" si="20"/>
        <v>41.183333331719041</v>
      </c>
      <c r="O100" s="7"/>
      <c r="P100" s="7"/>
      <c r="Q100" s="27"/>
      <c r="R100" s="27"/>
      <c r="S100" s="45">
        <f t="shared" si="21"/>
        <v>1</v>
      </c>
      <c r="T100" s="69" t="str">
        <f t="shared" si="22"/>
        <v>Southbound</v>
      </c>
      <c r="U100" s="96">
        <f>COUNTIFS(Variables!$M$2:$M$19,IF(T100="NorthBound","&gt;=","&lt;=")&amp;Y100,Variables!$M$2:$M$19,IF(T100="NorthBound","&lt;=","&gt;=")&amp;Z100)</f>
        <v>12</v>
      </c>
      <c r="V10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14:23:34-0600',mode:absolute,to:'2016-07-22 17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0" s="74" t="str">
        <f t="shared" si="24"/>
        <v>N</v>
      </c>
      <c r="X100" s="92">
        <f t="shared" si="25"/>
        <v>1</v>
      </c>
      <c r="Y100" s="89">
        <f t="shared" si="26"/>
        <v>23.297699999999999</v>
      </c>
      <c r="Z100" s="89">
        <f t="shared" si="27"/>
        <v>1.5800000000000002E-2</v>
      </c>
      <c r="AA100" s="89">
        <f t="shared" si="28"/>
        <v>23.2819</v>
      </c>
      <c r="AB100" s="86" t="e">
        <f>VLOOKUP(A100,Enforcements!$C$7:$J$24,8,0)</f>
        <v>#N/A</v>
      </c>
      <c r="AC100" s="82" t="e">
        <f>VLOOKUP(A100,Enforcements!$C$7:$E$24,3,0)</f>
        <v>#N/A</v>
      </c>
      <c r="AD100" s="83" t="str">
        <f t="shared" si="29"/>
        <v>0188-22</v>
      </c>
      <c r="AE100" s="75" t="str">
        <f t="shared" si="30"/>
        <v>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 &amp; 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</v>
      </c>
      <c r="AF100" s="75" t="str">
        <f t="shared" si="31"/>
        <v>"C:\Program Files (x86)\AstroGrep\AstroGrep.exe" /spath="C:\Users\stu\Documents\Analysis\2016-02-23 RTDC Observations" /stypes="*4019*20160722*" /stext=" 22:.+((prompt.+disp)|(slice.+state.+chan)|(ment ac)|(system.+state.+chan)|(\|lc)|(penalty)|(\[timeout))" /e /r /s</v>
      </c>
      <c r="AG100" s="1" t="str">
        <f t="shared" si="32"/>
        <v>EC</v>
      </c>
    </row>
    <row r="101" spans="1:33" x14ac:dyDescent="0.25">
      <c r="A101" s="49" t="s">
        <v>543</v>
      </c>
      <c r="B101" s="7">
        <v>4039</v>
      </c>
      <c r="C101" s="26" t="s">
        <v>59</v>
      </c>
      <c r="D101" s="26" t="s">
        <v>263</v>
      </c>
      <c r="E101" s="16">
        <v>42573.646493055552</v>
      </c>
      <c r="F101" s="16">
        <v>42573.647523148145</v>
      </c>
      <c r="G101" s="7">
        <v>1</v>
      </c>
      <c r="H101" s="16" t="s">
        <v>150</v>
      </c>
      <c r="I101" s="16">
        <v>42573.680277777778</v>
      </c>
      <c r="J101" s="7">
        <v>1</v>
      </c>
      <c r="K101" s="26" t="str">
        <f t="shared" si="18"/>
        <v>4039/4040</v>
      </c>
      <c r="L101" s="26" t="str">
        <f>VLOOKUP(A101,'Trips&amp;Operators'!$C$1:$E$10000,3,FALSE)</f>
        <v>MAYBERRY</v>
      </c>
      <c r="M101" s="6">
        <f t="shared" si="19"/>
        <v>3.2754629632108845E-2</v>
      </c>
      <c r="N101" s="7">
        <f t="shared" si="20"/>
        <v>47.166666670236737</v>
      </c>
      <c r="O101" s="7"/>
      <c r="P101" s="7"/>
      <c r="Q101" s="27"/>
      <c r="R101" s="27"/>
      <c r="S101" s="45">
        <f t="shared" si="21"/>
        <v>1</v>
      </c>
      <c r="T101" s="69" t="str">
        <f t="shared" si="22"/>
        <v>Southbound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14:30:57-0600',mode:absolute,to:'2016-07-22 17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1" s="74" t="str">
        <f t="shared" si="24"/>
        <v>N</v>
      </c>
      <c r="X101" s="92">
        <f t="shared" si="25"/>
        <v>2</v>
      </c>
      <c r="Y101" s="89">
        <f t="shared" si="26"/>
        <v>23.297799999999999</v>
      </c>
      <c r="Z101" s="89">
        <f t="shared" si="27"/>
        <v>1.54E-2</v>
      </c>
      <c r="AA101" s="89">
        <f t="shared" si="28"/>
        <v>23.282399999999999</v>
      </c>
      <c r="AB101" s="86">
        <f>VLOOKUP(A101,Enforcements!$C$7:$J$24,8,0)</f>
        <v>229055</v>
      </c>
      <c r="AC101" s="82" t="str">
        <f>VLOOKUP(A101,Enforcements!$C$7:$E$24,3,0)</f>
        <v>PERMANENT SPEED RESTRICTION</v>
      </c>
      <c r="AD101" s="83" t="str">
        <f t="shared" si="29"/>
        <v>0190-22</v>
      </c>
      <c r="AE101" s="75" t="str">
        <f t="shared" si="30"/>
        <v>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 &amp; 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</v>
      </c>
      <c r="AF101" s="75" t="str">
        <f t="shared" si="31"/>
        <v>"C:\Program Files (x86)\AstroGrep\AstroGrep.exe" /spath="C:\Users\stu\Documents\Analysis\2016-02-23 RTDC Observations" /stypes="*4039*20160722*" /stext=" 22:.+((prompt.+disp)|(slice.+state.+chan)|(ment ac)|(system.+state.+chan)|(\|lc)|(penalty)|(\[timeout))" /e /r /s</v>
      </c>
      <c r="AG101" s="1" t="str">
        <f t="shared" si="32"/>
        <v>EC</v>
      </c>
    </row>
    <row r="102" spans="1:33" x14ac:dyDescent="0.25">
      <c r="A102" s="49" t="s">
        <v>544</v>
      </c>
      <c r="B102" s="7">
        <v>4042</v>
      </c>
      <c r="C102" s="26" t="s">
        <v>59</v>
      </c>
      <c r="D102" s="26" t="s">
        <v>482</v>
      </c>
      <c r="E102" s="16">
        <v>42573.619479166664</v>
      </c>
      <c r="F102" s="16">
        <v>42573.620706018519</v>
      </c>
      <c r="G102" s="7">
        <v>1</v>
      </c>
      <c r="H102" s="16" t="s">
        <v>545</v>
      </c>
      <c r="I102" s="16">
        <v>42573.652777777781</v>
      </c>
      <c r="J102" s="7">
        <v>0</v>
      </c>
      <c r="K102" s="26" t="str">
        <f t="shared" si="18"/>
        <v>4041/4042</v>
      </c>
      <c r="L102" s="26" t="str">
        <f>VLOOKUP(A102,'Trips&amp;Operators'!$C$1:$E$10000,3,FALSE)</f>
        <v>HELVIE</v>
      </c>
      <c r="M102" s="6">
        <f t="shared" si="19"/>
        <v>3.2071759262180422E-2</v>
      </c>
      <c r="N102" s="7">
        <f t="shared" si="20"/>
        <v>46.183333337539807</v>
      </c>
      <c r="O102" s="7"/>
      <c r="P102" s="7"/>
      <c r="Q102" s="27"/>
      <c r="R102" s="27"/>
      <c r="S102" s="45">
        <f t="shared" si="21"/>
        <v>1</v>
      </c>
      <c r="T102" s="69" t="str">
        <f t="shared" si="22"/>
        <v>NorthBound</v>
      </c>
      <c r="U102" s="96">
        <f>COUNTIFS(Variables!$M$2:$M$19,IF(T102="NorthBound","&gt;=","&lt;=")&amp;Y102,Variables!$M$2:$M$19,IF(T102="NorthBound","&lt;=","&gt;=")&amp;Z102)</f>
        <v>12</v>
      </c>
      <c r="V10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13:52:03-0600',mode:absolute,to:'2016-07-22 16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2" s="74" t="str">
        <f t="shared" si="24"/>
        <v>N</v>
      </c>
      <c r="X102" s="92">
        <f t="shared" si="25"/>
        <v>1</v>
      </c>
      <c r="Y102" s="89">
        <f t="shared" si="26"/>
        <v>4.6899999999999997E-2</v>
      </c>
      <c r="Z102" s="89">
        <f t="shared" si="27"/>
        <v>23.3249</v>
      </c>
      <c r="AA102" s="89">
        <f t="shared" si="28"/>
        <v>23.277999999999999</v>
      </c>
      <c r="AB102" s="86" t="e">
        <f>VLOOKUP(A102,Enforcements!$C$7:$J$24,8,0)</f>
        <v>#N/A</v>
      </c>
      <c r="AC102" s="82" t="e">
        <f>VLOOKUP(A102,Enforcements!$C$7:$E$24,3,0)</f>
        <v>#N/A</v>
      </c>
      <c r="AD102" s="83" t="str">
        <f t="shared" si="29"/>
        <v>0191-22</v>
      </c>
      <c r="AE102" s="75" t="str">
        <f t="shared" si="30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102" s="75" t="str">
        <f t="shared" si="31"/>
        <v>"C:\Program Files (x86)\AstroGrep\AstroGrep.exe" /spath="C:\Users\stu\Documents\Analysis\2016-02-23 RTDC Observations" /stypes="*4042*20160722*" /stext=" 21:.+((prompt.+disp)|(slice.+state.+chan)|(ment ac)|(system.+state.+chan)|(\|lc)|(penalty)|(\[timeout))" /e /r /s</v>
      </c>
      <c r="AG102" s="1" t="str">
        <f t="shared" si="32"/>
        <v>EC</v>
      </c>
    </row>
    <row r="103" spans="1:33" x14ac:dyDescent="0.25">
      <c r="A103" s="49" t="s">
        <v>546</v>
      </c>
      <c r="B103" s="7">
        <v>4041</v>
      </c>
      <c r="C103" s="26" t="s">
        <v>59</v>
      </c>
      <c r="D103" s="26" t="s">
        <v>547</v>
      </c>
      <c r="E103" s="16">
        <v>42573.659583333334</v>
      </c>
      <c r="F103" s="16">
        <v>42573.660671296297</v>
      </c>
      <c r="G103" s="7">
        <v>1</v>
      </c>
      <c r="H103" s="16" t="s">
        <v>172</v>
      </c>
      <c r="I103" s="16">
        <v>42573.69159722222</v>
      </c>
      <c r="J103" s="7">
        <v>0</v>
      </c>
      <c r="K103" s="26" t="str">
        <f t="shared" si="18"/>
        <v>4041/4042</v>
      </c>
      <c r="L103" s="26" t="str">
        <f>VLOOKUP(A103,'Trips&amp;Operators'!$C$1:$E$10000,3,FALSE)</f>
        <v>HELVIE</v>
      </c>
      <c r="M103" s="6">
        <f t="shared" si="19"/>
        <v>3.0925925922929309E-2</v>
      </c>
      <c r="N103" s="7">
        <f t="shared" si="20"/>
        <v>44.533333329018205</v>
      </c>
      <c r="O103" s="7"/>
      <c r="P103" s="7"/>
      <c r="Q103" s="27"/>
      <c r="R103" s="27"/>
      <c r="S103" s="45">
        <f t="shared" si="21"/>
        <v>1</v>
      </c>
      <c r="T103" s="69" t="str">
        <f t="shared" si="22"/>
        <v>Southbound</v>
      </c>
      <c r="U103" s="96">
        <f>COUNTIFS(Variables!$M$2:$M$19,IF(T103="NorthBound","&gt;=","&lt;=")&amp;Y103,Variables!$M$2:$M$19,IF(T103="NorthBound","&lt;=","&gt;=")&amp;Z103)</f>
        <v>12</v>
      </c>
      <c r="V10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14:49:48-0600',mode:absolute,to:'2016-07-22 17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3" s="74" t="str">
        <f t="shared" si="24"/>
        <v>N</v>
      </c>
      <c r="X103" s="92">
        <f t="shared" si="25"/>
        <v>1</v>
      </c>
      <c r="Y103" s="89">
        <f t="shared" si="26"/>
        <v>23.295500000000001</v>
      </c>
      <c r="Z103" s="89">
        <f t="shared" si="27"/>
        <v>4.6699999999999998E-2</v>
      </c>
      <c r="AA103" s="89">
        <f t="shared" si="28"/>
        <v>23.248799999999999</v>
      </c>
      <c r="AB103" s="86" t="e">
        <f>VLOOKUP(A103,Enforcements!$C$7:$J$24,8,0)</f>
        <v>#N/A</v>
      </c>
      <c r="AC103" s="82" t="e">
        <f>VLOOKUP(A103,Enforcements!$C$7:$E$24,3,0)</f>
        <v>#N/A</v>
      </c>
      <c r="AD103" s="83" t="str">
        <f t="shared" si="29"/>
        <v>0192-22</v>
      </c>
      <c r="AE103" s="75" t="str">
        <f t="shared" si="30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103" s="75" t="str">
        <f t="shared" si="31"/>
        <v>"C:\Program Files (x86)\AstroGrep\AstroGrep.exe" /spath="C:\Users\stu\Documents\Analysis\2016-02-23 RTDC Observations" /stypes="*4041*20160722*" /stext=" 22:.+((prompt.+disp)|(slice.+state.+chan)|(ment ac)|(system.+state.+chan)|(\|lc)|(penalty)|(\[timeout))" /e /r /s</v>
      </c>
      <c r="AG103" s="1" t="str">
        <f t="shared" si="32"/>
        <v>EC</v>
      </c>
    </row>
    <row r="104" spans="1:33" x14ac:dyDescent="0.25">
      <c r="A104" s="49" t="s">
        <v>548</v>
      </c>
      <c r="B104" s="7">
        <v>4044</v>
      </c>
      <c r="C104" s="26" t="s">
        <v>59</v>
      </c>
      <c r="D104" s="26" t="s">
        <v>312</v>
      </c>
      <c r="E104" s="16">
        <v>42573.634085648147</v>
      </c>
      <c r="F104" s="16">
        <v>42573.635960648149</v>
      </c>
      <c r="G104" s="7">
        <v>2</v>
      </c>
      <c r="H104" s="16" t="s">
        <v>262</v>
      </c>
      <c r="I104" s="16">
        <v>42573.660775462966</v>
      </c>
      <c r="J104" s="7">
        <v>0</v>
      </c>
      <c r="K104" s="26" t="str">
        <f t="shared" si="18"/>
        <v>4043/4044</v>
      </c>
      <c r="L104" s="26" t="str">
        <f>VLOOKUP(A104,'Trips&amp;Operators'!$C$1:$E$10000,3,FALSE)</f>
        <v>MOSES</v>
      </c>
      <c r="M104" s="6">
        <f t="shared" si="19"/>
        <v>2.4814814816636499E-2</v>
      </c>
      <c r="N104" s="7">
        <f t="shared" si="20"/>
        <v>35.733333335956559</v>
      </c>
      <c r="O104" s="7"/>
      <c r="P104" s="7"/>
      <c r="Q104" s="27"/>
      <c r="R104" s="27"/>
      <c r="S104" s="45">
        <f t="shared" si="21"/>
        <v>1</v>
      </c>
      <c r="T104" s="69" t="str">
        <f t="shared" si="22"/>
        <v>NorthBound</v>
      </c>
      <c r="U104" s="96">
        <f>COUNTIFS(Variables!$M$2:$M$19,IF(T104="NorthBound","&gt;=","&lt;=")&amp;Y104,Variables!$M$2:$M$19,IF(T104="NorthBound","&lt;=","&gt;=")&amp;Z104)</f>
        <v>12</v>
      </c>
      <c r="V10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14:13:05-0600',mode:absolute,to:'2016-07-22 16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4" s="74" t="str">
        <f t="shared" si="24"/>
        <v>N</v>
      </c>
      <c r="X104" s="92">
        <f t="shared" si="25"/>
        <v>1</v>
      </c>
      <c r="Y104" s="89">
        <f t="shared" si="26"/>
        <v>4.8000000000000001E-2</v>
      </c>
      <c r="Z104" s="89">
        <f t="shared" si="27"/>
        <v>23.327400000000001</v>
      </c>
      <c r="AA104" s="89">
        <f t="shared" si="28"/>
        <v>23.279400000000003</v>
      </c>
      <c r="AB104" s="86" t="e">
        <f>VLOOKUP(A104,Enforcements!$C$7:$J$24,8,0)</f>
        <v>#N/A</v>
      </c>
      <c r="AC104" s="82" t="e">
        <f>VLOOKUP(A104,Enforcements!$C$7:$E$24,3,0)</f>
        <v>#N/A</v>
      </c>
      <c r="AD104" s="83" t="str">
        <f t="shared" si="29"/>
        <v>0193-22</v>
      </c>
      <c r="AE104" s="75" t="str">
        <f t="shared" si="30"/>
        <v>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 &amp; 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</v>
      </c>
      <c r="AF104" s="75" t="str">
        <f t="shared" si="31"/>
        <v>"C:\Program Files (x86)\AstroGrep\AstroGrep.exe" /spath="C:\Users\stu\Documents\Analysis\2016-02-23 RTDC Observations" /stypes="*4044*20160722*" /stext=" 21:.+((prompt.+disp)|(slice.+state.+chan)|(ment ac)|(system.+state.+chan)|(\|lc)|(penalty)|(\[timeout))" /e /r /s</v>
      </c>
      <c r="AG104" s="1" t="str">
        <f t="shared" si="32"/>
        <v>EC</v>
      </c>
    </row>
    <row r="105" spans="1:33" x14ac:dyDescent="0.25">
      <c r="A105" s="49" t="s">
        <v>549</v>
      </c>
      <c r="B105" s="7">
        <v>4043</v>
      </c>
      <c r="C105" s="26" t="s">
        <v>59</v>
      </c>
      <c r="D105" s="26" t="s">
        <v>534</v>
      </c>
      <c r="E105" s="16">
        <v>42573.670995370368</v>
      </c>
      <c r="F105" s="16">
        <v>42573.671990740739</v>
      </c>
      <c r="G105" s="7">
        <v>1</v>
      </c>
      <c r="H105" s="16" t="s">
        <v>151</v>
      </c>
      <c r="I105" s="16">
        <v>42573.701331018521</v>
      </c>
      <c r="J105" s="7">
        <v>2</v>
      </c>
      <c r="K105" s="26" t="str">
        <f t="shared" si="18"/>
        <v>4043/4044</v>
      </c>
      <c r="L105" s="26" t="str">
        <f>VLOOKUP(A105,'Trips&amp;Operators'!$C$1:$E$10000,3,FALSE)</f>
        <v>MOSES</v>
      </c>
      <c r="M105" s="6">
        <f t="shared" si="19"/>
        <v>2.9340277782466728E-2</v>
      </c>
      <c r="N105" s="7">
        <f t="shared" si="20"/>
        <v>42.250000006752089</v>
      </c>
      <c r="O105" s="7"/>
      <c r="P105" s="7"/>
      <c r="Q105" s="27"/>
      <c r="R105" s="27"/>
      <c r="S105" s="45">
        <f t="shared" si="21"/>
        <v>1</v>
      </c>
      <c r="T105" s="69" t="str">
        <f t="shared" si="22"/>
        <v>Southbound</v>
      </c>
      <c r="U105" s="96">
        <f>COUNTIFS(Variables!$M$2:$M$19,IF(T105="NorthBound","&gt;=","&lt;=")&amp;Y105,Variables!$M$2:$M$19,IF(T105="NorthBound","&lt;=","&gt;=")&amp;Z105)</f>
        <v>12</v>
      </c>
      <c r="V10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15:06:14-0600',mode:absolute,to:'2016-07-22 17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5" s="74" t="str">
        <f t="shared" si="24"/>
        <v>N</v>
      </c>
      <c r="X105" s="92">
        <f t="shared" si="25"/>
        <v>1</v>
      </c>
      <c r="Y105" s="89">
        <f t="shared" si="26"/>
        <v>23.296299999999999</v>
      </c>
      <c r="Z105" s="89">
        <f t="shared" si="27"/>
        <v>1.4999999999999999E-2</v>
      </c>
      <c r="AA105" s="89">
        <f t="shared" si="28"/>
        <v>23.281299999999998</v>
      </c>
      <c r="AB105" s="86">
        <f>VLOOKUP(A105,Enforcements!$C$7:$J$24,8,0)</f>
        <v>119716</v>
      </c>
      <c r="AC105" s="82" t="str">
        <f>VLOOKUP(A105,Enforcements!$C$7:$E$24,3,0)</f>
        <v>PERMANENT SPEED RESTRICTION</v>
      </c>
      <c r="AD105" s="83" t="str">
        <f t="shared" si="29"/>
        <v>0194-22</v>
      </c>
      <c r="AE105" s="75" t="str">
        <f t="shared" si="30"/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AF105" s="75" t="str">
        <f t="shared" si="31"/>
        <v>"C:\Program Files (x86)\AstroGrep\AstroGrep.exe" /spath="C:\Users\stu\Documents\Analysis\2016-02-23 RTDC Observations" /stypes="*4043*20160722*" /stext=" 22:.+((prompt.+disp)|(slice.+state.+chan)|(ment ac)|(system.+state.+chan)|(\|lc)|(penalty)|(\[timeout))" /e /r /s</v>
      </c>
      <c r="AG105" s="1" t="str">
        <f t="shared" si="32"/>
        <v>EC</v>
      </c>
    </row>
    <row r="106" spans="1:33" x14ac:dyDescent="0.25">
      <c r="A106" s="49" t="s">
        <v>550</v>
      </c>
      <c r="B106" s="7">
        <v>4027</v>
      </c>
      <c r="C106" s="26" t="s">
        <v>59</v>
      </c>
      <c r="D106" s="26" t="s">
        <v>551</v>
      </c>
      <c r="E106" s="16">
        <v>42573.643541666665</v>
      </c>
      <c r="F106" s="16">
        <v>42573.644641203704</v>
      </c>
      <c r="G106" s="7">
        <v>1</v>
      </c>
      <c r="H106" s="16" t="s">
        <v>335</v>
      </c>
      <c r="I106" s="16">
        <v>42573.670659722222</v>
      </c>
      <c r="J106" s="7">
        <v>0</v>
      </c>
      <c r="K106" s="26" t="str">
        <f t="shared" si="18"/>
        <v>4027/4028</v>
      </c>
      <c r="L106" s="26" t="str">
        <f>VLOOKUP(A106,'Trips&amp;Operators'!$C$1:$E$10000,3,FALSE)</f>
        <v>ADANE</v>
      </c>
      <c r="M106" s="6">
        <f t="shared" si="19"/>
        <v>2.6018518517958E-2</v>
      </c>
      <c r="N106" s="7">
        <f t="shared" si="20"/>
        <v>37.46666666585952</v>
      </c>
      <c r="O106" s="7"/>
      <c r="P106" s="7"/>
      <c r="Q106" s="27"/>
      <c r="R106" s="27"/>
      <c r="S106" s="45">
        <f t="shared" si="21"/>
        <v>1</v>
      </c>
      <c r="T106" s="69" t="str">
        <f t="shared" si="22"/>
        <v>NorthBound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14:26:42-0600',mode:absolute,to:'2016-07-22 17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6" s="74" t="str">
        <f t="shared" si="24"/>
        <v>N</v>
      </c>
      <c r="X106" s="92">
        <f t="shared" si="25"/>
        <v>1</v>
      </c>
      <c r="Y106" s="89">
        <f t="shared" si="26"/>
        <v>4.4200000000000003E-2</v>
      </c>
      <c r="Z106" s="89">
        <f t="shared" si="27"/>
        <v>23.33</v>
      </c>
      <c r="AA106" s="89">
        <f t="shared" si="28"/>
        <v>23.285799999999998</v>
      </c>
      <c r="AB106" s="86" t="e">
        <f>VLOOKUP(A106,Enforcements!$C$7:$J$24,8,0)</f>
        <v>#N/A</v>
      </c>
      <c r="AC106" s="82" t="e">
        <f>VLOOKUP(A106,Enforcements!$C$7:$E$24,3,0)</f>
        <v>#N/A</v>
      </c>
      <c r="AD106" s="83" t="str">
        <f t="shared" si="29"/>
        <v>0195-22</v>
      </c>
      <c r="AE106" s="75" t="str">
        <f t="shared" si="30"/>
        <v>aws s3 cp s3://rtdc.mdm.uploadarchive/RTDC4027/2016-07-22/ "C:\Users\stu\Documents\Analysis\2016-02-23 RTDC Observations"\RTDC4027\2016-07-22 --recursive &amp; "C:\Users\stu\Documents\GitHub\mrs-test-scripts\Headless Mode &amp; Sideloading\WalkAndUnGZ.bat" "C:\Users\stu\Documents\Analysis\2016-02-23 RTDC Observations"\RTDC4027\2016-07-22 &amp; aws s3 cp s3://rtdc.mdm.uploadarchive/RTDC4027/2016-07-23/ "C:\Users\stu\Documents\Analysis\2016-02-23 RTDC Observations"\RTDC4027\2016-07-23 --recursive &amp; "C:\Users\stu\Documents\GitHub\mrs-test-scripts\Headless Mode &amp; Sideloading\WalkAndUnGZ.bat" "C:\Users\stu\Documents\Analysis\2016-02-23 RTDC Observations"\RTDC4027\2016-07-23</v>
      </c>
      <c r="AF106" s="75" t="str">
        <f t="shared" si="31"/>
        <v>"C:\Program Files (x86)\AstroGrep\AstroGrep.exe" /spath="C:\Users\stu\Documents\Analysis\2016-02-23 RTDC Observations" /stypes="*4027*20160722*" /stext=" 22:.+((prompt.+disp)|(slice.+state.+chan)|(ment ac)|(system.+state.+chan)|(\|lc)|(penalty)|(\[timeout))" /e /r /s</v>
      </c>
      <c r="AG106" s="1" t="str">
        <f t="shared" si="32"/>
        <v>EC</v>
      </c>
    </row>
    <row r="107" spans="1:33" x14ac:dyDescent="0.25">
      <c r="A107" s="49" t="s">
        <v>552</v>
      </c>
      <c r="B107" s="7">
        <v>4014</v>
      </c>
      <c r="C107" s="26" t="s">
        <v>59</v>
      </c>
      <c r="D107" s="26" t="s">
        <v>429</v>
      </c>
      <c r="E107" s="16">
        <v>42573.653148148151</v>
      </c>
      <c r="F107" s="16">
        <v>42573.653877314813</v>
      </c>
      <c r="G107" s="7">
        <v>1</v>
      </c>
      <c r="H107" s="16" t="s">
        <v>553</v>
      </c>
      <c r="I107" s="16">
        <v>42573.682199074072</v>
      </c>
      <c r="J107" s="7">
        <v>0</v>
      </c>
      <c r="K107" s="26" t="str">
        <f t="shared" si="18"/>
        <v>4013/4014</v>
      </c>
      <c r="L107" s="26" t="str">
        <f>VLOOKUP(A107,'Trips&amp;Operators'!$C$1:$E$10000,3,FALSE)</f>
        <v>SHOOK</v>
      </c>
      <c r="M107" s="6">
        <f t="shared" si="19"/>
        <v>2.8321759258687962E-2</v>
      </c>
      <c r="N107" s="7">
        <f t="shared" si="20"/>
        <v>40.783333332510665</v>
      </c>
      <c r="O107" s="7"/>
      <c r="P107" s="7"/>
      <c r="Q107" s="27"/>
      <c r="R107" s="27"/>
      <c r="S107" s="45">
        <f t="shared" si="21"/>
        <v>1</v>
      </c>
      <c r="T107" s="69" t="str">
        <f t="shared" si="22"/>
        <v>NorthBound</v>
      </c>
      <c r="U107" s="96">
        <f>COUNTIFS(Variables!$M$2:$M$19,IF(T107="NorthBound","&gt;=","&lt;=")&amp;Y107,Variables!$M$2:$M$19,IF(T107="NorthBound","&lt;=","&gt;=")&amp;Z107)</f>
        <v>12</v>
      </c>
      <c r="V10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14:40:32-0600',mode:absolute,to:'2016-07-22 17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7" s="74" t="str">
        <f t="shared" si="24"/>
        <v>N</v>
      </c>
      <c r="X107" s="92">
        <f t="shared" si="25"/>
        <v>2</v>
      </c>
      <c r="Y107" s="89">
        <f t="shared" si="26"/>
        <v>4.4400000000000002E-2</v>
      </c>
      <c r="Z107" s="89">
        <f t="shared" si="27"/>
        <v>23.333400000000001</v>
      </c>
      <c r="AA107" s="89">
        <f t="shared" si="28"/>
        <v>23.289000000000001</v>
      </c>
      <c r="AB107" s="86" t="e">
        <f>VLOOKUP(A107,Enforcements!$C$7:$J$24,8,0)</f>
        <v>#N/A</v>
      </c>
      <c r="AC107" s="82" t="e">
        <f>VLOOKUP(A107,Enforcements!$C$7:$E$24,3,0)</f>
        <v>#N/A</v>
      </c>
      <c r="AD107" s="83" t="str">
        <f t="shared" si="29"/>
        <v>0197-22</v>
      </c>
      <c r="AE107" s="75" t="str">
        <f t="shared" si="30"/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AF107" s="75" t="str">
        <f t="shared" si="31"/>
        <v>"C:\Program Files (x86)\AstroGrep\AstroGrep.exe" /spath="C:\Users\stu\Documents\Analysis\2016-02-23 RTDC Observations" /stypes="*4014*20160722*" /stext=" 22:.+((prompt.+disp)|(slice.+state.+chan)|(ment ac)|(system.+state.+chan)|(\|lc)|(penalty)|(\[timeout))" /e /r /s</v>
      </c>
      <c r="AG107" s="1" t="str">
        <f t="shared" si="32"/>
        <v>EC</v>
      </c>
    </row>
    <row r="108" spans="1:33" x14ac:dyDescent="0.25">
      <c r="A108" s="49" t="s">
        <v>554</v>
      </c>
      <c r="B108" s="7">
        <v>4013</v>
      </c>
      <c r="C108" s="26" t="s">
        <v>59</v>
      </c>
      <c r="D108" s="26" t="s">
        <v>555</v>
      </c>
      <c r="E108" s="16">
        <v>42573.690613425926</v>
      </c>
      <c r="F108" s="16">
        <v>42573.691805555558</v>
      </c>
      <c r="G108" s="7">
        <v>1</v>
      </c>
      <c r="H108" s="16" t="s">
        <v>556</v>
      </c>
      <c r="I108" s="16">
        <v>42573.726180555554</v>
      </c>
      <c r="J108" s="7">
        <v>0</v>
      </c>
      <c r="K108" s="26" t="str">
        <f t="shared" si="18"/>
        <v>4013/4014</v>
      </c>
      <c r="L108" s="26" t="str">
        <f>VLOOKUP(A108,'Trips&amp;Operators'!$C$1:$E$10000,3,FALSE)</f>
        <v>SHOOK</v>
      </c>
      <c r="M108" s="6">
        <f t="shared" si="19"/>
        <v>3.4374999995634425E-2</v>
      </c>
      <c r="N108" s="7">
        <f t="shared" si="20"/>
        <v>49.499999993713573</v>
      </c>
      <c r="O108" s="7"/>
      <c r="P108" s="7"/>
      <c r="Q108" s="27"/>
      <c r="R108" s="27"/>
      <c r="S108" s="45">
        <f t="shared" si="21"/>
        <v>1</v>
      </c>
      <c r="T108" s="69" t="str">
        <f t="shared" si="22"/>
        <v>Southbound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15:34:29-0600',mode:absolute,to:'2016-07-22 18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8" s="74" t="str">
        <f t="shared" si="24"/>
        <v>N</v>
      </c>
      <c r="X108" s="92">
        <f t="shared" si="25"/>
        <v>1</v>
      </c>
      <c r="Y108" s="89">
        <f t="shared" si="26"/>
        <v>23.302099999999999</v>
      </c>
      <c r="Z108" s="89">
        <f t="shared" si="27"/>
        <v>5.0799999999999998E-2</v>
      </c>
      <c r="AA108" s="89">
        <f t="shared" si="28"/>
        <v>23.251300000000001</v>
      </c>
      <c r="AB108" s="86" t="e">
        <f>VLOOKUP(A108,Enforcements!$C$7:$J$24,8,0)</f>
        <v>#N/A</v>
      </c>
      <c r="AC108" s="82" t="e">
        <f>VLOOKUP(A108,Enforcements!$C$7:$E$24,3,0)</f>
        <v>#N/A</v>
      </c>
      <c r="AD108" s="83" t="str">
        <f t="shared" si="29"/>
        <v>0198-22</v>
      </c>
      <c r="AE108" s="75" t="str">
        <f t="shared" si="30"/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AF108" s="75" t="str">
        <f t="shared" si="31"/>
        <v>"C:\Program Files (x86)\AstroGrep\AstroGrep.exe" /spath="C:\Users\stu\Documents\Analysis\2016-02-23 RTDC Observations" /stypes="*4013*20160722*" /stext=" 23:.+((prompt.+disp)|(slice.+state.+chan)|(ment ac)|(system.+state.+chan)|(\|lc)|(penalty)|(\[timeout))" /e /r /s</v>
      </c>
      <c r="AG108" s="1" t="str">
        <f t="shared" si="32"/>
        <v>EC</v>
      </c>
    </row>
    <row r="109" spans="1:33" x14ac:dyDescent="0.25">
      <c r="A109" s="49" t="s">
        <v>557</v>
      </c>
      <c r="B109" s="7">
        <v>4038</v>
      </c>
      <c r="C109" s="26" t="s">
        <v>59</v>
      </c>
      <c r="D109" s="26" t="s">
        <v>558</v>
      </c>
      <c r="E109" s="16">
        <v>42573.664467592593</v>
      </c>
      <c r="F109" s="16">
        <v>42573.665416666663</v>
      </c>
      <c r="G109" s="7">
        <v>1</v>
      </c>
      <c r="H109" s="16" t="s">
        <v>559</v>
      </c>
      <c r="I109" s="16">
        <v>42573.691874999997</v>
      </c>
      <c r="J109" s="7">
        <v>1</v>
      </c>
      <c r="K109" s="26" t="str">
        <f t="shared" si="18"/>
        <v>4037/4038</v>
      </c>
      <c r="L109" s="26" t="str">
        <f>VLOOKUP(A109,'Trips&amp;Operators'!$C$1:$E$10000,3,FALSE)</f>
        <v>WEBSTER</v>
      </c>
      <c r="M109" s="6">
        <f t="shared" si="19"/>
        <v>2.6458333333721384E-2</v>
      </c>
      <c r="N109" s="7">
        <f t="shared" si="20"/>
        <v>38.100000000558794</v>
      </c>
      <c r="O109" s="7"/>
      <c r="P109" s="7"/>
      <c r="Q109" s="27"/>
      <c r="R109" s="27"/>
      <c r="S109" s="45">
        <f t="shared" si="21"/>
        <v>1</v>
      </c>
      <c r="T109" s="69" t="str">
        <f t="shared" si="22"/>
        <v>NorthBound</v>
      </c>
      <c r="U109" s="96">
        <f>COUNTIFS(Variables!$M$2:$M$19,IF(T109="NorthBound","&gt;=","&lt;=")&amp;Y109,Variables!$M$2:$M$19,IF(T109="NorthBound","&lt;=","&gt;=")&amp;Z109)</f>
        <v>12</v>
      </c>
      <c r="V10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14:56:50-0600',mode:absolute,to:'2016-07-22 17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9" s="74" t="str">
        <f t="shared" si="24"/>
        <v>N</v>
      </c>
      <c r="X109" s="92">
        <f t="shared" si="25"/>
        <v>1</v>
      </c>
      <c r="Y109" s="89">
        <f t="shared" si="26"/>
        <v>4.3499999999999997E-2</v>
      </c>
      <c r="Z109" s="89">
        <f t="shared" si="27"/>
        <v>23.335699999999999</v>
      </c>
      <c r="AA109" s="89">
        <f t="shared" si="28"/>
        <v>23.292199999999998</v>
      </c>
      <c r="AB109" s="86" t="e">
        <f>VLOOKUP(A109,Enforcements!$C$7:$J$24,8,0)</f>
        <v>#N/A</v>
      </c>
      <c r="AC109" s="82" t="e">
        <f>VLOOKUP(A109,Enforcements!$C$7:$E$24,3,0)</f>
        <v>#N/A</v>
      </c>
      <c r="AD109" s="83" t="str">
        <f t="shared" si="29"/>
        <v>0199-22</v>
      </c>
      <c r="AE109" s="75" t="str">
        <f t="shared" si="30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109" s="75" t="str">
        <f t="shared" si="31"/>
        <v>"C:\Program Files (x86)\AstroGrep\AstroGrep.exe" /spath="C:\Users\stu\Documents\Analysis\2016-02-23 RTDC Observations" /stypes="*4038*20160722*" /stext=" 22:.+((prompt.+disp)|(slice.+state.+chan)|(ment ac)|(system.+state.+chan)|(\|lc)|(penalty)|(\[timeout))" /e /r /s</v>
      </c>
      <c r="AG109" s="1" t="str">
        <f t="shared" si="32"/>
        <v>EC</v>
      </c>
    </row>
    <row r="110" spans="1:33" x14ac:dyDescent="0.25">
      <c r="A110" s="49" t="s">
        <v>560</v>
      </c>
      <c r="B110" s="7">
        <v>4037</v>
      </c>
      <c r="C110" s="26" t="s">
        <v>59</v>
      </c>
      <c r="D110" s="26" t="s">
        <v>130</v>
      </c>
      <c r="E110" s="16">
        <v>42573.700555555559</v>
      </c>
      <c r="F110" s="16">
        <v>42573.701817129629</v>
      </c>
      <c r="G110" s="7">
        <v>1</v>
      </c>
      <c r="H110" s="16" t="s">
        <v>170</v>
      </c>
      <c r="I110" s="16">
        <v>42573.740243055552</v>
      </c>
      <c r="J110" s="7">
        <v>0</v>
      </c>
      <c r="K110" s="26" t="str">
        <f t="shared" si="18"/>
        <v>4037/4038</v>
      </c>
      <c r="L110" s="26" t="str">
        <f>VLOOKUP(A110,'Trips&amp;Operators'!$C$1:$E$10000,3,FALSE)</f>
        <v>WEBSTER</v>
      </c>
      <c r="M110" s="6">
        <f t="shared" si="19"/>
        <v>3.8425925922638271E-2</v>
      </c>
      <c r="N110" s="7">
        <f t="shared" si="20"/>
        <v>55.33333332859911</v>
      </c>
      <c r="O110" s="7"/>
      <c r="P110" s="7"/>
      <c r="Q110" s="27"/>
      <c r="R110" s="27"/>
      <c r="S110" s="45">
        <f t="shared" si="21"/>
        <v>1</v>
      </c>
      <c r="T110" s="69" t="str">
        <f t="shared" si="22"/>
        <v>Southbound</v>
      </c>
      <c r="U110" s="96">
        <f>COUNTIFS(Variables!$M$2:$M$19,IF(T110="NorthBound","&gt;=","&lt;=")&amp;Y110,Variables!$M$2:$M$19,IF(T110="NorthBound","&lt;=","&gt;=")&amp;Z110)</f>
        <v>12</v>
      </c>
      <c r="V11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15:48:48-0600',mode:absolute,to:'2016-07-22 18:45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0" s="74" t="str">
        <f t="shared" si="24"/>
        <v>N</v>
      </c>
      <c r="X110" s="92">
        <f t="shared" si="25"/>
        <v>1</v>
      </c>
      <c r="Y110" s="89">
        <f t="shared" si="26"/>
        <v>23.299600000000002</v>
      </c>
      <c r="Z110" s="89">
        <f t="shared" si="27"/>
        <v>1.6E-2</v>
      </c>
      <c r="AA110" s="89">
        <f t="shared" si="28"/>
        <v>23.283600000000003</v>
      </c>
      <c r="AB110" s="86" t="e">
        <f>VLOOKUP(A110,Enforcements!$C$7:$J$24,8,0)</f>
        <v>#N/A</v>
      </c>
      <c r="AC110" s="82" t="e">
        <f>VLOOKUP(A110,Enforcements!$C$7:$E$24,3,0)</f>
        <v>#N/A</v>
      </c>
      <c r="AD110" s="83" t="str">
        <f t="shared" si="29"/>
        <v>0200-22</v>
      </c>
      <c r="AE110" s="75" t="str">
        <f t="shared" si="30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110" s="75" t="str">
        <f t="shared" si="31"/>
        <v>"C:\Program Files (x86)\AstroGrep\AstroGrep.exe" /spath="C:\Users\stu\Documents\Analysis\2016-02-23 RTDC Observations" /stypes="*4037*20160722*" /stext=" 23:.+((prompt.+disp)|(slice.+state.+chan)|(ment ac)|(system.+state.+chan)|(\|lc)|(penalty)|(\[timeout))" /e /r /s</v>
      </c>
      <c r="AG110" s="1" t="str">
        <f t="shared" si="32"/>
        <v>EC</v>
      </c>
    </row>
    <row r="111" spans="1:33" x14ac:dyDescent="0.25">
      <c r="A111" s="49" t="s">
        <v>561</v>
      </c>
      <c r="B111" s="7">
        <v>4020</v>
      </c>
      <c r="C111" s="26" t="s">
        <v>59</v>
      </c>
      <c r="D111" s="26" t="s">
        <v>126</v>
      </c>
      <c r="E111" s="16">
        <v>42573.674629629626</v>
      </c>
      <c r="F111" s="16">
        <v>42573.675555555557</v>
      </c>
      <c r="G111" s="7">
        <v>1</v>
      </c>
      <c r="H111" s="16" t="s">
        <v>461</v>
      </c>
      <c r="I111" s="16">
        <v>42573.704502314817</v>
      </c>
      <c r="J111" s="7">
        <v>1</v>
      </c>
      <c r="K111" s="26" t="str">
        <f t="shared" si="18"/>
        <v>4019/4020</v>
      </c>
      <c r="L111" s="26" t="str">
        <f>VLOOKUP(A111,'Trips&amp;Operators'!$C$1:$E$10000,3,FALSE)</f>
        <v>STEWART</v>
      </c>
      <c r="M111" s="6">
        <f t="shared" si="19"/>
        <v>2.8946759259270038E-2</v>
      </c>
      <c r="N111" s="7">
        <f t="shared" si="20"/>
        <v>41.683333333348855</v>
      </c>
      <c r="O111" s="7"/>
      <c r="P111" s="7"/>
      <c r="Q111" s="27"/>
      <c r="R111" s="27"/>
      <c r="S111" s="45">
        <f t="shared" si="21"/>
        <v>1</v>
      </c>
      <c r="T111" s="69" t="str">
        <f t="shared" si="22"/>
        <v>NorthBound</v>
      </c>
      <c r="U111" s="96">
        <f>COUNTIFS(Variables!$M$2:$M$19,IF(T111="NorthBound","&gt;=","&lt;=")&amp;Y111,Variables!$M$2:$M$19,IF(T111="NorthBound","&lt;=","&gt;=")&amp;Z111)</f>
        <v>12</v>
      </c>
      <c r="V11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15:11:28-0600',mode:absolute,to:'2016-07-22 17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1" s="74" t="str">
        <f t="shared" si="24"/>
        <v>N</v>
      </c>
      <c r="X111" s="92">
        <f t="shared" si="25"/>
        <v>1</v>
      </c>
      <c r="Y111" s="89">
        <f t="shared" si="26"/>
        <v>4.58E-2</v>
      </c>
      <c r="Z111" s="89">
        <f t="shared" si="27"/>
        <v>23.331399999999999</v>
      </c>
      <c r="AA111" s="89">
        <f t="shared" si="28"/>
        <v>23.285599999999999</v>
      </c>
      <c r="AB111" s="86">
        <f>VLOOKUP(A111,Enforcements!$C$7:$J$24,8,0)</f>
        <v>27333</v>
      </c>
      <c r="AC111" s="82" t="str">
        <f>VLOOKUP(A111,Enforcements!$C$7:$E$24,3,0)</f>
        <v>PERMANENT SPEED RESTRICTION</v>
      </c>
      <c r="AD111" s="83" t="str">
        <f t="shared" si="29"/>
        <v>0201-22</v>
      </c>
      <c r="AE111" s="75" t="str">
        <f t="shared" si="30"/>
        <v>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 &amp; 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</v>
      </c>
      <c r="AF111" s="75" t="str">
        <f t="shared" si="31"/>
        <v>"C:\Program Files (x86)\AstroGrep\AstroGrep.exe" /spath="C:\Users\stu\Documents\Analysis\2016-02-23 RTDC Observations" /stypes="*4020*20160722*" /stext=" 22:.+((prompt.+disp)|(slice.+state.+chan)|(ment ac)|(system.+state.+chan)|(\|lc)|(penalty)|(\[timeout))" /e /r /s</v>
      </c>
      <c r="AG111" s="1" t="str">
        <f t="shared" si="32"/>
        <v>EC</v>
      </c>
    </row>
    <row r="112" spans="1:33" x14ac:dyDescent="0.25">
      <c r="A112" s="49" t="s">
        <v>562</v>
      </c>
      <c r="B112" s="7">
        <v>4019</v>
      </c>
      <c r="C112" s="26" t="s">
        <v>59</v>
      </c>
      <c r="D112" s="26" t="s">
        <v>162</v>
      </c>
      <c r="E112" s="16">
        <v>42573.713553240741</v>
      </c>
      <c r="F112" s="16">
        <v>42573.714513888888</v>
      </c>
      <c r="G112" s="7">
        <v>1</v>
      </c>
      <c r="H112" s="16" t="s">
        <v>61</v>
      </c>
      <c r="I112" s="16">
        <v>42573.745821759258</v>
      </c>
      <c r="J112" s="7">
        <v>0</v>
      </c>
      <c r="K112" s="26" t="str">
        <f t="shared" si="18"/>
        <v>4019/4020</v>
      </c>
      <c r="L112" s="26" t="str">
        <f>VLOOKUP(A112,'Trips&amp;Operators'!$C$1:$E$10000,3,FALSE)</f>
        <v>STEWART</v>
      </c>
      <c r="M112" s="6">
        <f t="shared" si="19"/>
        <v>3.1307870369346347E-2</v>
      </c>
      <c r="N112" s="7">
        <f t="shared" si="20"/>
        <v>45.083333331858739</v>
      </c>
      <c r="O112" s="7"/>
      <c r="P112" s="7"/>
      <c r="Q112" s="27"/>
      <c r="R112" s="27"/>
      <c r="S112" s="45">
        <f t="shared" si="21"/>
        <v>1</v>
      </c>
      <c r="T112" s="69" t="str">
        <f t="shared" si="22"/>
        <v>Southbound</v>
      </c>
      <c r="U112" s="96">
        <f>COUNTIFS(Variables!$M$2:$M$19,IF(T112="NorthBound","&gt;=","&lt;=")&amp;Y112,Variables!$M$2:$M$19,IF(T112="NorthBound","&lt;=","&gt;=")&amp;Z112)</f>
        <v>12</v>
      </c>
      <c r="V11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16:07:31-0600',mode:absolute,to:'2016-07-22 18:53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2" s="74" t="str">
        <f t="shared" si="24"/>
        <v>N</v>
      </c>
      <c r="X112" s="92">
        <f t="shared" si="25"/>
        <v>1</v>
      </c>
      <c r="Y112" s="89">
        <f t="shared" si="26"/>
        <v>23.298400000000001</v>
      </c>
      <c r="Z112" s="89">
        <f t="shared" si="27"/>
        <v>1.52E-2</v>
      </c>
      <c r="AA112" s="89">
        <f t="shared" si="28"/>
        <v>23.283200000000001</v>
      </c>
      <c r="AB112" s="86" t="e">
        <f>VLOOKUP(A112,Enforcements!$C$7:$J$24,8,0)</f>
        <v>#N/A</v>
      </c>
      <c r="AC112" s="82" t="e">
        <f>VLOOKUP(A112,Enforcements!$C$7:$E$24,3,0)</f>
        <v>#N/A</v>
      </c>
      <c r="AD112" s="83" t="str">
        <f t="shared" si="29"/>
        <v>0202-22</v>
      </c>
      <c r="AE112" s="75" t="str">
        <f t="shared" si="30"/>
        <v>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 &amp; 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</v>
      </c>
      <c r="AF112" s="75" t="str">
        <f t="shared" si="31"/>
        <v>"C:\Program Files (x86)\AstroGrep\AstroGrep.exe" /spath="C:\Users\stu\Documents\Analysis\2016-02-23 RTDC Observations" /stypes="*4019*20160722*" /stext=" 23:.+((prompt.+disp)|(slice.+state.+chan)|(ment ac)|(system.+state.+chan)|(\|lc)|(penalty)|(\[timeout))" /e /r /s</v>
      </c>
      <c r="AG112" s="1" t="str">
        <f t="shared" si="32"/>
        <v>EC</v>
      </c>
    </row>
    <row r="113" spans="1:33" x14ac:dyDescent="0.25">
      <c r="A113" s="49" t="s">
        <v>563</v>
      </c>
      <c r="B113" s="7">
        <v>4018</v>
      </c>
      <c r="C113" s="26" t="s">
        <v>59</v>
      </c>
      <c r="D113" s="26" t="s">
        <v>564</v>
      </c>
      <c r="E113" s="16">
        <v>42573.689560185187</v>
      </c>
      <c r="F113" s="16">
        <v>42573.690416666665</v>
      </c>
      <c r="G113" s="7">
        <v>1</v>
      </c>
      <c r="H113" s="16" t="s">
        <v>182</v>
      </c>
      <c r="I113" s="16">
        <v>42573.715243055558</v>
      </c>
      <c r="J113" s="7">
        <v>0</v>
      </c>
      <c r="K113" s="26" t="str">
        <f t="shared" si="18"/>
        <v>4017/4018</v>
      </c>
      <c r="L113" s="26" t="str">
        <f>VLOOKUP(A113,'Trips&amp;Operators'!$C$1:$E$10000,3,FALSE)</f>
        <v>MAYBERRY</v>
      </c>
      <c r="M113" s="6">
        <f t="shared" si="19"/>
        <v>2.4826388893416151E-2</v>
      </c>
      <c r="N113" s="7">
        <f t="shared" si="20"/>
        <v>35.750000006519258</v>
      </c>
      <c r="O113" s="7"/>
      <c r="P113" s="7"/>
      <c r="Q113" s="27"/>
      <c r="R113" s="27"/>
      <c r="S113" s="45">
        <f t="shared" si="21"/>
        <v>1</v>
      </c>
      <c r="T113" s="69" t="str">
        <f t="shared" si="22"/>
        <v>NorthBound</v>
      </c>
      <c r="U113" s="96">
        <f>COUNTIFS(Variables!$M$2:$M$19,IF(T113="NorthBound","&gt;=","&lt;=")&amp;Y113,Variables!$M$2:$M$19,IF(T113="NorthBound","&lt;=","&gt;=")&amp;Z113)</f>
        <v>12</v>
      </c>
      <c r="V11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15:32:58-0600',mode:absolute,to:'2016-07-22 18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3" s="74" t="str">
        <f t="shared" si="24"/>
        <v>N</v>
      </c>
      <c r="X113" s="92">
        <f t="shared" si="25"/>
        <v>1</v>
      </c>
      <c r="Y113" s="89">
        <f t="shared" si="26"/>
        <v>0.1532</v>
      </c>
      <c r="Z113" s="89">
        <f t="shared" si="27"/>
        <v>23.3306</v>
      </c>
      <c r="AA113" s="89">
        <f t="shared" si="28"/>
        <v>23.177399999999999</v>
      </c>
      <c r="AB113" s="86" t="e">
        <f>VLOOKUP(A113,Enforcements!$C$7:$J$24,8,0)</f>
        <v>#N/A</v>
      </c>
      <c r="AC113" s="82" t="e">
        <f>VLOOKUP(A113,Enforcements!$C$7:$E$24,3,0)</f>
        <v>#N/A</v>
      </c>
      <c r="AD113" s="83" t="str">
        <f t="shared" si="29"/>
        <v>0203-22</v>
      </c>
      <c r="AE113" s="75" t="str">
        <f t="shared" si="30"/>
        <v>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 &amp; 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</v>
      </c>
      <c r="AF113" s="75" t="str">
        <f t="shared" si="31"/>
        <v>"C:\Program Files (x86)\AstroGrep\AstroGrep.exe" /spath="C:\Users\stu\Documents\Analysis\2016-02-23 RTDC Observations" /stypes="*4018*20160722*" /stext=" 23:.+((prompt.+disp)|(slice.+state.+chan)|(ment ac)|(system.+state.+chan)|(\|lc)|(penalty)|(\[timeout))" /e /r /s</v>
      </c>
      <c r="AG113" s="1" t="str">
        <f t="shared" si="32"/>
        <v>EC</v>
      </c>
    </row>
    <row r="114" spans="1:33" x14ac:dyDescent="0.25">
      <c r="A114" s="49" t="s">
        <v>565</v>
      </c>
      <c r="B114" s="7">
        <v>4042</v>
      </c>
      <c r="C114" s="26" t="s">
        <v>59</v>
      </c>
      <c r="D114" s="26" t="s">
        <v>566</v>
      </c>
      <c r="E114" s="16">
        <v>42573.694733796299</v>
      </c>
      <c r="F114" s="16">
        <v>42573.695775462962</v>
      </c>
      <c r="G114" s="7">
        <v>1</v>
      </c>
      <c r="H114" s="16" t="s">
        <v>464</v>
      </c>
      <c r="I114" s="16">
        <v>42573.722511574073</v>
      </c>
      <c r="J114" s="7">
        <v>0</v>
      </c>
      <c r="K114" s="26" t="str">
        <f t="shared" si="18"/>
        <v>4041/4042</v>
      </c>
      <c r="L114" s="26" t="str">
        <f>VLOOKUP(A114,'Trips&amp;Operators'!$C$1:$E$10000,3,FALSE)</f>
        <v>HELVIE</v>
      </c>
      <c r="M114" s="6">
        <f t="shared" si="19"/>
        <v>2.6736111110949423E-2</v>
      </c>
      <c r="N114" s="7">
        <f t="shared" si="20"/>
        <v>38.499999999767169</v>
      </c>
      <c r="O114" s="7"/>
      <c r="P114" s="7"/>
      <c r="Q114" s="27"/>
      <c r="R114" s="27"/>
      <c r="S114" s="45">
        <f t="shared" si="21"/>
        <v>1</v>
      </c>
      <c r="T114" s="69" t="str">
        <f t="shared" si="22"/>
        <v>NorthBound</v>
      </c>
      <c r="U114" s="96">
        <f>COUNTIFS(Variables!$M$2:$M$19,IF(T114="NorthBound","&gt;=","&lt;=")&amp;Y114,Variables!$M$2:$M$19,IF(T114="NorthBound","&lt;=","&gt;=")&amp;Z114)</f>
        <v>12</v>
      </c>
      <c r="V11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15:40:25-0600',mode:absolute,to:'2016-07-22 18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4" s="74" t="str">
        <f t="shared" si="24"/>
        <v>N</v>
      </c>
      <c r="X114" s="92">
        <f t="shared" si="25"/>
        <v>2</v>
      </c>
      <c r="Y114" s="89">
        <f t="shared" si="26"/>
        <v>8.0799999999999997E-2</v>
      </c>
      <c r="Z114" s="89">
        <f t="shared" si="27"/>
        <v>23.329699999999999</v>
      </c>
      <c r="AA114" s="89">
        <f t="shared" si="28"/>
        <v>23.248899999999999</v>
      </c>
      <c r="AB114" s="86" t="e">
        <f>VLOOKUP(A114,Enforcements!$C$7:$J$24,8,0)</f>
        <v>#N/A</v>
      </c>
      <c r="AC114" s="82" t="e">
        <f>VLOOKUP(A114,Enforcements!$C$7:$E$24,3,0)</f>
        <v>#N/A</v>
      </c>
      <c r="AD114" s="83" t="str">
        <f t="shared" si="29"/>
        <v>0205-22</v>
      </c>
      <c r="AE114" s="75" t="str">
        <f t="shared" si="30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114" s="75" t="str">
        <f t="shared" si="31"/>
        <v>"C:\Program Files (x86)\AstroGrep\AstroGrep.exe" /spath="C:\Users\stu\Documents\Analysis\2016-02-23 RTDC Observations" /stypes="*4042*20160722*" /stext=" 23:.+((prompt.+disp)|(slice.+state.+chan)|(ment ac)|(system.+state.+chan)|(\|lc)|(penalty)|(\[timeout))" /e /r /s</v>
      </c>
      <c r="AG114" s="1" t="str">
        <f t="shared" si="32"/>
        <v>EC</v>
      </c>
    </row>
    <row r="115" spans="1:33" x14ac:dyDescent="0.25">
      <c r="A115" s="49" t="s">
        <v>567</v>
      </c>
      <c r="B115" s="7">
        <v>4041</v>
      </c>
      <c r="C115" s="26" t="s">
        <v>59</v>
      </c>
      <c r="D115" s="26" t="s">
        <v>255</v>
      </c>
      <c r="E115" s="16">
        <v>42573.73159722222</v>
      </c>
      <c r="F115" s="16">
        <v>42573.733101851853</v>
      </c>
      <c r="G115" s="7">
        <v>2</v>
      </c>
      <c r="H115" s="16" t="s">
        <v>61</v>
      </c>
      <c r="I115" s="16">
        <v>42573.768101851849</v>
      </c>
      <c r="J115" s="7">
        <v>0</v>
      </c>
      <c r="K115" s="26" t="str">
        <f t="shared" si="18"/>
        <v>4041/4042</v>
      </c>
      <c r="L115" s="26" t="str">
        <f>VLOOKUP(A115,'Trips&amp;Operators'!$C$1:$E$10000,3,FALSE)</f>
        <v>HELVIE</v>
      </c>
      <c r="M115" s="6">
        <f t="shared" si="19"/>
        <v>3.4999999996216502E-2</v>
      </c>
      <c r="N115" s="7">
        <f t="shared" si="20"/>
        <v>50.399999994551763</v>
      </c>
      <c r="O115" s="7"/>
      <c r="P115" s="7"/>
      <c r="Q115" s="27"/>
      <c r="R115" s="27"/>
      <c r="S115" s="45">
        <f t="shared" si="21"/>
        <v>1</v>
      </c>
      <c r="T115" s="69" t="str">
        <f t="shared" si="22"/>
        <v>Southbound</v>
      </c>
      <c r="U115" s="96">
        <f>COUNTIFS(Variables!$M$2:$M$19,IF(T115="NorthBound","&gt;=","&lt;=")&amp;Y115,Variables!$M$2:$M$19,IF(T115="NorthBound","&lt;=","&gt;=")&amp;Z115)</f>
        <v>12</v>
      </c>
      <c r="V11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16:33:30-0600',mode:absolute,to:'2016-07-22 19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5" s="74" t="str">
        <f t="shared" si="24"/>
        <v>N</v>
      </c>
      <c r="X115" s="92">
        <f t="shared" si="25"/>
        <v>1</v>
      </c>
      <c r="Y115" s="89">
        <f t="shared" si="26"/>
        <v>23.2971</v>
      </c>
      <c r="Z115" s="89">
        <f t="shared" si="27"/>
        <v>1.52E-2</v>
      </c>
      <c r="AA115" s="89">
        <f t="shared" si="28"/>
        <v>23.2819</v>
      </c>
      <c r="AB115" s="86" t="e">
        <f>VLOOKUP(A115,Enforcements!$C$7:$J$24,8,0)</f>
        <v>#N/A</v>
      </c>
      <c r="AC115" s="82" t="e">
        <f>VLOOKUP(A115,Enforcements!$C$7:$E$24,3,0)</f>
        <v>#N/A</v>
      </c>
      <c r="AD115" s="83" t="str">
        <f t="shared" si="29"/>
        <v>0206-22</v>
      </c>
      <c r="AE115" s="75" t="str">
        <f t="shared" si="30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115" s="75" t="str">
        <f t="shared" si="31"/>
        <v>"C:\Program Files (x86)\AstroGrep\AstroGrep.exe" /spath="C:\Users\stu\Documents\Analysis\2016-02-23 RTDC Observations" /stypes="*4041*20160723*" /stext=" 00:.+((prompt.+disp)|(slice.+state.+chan)|(ment ac)|(system.+state.+chan)|(\|lc)|(penalty)|(\[timeout))" /e /r /s</v>
      </c>
      <c r="AG115" s="1" t="str">
        <f t="shared" si="32"/>
        <v>EC</v>
      </c>
    </row>
    <row r="116" spans="1:33" x14ac:dyDescent="0.25">
      <c r="A116" s="49" t="s">
        <v>568</v>
      </c>
      <c r="B116" s="7">
        <v>4044</v>
      </c>
      <c r="C116" s="26" t="s">
        <v>59</v>
      </c>
      <c r="D116" s="26" t="s">
        <v>106</v>
      </c>
      <c r="E116" s="16">
        <v>42573.705138888887</v>
      </c>
      <c r="F116" s="16">
        <v>42573.70652777778</v>
      </c>
      <c r="G116" s="7">
        <v>2</v>
      </c>
      <c r="H116" s="16" t="s">
        <v>306</v>
      </c>
      <c r="I116" s="16">
        <v>42573.733738425923</v>
      </c>
      <c r="J116" s="7">
        <v>0</v>
      </c>
      <c r="K116" s="26" t="str">
        <f t="shared" si="18"/>
        <v>4043/4044</v>
      </c>
      <c r="L116" s="26" t="str">
        <f>VLOOKUP(A116,'Trips&amp;Operators'!$C$1:$E$10000,3,FALSE)</f>
        <v>MOSES</v>
      </c>
      <c r="M116" s="6">
        <f t="shared" si="19"/>
        <v>2.7210648142499849E-2</v>
      </c>
      <c r="N116" s="7">
        <f t="shared" si="20"/>
        <v>39.183333325199783</v>
      </c>
      <c r="O116" s="7"/>
      <c r="P116" s="7"/>
      <c r="Q116" s="27"/>
      <c r="R116" s="27"/>
      <c r="S116" s="45">
        <f t="shared" si="21"/>
        <v>1</v>
      </c>
      <c r="T116" s="69" t="str">
        <f t="shared" si="22"/>
        <v>NorthBound</v>
      </c>
      <c r="U116" s="96">
        <f>COUNTIFS(Variables!$M$2:$M$19,IF(T116="NorthBound","&gt;=","&lt;=")&amp;Y116,Variables!$M$2:$M$19,IF(T116="NorthBound","&lt;=","&gt;=")&amp;Z116)</f>
        <v>12</v>
      </c>
      <c r="V11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15:55:24-0600',mode:absolute,to:'2016-07-22 18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6" s="74" t="str">
        <f t="shared" si="24"/>
        <v>N</v>
      </c>
      <c r="X116" s="92">
        <f t="shared" si="25"/>
        <v>1</v>
      </c>
      <c r="Y116" s="89">
        <f t="shared" si="26"/>
        <v>4.5100000000000001E-2</v>
      </c>
      <c r="Z116" s="89">
        <f t="shared" si="27"/>
        <v>23.329799999999999</v>
      </c>
      <c r="AA116" s="89">
        <f t="shared" si="28"/>
        <v>23.284699999999997</v>
      </c>
      <c r="AB116" s="86" t="e">
        <f>VLOOKUP(A116,Enforcements!$C$7:$J$24,8,0)</f>
        <v>#N/A</v>
      </c>
      <c r="AC116" s="82" t="e">
        <f>VLOOKUP(A116,Enforcements!$C$7:$E$24,3,0)</f>
        <v>#N/A</v>
      </c>
      <c r="AD116" s="83" t="str">
        <f t="shared" si="29"/>
        <v>0207-22</v>
      </c>
      <c r="AE116" s="75" t="str">
        <f t="shared" si="30"/>
        <v>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 &amp; 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</v>
      </c>
      <c r="AF116" s="75" t="str">
        <f t="shared" si="31"/>
        <v>"C:\Program Files (x86)\AstroGrep\AstroGrep.exe" /spath="C:\Users\stu\Documents\Analysis\2016-02-23 RTDC Observations" /stypes="*4044*20160722*" /stext=" 23:.+((prompt.+disp)|(slice.+state.+chan)|(ment ac)|(system.+state.+chan)|(\|lc)|(penalty)|(\[timeout))" /e /r /s</v>
      </c>
      <c r="AG116" s="1" t="str">
        <f t="shared" si="32"/>
        <v>EC</v>
      </c>
    </row>
    <row r="117" spans="1:33" x14ac:dyDescent="0.25">
      <c r="A117" s="49" t="s">
        <v>569</v>
      </c>
      <c r="B117" s="7">
        <v>4043</v>
      </c>
      <c r="C117" s="26" t="s">
        <v>59</v>
      </c>
      <c r="D117" s="26" t="s">
        <v>295</v>
      </c>
      <c r="E117" s="16">
        <v>42573.743194444447</v>
      </c>
      <c r="F117" s="16">
        <v>42573.744398148148</v>
      </c>
      <c r="G117" s="7">
        <v>1</v>
      </c>
      <c r="H117" s="16" t="s">
        <v>320</v>
      </c>
      <c r="I117" s="16">
        <v>42573.779351851852</v>
      </c>
      <c r="J117" s="7">
        <v>1</v>
      </c>
      <c r="K117" s="26" t="str">
        <f t="shared" si="18"/>
        <v>4043/4044</v>
      </c>
      <c r="L117" s="26" t="str">
        <f>VLOOKUP(A117,'Trips&amp;Operators'!$C$1:$E$10000,3,FALSE)</f>
        <v>MOSES</v>
      </c>
      <c r="M117" s="6">
        <f t="shared" si="19"/>
        <v>3.4953703703649808E-2</v>
      </c>
      <c r="N117" s="7">
        <f t="shared" si="20"/>
        <v>50.333333333255723</v>
      </c>
      <c r="O117" s="7"/>
      <c r="P117" s="7"/>
      <c r="Q117" s="27"/>
      <c r="R117" s="27"/>
      <c r="S117" s="45">
        <f t="shared" si="21"/>
        <v>1</v>
      </c>
      <c r="T117" s="69" t="str">
        <f t="shared" si="22"/>
        <v>Southbound</v>
      </c>
      <c r="U117" s="96">
        <f>COUNTIFS(Variables!$M$2:$M$19,IF(T117="NorthBound","&gt;=","&lt;=")&amp;Y117,Variables!$M$2:$M$19,IF(T117="NorthBound","&lt;=","&gt;=")&amp;Z117)</f>
        <v>12</v>
      </c>
      <c r="V11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16:50:12-0600',mode:absolute,to:'2016-07-22 19:42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7" s="74" t="str">
        <f t="shared" si="24"/>
        <v>N</v>
      </c>
      <c r="X117" s="92">
        <f t="shared" si="25"/>
        <v>1</v>
      </c>
      <c r="Y117" s="89">
        <f t="shared" si="26"/>
        <v>23.298100000000002</v>
      </c>
      <c r="Z117" s="89">
        <f t="shared" si="27"/>
        <v>1.8700000000000001E-2</v>
      </c>
      <c r="AA117" s="89">
        <f t="shared" si="28"/>
        <v>23.279400000000003</v>
      </c>
      <c r="AB117" s="86" t="e">
        <f>VLOOKUP(A117,Enforcements!$C$7:$J$24,8,0)</f>
        <v>#N/A</v>
      </c>
      <c r="AC117" s="82" t="e">
        <f>VLOOKUP(A117,Enforcements!$C$7:$E$24,3,0)</f>
        <v>#N/A</v>
      </c>
      <c r="AD117" s="83" t="str">
        <f t="shared" si="29"/>
        <v>0208-22</v>
      </c>
      <c r="AE117" s="75" t="str">
        <f t="shared" si="30"/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AF117" s="75" t="str">
        <f t="shared" si="31"/>
        <v>"C:\Program Files (x86)\AstroGrep\AstroGrep.exe" /spath="C:\Users\stu\Documents\Analysis\2016-02-23 RTDC Observations" /stypes="*4043*20160723*" /stext=" 00:.+((prompt.+disp)|(slice.+state.+chan)|(ment ac)|(system.+state.+chan)|(\|lc)|(penalty)|(\[timeout))" /e /r /s</v>
      </c>
      <c r="AG117" s="1" t="str">
        <f t="shared" si="32"/>
        <v>EC</v>
      </c>
    </row>
    <row r="118" spans="1:33" x14ac:dyDescent="0.25">
      <c r="A118" s="49" t="s">
        <v>570</v>
      </c>
      <c r="B118" s="7">
        <v>4007</v>
      </c>
      <c r="C118" s="26" t="s">
        <v>59</v>
      </c>
      <c r="D118" s="26" t="s">
        <v>571</v>
      </c>
      <c r="E118" s="16">
        <v>42573.711481481485</v>
      </c>
      <c r="F118" s="16">
        <v>42573.71261574074</v>
      </c>
      <c r="G118" s="7">
        <v>1</v>
      </c>
      <c r="H118" s="16" t="s">
        <v>168</v>
      </c>
      <c r="I118" s="16">
        <v>42573.750590277778</v>
      </c>
      <c r="J118" s="7">
        <v>0</v>
      </c>
      <c r="K118" s="26" t="str">
        <f t="shared" si="18"/>
        <v>4007/4008</v>
      </c>
      <c r="L118" s="26" t="str">
        <f>VLOOKUP(A118,'Trips&amp;Operators'!$C$1:$E$10000,3,FALSE)</f>
        <v>KILLION</v>
      </c>
      <c r="M118" s="6">
        <f t="shared" si="19"/>
        <v>3.7974537037371192E-2</v>
      </c>
      <c r="N118" s="7">
        <f t="shared" si="20"/>
        <v>54.683333333814517</v>
      </c>
      <c r="O118" s="7"/>
      <c r="P118" s="7"/>
      <c r="Q118" s="27"/>
      <c r="R118" s="27"/>
      <c r="S118" s="45">
        <f t="shared" si="21"/>
        <v>1</v>
      </c>
      <c r="T118" s="69" t="str">
        <f t="shared" si="22"/>
        <v>NorthBound</v>
      </c>
      <c r="U118" s="96">
        <f>COUNTIFS(Variables!$M$2:$M$19,IF(T118="NorthBound","&gt;=","&lt;=")&amp;Y118,Variables!$M$2:$M$19,IF(T118="NorthBound","&lt;=","&gt;=")&amp;Z118)</f>
        <v>12</v>
      </c>
      <c r="V11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16:04:32-0600',mode:absolute,to:'2016-07-22 19:00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8" s="74" t="str">
        <f t="shared" si="24"/>
        <v>N</v>
      </c>
      <c r="X118" s="92">
        <f t="shared" si="25"/>
        <v>1</v>
      </c>
      <c r="Y118" s="89">
        <f t="shared" si="26"/>
        <v>7.5899999999999995E-2</v>
      </c>
      <c r="Z118" s="89">
        <f t="shared" si="27"/>
        <v>23.3293</v>
      </c>
      <c r="AA118" s="89">
        <f t="shared" si="28"/>
        <v>23.253399999999999</v>
      </c>
      <c r="AB118" s="86" t="e">
        <f>VLOOKUP(A118,Enforcements!$C$7:$J$24,8,0)</f>
        <v>#N/A</v>
      </c>
      <c r="AC118" s="82" t="e">
        <f>VLOOKUP(A118,Enforcements!$C$7:$E$24,3,0)</f>
        <v>#N/A</v>
      </c>
      <c r="AD118" s="83" t="str">
        <f t="shared" si="29"/>
        <v>0209-22</v>
      </c>
      <c r="AE118" s="75" t="str">
        <f t="shared" si="30"/>
        <v>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 &amp; aws s3 cp s3://rtdc.mdm.uploadarchive/RTDC4007/2016-07-23/ "C:\Users\stu\Documents\Analysis\2016-02-23 RTDC Observations"\RTDC4007\2016-07-23 --recursive &amp; "C:\Users\stu\Documents\GitHub\mrs-test-scripts\Headless Mode &amp; Sideloading\WalkAndUnGZ.bat" "C:\Users\stu\Documents\Analysis\2016-02-23 RTDC Observations"\RTDC4007\2016-07-23</v>
      </c>
      <c r="AF118" s="75" t="str">
        <f t="shared" si="31"/>
        <v>"C:\Program Files (x86)\AstroGrep\AstroGrep.exe" /spath="C:\Users\stu\Documents\Analysis\2016-02-23 RTDC Observations" /stypes="*4007*20160723*" /stext=" 00:.+((prompt.+disp)|(slice.+state.+chan)|(ment ac)|(system.+state.+chan)|(\|lc)|(penalty)|(\[timeout))" /e /r /s</v>
      </c>
      <c r="AG118" s="1" t="str">
        <f t="shared" si="32"/>
        <v>EC</v>
      </c>
    </row>
    <row r="119" spans="1:33" x14ac:dyDescent="0.25">
      <c r="A119" s="49" t="s">
        <v>572</v>
      </c>
      <c r="B119" s="7">
        <v>4008</v>
      </c>
      <c r="C119" s="26" t="s">
        <v>59</v>
      </c>
      <c r="D119" s="26" t="s">
        <v>255</v>
      </c>
      <c r="E119" s="16">
        <v>42573.755057870374</v>
      </c>
      <c r="F119" s="16">
        <v>42573.75613425926</v>
      </c>
      <c r="G119" s="7">
        <v>1</v>
      </c>
      <c r="H119" s="16" t="s">
        <v>103</v>
      </c>
      <c r="I119" s="16">
        <v>42573.787812499999</v>
      </c>
      <c r="J119" s="7">
        <v>0</v>
      </c>
      <c r="K119" s="26" t="str">
        <f t="shared" si="18"/>
        <v>4007/4008</v>
      </c>
      <c r="L119" s="26" t="str">
        <f>VLOOKUP(A119,'Trips&amp;Operators'!$C$1:$E$10000,3,FALSE)</f>
        <v>KILLION</v>
      </c>
      <c r="M119" s="6">
        <f t="shared" si="19"/>
        <v>3.1678240738983732E-2</v>
      </c>
      <c r="N119" s="7">
        <f t="shared" si="20"/>
        <v>45.616666664136574</v>
      </c>
      <c r="O119" s="7"/>
      <c r="P119" s="7"/>
      <c r="Q119" s="27"/>
      <c r="R119" s="27"/>
      <c r="S119" s="45">
        <f t="shared" si="21"/>
        <v>1</v>
      </c>
      <c r="T119" s="69" t="str">
        <f t="shared" si="22"/>
        <v>Southbound</v>
      </c>
      <c r="U119" s="96">
        <f>COUNTIFS(Variables!$M$2:$M$19,IF(T119="NorthBound","&gt;=","&lt;=")&amp;Y119,Variables!$M$2:$M$19,IF(T119="NorthBound","&lt;=","&gt;=")&amp;Z119)</f>
        <v>12</v>
      </c>
      <c r="V11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17:07:17-0600',mode:absolute,to:'2016-07-22 19:54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9" s="74" t="str">
        <f t="shared" si="24"/>
        <v>N</v>
      </c>
      <c r="X119" s="92">
        <f t="shared" si="25"/>
        <v>1</v>
      </c>
      <c r="Y119" s="89">
        <f t="shared" si="26"/>
        <v>23.2971</v>
      </c>
      <c r="Z119" s="89">
        <f t="shared" si="27"/>
        <v>1.43E-2</v>
      </c>
      <c r="AA119" s="89">
        <f t="shared" si="28"/>
        <v>23.282800000000002</v>
      </c>
      <c r="AB119" s="86" t="e">
        <f>VLOOKUP(A119,Enforcements!$C$7:$J$24,8,0)</f>
        <v>#N/A</v>
      </c>
      <c r="AC119" s="82" t="e">
        <f>VLOOKUP(A119,Enforcements!$C$7:$E$24,3,0)</f>
        <v>#N/A</v>
      </c>
      <c r="AD119" s="83" t="str">
        <f t="shared" si="29"/>
        <v>0210-22</v>
      </c>
      <c r="AE119" s="75" t="str">
        <f t="shared" si="30"/>
        <v>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 &amp; aws s3 cp s3://rtdc.mdm.uploadarchive/RTDC4008/2016-07-23/ "C:\Users\stu\Documents\Analysis\2016-02-23 RTDC Observations"\RTDC4008\2016-07-23 --recursive &amp; "C:\Users\stu\Documents\GitHub\mrs-test-scripts\Headless Mode &amp; Sideloading\WalkAndUnGZ.bat" "C:\Users\stu\Documents\Analysis\2016-02-23 RTDC Observations"\RTDC4008\2016-07-23</v>
      </c>
      <c r="AF119" s="75" t="str">
        <f t="shared" si="31"/>
        <v>"C:\Program Files (x86)\AstroGrep\AstroGrep.exe" /spath="C:\Users\stu\Documents\Analysis\2016-02-23 RTDC Observations" /stypes="*4008*20160723*" /stext=" 00:.+((prompt.+disp)|(slice.+state.+chan)|(ment ac)|(system.+state.+chan)|(\|lc)|(penalty)|(\[timeout))" /e /r /s</v>
      </c>
      <c r="AG119" s="1" t="str">
        <f t="shared" si="32"/>
        <v>EC</v>
      </c>
    </row>
    <row r="120" spans="1:33" x14ac:dyDescent="0.25">
      <c r="A120" s="49" t="s">
        <v>573</v>
      </c>
      <c r="B120" s="7">
        <v>4014</v>
      </c>
      <c r="C120" s="26" t="s">
        <v>59</v>
      </c>
      <c r="D120" s="26" t="s">
        <v>574</v>
      </c>
      <c r="E120" s="16">
        <v>42573.729479166665</v>
      </c>
      <c r="F120" s="16">
        <v>42573.730636574073</v>
      </c>
      <c r="G120" s="7">
        <v>1</v>
      </c>
      <c r="H120" s="16" t="s">
        <v>575</v>
      </c>
      <c r="I120" s="16">
        <v>42573.759502314817</v>
      </c>
      <c r="J120" s="7">
        <v>1</v>
      </c>
      <c r="K120" s="26" t="str">
        <f t="shared" si="18"/>
        <v>4013/4014</v>
      </c>
      <c r="L120" s="26" t="str">
        <f>VLOOKUP(A120,'Trips&amp;Operators'!$C$1:$E$10000,3,FALSE)</f>
        <v>SHOOK</v>
      </c>
      <c r="M120" s="6">
        <f t="shared" si="19"/>
        <v>2.8865740743640345E-2</v>
      </c>
      <c r="N120" s="7">
        <f t="shared" si="20"/>
        <v>41.566666670842096</v>
      </c>
      <c r="O120" s="7"/>
      <c r="P120" s="7"/>
      <c r="Q120" s="27"/>
      <c r="R120" s="27"/>
      <c r="S120" s="45">
        <f t="shared" si="21"/>
        <v>1</v>
      </c>
      <c r="T120" s="69" t="str">
        <f t="shared" si="22"/>
        <v>NorthBound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16:30:27-0600',mode:absolute,to:'2016-07-22 19:13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0" s="74" t="str">
        <f t="shared" si="24"/>
        <v>N</v>
      </c>
      <c r="X120" s="92">
        <f t="shared" si="25"/>
        <v>1</v>
      </c>
      <c r="Y120" s="89">
        <f t="shared" si="26"/>
        <v>8.2600000000000007E-2</v>
      </c>
      <c r="Z120" s="89">
        <f t="shared" si="27"/>
        <v>23.3368</v>
      </c>
      <c r="AA120" s="89">
        <f t="shared" si="28"/>
        <v>23.254200000000001</v>
      </c>
      <c r="AB120" s="86" t="e">
        <f>VLOOKUP(A120,Enforcements!$C$7:$J$24,8,0)</f>
        <v>#N/A</v>
      </c>
      <c r="AC120" s="82" t="e">
        <f>VLOOKUP(A120,Enforcements!$C$7:$E$24,3,0)</f>
        <v>#N/A</v>
      </c>
      <c r="AD120" s="83" t="str">
        <f t="shared" si="29"/>
        <v>0211-22</v>
      </c>
      <c r="AE120" s="75" t="str">
        <f t="shared" si="30"/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AF120" s="75" t="str">
        <f t="shared" si="31"/>
        <v>"C:\Program Files (x86)\AstroGrep\AstroGrep.exe" /spath="C:\Users\stu\Documents\Analysis\2016-02-23 RTDC Observations" /stypes="*4014*20160723*" /stext=" 00:.+((prompt.+disp)|(slice.+state.+chan)|(ment ac)|(system.+state.+chan)|(\|lc)|(penalty)|(\[timeout))" /e /r /s</v>
      </c>
      <c r="AG120" s="1" t="str">
        <f t="shared" si="32"/>
        <v>EC</v>
      </c>
    </row>
    <row r="121" spans="1:33" x14ac:dyDescent="0.25">
      <c r="A121" s="49" t="s">
        <v>576</v>
      </c>
      <c r="B121" s="7">
        <v>4013</v>
      </c>
      <c r="C121" s="26" t="s">
        <v>59</v>
      </c>
      <c r="D121" s="26" t="s">
        <v>577</v>
      </c>
      <c r="E121" s="16">
        <v>42573.764467592591</v>
      </c>
      <c r="F121" s="16">
        <v>42573.766481481478</v>
      </c>
      <c r="G121" s="7">
        <v>2</v>
      </c>
      <c r="H121" s="16" t="s">
        <v>578</v>
      </c>
      <c r="I121" s="16">
        <v>42573.796122685184</v>
      </c>
      <c r="J121" s="7">
        <v>1</v>
      </c>
      <c r="K121" s="26" t="str">
        <f t="shared" si="18"/>
        <v>4013/4014</v>
      </c>
      <c r="L121" s="26" t="str">
        <f>VLOOKUP(A121,'Trips&amp;Operators'!$C$1:$E$10000,3,FALSE)</f>
        <v>SHOOK</v>
      </c>
      <c r="M121" s="6">
        <f t="shared" si="19"/>
        <v>2.9641203705978114E-2</v>
      </c>
      <c r="N121" s="7">
        <f t="shared" si="20"/>
        <v>42.683333336608484</v>
      </c>
      <c r="O121" s="7"/>
      <c r="P121" s="7"/>
      <c r="Q121" s="27"/>
      <c r="R121" s="27"/>
      <c r="S121" s="45">
        <f t="shared" si="21"/>
        <v>1</v>
      </c>
      <c r="T121" s="69" t="str">
        <f t="shared" si="22"/>
        <v>Southbound</v>
      </c>
      <c r="U121" s="96">
        <f>COUNTIFS(Variables!$M$2:$M$19,IF(T121="NorthBound","&gt;=","&lt;=")&amp;Y121,Variables!$M$2:$M$19,IF(T121="NorthBound","&lt;=","&gt;=")&amp;Z121)</f>
        <v>12</v>
      </c>
      <c r="V12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17:20:50-0600',mode:absolute,to:'2016-07-22 20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1" s="74" t="str">
        <f t="shared" si="24"/>
        <v>N</v>
      </c>
      <c r="X121" s="92">
        <f t="shared" si="25"/>
        <v>1</v>
      </c>
      <c r="Y121" s="89">
        <f t="shared" si="26"/>
        <v>23.304300000000001</v>
      </c>
      <c r="Z121" s="89">
        <f t="shared" si="27"/>
        <v>1.0200000000000001E-2</v>
      </c>
      <c r="AA121" s="89">
        <f t="shared" si="28"/>
        <v>23.2941</v>
      </c>
      <c r="AB121" s="86" t="e">
        <f>VLOOKUP(A121,Enforcements!$C$7:$J$24,8,0)</f>
        <v>#N/A</v>
      </c>
      <c r="AC121" s="82" t="e">
        <f>VLOOKUP(A121,Enforcements!$C$7:$E$24,3,0)</f>
        <v>#N/A</v>
      </c>
      <c r="AD121" s="83" t="str">
        <f t="shared" si="29"/>
        <v>0212-22</v>
      </c>
      <c r="AE121" s="75" t="str">
        <f t="shared" si="30"/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AF121" s="75" t="str">
        <f t="shared" si="31"/>
        <v>"C:\Program Files (x86)\AstroGrep\AstroGrep.exe" /spath="C:\Users\stu\Documents\Analysis\2016-02-23 RTDC Observations" /stypes="*4013*20160723*" /stext=" 01:.+((prompt.+disp)|(slice.+state.+chan)|(ment ac)|(system.+state.+chan)|(\|lc)|(penalty)|(\[timeout))" /e /r /s</v>
      </c>
      <c r="AG121" s="1" t="str">
        <f t="shared" si="32"/>
        <v>EC</v>
      </c>
    </row>
    <row r="122" spans="1:33" x14ac:dyDescent="0.25">
      <c r="A122" s="49" t="s">
        <v>579</v>
      </c>
      <c r="B122" s="7">
        <v>4038</v>
      </c>
      <c r="C122" s="26" t="s">
        <v>59</v>
      </c>
      <c r="D122" s="26" t="s">
        <v>580</v>
      </c>
      <c r="E122" s="16">
        <v>42573.741932870369</v>
      </c>
      <c r="F122" s="16">
        <v>42573.742881944447</v>
      </c>
      <c r="G122" s="7">
        <v>1</v>
      </c>
      <c r="H122" s="16" t="s">
        <v>581</v>
      </c>
      <c r="I122" s="16">
        <v>42573.769421296296</v>
      </c>
      <c r="J122" s="7">
        <v>0</v>
      </c>
      <c r="K122" s="26" t="str">
        <f t="shared" si="18"/>
        <v>4037/4038</v>
      </c>
      <c r="L122" s="26" t="str">
        <f>VLOOKUP(A122,'Trips&amp;Operators'!$C$1:$E$10000,3,FALSE)</f>
        <v>YANAI</v>
      </c>
      <c r="M122" s="6">
        <f t="shared" si="19"/>
        <v>2.6539351849351078E-2</v>
      </c>
      <c r="N122" s="7">
        <f t="shared" si="20"/>
        <v>38.216666663065553</v>
      </c>
      <c r="O122" s="7"/>
      <c r="P122" s="7"/>
      <c r="Q122" s="27"/>
      <c r="R122" s="27"/>
      <c r="S122" s="45">
        <f t="shared" si="21"/>
        <v>1</v>
      </c>
      <c r="T122" s="69" t="str">
        <f t="shared" si="22"/>
        <v>NorthBound</v>
      </c>
      <c r="U122" s="96">
        <f>COUNTIFS(Variables!$M$2:$M$19,IF(T122="NorthBound","&gt;=","&lt;=")&amp;Y122,Variables!$M$2:$M$19,IF(T122="NorthBound","&lt;=","&gt;=")&amp;Z122)</f>
        <v>12</v>
      </c>
      <c r="V12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16:48:23-0600',mode:absolute,to:'2016-07-22 19:27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2" s="74" t="str">
        <f t="shared" si="24"/>
        <v>N</v>
      </c>
      <c r="X122" s="92">
        <f t="shared" si="25"/>
        <v>1</v>
      </c>
      <c r="Y122" s="89">
        <f t="shared" si="26"/>
        <v>4.8399999999999999E-2</v>
      </c>
      <c r="Z122" s="89">
        <f t="shared" si="27"/>
        <v>23.331099999999999</v>
      </c>
      <c r="AA122" s="89">
        <f t="shared" si="28"/>
        <v>23.282699999999998</v>
      </c>
      <c r="AB122" s="86" t="e">
        <f>VLOOKUP(A122,Enforcements!$C$7:$J$24,8,0)</f>
        <v>#N/A</v>
      </c>
      <c r="AC122" s="82" t="e">
        <f>VLOOKUP(A122,Enforcements!$C$7:$E$24,3,0)</f>
        <v>#N/A</v>
      </c>
      <c r="AD122" s="83" t="str">
        <f t="shared" si="29"/>
        <v>0213-22</v>
      </c>
      <c r="AE122" s="75" t="str">
        <f t="shared" si="30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122" s="75" t="str">
        <f t="shared" si="31"/>
        <v>"C:\Program Files (x86)\AstroGrep\AstroGrep.exe" /spath="C:\Users\stu\Documents\Analysis\2016-02-23 RTDC Observations" /stypes="*4038*20160723*" /stext=" 00:.+((prompt.+disp)|(slice.+state.+chan)|(ment ac)|(system.+state.+chan)|(\|lc)|(penalty)|(\[timeout))" /e /r /s</v>
      </c>
      <c r="AG122" s="1" t="str">
        <f t="shared" si="32"/>
        <v>EC</v>
      </c>
    </row>
    <row r="123" spans="1:33" s="25" customFormat="1" x14ac:dyDescent="0.25">
      <c r="A123" s="49" t="s">
        <v>582</v>
      </c>
      <c r="B123" s="7">
        <v>4037</v>
      </c>
      <c r="C123" s="26" t="s">
        <v>59</v>
      </c>
      <c r="D123" s="26" t="s">
        <v>162</v>
      </c>
      <c r="E123" s="16">
        <v>42573.776064814818</v>
      </c>
      <c r="F123" s="16">
        <v>42573.77716435185</v>
      </c>
      <c r="G123" s="7">
        <v>1</v>
      </c>
      <c r="H123" s="16" t="s">
        <v>299</v>
      </c>
      <c r="I123" s="16">
        <v>42573.805312500001</v>
      </c>
      <c r="J123" s="7">
        <v>0</v>
      </c>
      <c r="K123" s="26" t="str">
        <f t="shared" si="18"/>
        <v>4037/4038</v>
      </c>
      <c r="L123" s="26" t="str">
        <f>VLOOKUP(A123,'Trips&amp;Operators'!$C$1:$E$10000,3,FALSE)</f>
        <v>YANAI</v>
      </c>
      <c r="M123" s="6">
        <f t="shared" si="19"/>
        <v>2.8148148150648922E-2</v>
      </c>
      <c r="N123" s="7">
        <f t="shared" si="20"/>
        <v>40.533333336934447</v>
      </c>
      <c r="O123" s="7"/>
      <c r="P123" s="7"/>
      <c r="Q123" s="27"/>
      <c r="R123" s="27"/>
      <c r="S123" s="45">
        <f t="shared" si="21"/>
        <v>1</v>
      </c>
      <c r="T123" s="69" t="str">
        <f t="shared" si="22"/>
        <v>Southbound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17:37:32-0600',mode:absolute,to:'2016-07-22 20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3" s="74" t="str">
        <f t="shared" si="24"/>
        <v>N</v>
      </c>
      <c r="X123" s="92">
        <f t="shared" si="25"/>
        <v>1</v>
      </c>
      <c r="Y123" s="89">
        <f t="shared" si="26"/>
        <v>23.298400000000001</v>
      </c>
      <c r="Z123" s="89">
        <f t="shared" si="27"/>
        <v>1.47E-2</v>
      </c>
      <c r="AA123" s="89">
        <f t="shared" si="28"/>
        <v>23.2837</v>
      </c>
      <c r="AB123" s="86" t="e">
        <f>VLOOKUP(A123,Enforcements!$C$7:$J$24,8,0)</f>
        <v>#N/A</v>
      </c>
      <c r="AC123" s="82" t="e">
        <f>VLOOKUP(A123,Enforcements!$C$7:$E$24,3,0)</f>
        <v>#N/A</v>
      </c>
      <c r="AD123" s="83" t="str">
        <f t="shared" si="29"/>
        <v>0214-22</v>
      </c>
      <c r="AE123" s="75" t="str">
        <f t="shared" si="30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123" s="75" t="str">
        <f t="shared" si="31"/>
        <v>"C:\Program Files (x86)\AstroGrep\AstroGrep.exe" /spath="C:\Users\stu\Documents\Analysis\2016-02-23 RTDC Observations" /stypes="*4037*20160723*" /stext=" 01:.+((prompt.+disp)|(slice.+state.+chan)|(ment ac)|(system.+state.+chan)|(\|lc)|(penalty)|(\[timeout))" /e /r /s</v>
      </c>
      <c r="AG123" s="1" t="str">
        <f t="shared" si="32"/>
        <v>EC</v>
      </c>
    </row>
    <row r="124" spans="1:33" s="25" customFormat="1" x14ac:dyDescent="0.25">
      <c r="A124" s="49" t="s">
        <v>583</v>
      </c>
      <c r="B124" s="7">
        <v>4020</v>
      </c>
      <c r="C124" s="26" t="s">
        <v>59</v>
      </c>
      <c r="D124" s="26" t="s">
        <v>245</v>
      </c>
      <c r="E124" s="16">
        <v>42573.748391203706</v>
      </c>
      <c r="F124" s="16">
        <v>42573.749525462961</v>
      </c>
      <c r="G124" s="7">
        <v>1</v>
      </c>
      <c r="H124" s="16" t="s">
        <v>239</v>
      </c>
      <c r="I124" s="16">
        <v>42573.776666666665</v>
      </c>
      <c r="J124" s="7">
        <v>1</v>
      </c>
      <c r="K124" s="26" t="str">
        <f t="shared" si="18"/>
        <v>4019/4020</v>
      </c>
      <c r="L124" s="26" t="str">
        <f>VLOOKUP(A124,'Trips&amp;Operators'!$C$1:$E$10000,3,FALSE)</f>
        <v>WEBSTER</v>
      </c>
      <c r="M124" s="6">
        <f t="shared" si="19"/>
        <v>2.7141203703649808E-2</v>
      </c>
      <c r="N124" s="7">
        <f t="shared" si="20"/>
        <v>39.083333333255723</v>
      </c>
      <c r="O124" s="7"/>
      <c r="P124" s="7"/>
      <c r="Q124" s="27"/>
      <c r="R124" s="27"/>
      <c r="S124" s="45">
        <f t="shared" si="21"/>
        <v>1</v>
      </c>
      <c r="T124" s="69" t="str">
        <f t="shared" si="22"/>
        <v>NorthBound</v>
      </c>
      <c r="U124" s="96">
        <f>COUNTIFS(Variables!$M$2:$M$19,IF(T124="NorthBound","&gt;=","&lt;=")&amp;Y124,Variables!$M$2:$M$19,IF(T124="NorthBound","&lt;=","&gt;=")&amp;Z124)</f>
        <v>12</v>
      </c>
      <c r="V12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16:57:41-0600',mode:absolute,to:'2016-07-22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4" s="74" t="str">
        <f t="shared" si="24"/>
        <v>N</v>
      </c>
      <c r="X124" s="92">
        <f t="shared" si="25"/>
        <v>1</v>
      </c>
      <c r="Y124" s="89">
        <f t="shared" si="26"/>
        <v>4.7100000000000003E-2</v>
      </c>
      <c r="Z124" s="89">
        <f t="shared" si="27"/>
        <v>23.331</v>
      </c>
      <c r="AA124" s="89">
        <f t="shared" si="28"/>
        <v>23.283899999999999</v>
      </c>
      <c r="AB124" s="86" t="e">
        <f>VLOOKUP(A124,Enforcements!$C$7:$J$24,8,0)</f>
        <v>#N/A</v>
      </c>
      <c r="AC124" s="82" t="e">
        <f>VLOOKUP(A124,Enforcements!$C$7:$E$24,3,0)</f>
        <v>#N/A</v>
      </c>
      <c r="AD124" s="83" t="str">
        <f t="shared" si="29"/>
        <v>0215-22</v>
      </c>
      <c r="AE124" s="75" t="str">
        <f t="shared" si="30"/>
        <v>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 &amp; 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</v>
      </c>
      <c r="AF124" s="75" t="str">
        <f t="shared" si="31"/>
        <v>"C:\Program Files (x86)\AstroGrep\AstroGrep.exe" /spath="C:\Users\stu\Documents\Analysis\2016-02-23 RTDC Observations" /stypes="*4020*20160723*" /stext=" 00:.+((prompt.+disp)|(slice.+state.+chan)|(ment ac)|(system.+state.+chan)|(\|lc)|(penalty)|(\[timeout))" /e /r /s</v>
      </c>
      <c r="AG124" s="1" t="str">
        <f t="shared" si="32"/>
        <v>EC</v>
      </c>
    </row>
    <row r="125" spans="1:33" s="25" customFormat="1" x14ac:dyDescent="0.25">
      <c r="A125" s="49" t="s">
        <v>584</v>
      </c>
      <c r="B125" s="7">
        <v>4019</v>
      </c>
      <c r="C125" s="26" t="s">
        <v>59</v>
      </c>
      <c r="D125" s="26" t="s">
        <v>250</v>
      </c>
      <c r="E125" s="16">
        <v>42573.784641203703</v>
      </c>
      <c r="F125" s="16">
        <v>42573.785902777781</v>
      </c>
      <c r="G125" s="7">
        <v>1</v>
      </c>
      <c r="H125" s="16" t="s">
        <v>60</v>
      </c>
      <c r="I125" s="16">
        <v>42573.820185185185</v>
      </c>
      <c r="J125" s="7">
        <v>1</v>
      </c>
      <c r="K125" s="26" t="str">
        <f t="shared" si="18"/>
        <v>4019/4020</v>
      </c>
      <c r="L125" s="26" t="str">
        <f>VLOOKUP(A125,'Trips&amp;Operators'!$C$1:$E$10000,3,FALSE)</f>
        <v>WEBSTER</v>
      </c>
      <c r="M125" s="6">
        <f t="shared" si="19"/>
        <v>3.4282407403225079E-2</v>
      </c>
      <c r="N125" s="7">
        <f t="shared" si="20"/>
        <v>49.366666660644114</v>
      </c>
      <c r="O125" s="7"/>
      <c r="P125" s="7"/>
      <c r="Q125" s="27"/>
      <c r="R125" s="27"/>
      <c r="S125" s="45">
        <f t="shared" si="21"/>
        <v>1</v>
      </c>
      <c r="T125" s="69" t="str">
        <f t="shared" si="22"/>
        <v>Southbound</v>
      </c>
      <c r="U125" s="96">
        <f>COUNTIFS(Variables!$M$2:$M$19,IF(T125="NorthBound","&gt;=","&lt;=")&amp;Y125,Variables!$M$2:$M$19,IF(T125="NorthBound","&lt;=","&gt;=")&amp;Z125)</f>
        <v>12</v>
      </c>
      <c r="V12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17:49:53-0600',mode:absolute,to:'2016-07-22 20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5" s="74" t="str">
        <f t="shared" si="24"/>
        <v>N</v>
      </c>
      <c r="X125" s="92">
        <f t="shared" si="25"/>
        <v>1</v>
      </c>
      <c r="Y125" s="89">
        <f t="shared" si="26"/>
        <v>23.299299999999999</v>
      </c>
      <c r="Z125" s="89">
        <f t="shared" si="27"/>
        <v>1.4500000000000001E-2</v>
      </c>
      <c r="AA125" s="89">
        <f t="shared" si="28"/>
        <v>23.284799999999997</v>
      </c>
      <c r="AB125" s="86" t="e">
        <f>VLOOKUP(A125,Enforcements!$C$7:$J$24,8,0)</f>
        <v>#N/A</v>
      </c>
      <c r="AC125" s="82" t="e">
        <f>VLOOKUP(A125,Enforcements!$C$7:$E$24,3,0)</f>
        <v>#N/A</v>
      </c>
      <c r="AD125" s="83" t="str">
        <f t="shared" si="29"/>
        <v>0216-22</v>
      </c>
      <c r="AE125" s="75" t="str">
        <f t="shared" si="30"/>
        <v>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 &amp; 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</v>
      </c>
      <c r="AF125" s="75" t="str">
        <f t="shared" si="31"/>
        <v>"C:\Program Files (x86)\AstroGrep\AstroGrep.exe" /spath="C:\Users\stu\Documents\Analysis\2016-02-23 RTDC Observations" /stypes="*4019*20160723*" /stext=" 01:.+((prompt.+disp)|(slice.+state.+chan)|(ment ac)|(system.+state.+chan)|(\|lc)|(penalty)|(\[timeout))" /e /r /s</v>
      </c>
      <c r="AG125" s="1" t="str">
        <f t="shared" si="32"/>
        <v>EC</v>
      </c>
    </row>
    <row r="126" spans="1:33" s="25" customFormat="1" x14ac:dyDescent="0.25">
      <c r="A126" s="49" t="s">
        <v>585</v>
      </c>
      <c r="B126" s="7">
        <v>4016</v>
      </c>
      <c r="C126" s="26" t="s">
        <v>59</v>
      </c>
      <c r="D126" s="26" t="s">
        <v>586</v>
      </c>
      <c r="E126" s="16">
        <v>42573.761307870373</v>
      </c>
      <c r="F126" s="16">
        <v>42573.763298611113</v>
      </c>
      <c r="G126" s="7">
        <v>2</v>
      </c>
      <c r="H126" s="16" t="s">
        <v>587</v>
      </c>
      <c r="I126" s="16">
        <v>42573.76390046296</v>
      </c>
      <c r="J126" s="7">
        <v>1</v>
      </c>
      <c r="K126" s="26" t="str">
        <f t="shared" si="18"/>
        <v>4015/4016</v>
      </c>
      <c r="L126" s="26" t="str">
        <f>VLOOKUP(A126,'Trips&amp;Operators'!$C$1:$E$10000,3,FALSE)</f>
        <v>CHANDLER</v>
      </c>
      <c r="M126" s="6">
        <f t="shared" si="19"/>
        <v>6.0185184702277184E-4</v>
      </c>
      <c r="N126" s="7"/>
      <c r="O126" s="7"/>
      <c r="P126" s="7">
        <f>24*60*SUM($M126:$M127)</f>
        <v>38.449999988079071</v>
      </c>
      <c r="Q126" s="27"/>
      <c r="R126" s="27" t="s">
        <v>641</v>
      </c>
      <c r="S126" s="45">
        <f>SUM(U126:U127)/12</f>
        <v>1</v>
      </c>
      <c r="T126" s="69" t="str">
        <f t="shared" si="22"/>
        <v>NorthBound</v>
      </c>
      <c r="U126" s="96">
        <f>COUNTIFS(Variables!$M$2:$M$19,IF(T126="NorthBound","&gt;=","&lt;=")&amp;Y126,Variables!$M$2:$M$19,IF(T126="NorthBound","&lt;=","&gt;=")&amp;Z126)</f>
        <v>0</v>
      </c>
      <c r="V12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17:16:17-0600',mode:absolute,to:'2016-07-22 19:20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6" s="74" t="str">
        <f t="shared" si="24"/>
        <v>Y</v>
      </c>
      <c r="X126" s="92">
        <f t="shared" si="25"/>
        <v>1</v>
      </c>
      <c r="Y126" s="89">
        <f t="shared" si="26"/>
        <v>0.1522</v>
      </c>
      <c r="Z126" s="89">
        <f t="shared" si="27"/>
        <v>0.1978</v>
      </c>
      <c r="AA126" s="89">
        <f t="shared" si="28"/>
        <v>4.5600000000000002E-2</v>
      </c>
      <c r="AB126" s="86">
        <f>VLOOKUP(A126,Enforcements!$C$7:$J$24,8,0)</f>
        <v>1692</v>
      </c>
      <c r="AC126" s="82" t="str">
        <f>VLOOKUP(A126,Enforcements!$C$7:$E$24,3,0)</f>
        <v>SIGNAL</v>
      </c>
      <c r="AD126" s="83" t="str">
        <f t="shared" si="29"/>
        <v>0217-22</v>
      </c>
      <c r="AE126" s="75" t="str">
        <f t="shared" si="30"/>
        <v>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 &amp; aws s3 cp s3://rtdc.mdm.uploadarchive/RTDC4016/2016-07-23/ "C:\Users\stu\Documents\Analysis\2016-02-23 RTDC Observations"\RTDC4016\2016-07-23 --recursive &amp; "C:\Users\stu\Documents\GitHub\mrs-test-scripts\Headless Mode &amp; Sideloading\WalkAndUnGZ.bat" "C:\Users\stu\Documents\Analysis\2016-02-23 RTDC Observations"\RTDC4016\2016-07-23</v>
      </c>
      <c r="AF126" s="75" t="str">
        <f t="shared" si="31"/>
        <v>"C:\Program Files (x86)\AstroGrep\AstroGrep.exe" /spath="C:\Users\stu\Documents\Analysis\2016-02-23 RTDC Observations" /stypes="*4016*20160723*" /stext=" 00:.+((prompt.+disp)|(slice.+state.+chan)|(ment ac)|(system.+state.+chan)|(\|lc)|(penalty)|(\[timeout))" /e /r /s</v>
      </c>
      <c r="AG126" s="1" t="str">
        <f t="shared" si="32"/>
        <v>EC</v>
      </c>
    </row>
    <row r="127" spans="1:33" s="25" customFormat="1" x14ac:dyDescent="0.25">
      <c r="A127" s="49" t="s">
        <v>585</v>
      </c>
      <c r="B127" s="7">
        <v>4016</v>
      </c>
      <c r="C127" s="26" t="s">
        <v>59</v>
      </c>
      <c r="D127" s="26" t="s">
        <v>588</v>
      </c>
      <c r="E127" s="16">
        <v>42573.766921296294</v>
      </c>
      <c r="F127" s="16">
        <v>42573.767777777779</v>
      </c>
      <c r="G127" s="7">
        <v>1</v>
      </c>
      <c r="H127" s="16" t="s">
        <v>148</v>
      </c>
      <c r="I127" s="16">
        <v>42573.793877314813</v>
      </c>
      <c r="J127" s="7">
        <v>0</v>
      </c>
      <c r="K127" s="26" t="str">
        <f t="shared" si="18"/>
        <v>4015/4016</v>
      </c>
      <c r="L127" s="26" t="str">
        <f>VLOOKUP(A127,'Trips&amp;Operators'!$C$1:$E$10000,3,FALSE)</f>
        <v>CHANDLER</v>
      </c>
      <c r="M127" s="6">
        <f t="shared" si="19"/>
        <v>2.6099537033587694E-2</v>
      </c>
      <c r="N127" s="7"/>
      <c r="O127" s="7"/>
      <c r="P127" s="7"/>
      <c r="Q127" s="27"/>
      <c r="R127" s="27"/>
      <c r="S127" s="45"/>
      <c r="T127" s="69" t="str">
        <f t="shared" si="22"/>
        <v>NorthBound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17:24:22-0600',mode:absolute,to:'2016-07-22 20:03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7" s="74" t="str">
        <f t="shared" si="24"/>
        <v>Y</v>
      </c>
      <c r="X127" s="92">
        <f t="shared" si="25"/>
        <v>0</v>
      </c>
      <c r="Y127" s="89">
        <f t="shared" si="26"/>
        <v>1.9148000000000001</v>
      </c>
      <c r="Z127" s="89">
        <f t="shared" si="27"/>
        <v>23.329899999999999</v>
      </c>
      <c r="AA127" s="89">
        <f t="shared" si="28"/>
        <v>21.415099999999999</v>
      </c>
      <c r="AB127" s="86">
        <f>VLOOKUP(A127,Enforcements!$C$7:$J$24,8,0)</f>
        <v>1692</v>
      </c>
      <c r="AC127" s="82" t="str">
        <f>VLOOKUP(A127,Enforcements!$C$7:$E$24,3,0)</f>
        <v>SIGNAL</v>
      </c>
      <c r="AD127" s="83" t="str">
        <f t="shared" si="29"/>
        <v>0217-22</v>
      </c>
      <c r="AE127" s="75" t="str">
        <f t="shared" si="30"/>
        <v>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 &amp; aws s3 cp s3://rtdc.mdm.uploadarchive/RTDC4016/2016-07-23/ "C:\Users\stu\Documents\Analysis\2016-02-23 RTDC Observations"\RTDC4016\2016-07-23 --recursive &amp; "C:\Users\stu\Documents\GitHub\mrs-test-scripts\Headless Mode &amp; Sideloading\WalkAndUnGZ.bat" "C:\Users\stu\Documents\Analysis\2016-02-23 RTDC Observations"\RTDC4016\2016-07-23</v>
      </c>
      <c r="AF127" s="75" t="str">
        <f t="shared" si="31"/>
        <v>"C:\Program Files (x86)\AstroGrep\AstroGrep.exe" /spath="C:\Users\stu\Documents\Analysis\2016-02-23 RTDC Observations" /stypes="*4016*20160723*" /stext=" 01:.+((prompt.+disp)|(slice.+state.+chan)|(ment ac)|(system.+state.+chan)|(\|lc)|(penalty)|(\[timeout))" /e /r /s</v>
      </c>
      <c r="AG127" s="1" t="str">
        <f t="shared" si="32"/>
        <v>EC</v>
      </c>
    </row>
    <row r="128" spans="1:33" s="25" customFormat="1" x14ac:dyDescent="0.25">
      <c r="A128" s="49" t="s">
        <v>589</v>
      </c>
      <c r="B128" s="7">
        <v>4015</v>
      </c>
      <c r="C128" s="26" t="s">
        <v>59</v>
      </c>
      <c r="D128" s="26" t="s">
        <v>590</v>
      </c>
      <c r="E128" s="16">
        <v>42573.796979166669</v>
      </c>
      <c r="F128" s="16">
        <v>42573.798368055555</v>
      </c>
      <c r="G128" s="7">
        <v>2</v>
      </c>
      <c r="H128" s="16" t="s">
        <v>258</v>
      </c>
      <c r="I128" s="16">
        <v>42573.82744212963</v>
      </c>
      <c r="J128" s="7">
        <v>0</v>
      </c>
      <c r="K128" s="26" t="str">
        <f t="shared" si="18"/>
        <v>4015/4016</v>
      </c>
      <c r="L128" s="26" t="str">
        <f>VLOOKUP(A128,'Trips&amp;Operators'!$C$1:$E$10000,3,FALSE)</f>
        <v>CHANDLER</v>
      </c>
      <c r="M128" s="6">
        <f t="shared" si="19"/>
        <v>2.9074074074742384E-2</v>
      </c>
      <c r="N128" s="7">
        <f t="shared" si="20"/>
        <v>41.866666667629033</v>
      </c>
      <c r="O128" s="7"/>
      <c r="P128" s="7"/>
      <c r="Q128" s="27"/>
      <c r="R128" s="27"/>
      <c r="S128" s="45">
        <f t="shared" si="21"/>
        <v>1</v>
      </c>
      <c r="T128" s="69" t="str">
        <f t="shared" si="22"/>
        <v>Southbound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18:07:39-0600',mode:absolute,to:'2016-07-22 20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8" s="74" t="str">
        <f t="shared" si="24"/>
        <v>N</v>
      </c>
      <c r="X128" s="92">
        <f t="shared" si="25"/>
        <v>1</v>
      </c>
      <c r="Y128" s="89">
        <f t="shared" si="26"/>
        <v>23.2988</v>
      </c>
      <c r="Z128" s="89">
        <f t="shared" si="27"/>
        <v>1.5800000000000002E-2</v>
      </c>
      <c r="AA128" s="89">
        <f t="shared" si="28"/>
        <v>23.283000000000001</v>
      </c>
      <c r="AB128" s="86" t="e">
        <f>VLOOKUP(A128,Enforcements!$C$7:$J$24,8,0)</f>
        <v>#N/A</v>
      </c>
      <c r="AC128" s="82" t="e">
        <f>VLOOKUP(A128,Enforcements!$C$7:$E$24,3,0)</f>
        <v>#N/A</v>
      </c>
      <c r="AD128" s="83" t="str">
        <f t="shared" si="29"/>
        <v>0218-22</v>
      </c>
      <c r="AE128" s="75" t="str">
        <f t="shared" si="30"/>
        <v>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 &amp; aws s3 cp s3://rtdc.mdm.uploadarchive/RTDC4015/2016-07-23/ "C:\Users\stu\Documents\Analysis\2016-02-23 RTDC Observations"\RTDC4015\2016-07-23 --recursive &amp; "C:\Users\stu\Documents\GitHub\mrs-test-scripts\Headless Mode &amp; Sideloading\WalkAndUnGZ.bat" "C:\Users\stu\Documents\Analysis\2016-02-23 RTDC Observations"\RTDC4015\2016-07-23</v>
      </c>
      <c r="AF128" s="75" t="str">
        <f t="shared" si="31"/>
        <v>"C:\Program Files (x86)\AstroGrep\AstroGrep.exe" /spath="C:\Users\stu\Documents\Analysis\2016-02-23 RTDC Observations" /stypes="*4015*20160723*" /stext=" 01:.+((prompt.+disp)|(slice.+state.+chan)|(ment ac)|(system.+state.+chan)|(\|lc)|(penalty)|(\[timeout))" /e /r /s</v>
      </c>
      <c r="AG128" s="1" t="str">
        <f t="shared" si="32"/>
        <v>EC</v>
      </c>
    </row>
    <row r="129" spans="1:33" s="25" customFormat="1" x14ac:dyDescent="0.25">
      <c r="A129" s="49" t="s">
        <v>591</v>
      </c>
      <c r="B129" s="7">
        <v>4042</v>
      </c>
      <c r="C129" s="26" t="s">
        <v>59</v>
      </c>
      <c r="D129" s="26" t="s">
        <v>458</v>
      </c>
      <c r="E129" s="16">
        <v>42573.770405092589</v>
      </c>
      <c r="F129" s="16">
        <v>42573.773101851853</v>
      </c>
      <c r="G129" s="7">
        <v>3</v>
      </c>
      <c r="H129" s="16" t="s">
        <v>495</v>
      </c>
      <c r="I129" s="16">
        <v>42573.79954861111</v>
      </c>
      <c r="J129" s="7">
        <v>1</v>
      </c>
      <c r="K129" s="26" t="str">
        <f t="shared" si="18"/>
        <v>4041/4042</v>
      </c>
      <c r="L129" s="26" t="str">
        <f>VLOOKUP(A129,'Trips&amp;Operators'!$C$1:$E$10000,3,FALSE)</f>
        <v>STURGEON</v>
      </c>
      <c r="M129" s="6">
        <f t="shared" si="19"/>
        <v>2.6446759256941732E-2</v>
      </c>
      <c r="N129" s="7">
        <f t="shared" si="20"/>
        <v>38.083333329996094</v>
      </c>
      <c r="O129" s="7"/>
      <c r="P129" s="7"/>
      <c r="Q129" s="27"/>
      <c r="R129" s="27"/>
      <c r="S129" s="45">
        <f t="shared" si="21"/>
        <v>1</v>
      </c>
      <c r="T129" s="69" t="str">
        <f t="shared" si="22"/>
        <v>NorthBound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17:29:23-0600',mode:absolute,to:'2016-07-22 20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9" s="74" t="str">
        <f t="shared" si="24"/>
        <v>N</v>
      </c>
      <c r="X129" s="92">
        <f t="shared" si="25"/>
        <v>1</v>
      </c>
      <c r="Y129" s="89">
        <f t="shared" si="26"/>
        <v>4.6600000000000003E-2</v>
      </c>
      <c r="Z129" s="89">
        <f t="shared" si="27"/>
        <v>23.328700000000001</v>
      </c>
      <c r="AA129" s="89">
        <f t="shared" si="28"/>
        <v>23.2821</v>
      </c>
      <c r="AB129" s="86" t="e">
        <f>VLOOKUP(A129,Enforcements!$C$7:$J$24,8,0)</f>
        <v>#N/A</v>
      </c>
      <c r="AC129" s="82" t="e">
        <f>VLOOKUP(A129,Enforcements!$C$7:$E$24,3,0)</f>
        <v>#N/A</v>
      </c>
      <c r="AD129" s="83" t="str">
        <f t="shared" si="29"/>
        <v>0219-22</v>
      </c>
      <c r="AE129" s="75" t="str">
        <f t="shared" si="30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129" s="75" t="str">
        <f t="shared" si="31"/>
        <v>"C:\Program Files (x86)\AstroGrep\AstroGrep.exe" /spath="C:\Users\stu\Documents\Analysis\2016-02-23 RTDC Observations" /stypes="*4042*20160723*" /stext=" 01:.+((prompt.+disp)|(slice.+state.+chan)|(ment ac)|(system.+state.+chan)|(\|lc)|(penalty)|(\[timeout))" /e /r /s</v>
      </c>
      <c r="AG129" s="1" t="str">
        <f t="shared" si="32"/>
        <v>EC</v>
      </c>
    </row>
    <row r="130" spans="1:33" s="25" customFormat="1" x14ac:dyDescent="0.25">
      <c r="A130" s="49" t="s">
        <v>592</v>
      </c>
      <c r="B130" s="7">
        <v>4041</v>
      </c>
      <c r="C130" s="26" t="s">
        <v>59</v>
      </c>
      <c r="D130" s="26" t="s">
        <v>345</v>
      </c>
      <c r="E130" s="16">
        <v>42573.804629629631</v>
      </c>
      <c r="F130" s="16">
        <v>42573.806134259263</v>
      </c>
      <c r="G130" s="7">
        <v>2</v>
      </c>
      <c r="H130" s="16" t="s">
        <v>174</v>
      </c>
      <c r="I130" s="16">
        <v>42573.835787037038</v>
      </c>
      <c r="J130" s="7">
        <v>1</v>
      </c>
      <c r="K130" s="26" t="str">
        <f t="shared" si="18"/>
        <v>4041/4042</v>
      </c>
      <c r="L130" s="26" t="str">
        <f>VLOOKUP(A130,'Trips&amp;Operators'!$C$1:$E$10000,3,FALSE)</f>
        <v>STURGEON</v>
      </c>
      <c r="M130" s="6">
        <f t="shared" si="19"/>
        <v>2.9652777775481809E-2</v>
      </c>
      <c r="N130" s="7">
        <f t="shared" si="20"/>
        <v>42.699999996693805</v>
      </c>
      <c r="O130" s="7"/>
      <c r="P130" s="7"/>
      <c r="Q130" s="27"/>
      <c r="R130" s="27"/>
      <c r="S130" s="45">
        <f t="shared" si="21"/>
        <v>1</v>
      </c>
      <c r="T130" s="69" t="str">
        <f t="shared" si="22"/>
        <v>Southbound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18:18:40-0600',mode:absolute,to:'2016-07-22 21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0" s="74" t="str">
        <f t="shared" si="24"/>
        <v>N</v>
      </c>
      <c r="X130" s="92">
        <f t="shared" si="25"/>
        <v>1</v>
      </c>
      <c r="Y130" s="89">
        <f t="shared" si="26"/>
        <v>23.297000000000001</v>
      </c>
      <c r="Z130" s="89">
        <f t="shared" si="27"/>
        <v>1.6299999999999999E-2</v>
      </c>
      <c r="AA130" s="89">
        <f t="shared" si="28"/>
        <v>23.2807</v>
      </c>
      <c r="AB130" s="86" t="e">
        <f>VLOOKUP(A130,Enforcements!$C$7:$J$24,8,0)</f>
        <v>#N/A</v>
      </c>
      <c r="AC130" s="82" t="e">
        <f>VLOOKUP(A130,Enforcements!$C$7:$E$24,3,0)</f>
        <v>#N/A</v>
      </c>
      <c r="AD130" s="83" t="str">
        <f t="shared" si="29"/>
        <v>0220-22</v>
      </c>
      <c r="AE130" s="75" t="str">
        <f t="shared" si="30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130" s="75" t="str">
        <f t="shared" si="31"/>
        <v>"C:\Program Files (x86)\AstroGrep\AstroGrep.exe" /spath="C:\Users\stu\Documents\Analysis\2016-02-23 RTDC Observations" /stypes="*4041*20160723*" /stext=" 02:.+((prompt.+disp)|(slice.+state.+chan)|(ment ac)|(system.+state.+chan)|(\|lc)|(penalty)|(\[timeout))" /e /r /s</v>
      </c>
      <c r="AG130" s="1" t="str">
        <f t="shared" si="32"/>
        <v>EC</v>
      </c>
    </row>
    <row r="131" spans="1:33" s="25" customFormat="1" x14ac:dyDescent="0.25">
      <c r="A131" s="49" t="s">
        <v>593</v>
      </c>
      <c r="B131" s="7">
        <v>4007</v>
      </c>
      <c r="C131" s="26" t="s">
        <v>59</v>
      </c>
      <c r="D131" s="26" t="s">
        <v>154</v>
      </c>
      <c r="E131" s="16">
        <v>42573.791585648149</v>
      </c>
      <c r="F131" s="16">
        <v>42573.792662037034</v>
      </c>
      <c r="G131" s="7">
        <v>1</v>
      </c>
      <c r="H131" s="16" t="s">
        <v>168</v>
      </c>
      <c r="I131" s="16">
        <v>42573.816828703704</v>
      </c>
      <c r="J131" s="7">
        <v>1</v>
      </c>
      <c r="K131" s="26" t="str">
        <f t="shared" si="18"/>
        <v>4007/4008</v>
      </c>
      <c r="L131" s="26" t="str">
        <f>VLOOKUP(A131,'Trips&amp;Operators'!$C$1:$E$10000,3,FALSE)</f>
        <v>LEVIN</v>
      </c>
      <c r="M131" s="6">
        <f t="shared" si="19"/>
        <v>2.4166666669771075E-2</v>
      </c>
      <c r="N131" s="7">
        <f t="shared" si="20"/>
        <v>34.800000004470348</v>
      </c>
      <c r="O131" s="7"/>
      <c r="P131" s="7"/>
      <c r="Q131" s="27"/>
      <c r="R131" s="27"/>
      <c r="S131" s="45">
        <f t="shared" si="21"/>
        <v>1</v>
      </c>
      <c r="T131" s="69" t="str">
        <f t="shared" si="22"/>
        <v>NorthBound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17:59:53-0600',mode:absolute,to:'2016-07-22 20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1" s="74" t="str">
        <f t="shared" si="24"/>
        <v>N</v>
      </c>
      <c r="X131" s="92">
        <f t="shared" si="25"/>
        <v>1</v>
      </c>
      <c r="Y131" s="89">
        <f t="shared" si="26"/>
        <v>4.6199999999999998E-2</v>
      </c>
      <c r="Z131" s="89">
        <f t="shared" si="27"/>
        <v>23.3293</v>
      </c>
      <c r="AA131" s="89">
        <f t="shared" si="28"/>
        <v>23.283100000000001</v>
      </c>
      <c r="AB131" s="86">
        <f>VLOOKUP(A131,Enforcements!$C$7:$J$24,8,0)</f>
        <v>107939</v>
      </c>
      <c r="AC131" s="82" t="str">
        <f>VLOOKUP(A131,Enforcements!$C$7:$E$24,3,0)</f>
        <v>SIGNAL</v>
      </c>
      <c r="AD131" s="83" t="str">
        <f t="shared" si="29"/>
        <v>0221-22</v>
      </c>
      <c r="AE131" s="75" t="str">
        <f t="shared" si="30"/>
        <v>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 &amp; aws s3 cp s3://rtdc.mdm.uploadarchive/RTDC4007/2016-07-23/ "C:\Users\stu\Documents\Analysis\2016-02-23 RTDC Observations"\RTDC4007\2016-07-23 --recursive &amp; "C:\Users\stu\Documents\GitHub\mrs-test-scripts\Headless Mode &amp; Sideloading\WalkAndUnGZ.bat" "C:\Users\stu\Documents\Analysis\2016-02-23 RTDC Observations"\RTDC4007\2016-07-23</v>
      </c>
      <c r="AF131" s="75" t="str">
        <f t="shared" si="31"/>
        <v>"C:\Program Files (x86)\AstroGrep\AstroGrep.exe" /spath="C:\Users\stu\Documents\Analysis\2016-02-23 RTDC Observations" /stypes="*4007*20160723*" /stext=" 01:.+((prompt.+disp)|(slice.+state.+chan)|(ment ac)|(system.+state.+chan)|(\|lc)|(penalty)|(\[timeout))" /e /r /s</v>
      </c>
      <c r="AG131" s="1" t="str">
        <f t="shared" si="32"/>
        <v>EC</v>
      </c>
    </row>
    <row r="132" spans="1:33" s="25" customFormat="1" x14ac:dyDescent="0.25">
      <c r="A132" s="49" t="s">
        <v>594</v>
      </c>
      <c r="B132" s="7">
        <v>4008</v>
      </c>
      <c r="C132" s="26" t="s">
        <v>59</v>
      </c>
      <c r="D132" s="26" t="s">
        <v>263</v>
      </c>
      <c r="E132" s="16">
        <v>42573.820949074077</v>
      </c>
      <c r="F132" s="16">
        <v>42573.821921296294</v>
      </c>
      <c r="G132" s="7">
        <v>1</v>
      </c>
      <c r="H132" s="16" t="s">
        <v>299</v>
      </c>
      <c r="I132" s="16">
        <v>42573.855902777781</v>
      </c>
      <c r="J132" s="7">
        <v>0</v>
      </c>
      <c r="K132" s="26" t="str">
        <f t="shared" si="18"/>
        <v>4007/4008</v>
      </c>
      <c r="L132" s="26" t="str">
        <f>VLOOKUP(A132,'Trips&amp;Operators'!$C$1:$E$10000,3,FALSE)</f>
        <v>LEVIN</v>
      </c>
      <c r="M132" s="6">
        <f t="shared" si="19"/>
        <v>3.3981481486989651E-2</v>
      </c>
      <c r="N132" s="7">
        <f t="shared" si="20"/>
        <v>48.933333341265097</v>
      </c>
      <c r="O132" s="7"/>
      <c r="P132" s="7"/>
      <c r="Q132" s="27"/>
      <c r="R132" s="27"/>
      <c r="S132" s="45">
        <f t="shared" si="21"/>
        <v>1</v>
      </c>
      <c r="T132" s="69" t="str">
        <f t="shared" si="22"/>
        <v>Southbound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18:42:10-0600',mode:absolute,to:'2016-07-22 21:32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2" s="74" t="str">
        <f t="shared" si="24"/>
        <v>N</v>
      </c>
      <c r="X132" s="92">
        <f t="shared" si="25"/>
        <v>1</v>
      </c>
      <c r="Y132" s="89">
        <f t="shared" si="26"/>
        <v>23.297799999999999</v>
      </c>
      <c r="Z132" s="89">
        <f t="shared" si="27"/>
        <v>1.47E-2</v>
      </c>
      <c r="AA132" s="89">
        <f t="shared" si="28"/>
        <v>23.283099999999997</v>
      </c>
      <c r="AB132" s="86" t="e">
        <f>VLOOKUP(A132,Enforcements!$C$7:$J$24,8,0)</f>
        <v>#N/A</v>
      </c>
      <c r="AC132" s="82" t="e">
        <f>VLOOKUP(A132,Enforcements!$C$7:$E$24,3,0)</f>
        <v>#N/A</v>
      </c>
      <c r="AD132" s="83" t="str">
        <f t="shared" si="29"/>
        <v>0222-22</v>
      </c>
      <c r="AE132" s="75" t="str">
        <f t="shared" si="30"/>
        <v>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 &amp; aws s3 cp s3://rtdc.mdm.uploadarchive/RTDC4008/2016-07-23/ "C:\Users\stu\Documents\Analysis\2016-02-23 RTDC Observations"\RTDC4008\2016-07-23 --recursive &amp; "C:\Users\stu\Documents\GitHub\mrs-test-scripts\Headless Mode &amp; Sideloading\WalkAndUnGZ.bat" "C:\Users\stu\Documents\Analysis\2016-02-23 RTDC Observations"\RTDC4008\2016-07-23</v>
      </c>
      <c r="AF132" s="75" t="str">
        <f t="shared" si="31"/>
        <v>"C:\Program Files (x86)\AstroGrep\AstroGrep.exe" /spath="C:\Users\stu\Documents\Analysis\2016-02-23 RTDC Observations" /stypes="*4008*20160723*" /stext=" 02:.+((prompt.+disp)|(slice.+state.+chan)|(ment ac)|(system.+state.+chan)|(\|lc)|(penalty)|(\[timeout))" /e /r /s</v>
      </c>
      <c r="AG132" s="1" t="str">
        <f t="shared" si="32"/>
        <v>EC</v>
      </c>
    </row>
    <row r="133" spans="1:33" s="25" customFormat="1" x14ac:dyDescent="0.25">
      <c r="A133" s="49" t="s">
        <v>595</v>
      </c>
      <c r="B133" s="7">
        <v>4038</v>
      </c>
      <c r="C133" s="26" t="s">
        <v>59</v>
      </c>
      <c r="D133" s="26" t="s">
        <v>66</v>
      </c>
      <c r="E133" s="16">
        <v>42573.809502314813</v>
      </c>
      <c r="F133" s="16">
        <v>42573.812731481485</v>
      </c>
      <c r="G133" s="7">
        <v>4</v>
      </c>
      <c r="H133" s="16" t="s">
        <v>241</v>
      </c>
      <c r="I133" s="16">
        <v>42573.837511574071</v>
      </c>
      <c r="J133" s="7">
        <v>0</v>
      </c>
      <c r="K133" s="26" t="str">
        <f t="shared" si="18"/>
        <v>4037/4038</v>
      </c>
      <c r="L133" s="26" t="str">
        <f>VLOOKUP(A133,'Trips&amp;Operators'!$C$1:$E$10000,3,FALSE)</f>
        <v>YANAI</v>
      </c>
      <c r="M133" s="6">
        <f t="shared" si="19"/>
        <v>2.4780092586297542E-2</v>
      </c>
      <c r="N133" s="7">
        <f t="shared" si="20"/>
        <v>35.68333332426846</v>
      </c>
      <c r="O133" s="7"/>
      <c r="P133" s="7"/>
      <c r="Q133" s="27"/>
      <c r="R133" s="27"/>
      <c r="S133" s="45">
        <f t="shared" si="21"/>
        <v>1</v>
      </c>
      <c r="T133" s="69" t="str">
        <f t="shared" si="22"/>
        <v>NorthBound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18:25:41-0600',mode:absolute,to:'2016-07-22 21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3" s="74" t="str">
        <f t="shared" si="24"/>
        <v>N</v>
      </c>
      <c r="X133" s="92">
        <f t="shared" si="25"/>
        <v>1</v>
      </c>
      <c r="Y133" s="89">
        <f t="shared" si="26"/>
        <v>4.5999999999999999E-2</v>
      </c>
      <c r="Z133" s="89">
        <f t="shared" si="27"/>
        <v>23.330200000000001</v>
      </c>
      <c r="AA133" s="89">
        <f t="shared" si="28"/>
        <v>23.284200000000002</v>
      </c>
      <c r="AB133" s="86" t="e">
        <f>VLOOKUP(A133,Enforcements!$C$7:$J$24,8,0)</f>
        <v>#N/A</v>
      </c>
      <c r="AC133" s="82" t="e">
        <f>VLOOKUP(A133,Enforcements!$C$7:$E$24,3,0)</f>
        <v>#N/A</v>
      </c>
      <c r="AD133" s="83" t="str">
        <f t="shared" si="29"/>
        <v>0223-22</v>
      </c>
      <c r="AE133" s="75" t="str">
        <f t="shared" si="30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133" s="75" t="str">
        <f t="shared" si="31"/>
        <v>"C:\Program Files (x86)\AstroGrep\AstroGrep.exe" /spath="C:\Users\stu\Documents\Analysis\2016-02-23 RTDC Observations" /stypes="*4038*20160723*" /stext=" 02:.+((prompt.+disp)|(slice.+state.+chan)|(ment ac)|(system.+state.+chan)|(\|lc)|(penalty)|(\[timeout))" /e /r /s</v>
      </c>
      <c r="AG133" s="1" t="str">
        <f t="shared" si="32"/>
        <v>EC</v>
      </c>
    </row>
    <row r="134" spans="1:33" s="25" customFormat="1" x14ac:dyDescent="0.25">
      <c r="A134" s="26" t="s">
        <v>596</v>
      </c>
      <c r="B134" s="109">
        <v>4037</v>
      </c>
      <c r="C134" s="110" t="s">
        <v>59</v>
      </c>
      <c r="D134" s="110" t="s">
        <v>295</v>
      </c>
      <c r="E134" s="111">
        <v>42573.848981481482</v>
      </c>
      <c r="F134" s="111">
        <v>42573.849976851852</v>
      </c>
      <c r="G134" s="109">
        <v>1</v>
      </c>
      <c r="H134" s="111" t="s">
        <v>299</v>
      </c>
      <c r="I134" s="111">
        <v>42573.877164351848</v>
      </c>
      <c r="J134" s="109">
        <v>0</v>
      </c>
      <c r="K134" s="26" t="str">
        <f t="shared" si="18"/>
        <v>4037/4038</v>
      </c>
      <c r="L134" s="26" t="str">
        <f>VLOOKUP(A134,'Trips&amp;Operators'!$C$1:$E$10000,3,FALSE)</f>
        <v>YANAI</v>
      </c>
      <c r="M134" s="6">
        <f t="shared" si="19"/>
        <v>2.7187499996216502E-2</v>
      </c>
      <c r="N134" s="7">
        <f t="shared" si="20"/>
        <v>39.149999994551763</v>
      </c>
      <c r="O134" s="7"/>
      <c r="P134" s="7"/>
      <c r="Q134" s="27"/>
      <c r="R134" s="27"/>
      <c r="S134" s="45">
        <f t="shared" si="21"/>
        <v>1</v>
      </c>
      <c r="T134" s="69" t="str">
        <f t="shared" si="22"/>
        <v>Southbound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19:22:32-0600',mode:absolute,to:'2016-07-22 22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4" s="74" t="str">
        <f t="shared" si="24"/>
        <v>N</v>
      </c>
      <c r="X134" s="92">
        <f t="shared" si="25"/>
        <v>1</v>
      </c>
      <c r="Y134" s="89">
        <f t="shared" si="26"/>
        <v>23.298100000000002</v>
      </c>
      <c r="Z134" s="89">
        <f t="shared" si="27"/>
        <v>1.47E-2</v>
      </c>
      <c r="AA134" s="89">
        <f t="shared" si="28"/>
        <v>23.2834</v>
      </c>
      <c r="AB134" s="86" t="e">
        <f>VLOOKUP(A134,Enforcements!$C$7:$J$24,8,0)</f>
        <v>#N/A</v>
      </c>
      <c r="AC134" s="82" t="e">
        <f>VLOOKUP(A134,Enforcements!$C$7:$E$24,3,0)</f>
        <v>#N/A</v>
      </c>
      <c r="AD134" s="83" t="str">
        <f t="shared" si="29"/>
        <v>0224-22</v>
      </c>
      <c r="AE134" s="75" t="str">
        <f t="shared" si="30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134" s="75" t="str">
        <f t="shared" si="31"/>
        <v>"C:\Program Files (x86)\AstroGrep\AstroGrep.exe" /spath="C:\Users\stu\Documents\Analysis\2016-02-23 RTDC Observations" /stypes="*4037*20160723*" /stext=" 03:.+((prompt.+disp)|(slice.+state.+chan)|(ment ac)|(system.+state.+chan)|(\|lc)|(penalty)|(\[timeout))" /e /r /s</v>
      </c>
      <c r="AG134" s="1" t="str">
        <f t="shared" si="32"/>
        <v>EC</v>
      </c>
    </row>
    <row r="135" spans="1:33" s="25" customFormat="1" x14ac:dyDescent="0.25">
      <c r="A135" s="26" t="s">
        <v>597</v>
      </c>
      <c r="B135" s="109">
        <v>4016</v>
      </c>
      <c r="C135" s="110" t="s">
        <v>59</v>
      </c>
      <c r="D135" s="110" t="s">
        <v>245</v>
      </c>
      <c r="E135" s="111">
        <v>42573.82980324074</v>
      </c>
      <c r="F135" s="111">
        <v>42573.831122685187</v>
      </c>
      <c r="G135" s="109">
        <v>1</v>
      </c>
      <c r="H135" s="111" t="s">
        <v>464</v>
      </c>
      <c r="I135" s="111">
        <v>42573.858194444445</v>
      </c>
      <c r="J135" s="109">
        <v>0</v>
      </c>
      <c r="K135" s="26" t="str">
        <f t="shared" si="18"/>
        <v>4015/4016</v>
      </c>
      <c r="L135" s="26" t="str">
        <f>VLOOKUP(A135,'Trips&amp;Operators'!$C$1:$E$10000,3,FALSE)</f>
        <v>CHANDLER</v>
      </c>
      <c r="M135" s="6">
        <f t="shared" si="19"/>
        <v>2.7071759257523809E-2</v>
      </c>
      <c r="N135" s="7">
        <f t="shared" si="20"/>
        <v>38.983333330834284</v>
      </c>
      <c r="O135" s="7"/>
      <c r="P135" s="7"/>
      <c r="Q135" s="27"/>
      <c r="R135" s="27"/>
      <c r="S135" s="45">
        <f t="shared" si="21"/>
        <v>1</v>
      </c>
      <c r="T135" s="69" t="str">
        <f t="shared" si="22"/>
        <v>NorthBound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18:54:55-0600',mode:absolute,to:'2016-07-22 21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5" s="74" t="str">
        <f t="shared" si="24"/>
        <v>N</v>
      </c>
      <c r="X135" s="92">
        <f t="shared" si="25"/>
        <v>1</v>
      </c>
      <c r="Y135" s="89">
        <f t="shared" si="26"/>
        <v>4.7100000000000003E-2</v>
      </c>
      <c r="Z135" s="89">
        <f t="shared" si="27"/>
        <v>23.329699999999999</v>
      </c>
      <c r="AA135" s="89">
        <f t="shared" si="28"/>
        <v>23.282599999999999</v>
      </c>
      <c r="AB135" s="86" t="e">
        <f>VLOOKUP(A135,Enforcements!$C$7:$J$24,8,0)</f>
        <v>#N/A</v>
      </c>
      <c r="AC135" s="82" t="e">
        <f>VLOOKUP(A135,Enforcements!$C$7:$E$24,3,0)</f>
        <v>#N/A</v>
      </c>
      <c r="AD135" s="83" t="str">
        <f t="shared" si="29"/>
        <v>0225-22</v>
      </c>
      <c r="AE135" s="75" t="str">
        <f t="shared" si="30"/>
        <v>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 &amp; aws s3 cp s3://rtdc.mdm.uploadarchive/RTDC4016/2016-07-23/ "C:\Users\stu\Documents\Analysis\2016-02-23 RTDC Observations"\RTDC4016\2016-07-23 --recursive &amp; "C:\Users\stu\Documents\GitHub\mrs-test-scripts\Headless Mode &amp; Sideloading\WalkAndUnGZ.bat" "C:\Users\stu\Documents\Analysis\2016-02-23 RTDC Observations"\RTDC4016\2016-07-23</v>
      </c>
      <c r="AF135" s="75" t="str">
        <f t="shared" si="31"/>
        <v>"C:\Program Files (x86)\AstroGrep\AstroGrep.exe" /spath="C:\Users\stu\Documents\Analysis\2016-02-23 RTDC Observations" /stypes="*4016*20160723*" /stext=" 02:.+((prompt.+disp)|(slice.+state.+chan)|(ment ac)|(system.+state.+chan)|(\|lc)|(penalty)|(\[timeout))" /e /r /s</v>
      </c>
      <c r="AG135" s="1" t="str">
        <f t="shared" si="32"/>
        <v>EC</v>
      </c>
    </row>
    <row r="136" spans="1:33" s="25" customFormat="1" x14ac:dyDescent="0.25">
      <c r="A136" s="26" t="s">
        <v>598</v>
      </c>
      <c r="B136" s="109">
        <v>4015</v>
      </c>
      <c r="C136" s="110" t="s">
        <v>59</v>
      </c>
      <c r="D136" s="110" t="s">
        <v>445</v>
      </c>
      <c r="E136" s="111">
        <v>42573.870787037034</v>
      </c>
      <c r="F136" s="111">
        <v>42573.871840277781</v>
      </c>
      <c r="G136" s="109">
        <v>1</v>
      </c>
      <c r="H136" s="111" t="s">
        <v>599</v>
      </c>
      <c r="I136" s="111">
        <v>42573.900266203702</v>
      </c>
      <c r="J136" s="109">
        <v>2</v>
      </c>
      <c r="K136" s="26" t="str">
        <f t="shared" si="18"/>
        <v>4015/4016</v>
      </c>
      <c r="L136" s="26" t="str">
        <f>VLOOKUP(A136,'Trips&amp;Operators'!$C$1:$E$10000,3,FALSE)</f>
        <v>CHANDLER</v>
      </c>
      <c r="M136" s="6">
        <f t="shared" si="19"/>
        <v>2.8425925920601003E-2</v>
      </c>
      <c r="N136" s="7">
        <f t="shared" si="20"/>
        <v>40.933333325665444</v>
      </c>
      <c r="O136" s="7"/>
      <c r="P136" s="7"/>
      <c r="Q136" s="27"/>
      <c r="R136" s="27"/>
      <c r="S136" s="45">
        <f t="shared" si="21"/>
        <v>1</v>
      </c>
      <c r="T136" s="69" t="str">
        <f t="shared" si="22"/>
        <v>Southbound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19:53:56-0600',mode:absolute,to:'2016-07-22 22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6" s="74" t="str">
        <f t="shared" si="24"/>
        <v>N</v>
      </c>
      <c r="X136" s="92">
        <f t="shared" si="25"/>
        <v>1</v>
      </c>
      <c r="Y136" s="89">
        <f t="shared" si="26"/>
        <v>23.296700000000001</v>
      </c>
      <c r="Z136" s="89">
        <f t="shared" si="27"/>
        <v>2.1100000000000001E-2</v>
      </c>
      <c r="AA136" s="89">
        <f t="shared" si="28"/>
        <v>23.275600000000001</v>
      </c>
      <c r="AB136" s="86">
        <f>VLOOKUP(A136,Enforcements!$C$7:$J$24,8,0)</f>
        <v>30562</v>
      </c>
      <c r="AC136" s="82" t="str">
        <f>VLOOKUP(A136,Enforcements!$C$7:$E$24,3,0)</f>
        <v>PERMANENT SPEED RESTRICTION</v>
      </c>
      <c r="AD136" s="83" t="str">
        <f t="shared" si="29"/>
        <v>0226-22</v>
      </c>
      <c r="AE136" s="75" t="str">
        <f t="shared" si="30"/>
        <v>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 &amp; aws s3 cp s3://rtdc.mdm.uploadarchive/RTDC4015/2016-07-23/ "C:\Users\stu\Documents\Analysis\2016-02-23 RTDC Observations"\RTDC4015\2016-07-23 --recursive &amp; "C:\Users\stu\Documents\GitHub\mrs-test-scripts\Headless Mode &amp; Sideloading\WalkAndUnGZ.bat" "C:\Users\stu\Documents\Analysis\2016-02-23 RTDC Observations"\RTDC4015\2016-07-23</v>
      </c>
      <c r="AF136" s="75" t="str">
        <f t="shared" si="31"/>
        <v>"C:\Program Files (x86)\AstroGrep\AstroGrep.exe" /spath="C:\Users\stu\Documents\Analysis\2016-02-23 RTDC Observations" /stypes="*4015*20160723*" /stext=" 03:.+((prompt.+disp)|(slice.+state.+chan)|(ment ac)|(system.+state.+chan)|(\|lc)|(penalty)|(\[timeout))" /e /r /s</v>
      </c>
      <c r="AG136" s="1" t="str">
        <f t="shared" si="32"/>
        <v>EC</v>
      </c>
    </row>
    <row r="137" spans="1:33" s="25" customFormat="1" x14ac:dyDescent="0.25">
      <c r="A137" s="26" t="s">
        <v>600</v>
      </c>
      <c r="B137" s="109">
        <v>4042</v>
      </c>
      <c r="C137" s="110" t="s">
        <v>59</v>
      </c>
      <c r="D137" s="110" t="s">
        <v>245</v>
      </c>
      <c r="E137" s="111">
        <v>42573.844988425924</v>
      </c>
      <c r="F137" s="111">
        <v>42573.846712962964</v>
      </c>
      <c r="G137" s="109">
        <v>2</v>
      </c>
      <c r="H137" s="111" t="s">
        <v>495</v>
      </c>
      <c r="I137" s="111">
        <v>42573.880868055552</v>
      </c>
      <c r="J137" s="109">
        <v>0</v>
      </c>
      <c r="K137" s="26" t="str">
        <f t="shared" si="18"/>
        <v>4041/4042</v>
      </c>
      <c r="L137" s="26" t="str">
        <f>VLOOKUP(A137,'Trips&amp;Operators'!$C$1:$E$10000,3,FALSE)</f>
        <v>STURGEON</v>
      </c>
      <c r="M137" s="6">
        <f t="shared" si="19"/>
        <v>3.4155092587752733E-2</v>
      </c>
      <c r="N137" s="7">
        <f t="shared" si="20"/>
        <v>49.183333326363936</v>
      </c>
      <c r="O137" s="7"/>
      <c r="P137" s="7"/>
      <c r="Q137" s="27"/>
      <c r="R137" s="27"/>
      <c r="S137" s="45">
        <f t="shared" si="21"/>
        <v>1</v>
      </c>
      <c r="T137" s="69" t="str">
        <f t="shared" si="22"/>
        <v>NorthBound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19:16:47-0600',mode:absolute,to:'2016-07-22 22:08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7" s="74" t="str">
        <f t="shared" si="24"/>
        <v>N</v>
      </c>
      <c r="X137" s="92">
        <f t="shared" si="25"/>
        <v>1</v>
      </c>
      <c r="Y137" s="89">
        <f t="shared" si="26"/>
        <v>4.7100000000000003E-2</v>
      </c>
      <c r="Z137" s="89">
        <f t="shared" si="27"/>
        <v>23.328700000000001</v>
      </c>
      <c r="AA137" s="89">
        <f t="shared" si="28"/>
        <v>23.281600000000001</v>
      </c>
      <c r="AB137" s="86" t="e">
        <f>VLOOKUP(A137,Enforcements!$C$7:$J$24,8,0)</f>
        <v>#N/A</v>
      </c>
      <c r="AC137" s="82" t="e">
        <f>VLOOKUP(A137,Enforcements!$C$7:$E$24,3,0)</f>
        <v>#N/A</v>
      </c>
      <c r="AD137" s="83" t="str">
        <f t="shared" si="29"/>
        <v>0227-22</v>
      </c>
      <c r="AE137" s="75" t="str">
        <f t="shared" si="30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137" s="75" t="str">
        <f t="shared" si="31"/>
        <v>"C:\Program Files (x86)\AstroGrep\AstroGrep.exe" /spath="C:\Users\stu\Documents\Analysis\2016-02-23 RTDC Observations" /stypes="*4042*20160723*" /stext=" 03:.+((prompt.+disp)|(slice.+state.+chan)|(ment ac)|(system.+state.+chan)|(\|lc)|(penalty)|(\[timeout))" /e /r /s</v>
      </c>
      <c r="AG137" s="1" t="str">
        <f t="shared" si="32"/>
        <v>EC</v>
      </c>
    </row>
    <row r="138" spans="1:33" s="25" customFormat="1" x14ac:dyDescent="0.25">
      <c r="A138" s="26" t="s">
        <v>601</v>
      </c>
      <c r="B138" s="109">
        <v>4041</v>
      </c>
      <c r="C138" s="110" t="s">
        <v>59</v>
      </c>
      <c r="D138" s="110" t="s">
        <v>511</v>
      </c>
      <c r="E138" s="111">
        <v>42573.882534722223</v>
      </c>
      <c r="F138" s="111">
        <v>42573.891585648147</v>
      </c>
      <c r="G138" s="109">
        <v>13</v>
      </c>
      <c r="H138" s="111" t="s">
        <v>280</v>
      </c>
      <c r="I138" s="111">
        <v>42573.920706018522</v>
      </c>
      <c r="J138" s="109">
        <v>0</v>
      </c>
      <c r="K138" s="26" t="str">
        <f t="shared" si="18"/>
        <v>4041/4042</v>
      </c>
      <c r="L138" s="26" t="str">
        <f>VLOOKUP(A138,'Trips&amp;Operators'!$C$1:$E$10000,3,FALSE)</f>
        <v>STURGEON</v>
      </c>
      <c r="M138" s="6">
        <f t="shared" si="19"/>
        <v>2.9120370374585036E-2</v>
      </c>
      <c r="N138" s="7">
        <f t="shared" si="20"/>
        <v>41.933333339402452</v>
      </c>
      <c r="O138" s="7"/>
      <c r="P138" s="7"/>
      <c r="Q138" s="27"/>
      <c r="R138" s="27"/>
      <c r="S138" s="45">
        <f t="shared" si="21"/>
        <v>1</v>
      </c>
      <c r="T138" s="69" t="str">
        <f t="shared" si="22"/>
        <v>Southbound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20:10:51-0600',mode:absolute,to:'2016-07-22 23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8" s="74" t="str">
        <f t="shared" si="24"/>
        <v>N</v>
      </c>
      <c r="X138" s="92">
        <f t="shared" si="25"/>
        <v>1</v>
      </c>
      <c r="Y138" s="89">
        <f t="shared" si="26"/>
        <v>23.2959</v>
      </c>
      <c r="Z138" s="89">
        <f t="shared" si="27"/>
        <v>1.7600000000000001E-2</v>
      </c>
      <c r="AA138" s="89">
        <f t="shared" si="28"/>
        <v>23.278299999999998</v>
      </c>
      <c r="AB138" s="86" t="e">
        <f>VLOOKUP(A138,Enforcements!$C$7:$J$24,8,0)</f>
        <v>#N/A</v>
      </c>
      <c r="AC138" s="82" t="e">
        <f>VLOOKUP(A138,Enforcements!$C$7:$E$24,3,0)</f>
        <v>#N/A</v>
      </c>
      <c r="AD138" s="83" t="str">
        <f t="shared" si="29"/>
        <v>0228-22</v>
      </c>
      <c r="AE138" s="75" t="str">
        <f t="shared" si="30"/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138" s="75" t="str">
        <f t="shared" si="31"/>
        <v>"C:\Program Files (x86)\AstroGrep\AstroGrep.exe" /spath="C:\Users\stu\Documents\Analysis\2016-02-23 RTDC Observations" /stypes="*4041*20160723*" /stext=" 04:.+((prompt.+disp)|(slice.+state.+chan)|(ment ac)|(system.+state.+chan)|(\|lc)|(penalty)|(\[timeout))" /e /r /s</v>
      </c>
      <c r="AG138" s="1" t="str">
        <f t="shared" si="32"/>
        <v>EC</v>
      </c>
    </row>
    <row r="139" spans="1:33" s="25" customFormat="1" x14ac:dyDescent="0.25">
      <c r="A139" s="26" t="s">
        <v>602</v>
      </c>
      <c r="B139" s="109">
        <v>4007</v>
      </c>
      <c r="C139" s="110" t="s">
        <v>59</v>
      </c>
      <c r="D139" s="110" t="s">
        <v>290</v>
      </c>
      <c r="E139" s="111">
        <v>42573.867430555554</v>
      </c>
      <c r="F139" s="111">
        <v>42573.868425925924</v>
      </c>
      <c r="G139" s="109">
        <v>1</v>
      </c>
      <c r="H139" s="111" t="s">
        <v>257</v>
      </c>
      <c r="I139" s="111">
        <v>42573.900925925926</v>
      </c>
      <c r="J139" s="109">
        <v>0</v>
      </c>
      <c r="K139" s="26" t="str">
        <f t="shared" si="18"/>
        <v>4007/4008</v>
      </c>
      <c r="L139" s="26" t="str">
        <f>VLOOKUP(A139,'Trips&amp;Operators'!$C$1:$E$10000,3,FALSE)</f>
        <v>LEVIN</v>
      </c>
      <c r="M139" s="6">
        <f t="shared" si="19"/>
        <v>3.2500000001164153E-2</v>
      </c>
      <c r="N139" s="7">
        <f t="shared" si="20"/>
        <v>46.800000001676381</v>
      </c>
      <c r="O139" s="7"/>
      <c r="P139" s="7"/>
      <c r="Q139" s="27"/>
      <c r="R139" s="27"/>
      <c r="S139" s="45">
        <f t="shared" si="21"/>
        <v>1</v>
      </c>
      <c r="T139" s="69" t="str">
        <f t="shared" si="22"/>
        <v>NorthBound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19:49:06-0600',mode:absolute,to:'2016-07-22 22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9" s="74" t="str">
        <f t="shared" si="24"/>
        <v>N</v>
      </c>
      <c r="X139" s="92">
        <f t="shared" si="25"/>
        <v>1</v>
      </c>
      <c r="Y139" s="89">
        <f t="shared" si="26"/>
        <v>4.8800000000000003E-2</v>
      </c>
      <c r="Z139" s="89">
        <f t="shared" si="27"/>
        <v>23.330100000000002</v>
      </c>
      <c r="AA139" s="89">
        <f t="shared" si="28"/>
        <v>23.281300000000002</v>
      </c>
      <c r="AB139" s="86" t="e">
        <f>VLOOKUP(A139,Enforcements!$C$7:$J$24,8,0)</f>
        <v>#N/A</v>
      </c>
      <c r="AC139" s="82" t="e">
        <f>VLOOKUP(A139,Enforcements!$C$7:$E$24,3,0)</f>
        <v>#N/A</v>
      </c>
      <c r="AD139" s="83" t="str">
        <f t="shared" si="29"/>
        <v>0229-22</v>
      </c>
      <c r="AE139" s="75" t="str">
        <f t="shared" si="30"/>
        <v>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 &amp; aws s3 cp s3://rtdc.mdm.uploadarchive/RTDC4007/2016-07-23/ "C:\Users\stu\Documents\Analysis\2016-02-23 RTDC Observations"\RTDC4007\2016-07-23 --recursive &amp; "C:\Users\stu\Documents\GitHub\mrs-test-scripts\Headless Mode &amp; Sideloading\WalkAndUnGZ.bat" "C:\Users\stu\Documents\Analysis\2016-02-23 RTDC Observations"\RTDC4007\2016-07-23</v>
      </c>
      <c r="AF139" s="75" t="str">
        <f t="shared" si="31"/>
        <v>"C:\Program Files (x86)\AstroGrep\AstroGrep.exe" /spath="C:\Users\stu\Documents\Analysis\2016-02-23 RTDC Observations" /stypes="*4007*20160723*" /stext=" 03:.+((prompt.+disp)|(slice.+state.+chan)|(ment ac)|(system.+state.+chan)|(\|lc)|(penalty)|(\[timeout))" /e /r /s</v>
      </c>
      <c r="AG139" s="1" t="str">
        <f t="shared" si="32"/>
        <v>EC</v>
      </c>
    </row>
    <row r="140" spans="1:33" s="25" customFormat="1" x14ac:dyDescent="0.25">
      <c r="A140" s="26" t="s">
        <v>603</v>
      </c>
      <c r="B140" s="109">
        <v>4008</v>
      </c>
      <c r="C140" s="110" t="s">
        <v>59</v>
      </c>
      <c r="D140" s="110" t="s">
        <v>67</v>
      </c>
      <c r="E140" s="111">
        <v>42573.90625</v>
      </c>
      <c r="F140" s="111">
        <v>42573.907037037039</v>
      </c>
      <c r="G140" s="109">
        <v>1</v>
      </c>
      <c r="H140" s="111" t="s">
        <v>115</v>
      </c>
      <c r="I140" s="111">
        <v>42573.939652777779</v>
      </c>
      <c r="J140" s="109">
        <v>0</v>
      </c>
      <c r="K140" s="26" t="str">
        <f t="shared" si="18"/>
        <v>4007/4008</v>
      </c>
      <c r="L140" s="26" t="str">
        <f>VLOOKUP(A140,'Trips&amp;Operators'!$C$1:$E$10000,3,FALSE)</f>
        <v>LEVIN</v>
      </c>
      <c r="M140" s="6">
        <f t="shared" si="19"/>
        <v>3.2615740739856847E-2</v>
      </c>
      <c r="N140" s="7">
        <f t="shared" si="20"/>
        <v>46.966666665393859</v>
      </c>
      <c r="O140" s="7"/>
      <c r="P140" s="7"/>
      <c r="Q140" s="27"/>
      <c r="R140" s="27"/>
      <c r="S140" s="45">
        <f t="shared" si="21"/>
        <v>1</v>
      </c>
      <c r="T140" s="69" t="str">
        <f t="shared" si="22"/>
        <v>Southbound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20:45:00-0600',mode:absolute,to:'2016-07-22 23:33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0" s="74" t="str">
        <f t="shared" si="24"/>
        <v>N</v>
      </c>
      <c r="X140" s="92">
        <f t="shared" si="25"/>
        <v>1</v>
      </c>
      <c r="Y140" s="89">
        <f t="shared" si="26"/>
        <v>23.297699999999999</v>
      </c>
      <c r="Z140" s="89">
        <f t="shared" si="27"/>
        <v>1.5599999999999999E-2</v>
      </c>
      <c r="AA140" s="89">
        <f t="shared" si="28"/>
        <v>23.2821</v>
      </c>
      <c r="AB140" s="86" t="e">
        <f>VLOOKUP(A140,Enforcements!$C$7:$J$24,8,0)</f>
        <v>#N/A</v>
      </c>
      <c r="AC140" s="82" t="e">
        <f>VLOOKUP(A140,Enforcements!$C$7:$E$24,3,0)</f>
        <v>#N/A</v>
      </c>
      <c r="AD140" s="83" t="str">
        <f t="shared" si="29"/>
        <v>0230-22</v>
      </c>
      <c r="AE140" s="75" t="str">
        <f t="shared" si="30"/>
        <v>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 &amp; aws s3 cp s3://rtdc.mdm.uploadarchive/RTDC4008/2016-07-23/ "C:\Users\stu\Documents\Analysis\2016-02-23 RTDC Observations"\RTDC4008\2016-07-23 --recursive &amp; "C:\Users\stu\Documents\GitHub\mrs-test-scripts\Headless Mode &amp; Sideloading\WalkAndUnGZ.bat" "C:\Users\stu\Documents\Analysis\2016-02-23 RTDC Observations"\RTDC4008\2016-07-23</v>
      </c>
      <c r="AF140" s="75" t="str">
        <f t="shared" si="31"/>
        <v>"C:\Program Files (x86)\AstroGrep\AstroGrep.exe" /spath="C:\Users\stu\Documents\Analysis\2016-02-23 RTDC Observations" /stypes="*4008*20160723*" /stext=" 04:.+((prompt.+disp)|(slice.+state.+chan)|(ment ac)|(system.+state.+chan)|(\|lc)|(penalty)|(\[timeout))" /e /r /s</v>
      </c>
      <c r="AG140" s="1" t="str">
        <f t="shared" si="32"/>
        <v>EC</v>
      </c>
    </row>
    <row r="141" spans="1:33" s="25" customFormat="1" x14ac:dyDescent="0.25">
      <c r="A141" s="26" t="s">
        <v>604</v>
      </c>
      <c r="B141" s="109">
        <v>4038</v>
      </c>
      <c r="C141" s="110" t="s">
        <v>59</v>
      </c>
      <c r="D141" s="110" t="s">
        <v>341</v>
      </c>
      <c r="E141" s="111">
        <v>42573.89340277778</v>
      </c>
      <c r="F141" s="111">
        <v>42573.894305555557</v>
      </c>
      <c r="G141" s="109">
        <v>1</v>
      </c>
      <c r="H141" s="111" t="s">
        <v>464</v>
      </c>
      <c r="I141" s="111">
        <v>42573.922106481485</v>
      </c>
      <c r="J141" s="109">
        <v>2</v>
      </c>
      <c r="K141" s="26" t="str">
        <f t="shared" si="18"/>
        <v>4037/4038</v>
      </c>
      <c r="L141" s="26" t="str">
        <f>VLOOKUP(A141,'Trips&amp;Operators'!$C$1:$E$10000,3,FALSE)</f>
        <v>YANAI</v>
      </c>
      <c r="M141" s="6">
        <f t="shared" si="19"/>
        <v>2.7800925927294884E-2</v>
      </c>
      <c r="N141" s="7">
        <f t="shared" si="20"/>
        <v>40.033333335304633</v>
      </c>
      <c r="O141" s="7"/>
      <c r="P141" s="7"/>
      <c r="Q141" s="27"/>
      <c r="R141" s="27"/>
      <c r="S141" s="45">
        <f t="shared" si="21"/>
        <v>1</v>
      </c>
      <c r="T141" s="69" t="str">
        <f t="shared" si="22"/>
        <v>NorthBound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20:26:30-0600',mode:absolute,to:'2016-07-22 23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1" s="74" t="str">
        <f t="shared" si="24"/>
        <v>N</v>
      </c>
      <c r="X141" s="92">
        <f t="shared" si="25"/>
        <v>1</v>
      </c>
      <c r="Y141" s="89">
        <f t="shared" si="26"/>
        <v>4.2700000000000002E-2</v>
      </c>
      <c r="Z141" s="89">
        <f t="shared" si="27"/>
        <v>23.329699999999999</v>
      </c>
      <c r="AA141" s="89">
        <f t="shared" si="28"/>
        <v>23.286999999999999</v>
      </c>
      <c r="AB141" s="86">
        <f>VLOOKUP(A141,Enforcements!$C$7:$J$24,8,0)</f>
        <v>75566</v>
      </c>
      <c r="AC141" s="82" t="str">
        <f>VLOOKUP(A141,Enforcements!$C$7:$E$24,3,0)</f>
        <v>SIGNAL</v>
      </c>
      <c r="AD141" s="83" t="str">
        <f t="shared" si="29"/>
        <v>0231-22</v>
      </c>
      <c r="AE141" s="75" t="str">
        <f t="shared" si="30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141" s="75" t="str">
        <f t="shared" si="31"/>
        <v>"C:\Program Files (x86)\AstroGrep\AstroGrep.exe" /spath="C:\Users\stu\Documents\Analysis\2016-02-23 RTDC Observations" /stypes="*4038*20160723*" /stext=" 04:.+((prompt.+disp)|(slice.+state.+chan)|(ment ac)|(system.+state.+chan)|(\|lc)|(penalty)|(\[timeout))" /e /r /s</v>
      </c>
      <c r="AG141" s="1" t="str">
        <f t="shared" si="32"/>
        <v>EC</v>
      </c>
    </row>
    <row r="142" spans="1:33" s="25" customFormat="1" x14ac:dyDescent="0.25">
      <c r="A142" s="26" t="s">
        <v>605</v>
      </c>
      <c r="B142" s="109">
        <v>4037</v>
      </c>
      <c r="C142" s="110" t="s">
        <v>59</v>
      </c>
      <c r="D142" s="110" t="s">
        <v>606</v>
      </c>
      <c r="E142" s="111">
        <v>42573.923391203702</v>
      </c>
      <c r="F142" s="111">
        <v>42573.92423611111</v>
      </c>
      <c r="G142" s="109">
        <v>1</v>
      </c>
      <c r="H142" s="111" t="s">
        <v>256</v>
      </c>
      <c r="I142" s="111">
        <v>42573.960428240738</v>
      </c>
      <c r="J142" s="109">
        <v>0</v>
      </c>
      <c r="K142" s="26" t="str">
        <f t="shared" si="18"/>
        <v>4037/4038</v>
      </c>
      <c r="L142" s="26" t="str">
        <f>VLOOKUP(A142,'Trips&amp;Operators'!$C$1:$E$10000,3,FALSE)</f>
        <v>YANAI</v>
      </c>
      <c r="M142" s="6">
        <f t="shared" si="19"/>
        <v>3.6192129628034309E-2</v>
      </c>
      <c r="N142" s="7">
        <f t="shared" si="20"/>
        <v>52.116666664369404</v>
      </c>
      <c r="O142" s="7"/>
      <c r="P142" s="7"/>
      <c r="Q142" s="27"/>
      <c r="R142" s="27"/>
      <c r="S142" s="45">
        <f t="shared" si="21"/>
        <v>1</v>
      </c>
      <c r="T142" s="69" t="str">
        <f t="shared" si="22"/>
        <v>Southbound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https://search-rtdc-monitor-bjffxe2xuh6vdkpspy63sjmuny.us-east-1.es.amazonaws.com/_plugin/kibana/#/discover/Steve-Slow-Train-Analysis-(2080s-and-2083s)?_g=(refreshInterval:(display:Off,section:0,value:0),time:(from:'2016-07-22 21:09:41-0600',mode:absolute,to:'2016-07-23 00:03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2" s="74" t="str">
        <f t="shared" si="24"/>
        <v>N</v>
      </c>
      <c r="X142" s="92">
        <f t="shared" si="25"/>
        <v>1</v>
      </c>
      <c r="Y142" s="89">
        <f t="shared" si="26"/>
        <v>23.296600000000002</v>
      </c>
      <c r="Z142" s="89">
        <f t="shared" si="27"/>
        <v>1.49E-2</v>
      </c>
      <c r="AA142" s="89">
        <f t="shared" si="28"/>
        <v>23.281700000000001</v>
      </c>
      <c r="AB142" s="86" t="e">
        <f>VLOOKUP(A142,Enforcements!$C$7:$J$24,8,0)</f>
        <v>#N/A</v>
      </c>
      <c r="AC142" s="82" t="e">
        <f>VLOOKUP(A142,Enforcements!$C$7:$E$24,3,0)</f>
        <v>#N/A</v>
      </c>
      <c r="AD142" s="83" t="str">
        <f t="shared" si="29"/>
        <v>0232-22</v>
      </c>
      <c r="AE142" s="75" t="str">
        <f t="shared" si="30"/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AF142" s="75" t="str">
        <f t="shared" si="31"/>
        <v>"C:\Program Files (x86)\AstroGrep\AstroGrep.exe" /spath="C:\Users\stu\Documents\Analysis\2016-02-23 RTDC Observations" /stypes="*4037*20160723*" /stext=" 05:.+((prompt.+disp)|(slice.+state.+chan)|(ment ac)|(system.+state.+chan)|(\|lc)|(penalty)|(\[timeout))" /e /r /s</v>
      </c>
      <c r="AG142" s="1" t="str">
        <f t="shared" si="32"/>
        <v>EC</v>
      </c>
    </row>
    <row r="143" spans="1:33" s="25" customFormat="1" x14ac:dyDescent="0.25">
      <c r="A143" s="26" t="s">
        <v>607</v>
      </c>
      <c r="B143" s="109">
        <v>4016</v>
      </c>
      <c r="C143" s="110" t="s">
        <v>59</v>
      </c>
      <c r="D143" s="110" t="s">
        <v>608</v>
      </c>
      <c r="E143" s="111">
        <v>42573.909317129626</v>
      </c>
      <c r="F143" s="111">
        <v>42573.910358796296</v>
      </c>
      <c r="G143" s="109">
        <v>1</v>
      </c>
      <c r="H143" s="111" t="s">
        <v>260</v>
      </c>
      <c r="I143" s="111">
        <v>42573.942812499998</v>
      </c>
      <c r="J143" s="109">
        <v>0</v>
      </c>
      <c r="K143" s="26" t="str">
        <f t="shared" ref="K143:K155" si="33">IF(ISEVEN(B143),(B143-1)&amp;"/"&amp;B143,B143&amp;"/"&amp;(B143+1))</f>
        <v>4015/4016</v>
      </c>
      <c r="L143" s="26" t="str">
        <f>VLOOKUP(A143,'Trips&amp;Operators'!$C$1:$E$10000,3,FALSE)</f>
        <v>CHANDLER</v>
      </c>
      <c r="M143" s="6">
        <f t="shared" ref="M143:M155" si="34">I143-F143</f>
        <v>3.2453703701321501E-2</v>
      </c>
      <c r="N143" s="7">
        <f t="shared" ref="N143:P155" si="35">24*60*SUM($M143:$M143)</f>
        <v>46.733333329902962</v>
      </c>
      <c r="O143" s="7"/>
      <c r="P143" s="7"/>
      <c r="Q143" s="27"/>
      <c r="R143" s="27"/>
      <c r="S143" s="45">
        <f t="shared" ref="S143:S155" si="36">SUM(U143:U143)/12</f>
        <v>1</v>
      </c>
      <c r="T143" s="69" t="str">
        <f t="shared" ref="T143:T155" si="37">IF(ISEVEN(LEFT(A143,3)),"Southbound","NorthBound")</f>
        <v>NorthBound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ref="V143:V155" si="38">"https://search-rtdc-monitor-bjffxe2xuh6vdkpspy63sjmuny.us-east-1.es.amazonaws.com/_plugin/kibana/#/discover/Steve-Slow-Train-Analysis-(2080s-and-2083s)?_g=(refreshInterval:(display:Off,section:0,value:0),time:(from:'"&amp;TEXT(E143-1/24,"yyyy-MM-DD hh:mm:ss")&amp;"-0600',mode:absolute,to:'"&amp;TEXT(I143+1/24,"yyyy-MM-DD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https://search-rtdc-monitor-bjffxe2xuh6vdkpspy63sjmuny.us-east-1.es.amazonaws.com/_plugin/kibana/#/discover/Steve-Slow-Train-Analysis-(2080s-and-2083s)?_g=(refreshInterval:(display:Off,section:0,value:0),time:(from:'2016-07-22 20:49:25-0600',mode:absolute,to:'2016-07-22 23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3" s="74" t="str">
        <f t="shared" ref="W143:W155" si="39">IF(AA143&lt;23,"Y","N")</f>
        <v>N</v>
      </c>
      <c r="X143" s="92">
        <f t="shared" ref="X143:X155" si="40">VALUE(LEFT(A143,3))-VALUE(LEFT(A142,3))</f>
        <v>1</v>
      </c>
      <c r="Y143" s="89">
        <f t="shared" ref="Y143:Y155" si="41">RIGHT(D143,LEN(D143)-4)/10000</f>
        <v>5.1700000000000003E-2</v>
      </c>
      <c r="Z143" s="89">
        <f t="shared" ref="Z143:Z155" si="42">RIGHT(H143,LEN(H143)-4)/10000</f>
        <v>23.331600000000002</v>
      </c>
      <c r="AA143" s="89">
        <f t="shared" ref="AA143:AA155" si="43">ABS(Z143-Y143)</f>
        <v>23.279900000000001</v>
      </c>
      <c r="AB143" s="86" t="e">
        <f>VLOOKUP(A143,Enforcements!$C$7:$J$24,8,0)</f>
        <v>#N/A</v>
      </c>
      <c r="AC143" s="82" t="e">
        <f>VLOOKUP(A143,Enforcements!$C$7:$E$24,3,0)</f>
        <v>#N/A</v>
      </c>
      <c r="AD143" s="83" t="str">
        <f t="shared" ref="AD143:AD155" si="44">IF(LEN(A143)=6,"0"&amp;A143,A143)</f>
        <v>0233-22</v>
      </c>
      <c r="AE143" s="75" t="str">
        <f t="shared" ref="AE143:AE155" si="45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 &amp; aws s3 cp s3://rtdc.mdm.uploadarchive/RTDC4016/2016-07-23/ "C:\Users\stu\Documents\Analysis\2016-02-23 RTDC Observations"\RTDC4016\2016-07-23 --recursive &amp; "C:\Users\stu\Documents\GitHub\mrs-test-scripts\Headless Mode &amp; Sideloading\WalkAndUnGZ.bat" "C:\Users\stu\Documents\Analysis\2016-02-23 RTDC Observations"\RTDC4016\2016-07-23</v>
      </c>
      <c r="AF143" s="75" t="str">
        <f t="shared" ref="AF143:AF155" si="46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/stypes="*4016*20160723*" /stext=" 04:.+((prompt.+disp)|(slice.+state.+chan)|(ment ac)|(system.+state.+chan)|(\|lc)|(penalty)|(\[timeout))" /e /r /s</v>
      </c>
      <c r="AG143" s="1" t="str">
        <f t="shared" ref="AG143:AG155" si="47">IF(VALUE(LEFT(AD143,4))&lt;300,"EC","NWGL")</f>
        <v>EC</v>
      </c>
    </row>
    <row r="144" spans="1:33" s="25" customFormat="1" x14ac:dyDescent="0.25">
      <c r="A144" s="26" t="s">
        <v>609</v>
      </c>
      <c r="B144" s="109">
        <v>4015</v>
      </c>
      <c r="C144" s="110" t="s">
        <v>59</v>
      </c>
      <c r="D144" s="110" t="s">
        <v>240</v>
      </c>
      <c r="E144" s="111">
        <v>42573.95039351852</v>
      </c>
      <c r="F144" s="111">
        <v>42573.952002314814</v>
      </c>
      <c r="G144" s="109">
        <v>2</v>
      </c>
      <c r="H144" s="111" t="s">
        <v>248</v>
      </c>
      <c r="I144" s="111">
        <v>42573.984826388885</v>
      </c>
      <c r="J144" s="109">
        <v>1</v>
      </c>
      <c r="K144" s="26" t="str">
        <f t="shared" si="33"/>
        <v>4015/4016</v>
      </c>
      <c r="L144" s="26" t="str">
        <f>VLOOKUP(A144,'Trips&amp;Operators'!$C$1:$E$10000,3,FALSE)</f>
        <v>CHANDLER</v>
      </c>
      <c r="M144" s="6">
        <f t="shared" si="34"/>
        <v>3.2824074070958886E-2</v>
      </c>
      <c r="N144" s="7">
        <f t="shared" si="35"/>
        <v>47.266666662180796</v>
      </c>
      <c r="O144" s="7"/>
      <c r="P144" s="7"/>
      <c r="Q144" s="27"/>
      <c r="R144" s="27"/>
      <c r="S144" s="45">
        <f t="shared" si="36"/>
        <v>1</v>
      </c>
      <c r="T144" s="69" t="str">
        <f t="shared" si="37"/>
        <v>Southbound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21:48:34-0600',mode:absolute,to:'2016-07-23 00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4" s="74" t="str">
        <f t="shared" si="39"/>
        <v>N</v>
      </c>
      <c r="X144" s="92">
        <f t="shared" si="40"/>
        <v>1</v>
      </c>
      <c r="Y144" s="89">
        <f t="shared" si="41"/>
        <v>23.297499999999999</v>
      </c>
      <c r="Z144" s="89">
        <f t="shared" si="42"/>
        <v>1.6500000000000001E-2</v>
      </c>
      <c r="AA144" s="89">
        <f t="shared" si="43"/>
        <v>23.280999999999999</v>
      </c>
      <c r="AB144" s="86" t="e">
        <f>VLOOKUP(A144,Enforcements!$C$7:$J$24,8,0)</f>
        <v>#N/A</v>
      </c>
      <c r="AC144" s="82" t="e">
        <f>VLOOKUP(A144,Enforcements!$C$7:$E$24,3,0)</f>
        <v>#N/A</v>
      </c>
      <c r="AD144" s="83" t="str">
        <f t="shared" si="44"/>
        <v>0234-22</v>
      </c>
      <c r="AE144" s="75" t="str">
        <f t="shared" si="45"/>
        <v>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 &amp; aws s3 cp s3://rtdc.mdm.uploadarchive/RTDC4015/2016-07-23/ "C:\Users\stu\Documents\Analysis\2016-02-23 RTDC Observations"\RTDC4015\2016-07-23 --recursive &amp; "C:\Users\stu\Documents\GitHub\mrs-test-scripts\Headless Mode &amp; Sideloading\WalkAndUnGZ.bat" "C:\Users\stu\Documents\Analysis\2016-02-23 RTDC Observations"\RTDC4015\2016-07-23</v>
      </c>
      <c r="AF144" s="75" t="str">
        <f t="shared" si="46"/>
        <v>"C:\Program Files (x86)\AstroGrep\AstroGrep.exe" /spath="C:\Users\stu\Documents\Analysis\2016-02-23 RTDC Observations" /stypes="*4015*20160723*" /stext=" 05:.+((prompt.+disp)|(slice.+state.+chan)|(ment ac)|(system.+state.+chan)|(\|lc)|(penalty)|(\[timeout))" /e /r /s</v>
      </c>
      <c r="AG144" s="1" t="str">
        <f t="shared" si="47"/>
        <v>EC</v>
      </c>
    </row>
    <row r="145" spans="1:33" x14ac:dyDescent="0.25">
      <c r="A145" s="26" t="s">
        <v>610</v>
      </c>
      <c r="B145" s="109">
        <v>4042</v>
      </c>
      <c r="C145" s="110" t="s">
        <v>59</v>
      </c>
      <c r="D145" s="110" t="s">
        <v>152</v>
      </c>
      <c r="E145" s="111">
        <v>42573.92596064815</v>
      </c>
      <c r="F145" s="111">
        <v>42573.93378472222</v>
      </c>
      <c r="G145" s="109">
        <v>11</v>
      </c>
      <c r="H145" s="111" t="s">
        <v>261</v>
      </c>
      <c r="I145" s="111">
        <v>42573.964722222219</v>
      </c>
      <c r="J145" s="109">
        <v>0</v>
      </c>
      <c r="K145" s="26" t="str">
        <f t="shared" si="33"/>
        <v>4041/4042</v>
      </c>
      <c r="L145" s="26" t="str">
        <f>VLOOKUP(A145,'Trips&amp;Operators'!$C$1:$E$10000,3,FALSE)</f>
        <v>STURGEON</v>
      </c>
      <c r="M145" s="6">
        <f t="shared" si="34"/>
        <v>3.0937499999708962E-2</v>
      </c>
      <c r="N145" s="7">
        <f t="shared" si="35"/>
        <v>44.549999999580905</v>
      </c>
      <c r="O145" s="7"/>
      <c r="P145" s="7"/>
      <c r="Q145" s="27"/>
      <c r="R145" s="27"/>
      <c r="S145" s="45">
        <f t="shared" si="36"/>
        <v>1</v>
      </c>
      <c r="T145" s="69" t="str">
        <f t="shared" si="37"/>
        <v>NorthBound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21:13:23-0600',mode:absolute,to:'2016-07-23 00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5" s="74" t="str">
        <f t="shared" si="39"/>
        <v>N</v>
      </c>
      <c r="X145" s="92">
        <f t="shared" si="40"/>
        <v>1</v>
      </c>
      <c r="Y145" s="89">
        <f t="shared" si="41"/>
        <v>4.6399999999999997E-2</v>
      </c>
      <c r="Z145" s="89">
        <f t="shared" si="42"/>
        <v>23.328800000000001</v>
      </c>
      <c r="AA145" s="89">
        <f t="shared" si="43"/>
        <v>23.282400000000003</v>
      </c>
      <c r="AB145" s="86" t="e">
        <f>VLOOKUP(A145,Enforcements!$C$7:$J$24,8,0)</f>
        <v>#N/A</v>
      </c>
      <c r="AC145" s="82" t="e">
        <f>VLOOKUP(A145,Enforcements!$C$7:$E$24,3,0)</f>
        <v>#N/A</v>
      </c>
      <c r="AD145" s="83" t="str">
        <f t="shared" si="44"/>
        <v>0235-22</v>
      </c>
      <c r="AE145" s="75" t="str">
        <f t="shared" si="45"/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AF145" s="75" t="str">
        <f t="shared" si="46"/>
        <v>"C:\Program Files (x86)\AstroGrep\AstroGrep.exe" /spath="C:\Users\stu\Documents\Analysis\2016-02-23 RTDC Observations" /stypes="*4042*20160723*" /stext=" 05:.+((prompt.+disp)|(slice.+state.+chan)|(ment ac)|(system.+state.+chan)|(\|lc)|(penalty)|(\[timeout))" /e /r /s</v>
      </c>
      <c r="AG145" s="1" t="str">
        <f t="shared" si="47"/>
        <v>EC</v>
      </c>
    </row>
    <row r="146" spans="1:33" s="25" customFormat="1" x14ac:dyDescent="0.25">
      <c r="A146" s="26" t="s">
        <v>638</v>
      </c>
      <c r="B146" s="109">
        <v>4041</v>
      </c>
      <c r="C146" s="110" t="s">
        <v>59</v>
      </c>
      <c r="D146" s="110" t="s">
        <v>152</v>
      </c>
      <c r="E146" s="111">
        <v>42573.92596064815</v>
      </c>
      <c r="F146" s="111">
        <v>42573.969282407408</v>
      </c>
      <c r="G146" s="109">
        <v>11</v>
      </c>
      <c r="H146" s="111" t="s">
        <v>261</v>
      </c>
      <c r="I146" s="111">
        <v>42573.995428240742</v>
      </c>
      <c r="J146" s="109">
        <v>0</v>
      </c>
      <c r="K146" s="26" t="str">
        <f t="shared" ref="K146" si="48">IF(ISEVEN(B146),(B146-1)&amp;"/"&amp;B146,B146&amp;"/"&amp;(B146+1))</f>
        <v>4041/4042</v>
      </c>
      <c r="L146" s="26" t="str">
        <f>VLOOKUP(A146,'Trips&amp;Operators'!$C$1:$E$10000,3,FALSE)</f>
        <v>STURGEON</v>
      </c>
      <c r="M146" s="6">
        <f t="shared" ref="M146" si="49">I146-F146</f>
        <v>2.6145833333430346E-2</v>
      </c>
      <c r="N146" s="7"/>
      <c r="O146" s="7"/>
      <c r="P146" s="7">
        <f t="shared" si="35"/>
        <v>37.650000000139698</v>
      </c>
      <c r="Q146" s="27"/>
      <c r="R146" s="27" t="s">
        <v>649</v>
      </c>
      <c r="S146" s="45">
        <f t="shared" ref="S146" si="50">SUM(U146:U146)/12</f>
        <v>0</v>
      </c>
      <c r="T146" s="69" t="str">
        <f t="shared" ref="T146" si="51">IF(ISEVEN(LEFT(A146,3)),"Southbound","NorthBound")</f>
        <v>Southbound</v>
      </c>
      <c r="U146" s="96">
        <f>COUNTIFS(Variables!$M$2:$M$19,IF(T146="NorthBound","&gt;=","&lt;=")&amp;Y146,Variables!$M$2:$M$19,IF(T146="NorthBound","&lt;=","&gt;=")&amp;Z146)</f>
        <v>0</v>
      </c>
      <c r="V146" s="74" t="str">
        <f t="shared" ref="V146" si="52">"https://search-rtdc-monitor-bjffxe2xuh6vdkpspy63sjmuny.us-east-1.es.amazonaws.com/_plugin/kibana/#/discover/Steve-Slow-Train-Analysis-(2080s-and-2083s)?_g=(refreshInterval:(display:Off,section:0,value:0),time:(from:'"&amp;TEXT(E146-1/24,"yyyy-MM-DD hh:mm:ss")&amp;"-0600',mode:absolute,to:'"&amp;TEXT(I146+1/24,"yyyy-MM-DD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https://search-rtdc-monitor-bjffxe2xuh6vdkpspy63sjmuny.us-east-1.es.amazonaws.com/_plugin/kibana/#/discover/Steve-Slow-Train-Analysis-(2080s-and-2083s)?_g=(refreshInterval:(display:Off,section:0,value:0),time:(from:'2016-07-22 21:13:23-0600',mode:absolute,to:'2016-07-23 00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6" s="74" t="str">
        <f t="shared" ref="W146" si="53">IF(AA146&lt;23,"Y","N")</f>
        <v>Y</v>
      </c>
      <c r="X146" s="92">
        <f t="shared" si="40"/>
        <v>1</v>
      </c>
      <c r="Y146" s="89">
        <v>23.3</v>
      </c>
      <c r="Z146" s="89">
        <v>23.2</v>
      </c>
      <c r="AA146" s="89">
        <f t="shared" ref="AA146" si="54">ABS(Z146-Y146)</f>
        <v>0.10000000000000142</v>
      </c>
      <c r="AB146" s="86" t="e">
        <f>VLOOKUP(A146,Enforcements!$C$7:$J$24,8,0)</f>
        <v>#N/A</v>
      </c>
      <c r="AC146" s="82" t="e">
        <f>VLOOKUP(A146,Enforcements!$C$7:$E$24,3,0)</f>
        <v>#N/A</v>
      </c>
      <c r="AD146" s="83" t="str">
        <f t="shared" ref="AD146" si="55">IF(LEN(A146)=6,"0"&amp;A146,A146)</f>
        <v>0236-22</v>
      </c>
      <c r="AE146" s="75" t="str">
        <f t="shared" ref="AE146" si="56">"aws s3 cp "&amp;s3_bucket&amp;"/RTDC"&amp;B146&amp;"/"&amp;TEXT(F146,"YYYY-MM-DD")&amp;"/ "&amp;search_path&amp;"\RTDC"&amp;B146&amp;"\"&amp;TEXT(F146,"YYYY-MM-DD")&amp;" --recursive &amp; """&amp;walkandungz&amp;""" "&amp;search_path&amp;"\RTDC"&amp;B146&amp;"\"&amp;TEXT(F146,"YYYY-MM-DD")
&amp;" &amp; "&amp;"aws s3 cp "&amp;s3_bucket&amp;"/RTDC"&amp;B146&amp;"/"&amp;TEXT(F146+1,"YYYY-MM-DD")&amp;"/ "&amp;search_path&amp;"\RTDC"&amp;B146&amp;"\"&amp;TEXT(F146+1,"YYYY-MM-DD")&amp;" --recursive &amp; """&amp;walkandungz&amp;""" "&amp;search_path&amp;"\RTDC"&amp;B146&amp;"\"&amp;TEXT(F146+1,"YYYY-MM-DD")</f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AF146" s="75" t="str">
        <f t="shared" ref="AF146" si="57">astrogrep_path&amp;" /spath="&amp;search_path&amp;" /stypes=""*"&amp;B146&amp;"*"&amp;TEXT(I146-utc_offset/24,"YYYYMMDD")&amp;"*"" /stext="" "&amp;TEXT(I146-utc_offset/24,"HH")&amp;search_regexp&amp;""" /e /r /s"</f>
        <v>"C:\Program Files (x86)\AstroGrep\AstroGrep.exe" /spath="C:\Users\stu\Documents\Analysis\2016-02-23 RTDC Observations" /stypes="*4041*20160723*" /stext=" 05:.+((prompt.+disp)|(slice.+state.+chan)|(ment ac)|(system.+state.+chan)|(\|lc)|(penalty)|(\[timeout))" /e /r /s</v>
      </c>
      <c r="AG146" s="1" t="str">
        <f t="shared" ref="AG146" si="58">IF(VALUE(LEFT(AD146,4))&lt;300,"EC","NWGL")</f>
        <v>EC</v>
      </c>
    </row>
    <row r="147" spans="1:33" x14ac:dyDescent="0.25">
      <c r="A147" s="26" t="s">
        <v>611</v>
      </c>
      <c r="B147" s="109">
        <v>4007</v>
      </c>
      <c r="C147" s="110" t="s">
        <v>59</v>
      </c>
      <c r="D147" s="110" t="s">
        <v>169</v>
      </c>
      <c r="E147" s="111">
        <v>42573.950844907406</v>
      </c>
      <c r="F147" s="111">
        <v>42573.952418981484</v>
      </c>
      <c r="G147" s="109">
        <v>2</v>
      </c>
      <c r="H147" s="111" t="s">
        <v>518</v>
      </c>
      <c r="I147" s="111">
        <v>42573.988981481481</v>
      </c>
      <c r="J147" s="109">
        <v>0</v>
      </c>
      <c r="K147" s="26" t="str">
        <f t="shared" si="33"/>
        <v>4007/4008</v>
      </c>
      <c r="L147" s="26" t="str">
        <f>VLOOKUP(A147,'Trips&amp;Operators'!$C$1:$E$10000,3,FALSE)</f>
        <v>LEVIN</v>
      </c>
      <c r="M147" s="6">
        <f t="shared" si="34"/>
        <v>3.6562499997671694E-2</v>
      </c>
      <c r="N147" s="7">
        <f t="shared" si="35"/>
        <v>52.649999996647239</v>
      </c>
      <c r="O147" s="7"/>
      <c r="P147" s="7"/>
      <c r="Q147" s="27"/>
      <c r="R147" s="27"/>
      <c r="S147" s="45">
        <f t="shared" si="36"/>
        <v>1</v>
      </c>
      <c r="T147" s="69" t="str">
        <f t="shared" si="37"/>
        <v>NorthBound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21:49:13-0600',mode:absolute,to:'2016-07-23 00:44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7" s="74" t="str">
        <f t="shared" si="39"/>
        <v>N</v>
      </c>
      <c r="X147" s="92">
        <f t="shared" si="40"/>
        <v>1</v>
      </c>
      <c r="Y147" s="89">
        <f t="shared" si="41"/>
        <v>4.4900000000000002E-2</v>
      </c>
      <c r="Z147" s="89">
        <f t="shared" si="42"/>
        <v>23.3276</v>
      </c>
      <c r="AA147" s="89">
        <f t="shared" si="43"/>
        <v>23.282700000000002</v>
      </c>
      <c r="AB147" s="86" t="e">
        <f>VLOOKUP(A147,Enforcements!$C$7:$J$24,8,0)</f>
        <v>#N/A</v>
      </c>
      <c r="AC147" s="82" t="e">
        <f>VLOOKUP(A147,Enforcements!$C$7:$E$24,3,0)</f>
        <v>#N/A</v>
      </c>
      <c r="AD147" s="83" t="str">
        <f t="shared" si="44"/>
        <v>0237-22</v>
      </c>
      <c r="AE147" s="75" t="str">
        <f t="shared" si="45"/>
        <v>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 &amp; aws s3 cp s3://rtdc.mdm.uploadarchive/RTDC4007/2016-07-23/ "C:\Users\stu\Documents\Analysis\2016-02-23 RTDC Observations"\RTDC4007\2016-07-23 --recursive &amp; "C:\Users\stu\Documents\GitHub\mrs-test-scripts\Headless Mode &amp; Sideloading\WalkAndUnGZ.bat" "C:\Users\stu\Documents\Analysis\2016-02-23 RTDC Observations"\RTDC4007\2016-07-23</v>
      </c>
      <c r="AF147" s="75" t="str">
        <f t="shared" si="46"/>
        <v>"C:\Program Files (x86)\AstroGrep\AstroGrep.exe" /spath="C:\Users\stu\Documents\Analysis\2016-02-23 RTDC Observations" /stypes="*4007*20160723*" /stext=" 05:.+((prompt.+disp)|(slice.+state.+chan)|(ment ac)|(system.+state.+chan)|(\|lc)|(penalty)|(\[timeout))" /e /r /s</v>
      </c>
      <c r="AG147" s="1" t="str">
        <f t="shared" si="47"/>
        <v>EC</v>
      </c>
    </row>
    <row r="148" spans="1:33" x14ac:dyDescent="0.25">
      <c r="A148" s="26" t="s">
        <v>612</v>
      </c>
      <c r="B148" s="109">
        <v>4008</v>
      </c>
      <c r="C148" s="110" t="s">
        <v>59</v>
      </c>
      <c r="D148" s="110" t="s">
        <v>243</v>
      </c>
      <c r="E148" s="111">
        <v>42573.995208333334</v>
      </c>
      <c r="F148" s="111">
        <v>42573.996053240742</v>
      </c>
      <c r="G148" s="109">
        <v>1</v>
      </c>
      <c r="H148" s="111" t="s">
        <v>61</v>
      </c>
      <c r="I148" s="111">
        <v>42574.025694444441</v>
      </c>
      <c r="J148" s="109">
        <v>0</v>
      </c>
      <c r="K148" s="26" t="str">
        <f t="shared" si="33"/>
        <v>4007/4008</v>
      </c>
      <c r="L148" s="26" t="str">
        <f>VLOOKUP(A148,'Trips&amp;Operators'!$C$1:$E$10000,3,FALSE)</f>
        <v>LEVIN</v>
      </c>
      <c r="M148" s="6">
        <f t="shared" si="34"/>
        <v>2.9641203698702157E-2</v>
      </c>
      <c r="N148" s="7">
        <f t="shared" si="35"/>
        <v>42.683333326131105</v>
      </c>
      <c r="O148" s="7"/>
      <c r="P148" s="7"/>
      <c r="Q148" s="27"/>
      <c r="R148" s="27"/>
      <c r="S148" s="45">
        <f t="shared" si="36"/>
        <v>1</v>
      </c>
      <c r="T148" s="69" t="str">
        <f t="shared" si="37"/>
        <v>Southbound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22:53:06-0600',mode:absolute,to:'2016-07-23 01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8" s="74" t="str">
        <f t="shared" si="39"/>
        <v>N</v>
      </c>
      <c r="X148" s="92">
        <f t="shared" si="40"/>
        <v>1</v>
      </c>
      <c r="Y148" s="89">
        <f t="shared" si="41"/>
        <v>23.296900000000001</v>
      </c>
      <c r="Z148" s="89">
        <f t="shared" si="42"/>
        <v>1.52E-2</v>
      </c>
      <c r="AA148" s="89">
        <f t="shared" si="43"/>
        <v>23.281700000000001</v>
      </c>
      <c r="AB148" s="86" t="e">
        <f>VLOOKUP(A148,Enforcements!$C$7:$J$24,8,0)</f>
        <v>#N/A</v>
      </c>
      <c r="AC148" s="82" t="e">
        <f>VLOOKUP(A148,Enforcements!$C$7:$E$24,3,0)</f>
        <v>#N/A</v>
      </c>
      <c r="AD148" s="83" t="str">
        <f t="shared" si="44"/>
        <v>0238-22</v>
      </c>
      <c r="AE148" s="75" t="str">
        <f t="shared" si="45"/>
        <v>aws s3 cp s3://rtdc.mdm.uploadarchive/RTDC4008/2016-07-22/ "C:\Users\stu\Documents\Analysis\2016-02-23 RTDC Observations"\RTDC4008\2016-07-22 --recursive &amp; "C:\Users\stu\Documents\GitHub\mrs-test-scripts\Headless Mode &amp; Sideloading\WalkAndUnGZ.bat" "C:\Users\stu\Documents\Analysis\2016-02-23 RTDC Observations"\RTDC4008\2016-07-22 &amp; aws s3 cp s3://rtdc.mdm.uploadarchive/RTDC4008/2016-07-23/ "C:\Users\stu\Documents\Analysis\2016-02-23 RTDC Observations"\RTDC4008\2016-07-23 --recursive &amp; "C:\Users\stu\Documents\GitHub\mrs-test-scripts\Headless Mode &amp; Sideloading\WalkAndUnGZ.bat" "C:\Users\stu\Documents\Analysis\2016-02-23 RTDC Observations"\RTDC4008\2016-07-23</v>
      </c>
      <c r="AF148" s="75" t="str">
        <f t="shared" si="46"/>
        <v>"C:\Program Files (x86)\AstroGrep\AstroGrep.exe" /spath="C:\Users\stu\Documents\Analysis\2016-02-23 RTDC Observations" /stypes="*4008*20160723*" /stext=" 06:.+((prompt.+disp)|(slice.+state.+chan)|(ment ac)|(system.+state.+chan)|(\|lc)|(penalty)|(\[timeout))" /e /r /s</v>
      </c>
      <c r="AG148" s="1" t="str">
        <f t="shared" si="47"/>
        <v>EC</v>
      </c>
    </row>
    <row r="149" spans="1:33" x14ac:dyDescent="0.25">
      <c r="A149" s="26" t="s">
        <v>613</v>
      </c>
      <c r="B149" s="109">
        <v>4038</v>
      </c>
      <c r="C149" s="110" t="s">
        <v>59</v>
      </c>
      <c r="D149" s="110" t="s">
        <v>251</v>
      </c>
      <c r="E149" s="111">
        <v>42573.976122685184</v>
      </c>
      <c r="F149" s="111">
        <v>42573.977152777778</v>
      </c>
      <c r="G149" s="109">
        <v>1</v>
      </c>
      <c r="H149" s="111" t="s">
        <v>261</v>
      </c>
      <c r="I149" s="111">
        <v>42574.007060185184</v>
      </c>
      <c r="J149" s="109">
        <v>0</v>
      </c>
      <c r="K149" s="26" t="str">
        <f t="shared" si="33"/>
        <v>4037/4038</v>
      </c>
      <c r="L149" s="26" t="str">
        <f>VLOOKUP(A149,'Trips&amp;Operators'!$C$1:$E$10000,3,FALSE)</f>
        <v>YANAI</v>
      </c>
      <c r="M149" s="6">
        <f t="shared" si="34"/>
        <v>2.9907407406426501E-2</v>
      </c>
      <c r="N149" s="7">
        <f t="shared" si="35"/>
        <v>43.066666665254161</v>
      </c>
      <c r="O149" s="7"/>
      <c r="P149" s="7"/>
      <c r="Q149" s="27"/>
      <c r="R149" s="27"/>
      <c r="S149" s="45">
        <f t="shared" si="36"/>
        <v>1</v>
      </c>
      <c r="T149" s="69" t="str">
        <f t="shared" si="37"/>
        <v>NorthBound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22:25:37-0600',mode:absolute,to:'2016-07-23 01:10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9" s="74" t="str">
        <f t="shared" si="39"/>
        <v>N</v>
      </c>
      <c r="X149" s="92">
        <f t="shared" si="40"/>
        <v>1</v>
      </c>
      <c r="Y149" s="89">
        <f t="shared" si="41"/>
        <v>4.7500000000000001E-2</v>
      </c>
      <c r="Z149" s="89">
        <f t="shared" si="42"/>
        <v>23.328800000000001</v>
      </c>
      <c r="AA149" s="89">
        <f t="shared" si="43"/>
        <v>23.281300000000002</v>
      </c>
      <c r="AB149" s="86" t="e">
        <f>VLOOKUP(A149,Enforcements!$C$7:$J$24,8,0)</f>
        <v>#N/A</v>
      </c>
      <c r="AC149" s="82" t="e">
        <f>VLOOKUP(A149,Enforcements!$C$7:$E$24,3,0)</f>
        <v>#N/A</v>
      </c>
      <c r="AD149" s="83" t="str">
        <f t="shared" si="44"/>
        <v>0239-22</v>
      </c>
      <c r="AE149" s="75" t="str">
        <f t="shared" si="45"/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AF149" s="75" t="str">
        <f t="shared" si="46"/>
        <v>"C:\Program Files (x86)\AstroGrep\AstroGrep.exe" /spath="C:\Users\stu\Documents\Analysis\2016-02-23 RTDC Observations" /stypes="*4038*20160723*" /stext=" 06:.+((prompt.+disp)|(slice.+state.+chan)|(ment ac)|(system.+state.+chan)|(\|lc)|(penalty)|(\[timeout))" /e /r /s</v>
      </c>
      <c r="AG149" s="1" t="str">
        <f t="shared" si="47"/>
        <v>EC</v>
      </c>
    </row>
    <row r="150" spans="1:33" x14ac:dyDescent="0.25">
      <c r="A150" s="26" t="s">
        <v>614</v>
      </c>
      <c r="B150" s="109">
        <v>4037</v>
      </c>
      <c r="C150" s="110" t="s">
        <v>59</v>
      </c>
      <c r="D150" s="110" t="s">
        <v>243</v>
      </c>
      <c r="E150" s="111">
        <v>42574.011643518519</v>
      </c>
      <c r="F150" s="111">
        <v>42574.015914351854</v>
      </c>
      <c r="G150" s="109">
        <v>6</v>
      </c>
      <c r="H150" s="111" t="s">
        <v>124</v>
      </c>
      <c r="I150" s="111">
        <v>42574.043368055558</v>
      </c>
      <c r="J150" s="109">
        <v>0</v>
      </c>
      <c r="K150" s="26" t="str">
        <f t="shared" si="33"/>
        <v>4037/4038</v>
      </c>
      <c r="L150" s="26" t="str">
        <f>VLOOKUP(A150,'Trips&amp;Operators'!$C$1:$E$10000,3,FALSE)</f>
        <v>YANAI</v>
      </c>
      <c r="M150" s="6">
        <f t="shared" si="34"/>
        <v>2.7453703703940846E-2</v>
      </c>
      <c r="N150" s="7">
        <f t="shared" si="35"/>
        <v>39.533333333674818</v>
      </c>
      <c r="O150" s="7"/>
      <c r="P150" s="7"/>
      <c r="Q150" s="27"/>
      <c r="R150" s="27"/>
      <c r="S150" s="45">
        <f t="shared" si="36"/>
        <v>1</v>
      </c>
      <c r="T150" s="69" t="str">
        <f t="shared" si="37"/>
        <v>Southbound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23:16:46-0600',mode:absolute,to:'2016-07-23 02:02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0" s="74" t="str">
        <f t="shared" si="39"/>
        <v>N</v>
      </c>
      <c r="X150" s="92">
        <f t="shared" si="40"/>
        <v>1</v>
      </c>
      <c r="Y150" s="89">
        <f t="shared" si="41"/>
        <v>23.296900000000001</v>
      </c>
      <c r="Z150" s="89">
        <f t="shared" si="42"/>
        <v>1.61E-2</v>
      </c>
      <c r="AA150" s="89">
        <f t="shared" si="43"/>
        <v>23.280799999999999</v>
      </c>
      <c r="AB150" s="86" t="e">
        <f>VLOOKUP(A150,Enforcements!$C$7:$J$24,8,0)</f>
        <v>#N/A</v>
      </c>
      <c r="AC150" s="82" t="e">
        <f>VLOOKUP(A150,Enforcements!$C$7:$E$24,3,0)</f>
        <v>#N/A</v>
      </c>
      <c r="AD150" s="83" t="str">
        <f t="shared" si="44"/>
        <v>0240-22</v>
      </c>
      <c r="AE150" s="75" t="str">
        <f t="shared" si="45"/>
        <v>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 &amp; aws s3 cp s3://rtdc.mdm.uploadarchive/RTDC4037/2016-07-24/ "C:\Users\stu\Documents\Analysis\2016-02-23 RTDC Observations"\RTDC4037\2016-07-24 --recursive &amp; "C:\Users\stu\Documents\GitHub\mrs-test-scripts\Headless Mode &amp; Sideloading\WalkAndUnGZ.bat" "C:\Users\stu\Documents\Analysis\2016-02-23 RTDC Observations"\RTDC4037\2016-07-24</v>
      </c>
      <c r="AF150" s="75" t="str">
        <f t="shared" si="46"/>
        <v>"C:\Program Files (x86)\AstroGrep\AstroGrep.exe" /spath="C:\Users\stu\Documents\Analysis\2016-02-23 RTDC Observations" /stypes="*4037*20160723*" /stext=" 07:.+((prompt.+disp)|(slice.+state.+chan)|(ment ac)|(system.+state.+chan)|(\|lc)|(penalty)|(\[timeout))" /e /r /s</v>
      </c>
      <c r="AG150" s="1" t="str">
        <f t="shared" si="47"/>
        <v>EC</v>
      </c>
    </row>
    <row r="151" spans="1:33" x14ac:dyDescent="0.25">
      <c r="A151" s="26" t="s">
        <v>615</v>
      </c>
      <c r="B151" s="109">
        <v>4016</v>
      </c>
      <c r="C151" s="110" t="s">
        <v>59</v>
      </c>
      <c r="D151" s="110" t="s">
        <v>482</v>
      </c>
      <c r="E151" s="111">
        <v>42573.99664351852</v>
      </c>
      <c r="F151" s="111">
        <v>42573.997997685183</v>
      </c>
      <c r="G151" s="109">
        <v>1</v>
      </c>
      <c r="H151" s="111" t="s">
        <v>148</v>
      </c>
      <c r="I151" s="111">
        <v>42574.025729166664</v>
      </c>
      <c r="J151" s="109">
        <v>0</v>
      </c>
      <c r="K151" s="26" t="str">
        <f t="shared" si="33"/>
        <v>4015/4016</v>
      </c>
      <c r="L151" s="26" t="str">
        <f>VLOOKUP(A151,'Trips&amp;Operators'!$C$1:$E$10000,3,FALSE)</f>
        <v>CHANDLER</v>
      </c>
      <c r="M151" s="6">
        <f t="shared" si="34"/>
        <v>2.7731481481168885E-2</v>
      </c>
      <c r="N151" s="7">
        <f t="shared" si="35"/>
        <v>39.933333332883194</v>
      </c>
      <c r="O151" s="7"/>
      <c r="P151" s="7"/>
      <c r="Q151" s="27"/>
      <c r="R151" s="27"/>
      <c r="S151" s="45">
        <f t="shared" si="36"/>
        <v>1</v>
      </c>
      <c r="T151" s="69" t="str">
        <f t="shared" si="37"/>
        <v>NorthBound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22:55:10-0600',mode:absolute,to:'2016-07-23 01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1" s="74" t="str">
        <f t="shared" si="39"/>
        <v>N</v>
      </c>
      <c r="X151" s="92">
        <f t="shared" si="40"/>
        <v>1</v>
      </c>
      <c r="Y151" s="89">
        <f t="shared" si="41"/>
        <v>4.6899999999999997E-2</v>
      </c>
      <c r="Z151" s="89">
        <f t="shared" si="42"/>
        <v>23.329899999999999</v>
      </c>
      <c r="AA151" s="89">
        <f t="shared" si="43"/>
        <v>23.282999999999998</v>
      </c>
      <c r="AB151" s="86" t="e">
        <f>VLOOKUP(A151,Enforcements!$C$7:$J$24,8,0)</f>
        <v>#N/A</v>
      </c>
      <c r="AC151" s="82" t="e">
        <f>VLOOKUP(A151,Enforcements!$C$7:$E$24,3,0)</f>
        <v>#N/A</v>
      </c>
      <c r="AD151" s="83" t="str">
        <f t="shared" si="44"/>
        <v>0241-22</v>
      </c>
      <c r="AE151" s="75" t="str">
        <f t="shared" si="45"/>
        <v>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 &amp; aws s3 cp s3://rtdc.mdm.uploadarchive/RTDC4016/2016-07-23/ "C:\Users\stu\Documents\Analysis\2016-02-23 RTDC Observations"\RTDC4016\2016-07-23 --recursive &amp; "C:\Users\stu\Documents\GitHub\mrs-test-scripts\Headless Mode &amp; Sideloading\WalkAndUnGZ.bat" "C:\Users\stu\Documents\Analysis\2016-02-23 RTDC Observations"\RTDC4016\2016-07-23</v>
      </c>
      <c r="AF151" s="75" t="str">
        <f t="shared" si="46"/>
        <v>"C:\Program Files (x86)\AstroGrep\AstroGrep.exe" /spath="C:\Users\stu\Documents\Analysis\2016-02-23 RTDC Observations" /stypes="*4016*20160723*" /stext=" 06:.+((prompt.+disp)|(slice.+state.+chan)|(ment ac)|(system.+state.+chan)|(\|lc)|(penalty)|(\[timeout))" /e /r /s</v>
      </c>
      <c r="AG151" s="1" t="str">
        <f t="shared" si="47"/>
        <v>EC</v>
      </c>
    </row>
    <row r="152" spans="1:33" x14ac:dyDescent="0.25">
      <c r="A152" s="26" t="s">
        <v>616</v>
      </c>
      <c r="B152" s="109">
        <v>4015</v>
      </c>
      <c r="C152" s="110" t="s">
        <v>59</v>
      </c>
      <c r="D152" s="110" t="s">
        <v>263</v>
      </c>
      <c r="E152" s="111">
        <v>42574.035856481481</v>
      </c>
      <c r="F152" s="111">
        <v>42574.037094907406</v>
      </c>
      <c r="G152" s="109">
        <v>1</v>
      </c>
      <c r="H152" s="111" t="s">
        <v>280</v>
      </c>
      <c r="I152" s="111">
        <v>42574.065138888887</v>
      </c>
      <c r="J152" s="109">
        <v>0</v>
      </c>
      <c r="K152" s="26" t="str">
        <f t="shared" si="33"/>
        <v>4015/4016</v>
      </c>
      <c r="L152" s="26" t="str">
        <f>VLOOKUP(A152,'Trips&amp;Operators'!$C$1:$E$10000,3,FALSE)</f>
        <v>CHANDLER</v>
      </c>
      <c r="M152" s="6">
        <f t="shared" si="34"/>
        <v>2.8043981481459923E-2</v>
      </c>
      <c r="N152" s="7">
        <f t="shared" si="35"/>
        <v>40.383333333302289</v>
      </c>
      <c r="O152" s="7"/>
      <c r="P152" s="7"/>
      <c r="Q152" s="27"/>
      <c r="R152" s="27"/>
      <c r="S152" s="45">
        <f t="shared" si="36"/>
        <v>1</v>
      </c>
      <c r="T152" s="69" t="str">
        <f t="shared" si="37"/>
        <v>Southbound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23:51:38-0600',mode:absolute,to:'2016-07-23 02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2" s="74" t="str">
        <f t="shared" si="39"/>
        <v>N</v>
      </c>
      <c r="X152" s="92">
        <f t="shared" si="40"/>
        <v>1</v>
      </c>
      <c r="Y152" s="89">
        <f t="shared" si="41"/>
        <v>23.297799999999999</v>
      </c>
      <c r="Z152" s="89">
        <f t="shared" si="42"/>
        <v>1.7600000000000001E-2</v>
      </c>
      <c r="AA152" s="89">
        <f t="shared" si="43"/>
        <v>23.280199999999997</v>
      </c>
      <c r="AB152" s="86" t="e">
        <f>VLOOKUP(A152,Enforcements!$C$7:$J$24,8,0)</f>
        <v>#N/A</v>
      </c>
      <c r="AC152" s="82" t="e">
        <f>VLOOKUP(A152,Enforcements!$C$7:$E$24,3,0)</f>
        <v>#N/A</v>
      </c>
      <c r="AD152" s="83" t="str">
        <f t="shared" si="44"/>
        <v>0242-22</v>
      </c>
      <c r="AE152" s="75" t="str">
        <f t="shared" si="45"/>
        <v>aws s3 cp s3://rtdc.mdm.uploadarchive/RTDC4015/2016-07-23/ "C:\Users\stu\Documents\Analysis\2016-02-23 RTDC Observations"\RTDC4015\2016-07-23 --recursive &amp; "C:\Users\stu\Documents\GitHub\mrs-test-scripts\Headless Mode &amp; Sideloading\WalkAndUnGZ.bat" "C:\Users\stu\Documents\Analysis\2016-02-23 RTDC Observations"\RTDC4015\2016-07-23 &amp; aws s3 cp s3://rtdc.mdm.uploadarchive/RTDC4015/2016-07-24/ "C:\Users\stu\Documents\Analysis\2016-02-23 RTDC Observations"\RTDC4015\2016-07-24 --recursive &amp; "C:\Users\stu\Documents\GitHub\mrs-test-scripts\Headless Mode &amp; Sideloading\WalkAndUnGZ.bat" "C:\Users\stu\Documents\Analysis\2016-02-23 RTDC Observations"\RTDC4015\2016-07-24</v>
      </c>
      <c r="AF152" s="75" t="str">
        <f t="shared" si="46"/>
        <v>"C:\Program Files (x86)\AstroGrep\AstroGrep.exe" /spath="C:\Users\stu\Documents\Analysis\2016-02-23 RTDC Observations" /stypes="*4015*20160723*" /stext=" 07:.+((prompt.+disp)|(slice.+state.+chan)|(ment ac)|(system.+state.+chan)|(\|lc)|(penalty)|(\[timeout))" /e /r /s</v>
      </c>
      <c r="AG152" s="1" t="str">
        <f t="shared" si="47"/>
        <v>EC</v>
      </c>
    </row>
    <row r="153" spans="1:33" x14ac:dyDescent="0.25">
      <c r="A153" s="26" t="s">
        <v>617</v>
      </c>
      <c r="B153" s="109">
        <v>4042</v>
      </c>
      <c r="C153" s="110" t="s">
        <v>59</v>
      </c>
      <c r="D153" s="110" t="s">
        <v>312</v>
      </c>
      <c r="E153" s="111">
        <v>42574.015115740738</v>
      </c>
      <c r="F153" s="111">
        <v>42574.016458333332</v>
      </c>
      <c r="G153" s="109">
        <v>1</v>
      </c>
      <c r="H153" s="111" t="s">
        <v>618</v>
      </c>
      <c r="I153" s="111">
        <v>42574.047152777777</v>
      </c>
      <c r="J153" s="109">
        <v>0</v>
      </c>
      <c r="K153" s="26" t="str">
        <f t="shared" si="33"/>
        <v>4041/4042</v>
      </c>
      <c r="L153" s="26" t="str">
        <f>VLOOKUP(A153,'Trips&amp;Operators'!$C$1:$E$10000,3,FALSE)</f>
        <v>STURGEON</v>
      </c>
      <c r="M153" s="6">
        <f t="shared" si="34"/>
        <v>3.0694444445543922E-2</v>
      </c>
      <c r="N153" s="7">
        <f t="shared" si="35"/>
        <v>44.200000001583248</v>
      </c>
      <c r="O153" s="7"/>
      <c r="P153" s="7"/>
      <c r="Q153" s="27"/>
      <c r="R153" s="27"/>
      <c r="S153" s="45">
        <f t="shared" si="36"/>
        <v>1</v>
      </c>
      <c r="T153" s="69" t="str">
        <f t="shared" si="37"/>
        <v>NorthBound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23:21:46-0600',mode:absolute,to:'2016-07-23 02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3" s="74" t="str">
        <f t="shared" si="39"/>
        <v>N</v>
      </c>
      <c r="X153" s="92">
        <f t="shared" si="40"/>
        <v>1</v>
      </c>
      <c r="Y153" s="89">
        <f t="shared" si="41"/>
        <v>4.8000000000000001E-2</v>
      </c>
      <c r="Z153" s="89">
        <f t="shared" si="42"/>
        <v>23.320900000000002</v>
      </c>
      <c r="AA153" s="89">
        <f t="shared" si="43"/>
        <v>23.272900000000003</v>
      </c>
      <c r="AB153" s="86" t="e">
        <f>VLOOKUP(A153,Enforcements!$C$7:$J$24,8,0)</f>
        <v>#N/A</v>
      </c>
      <c r="AC153" s="82" t="e">
        <f>VLOOKUP(A153,Enforcements!$C$7:$E$24,3,0)</f>
        <v>#N/A</v>
      </c>
      <c r="AD153" s="83" t="str">
        <f t="shared" si="44"/>
        <v>0243-22</v>
      </c>
      <c r="AE153" s="75" t="str">
        <f t="shared" si="45"/>
        <v>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 &amp; aws s3 cp s3://rtdc.mdm.uploadarchive/RTDC4042/2016-07-24/ "C:\Users\stu\Documents\Analysis\2016-02-23 RTDC Observations"\RTDC4042\2016-07-24 --recursive &amp; "C:\Users\stu\Documents\GitHub\mrs-test-scripts\Headless Mode &amp; Sideloading\WalkAndUnGZ.bat" "C:\Users\stu\Documents\Analysis\2016-02-23 RTDC Observations"\RTDC4042\2016-07-24</v>
      </c>
      <c r="AF153" s="75" t="str">
        <f t="shared" si="46"/>
        <v>"C:\Program Files (x86)\AstroGrep\AstroGrep.exe" /spath="C:\Users\stu\Documents\Analysis\2016-02-23 RTDC Observations" /stypes="*4042*20160723*" /stext=" 07:.+((prompt.+disp)|(slice.+state.+chan)|(ment ac)|(system.+state.+chan)|(\|lc)|(penalty)|(\[timeout))" /e /r /s</v>
      </c>
      <c r="AG153" s="1" t="str">
        <f t="shared" si="47"/>
        <v>EC</v>
      </c>
    </row>
    <row r="154" spans="1:33" x14ac:dyDescent="0.25">
      <c r="A154" s="26" t="s">
        <v>619</v>
      </c>
      <c r="B154" s="109">
        <v>4007</v>
      </c>
      <c r="C154" s="110" t="s">
        <v>59</v>
      </c>
      <c r="D154" s="110" t="s">
        <v>620</v>
      </c>
      <c r="E154" s="111">
        <v>42574.034050925926</v>
      </c>
      <c r="F154" s="111">
        <v>42574.03502314815</v>
      </c>
      <c r="G154" s="109">
        <v>1</v>
      </c>
      <c r="H154" s="111" t="s">
        <v>352</v>
      </c>
      <c r="I154" s="111">
        <v>42574.067824074074</v>
      </c>
      <c r="J154" s="109">
        <v>0</v>
      </c>
      <c r="K154" s="26" t="str">
        <f t="shared" si="33"/>
        <v>4007/4008</v>
      </c>
      <c r="L154" s="26" t="str">
        <f>VLOOKUP(A154,'Trips&amp;Operators'!$C$1:$E$10000,3,FALSE)</f>
        <v>LEVIN</v>
      </c>
      <c r="M154" s="6">
        <f t="shared" si="34"/>
        <v>3.2800925924675539E-2</v>
      </c>
      <c r="N154" s="7">
        <f t="shared" si="35"/>
        <v>47.233333331532776</v>
      </c>
      <c r="O154" s="7"/>
      <c r="P154" s="7"/>
      <c r="Q154" s="27"/>
      <c r="R154" s="27"/>
      <c r="S154" s="45">
        <f t="shared" si="36"/>
        <v>1</v>
      </c>
      <c r="T154" s="69" t="str">
        <f t="shared" si="37"/>
        <v>NorthBound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https://search-rtdc-monitor-bjffxe2xuh6vdkpspy63sjmuny.us-east-1.es.amazonaws.com/_plugin/kibana/#/discover/Steve-Slow-Train-Analysis-(2080s-and-2083s)?_g=(refreshInterval:(display:Off,section:0,value:0),time:(from:'2016-07-22 23:49:02-0600',mode:absolute,to:'2016-07-23 02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4" s="74" t="str">
        <f t="shared" si="39"/>
        <v>N</v>
      </c>
      <c r="X154" s="92">
        <f t="shared" si="40"/>
        <v>2</v>
      </c>
      <c r="Y154" s="89">
        <f t="shared" si="41"/>
        <v>4.3099999999999999E-2</v>
      </c>
      <c r="Z154" s="89">
        <f t="shared" si="42"/>
        <v>23.3264</v>
      </c>
      <c r="AA154" s="89">
        <f t="shared" si="43"/>
        <v>23.283300000000001</v>
      </c>
      <c r="AB154" s="86" t="e">
        <f>VLOOKUP(A154,Enforcements!$C$7:$J$24,8,0)</f>
        <v>#N/A</v>
      </c>
      <c r="AC154" s="82" t="e">
        <f>VLOOKUP(A154,Enforcements!$C$7:$E$24,3,0)</f>
        <v>#N/A</v>
      </c>
      <c r="AD154" s="83" t="str">
        <f t="shared" si="44"/>
        <v>0245-22</v>
      </c>
      <c r="AE154" s="75" t="str">
        <f t="shared" si="45"/>
        <v>aws s3 cp s3://rtdc.mdm.uploadarchive/RTDC4007/2016-07-23/ "C:\Users\stu\Documents\Analysis\2016-02-23 RTDC Observations"\RTDC4007\2016-07-23 --recursive &amp; "C:\Users\stu\Documents\GitHub\mrs-test-scripts\Headless Mode &amp; Sideloading\WalkAndUnGZ.bat" "C:\Users\stu\Documents\Analysis\2016-02-23 RTDC Observations"\RTDC4007\2016-07-23 &amp; aws s3 cp s3://rtdc.mdm.uploadarchive/RTDC4007/2016-07-24/ "C:\Users\stu\Documents\Analysis\2016-02-23 RTDC Observations"\RTDC4007\2016-07-24 --recursive &amp; "C:\Users\stu\Documents\GitHub\mrs-test-scripts\Headless Mode &amp; Sideloading\WalkAndUnGZ.bat" "C:\Users\stu\Documents\Analysis\2016-02-23 RTDC Observations"\RTDC4007\2016-07-24</v>
      </c>
      <c r="AF154" s="75" t="str">
        <f t="shared" si="46"/>
        <v>"C:\Program Files (x86)\AstroGrep\AstroGrep.exe" /spath="C:\Users\stu\Documents\Analysis\2016-02-23 RTDC Observations" /stypes="*4007*20160723*" /stext=" 07:.+((prompt.+disp)|(slice.+state.+chan)|(ment ac)|(system.+state.+chan)|(\|lc)|(penalty)|(\[timeout))" /e /r /s</v>
      </c>
      <c r="AG154" s="1" t="str">
        <f t="shared" si="47"/>
        <v>EC</v>
      </c>
    </row>
    <row r="155" spans="1:33" x14ac:dyDescent="0.25">
      <c r="A155" s="26" t="s">
        <v>621</v>
      </c>
      <c r="B155" s="109">
        <v>4008</v>
      </c>
      <c r="C155" s="110" t="s">
        <v>59</v>
      </c>
      <c r="D155" s="110" t="s">
        <v>240</v>
      </c>
      <c r="E155" s="111">
        <v>42574.07607638889</v>
      </c>
      <c r="F155" s="111">
        <v>42574.076851851853</v>
      </c>
      <c r="G155" s="109">
        <v>1</v>
      </c>
      <c r="H155" s="111" t="s">
        <v>115</v>
      </c>
      <c r="I155" s="111">
        <v>42574.105995370373</v>
      </c>
      <c r="J155" s="109">
        <v>0</v>
      </c>
      <c r="K155" s="26" t="str">
        <f t="shared" si="33"/>
        <v>4007/4008</v>
      </c>
      <c r="L155" s="26" t="str">
        <f>VLOOKUP(A155,'Trips&amp;Operators'!$C$1:$E$10000,3,FALSE)</f>
        <v>LEVIN</v>
      </c>
      <c r="M155" s="6">
        <f t="shared" si="34"/>
        <v>2.9143518520868383E-2</v>
      </c>
      <c r="N155" s="7">
        <f t="shared" si="35"/>
        <v>41.966666670050472</v>
      </c>
      <c r="O155" s="7"/>
      <c r="P155" s="7"/>
      <c r="Q155" s="27"/>
      <c r="R155" s="27"/>
      <c r="S155" s="45">
        <f t="shared" si="36"/>
        <v>1</v>
      </c>
      <c r="T155" s="69" t="str">
        <f t="shared" si="37"/>
        <v>Southbound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https://search-rtdc-monitor-bjffxe2xuh6vdkpspy63sjmuny.us-east-1.es.amazonaws.com/_plugin/kibana/#/discover/Steve-Slow-Train-Analysis-(2080s-and-2083s)?_g=(refreshInterval:(display:Off,section:0,value:0),time:(from:'2016-07-23 00:49:33-0600',mode:absolute,to:'2016-07-23 03:32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5" s="74" t="str">
        <f t="shared" si="39"/>
        <v>N</v>
      </c>
      <c r="X155" s="92">
        <f t="shared" si="40"/>
        <v>1</v>
      </c>
      <c r="Y155" s="89">
        <f t="shared" si="41"/>
        <v>23.297499999999999</v>
      </c>
      <c r="Z155" s="89">
        <f t="shared" si="42"/>
        <v>1.5599999999999999E-2</v>
      </c>
      <c r="AA155" s="89">
        <f t="shared" si="43"/>
        <v>23.2819</v>
      </c>
      <c r="AB155" s="86" t="e">
        <f>VLOOKUP(A155,Enforcements!$C$7:$J$24,8,0)</f>
        <v>#N/A</v>
      </c>
      <c r="AC155" s="82" t="e">
        <f>VLOOKUP(A155,Enforcements!$C$7:$E$24,3,0)</f>
        <v>#N/A</v>
      </c>
      <c r="AD155" s="83" t="str">
        <f t="shared" si="44"/>
        <v>0246-22</v>
      </c>
      <c r="AE155" s="75" t="str">
        <f t="shared" si="45"/>
        <v>aws s3 cp s3://rtdc.mdm.uploadarchive/RTDC4008/2016-07-23/ "C:\Users\stu\Documents\Analysis\2016-02-23 RTDC Observations"\RTDC4008\2016-07-23 --recursive &amp; "C:\Users\stu\Documents\GitHub\mrs-test-scripts\Headless Mode &amp; Sideloading\WalkAndUnGZ.bat" "C:\Users\stu\Documents\Analysis\2016-02-23 RTDC Observations"\RTDC4008\2016-07-23 &amp; aws s3 cp s3://rtdc.mdm.uploadarchive/RTDC4008/2016-07-24/ "C:\Users\stu\Documents\Analysis\2016-02-23 RTDC Observations"\RTDC4008\2016-07-24 --recursive &amp; "C:\Users\stu\Documents\GitHub\mrs-test-scripts\Headless Mode &amp; Sideloading\WalkAndUnGZ.bat" "C:\Users\stu\Documents\Analysis\2016-02-23 RTDC Observations"\RTDC4008\2016-07-24</v>
      </c>
      <c r="AF155" s="75" t="str">
        <f t="shared" si="46"/>
        <v>"C:\Program Files (x86)\AstroGrep\AstroGrep.exe" /spath="C:\Users\stu\Documents\Analysis\2016-02-23 RTDC Observations" /stypes="*4008*20160723*" /stext=" 08:.+((prompt.+disp)|(slice.+state.+chan)|(ment ac)|(system.+state.+chan)|(\|lc)|(penalty)|(\[timeout))" /e /r /s</v>
      </c>
      <c r="AG155" s="1" t="str">
        <f t="shared" si="47"/>
        <v>EC</v>
      </c>
    </row>
  </sheetData>
  <autoFilter ref="A12:AG155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0" priority="76" operator="equal">
      <formula>"Y"</formula>
    </cfRule>
  </conditionalFormatting>
  <conditionalFormatting sqref="X13:X1048576">
    <cfRule type="cellIs" dxfId="9" priority="59" operator="greaterThan">
      <formula>1</formula>
    </cfRule>
  </conditionalFormatting>
  <conditionalFormatting sqref="X12:X1048576">
    <cfRule type="cellIs" dxfId="8" priority="56" operator="equal">
      <formula>0</formula>
    </cfRule>
  </conditionalFormatting>
  <conditionalFormatting sqref="A13:S155">
    <cfRule type="expression" dxfId="7" priority="52">
      <formula>$O13&gt;0</formula>
    </cfRule>
  </conditionalFormatting>
  <conditionalFormatting sqref="A13:S155">
    <cfRule type="expression" dxfId="6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5"/>
  <sheetViews>
    <sheetView zoomScale="85" zoomScaleNormal="85" workbookViewId="0">
      <selection activeCell="M17" sqref="M17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17.710937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101</v>
      </c>
      <c r="L2" s="98"/>
      <c r="M2" s="100">
        <f>COUNTIF($M$7:$M$557,"=Y")</f>
        <v>1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102</v>
      </c>
      <c r="L3" s="99"/>
      <c r="M3" s="101">
        <f>COUNTA($M$7:$M$557)-M2</f>
        <v>48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12" t="str">
        <f>"Eagle P3 Braking Events - "&amp;TEXT(Variables!$A$2,"YYYY-mm-dd")</f>
        <v>Eagle P3 Braking Events - 2016-07-24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138</v>
      </c>
      <c r="Q6" s="105" t="s">
        <v>68</v>
      </c>
      <c r="R6" s="106" t="s">
        <v>137</v>
      </c>
      <c r="S6" s="103" t="s">
        <v>131</v>
      </c>
      <c r="T6" s="107" t="s">
        <v>132</v>
      </c>
      <c r="U6" s="69" t="s">
        <v>147</v>
      </c>
      <c r="V6" s="69" t="s">
        <v>157</v>
      </c>
    </row>
    <row r="7" spans="1:22" s="1" customFormat="1" x14ac:dyDescent="0.25">
      <c r="A7" s="48">
        <v>42573.450173611112</v>
      </c>
      <c r="B7" s="65" t="s">
        <v>125</v>
      </c>
      <c r="C7" s="41" t="s">
        <v>490</v>
      </c>
      <c r="D7" s="41" t="s">
        <v>158</v>
      </c>
      <c r="E7" s="65" t="s">
        <v>365</v>
      </c>
      <c r="F7" s="66">
        <v>790</v>
      </c>
      <c r="G7" s="66">
        <v>841</v>
      </c>
      <c r="H7" s="66">
        <v>72745</v>
      </c>
      <c r="I7" s="65" t="s">
        <v>58</v>
      </c>
      <c r="J7" s="66">
        <v>103864</v>
      </c>
      <c r="K7" s="41" t="s">
        <v>54</v>
      </c>
      <c r="L7" s="93" t="str">
        <f>VLOOKUP(C7,'Trips&amp;Operators'!$C$1:$E$9999,3,0)</f>
        <v>MALAVE</v>
      </c>
      <c r="M7" s="9" t="s">
        <v>100</v>
      </c>
      <c r="N7" s="10" t="s">
        <v>252</v>
      </c>
      <c r="O7" s="41"/>
      <c r="P7" s="72" t="str">
        <f>VLOOKUP(C7,'Train Runs'!$A$13:$AE$803,31,0)</f>
        <v>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 &amp; 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</v>
      </c>
      <c r="Q7" s="70" t="str">
        <f>VLOOKUP(C7,'Train Runs'!$A$13:$AE$803,22,0)</f>
        <v>https://search-rtdc-monitor-bjffxe2xuh6vdkpspy63sjmuny.us-east-1.es.amazonaws.com/_plugin/kibana/#/discover/Steve-Slow-Train-Analysis-(2080s-and-2083s)?_g=(refreshInterval:(display:Off,section:0,value:0),time:(from:'2016-07-22 09:23:16-0600',mode:absolute,to:'2016-07-22 12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7" s="71" t="str">
        <f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/stypes="*4039*20160722*" /stext=" 16:.+((prompt.+disp)|(slice.+state.+chan)|(ment ac)|(system.+state.+chan)|(\|lc)|(penalty)|(\[timeout))" /e /r /s</v>
      </c>
      <c r="S7" s="9" t="str">
        <f>MID(B7,13,4)</f>
        <v>4039</v>
      </c>
      <c r="T7" s="48">
        <f>A7+6/24</f>
        <v>42573.700173611112</v>
      </c>
      <c r="U7" s="69" t="str">
        <f>IF(VALUE(LEFT(IF(LEN(C7)=6,"0"&amp;C7,C7),4))&lt;300,"EC","NWGL")</f>
        <v>EC</v>
      </c>
      <c r="V7" s="69" t="str">
        <f>IF(AND(E7="TRACK WARRANT AUTHORITY",G7&lt;10),"OMIT","KEEP")</f>
        <v>KEEP</v>
      </c>
    </row>
    <row r="8" spans="1:22" s="1" customFormat="1" x14ac:dyDescent="0.25">
      <c r="A8" s="48">
        <v>42573.573831018519</v>
      </c>
      <c r="B8" s="65" t="s">
        <v>109</v>
      </c>
      <c r="C8" s="41" t="s">
        <v>519</v>
      </c>
      <c r="D8" s="41" t="s">
        <v>50</v>
      </c>
      <c r="E8" s="65" t="s">
        <v>57</v>
      </c>
      <c r="F8" s="66">
        <v>150</v>
      </c>
      <c r="G8" s="66">
        <v>179</v>
      </c>
      <c r="H8" s="66">
        <v>4685</v>
      </c>
      <c r="I8" s="65" t="s">
        <v>58</v>
      </c>
      <c r="J8" s="66">
        <v>4677</v>
      </c>
      <c r="K8" s="41" t="s">
        <v>54</v>
      </c>
      <c r="L8" s="93" t="str">
        <f>VLOOKUP(C8,'Trips&amp;Operators'!$C$1:$E$9999,3,0)</f>
        <v>SHOOK</v>
      </c>
      <c r="M8" s="9" t="s">
        <v>100</v>
      </c>
      <c r="N8" s="10"/>
      <c r="O8" s="41"/>
      <c r="P8" s="72" t="str">
        <f>VLOOKUP(C8,'Train Runs'!$A$13:$AE$803,31,0)</f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Q8" s="70" t="str">
        <f>VLOOKUP(C8,'Train Runs'!$A$13:$AE$803,22,0)</f>
        <v>https://search-rtdc-monitor-bjffxe2xuh6vdkpspy63sjmuny.us-east-1.es.amazonaws.com/_plugin/kibana/#/discover/Steve-Slow-Train-Analysis-(2080s-and-2083s)?_g=(refreshInterval:(display:Off,section:0,value:0),time:(from:'2016-07-22 12:02:15-0600',mode:absolute,to:'2016-07-22 14:49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8" s="71" t="str">
        <f>astrogrep_path&amp;" /spath="&amp;search_path&amp;" /stypes=""*"&amp;S8&amp;"*"&amp;TEXT(A8-utc_offset/24,"YYYYMMDD")&amp;"*"" /stext="" "&amp;TEXT(A8-utc_offset/24,"HH")&amp;search_regexp&amp;""" /e /r /s"</f>
        <v>"C:\Program Files (x86)\AstroGrep\AstroGrep.exe" /spath="C:\Users\stu\Documents\Analysis\2016-02-23 RTDC Observations" /stypes="*4013*20160722*" /stext=" 19:.+((prompt.+disp)|(slice.+state.+chan)|(ment ac)|(system.+state.+chan)|(\|lc)|(penalty)|(\[timeout))" /e /r /s</v>
      </c>
      <c r="S8" s="9" t="str">
        <f>MID(B8,13,4)</f>
        <v>4013</v>
      </c>
      <c r="T8" s="48">
        <f>A8+6/24</f>
        <v>42573.823831018519</v>
      </c>
      <c r="U8" s="69" t="str">
        <f>IF(VALUE(LEFT(IF(LEN(C8)=6,"0"&amp;C8,C8),4))&lt;300,"EC","NWGL")</f>
        <v>EC</v>
      </c>
      <c r="V8" s="69" t="str">
        <f>IF(AND(E8="TRACK WARRANT AUTHORITY",G8&lt;10),"OMIT","KEEP")</f>
        <v>KEEP</v>
      </c>
    </row>
    <row r="9" spans="1:22" s="1" customFormat="1" x14ac:dyDescent="0.25">
      <c r="A9" s="48">
        <v>42573.223344907405</v>
      </c>
      <c r="B9" s="65" t="s">
        <v>270</v>
      </c>
      <c r="C9" s="41" t="s">
        <v>436</v>
      </c>
      <c r="D9" s="41" t="s">
        <v>50</v>
      </c>
      <c r="E9" s="65" t="s">
        <v>57</v>
      </c>
      <c r="F9" s="66">
        <v>300</v>
      </c>
      <c r="G9" s="66">
        <v>248</v>
      </c>
      <c r="H9" s="66">
        <v>19739</v>
      </c>
      <c r="I9" s="65" t="s">
        <v>58</v>
      </c>
      <c r="J9" s="66">
        <v>20338</v>
      </c>
      <c r="K9" s="41" t="s">
        <v>53</v>
      </c>
      <c r="L9" s="93" t="str">
        <f>VLOOKUP(C9,'Trips&amp;Operators'!$C$1:$E$9999,3,0)</f>
        <v>MAELZER</v>
      </c>
      <c r="M9" s="9" t="s">
        <v>100</v>
      </c>
      <c r="N9" s="10"/>
      <c r="O9" s="41"/>
      <c r="P9" s="72" t="str">
        <f>VLOOKUP(C9,'Train Runs'!$A$13:$AE$803,31,0)</f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Q9" s="70" t="str">
        <f>VLOOKUP(C9,'Train Runs'!$A$13:$AE$803,22,0)</f>
        <v>https://search-rtdc-monitor-bjffxe2xuh6vdkpspy63sjmuny.us-east-1.es.amazonaws.com/_plugin/kibana/#/discover/Steve-Slow-Train-Analysis-(2080s-and-2083s)?_g=(refreshInterval:(display:Off,section:0,value:0),time:(from:'2016-07-22 04:04:18-0600',mode:absolute,to:'2016-07-22 06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9" s="71" t="str">
        <f>astrogrep_path&amp;" /spath="&amp;search_path&amp;" /stypes=""*"&amp;S9&amp;"*"&amp;TEXT(A9-utc_offset/24,"YYYYMMDD")&amp;"*"" /stext="" "&amp;TEXT(A9-utc_offset/24,"HH")&amp;search_regexp&amp;""" /e /r /s"</f>
        <v>"C:\Program Files (x86)\AstroGrep\AstroGrep.exe" /spath="C:\Users\stu\Documents\Analysis\2016-02-23 RTDC Observations" /stypes="*4014*20160722*" /stext=" 11:.+((prompt.+disp)|(slice.+state.+chan)|(ment ac)|(system.+state.+chan)|(\|lc)|(penalty)|(\[timeout))" /e /r /s</v>
      </c>
      <c r="S9" s="9" t="str">
        <f>MID(B9,13,4)</f>
        <v>4014</v>
      </c>
      <c r="T9" s="48">
        <f>A9+6/24</f>
        <v>42573.473344907405</v>
      </c>
      <c r="U9" s="69" t="str">
        <f>IF(VALUE(LEFT(IF(LEN(C9)=6,"0"&amp;C9,C9),4))&lt;300,"EC","NWGL")</f>
        <v>EC</v>
      </c>
      <c r="V9" s="69" t="str">
        <f>IF(AND(E9="TRACK WARRANT AUTHORITY",G9&lt;10),"OMIT","KEEP")</f>
        <v>KEEP</v>
      </c>
    </row>
    <row r="10" spans="1:22" s="1" customFormat="1" x14ac:dyDescent="0.25">
      <c r="A10" s="48">
        <v>42573.58866898148</v>
      </c>
      <c r="B10" s="65" t="s">
        <v>270</v>
      </c>
      <c r="C10" s="41" t="s">
        <v>535</v>
      </c>
      <c r="D10" s="41" t="s">
        <v>50</v>
      </c>
      <c r="E10" s="65" t="s">
        <v>57</v>
      </c>
      <c r="F10" s="66">
        <v>200</v>
      </c>
      <c r="G10" s="66">
        <v>222</v>
      </c>
      <c r="H10" s="66">
        <v>27280</v>
      </c>
      <c r="I10" s="65" t="s">
        <v>58</v>
      </c>
      <c r="J10" s="66">
        <v>27333</v>
      </c>
      <c r="K10" s="41" t="s">
        <v>53</v>
      </c>
      <c r="L10" s="93" t="str">
        <f>VLOOKUP(C10,'Trips&amp;Operators'!$C$1:$E$9999,3,0)</f>
        <v>SHOOK</v>
      </c>
      <c r="M10" s="9" t="s">
        <v>100</v>
      </c>
      <c r="N10" s="10"/>
      <c r="O10" s="41"/>
      <c r="P10" s="72" t="str">
        <f>VLOOKUP(C10,'Train Runs'!$A$13:$AE$803,31,0)</f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Q10" s="70" t="str">
        <f>VLOOKUP(C10,'Train Runs'!$A$13:$AE$803,22,0)</f>
        <v>https://search-rtdc-monitor-bjffxe2xuh6vdkpspy63sjmuny.us-east-1.es.amazonaws.com/_plugin/kibana/#/discover/Steve-Slow-Train-Analysis-(2080s-and-2083s)?_g=(refreshInterval:(display:Off,section:0,value:0),time:(from:'2016-07-22 12:51:41-0600',mode:absolute,to:'2016-07-22 15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0" s="71" t="str">
        <f>astrogrep_path&amp;" /spath="&amp;search_path&amp;" /stypes=""*"&amp;S10&amp;"*"&amp;TEXT(A10-utc_offset/24,"YYYYMMDD")&amp;"*"" /stext="" "&amp;TEXT(A10-utc_offset/24,"HH")&amp;search_regexp&amp;""" /e /r /s"</f>
        <v>"C:\Program Files (x86)\AstroGrep\AstroGrep.exe" /spath="C:\Users\stu\Documents\Analysis\2016-02-23 RTDC Observations" /stypes="*4014*20160722*" /stext=" 20:.+((prompt.+disp)|(slice.+state.+chan)|(ment ac)|(system.+state.+chan)|(\|lc)|(penalty)|(\[timeout))" /e /r /s</v>
      </c>
      <c r="S10" s="9" t="str">
        <f>MID(B10,13,4)</f>
        <v>4014</v>
      </c>
      <c r="T10" s="48">
        <f>A10+6/24</f>
        <v>42573.83866898148</v>
      </c>
      <c r="U10" s="69" t="str">
        <f>IF(VALUE(LEFT(IF(LEN(C10)=6,"0"&amp;C10,C10),4))&lt;300,"EC","NWGL")</f>
        <v>EC</v>
      </c>
      <c r="V10" s="69" t="str">
        <f>IF(AND(E10="TRACK WARRANT AUTHORITY",G10&lt;10),"OMIT","KEEP")</f>
        <v>KEEP</v>
      </c>
    </row>
    <row r="11" spans="1:22" s="1" customFormat="1" x14ac:dyDescent="0.25">
      <c r="A11" s="48">
        <v>42573.603310185186</v>
      </c>
      <c r="B11" s="65" t="s">
        <v>104</v>
      </c>
      <c r="C11" s="41" t="s">
        <v>539</v>
      </c>
      <c r="D11" s="41" t="s">
        <v>50</v>
      </c>
      <c r="E11" s="65" t="s">
        <v>57</v>
      </c>
      <c r="F11" s="66">
        <v>200</v>
      </c>
      <c r="G11" s="66">
        <v>335</v>
      </c>
      <c r="H11" s="66">
        <v>26521</v>
      </c>
      <c r="I11" s="65" t="s">
        <v>58</v>
      </c>
      <c r="J11" s="66">
        <v>27333</v>
      </c>
      <c r="K11" s="41" t="s">
        <v>53</v>
      </c>
      <c r="L11" s="93" t="str">
        <f>VLOOKUP(C11,'Trips&amp;Operators'!$C$1:$E$9999,3,0)</f>
        <v>WEBSTER</v>
      </c>
      <c r="M11" s="9" t="s">
        <v>100</v>
      </c>
      <c r="N11" s="10"/>
      <c r="O11" s="41"/>
      <c r="P11" s="72" t="str">
        <f>VLOOKUP(C11,'Train Runs'!$A$13:$AE$803,31,0)</f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Q11" s="70" t="str">
        <f>VLOOKUP(C11,'Train Runs'!$A$13:$AE$803,22,0)</f>
        <v>https://search-rtdc-monitor-bjffxe2xuh6vdkpspy63sjmuny.us-east-1.es.amazonaws.com/_plugin/kibana/#/discover/Steve-Slow-Train-Analysis-(2080s-and-2083s)?_g=(refreshInterval:(display:Off,section:0,value:0),time:(from:'2016-07-22 13:10:56-0600',mode:absolute,to:'2016-07-22 16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1" s="71" t="str">
        <f>astrogrep_path&amp;" /spath="&amp;search_path&amp;" /stypes=""*"&amp;S11&amp;"*"&amp;TEXT(A11-utc_offset/24,"YYYYMMDD")&amp;"*"" /stext="" "&amp;TEXT(A11-utc_offset/24,"HH")&amp;search_regexp&amp;""" /e /r /s"</f>
        <v>"C:\Program Files (x86)\AstroGrep\AstroGrep.exe" /spath="C:\Users\stu\Documents\Analysis\2016-02-23 RTDC Observations" /stypes="*4038*20160722*" /stext=" 20:.+((prompt.+disp)|(slice.+state.+chan)|(ment ac)|(system.+state.+chan)|(\|lc)|(penalty)|(\[timeout))" /e /r /s</v>
      </c>
      <c r="S11" s="9" t="str">
        <f>MID(B11,13,4)</f>
        <v>4038</v>
      </c>
      <c r="T11" s="48">
        <f>A11+6/24</f>
        <v>42573.853310185186</v>
      </c>
      <c r="U11" s="69" t="str">
        <f>IF(VALUE(LEFT(IF(LEN(C11)=6,"0"&amp;C11,C11),4))&lt;300,"EC","NWGL")</f>
        <v>EC</v>
      </c>
      <c r="V11" s="69" t="str">
        <f>IF(AND(E11="TRACK WARRANT AUTHORITY",G11&lt;10),"OMIT","KEEP")</f>
        <v>KEEP</v>
      </c>
    </row>
    <row r="12" spans="1:22" s="1" customFormat="1" x14ac:dyDescent="0.25">
      <c r="A12" s="48">
        <v>42573.682210648149</v>
      </c>
      <c r="B12" s="65" t="s">
        <v>70</v>
      </c>
      <c r="C12" s="41" t="s">
        <v>561</v>
      </c>
      <c r="D12" s="41" t="s">
        <v>50</v>
      </c>
      <c r="E12" s="65" t="s">
        <v>57</v>
      </c>
      <c r="F12" s="66">
        <v>200</v>
      </c>
      <c r="G12" s="66">
        <v>353</v>
      </c>
      <c r="H12" s="66">
        <v>26580</v>
      </c>
      <c r="I12" s="65" t="s">
        <v>58</v>
      </c>
      <c r="J12" s="66">
        <v>27333</v>
      </c>
      <c r="K12" s="41" t="s">
        <v>53</v>
      </c>
      <c r="L12" s="93" t="str">
        <f>VLOOKUP(C12,'Trips&amp;Operators'!$C$1:$E$9999,3,0)</f>
        <v>STEWART</v>
      </c>
      <c r="M12" s="9" t="s">
        <v>100</v>
      </c>
      <c r="N12" s="10"/>
      <c r="O12" s="41"/>
      <c r="P12" s="72" t="str">
        <f>VLOOKUP(C12,'Train Runs'!$A$13:$AE$803,31,0)</f>
        <v>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 &amp; 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</v>
      </c>
      <c r="Q12" s="70" t="str">
        <f>VLOOKUP(C12,'Train Runs'!$A$13:$AE$803,22,0)</f>
        <v>https://search-rtdc-monitor-bjffxe2xuh6vdkpspy63sjmuny.us-east-1.es.amazonaws.com/_plugin/kibana/#/discover/Steve-Slow-Train-Analysis-(2080s-and-2083s)?_g=(refreshInterval:(display:Off,section:0,value:0),time:(from:'2016-07-22 15:11:28-0600',mode:absolute,to:'2016-07-22 17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2" s="71" t="str">
        <f>astrogrep_path&amp;" /spath="&amp;search_path&amp;" /stypes=""*"&amp;S12&amp;"*"&amp;TEXT(A12-utc_offset/24,"YYYYMMDD")&amp;"*"" /stext="" "&amp;TEXT(A12-utc_offset/24,"HH")&amp;search_regexp&amp;""" /e /r /s"</f>
        <v>"C:\Program Files (x86)\AstroGrep\AstroGrep.exe" /spath="C:\Users\stu\Documents\Analysis\2016-02-23 RTDC Observations" /stypes="*4020*20160722*" /stext=" 22:.+((prompt.+disp)|(slice.+state.+chan)|(ment ac)|(system.+state.+chan)|(\|lc)|(penalty)|(\[timeout))" /e /r /s</v>
      </c>
      <c r="S12" s="9" t="str">
        <f>MID(B12,13,4)</f>
        <v>4020</v>
      </c>
      <c r="T12" s="48">
        <f>A12+6/24</f>
        <v>42573.932210648149</v>
      </c>
      <c r="U12" s="69" t="str">
        <f>IF(VALUE(LEFT(IF(LEN(C12)=6,"0"&amp;C12,C12),4))&lt;300,"EC","NWGL")</f>
        <v>EC</v>
      </c>
      <c r="V12" s="69" t="str">
        <f>IF(AND(E12="TRACK WARRANT AUTHORITY",G12&lt;10),"OMIT","KEEP")</f>
        <v>KEEP</v>
      </c>
    </row>
    <row r="13" spans="1:22" s="1" customFormat="1" x14ac:dyDescent="0.25">
      <c r="A13" s="48">
        <v>42573.893437500003</v>
      </c>
      <c r="B13" s="65" t="s">
        <v>145</v>
      </c>
      <c r="C13" s="41" t="s">
        <v>598</v>
      </c>
      <c r="D13" s="41" t="s">
        <v>50</v>
      </c>
      <c r="E13" s="65" t="s">
        <v>57</v>
      </c>
      <c r="F13" s="66">
        <v>200</v>
      </c>
      <c r="G13" s="66">
        <v>228</v>
      </c>
      <c r="H13" s="66">
        <v>30781</v>
      </c>
      <c r="I13" s="65" t="s">
        <v>58</v>
      </c>
      <c r="J13" s="66">
        <v>30562</v>
      </c>
      <c r="K13" s="41" t="s">
        <v>54</v>
      </c>
      <c r="L13" s="93" t="str">
        <f>VLOOKUP(C13,'Trips&amp;Operators'!$C$1:$E$9999,3,0)</f>
        <v>CHANDLER</v>
      </c>
      <c r="M13" s="9" t="s">
        <v>100</v>
      </c>
      <c r="N13" s="10"/>
      <c r="O13" s="41"/>
      <c r="P13" s="72" t="str">
        <f>VLOOKUP(C13,'Train Runs'!$A$13:$AE$803,31,0)</f>
        <v>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 &amp; aws s3 cp s3://rtdc.mdm.uploadarchive/RTDC4015/2016-07-23/ "C:\Users\stu\Documents\Analysis\2016-02-23 RTDC Observations"\RTDC4015\2016-07-23 --recursive &amp; "C:\Users\stu\Documents\GitHub\mrs-test-scripts\Headless Mode &amp; Sideloading\WalkAndUnGZ.bat" "C:\Users\stu\Documents\Analysis\2016-02-23 RTDC Observations"\RTDC4015\2016-07-23</v>
      </c>
      <c r="Q13" s="70" t="str">
        <f>VLOOKUP(C13,'Train Runs'!$A$13:$AE$803,22,0)</f>
        <v>https://search-rtdc-monitor-bjffxe2xuh6vdkpspy63sjmuny.us-east-1.es.amazonaws.com/_plugin/kibana/#/discover/Steve-Slow-Train-Analysis-(2080s-and-2083s)?_g=(refreshInterval:(display:Off,section:0,value:0),time:(from:'2016-07-22 19:53:56-0600',mode:absolute,to:'2016-07-22 22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3" s="71" t="str">
        <f>astrogrep_path&amp;" /spath="&amp;search_path&amp;" /stypes=""*"&amp;S13&amp;"*"&amp;TEXT(A13-utc_offset/24,"YYYYMMDD")&amp;"*"" /stext="" "&amp;TEXT(A13-utc_offset/24,"HH")&amp;search_regexp&amp;""" /e /r /s"</f>
        <v>"C:\Program Files (x86)\AstroGrep\AstroGrep.exe" /spath="C:\Users\stu\Documents\Analysis\2016-02-23 RTDC Observations" /stypes="*4015*20160723*" /stext=" 03:.+((prompt.+disp)|(slice.+state.+chan)|(ment ac)|(system.+state.+chan)|(\|lc)|(penalty)|(\[timeout))" /e /r /s</v>
      </c>
      <c r="S13" s="9" t="str">
        <f>MID(B13,13,4)</f>
        <v>4015</v>
      </c>
      <c r="T13" s="48">
        <f>A13+6/24</f>
        <v>42574.143437500003</v>
      </c>
      <c r="U13" s="69" t="str">
        <f>IF(VALUE(LEFT(IF(LEN(C13)=6,"0"&amp;C13,C13),4))&lt;300,"EC","NWGL")</f>
        <v>EC</v>
      </c>
      <c r="V13" s="69" t="str">
        <f>IF(AND(E13="TRACK WARRANT AUTHORITY",G13&lt;10),"OMIT","KEEP")</f>
        <v>KEEP</v>
      </c>
    </row>
    <row r="14" spans="1:22" s="1" customFormat="1" x14ac:dyDescent="0.25">
      <c r="A14" s="48">
        <v>42573.644583333335</v>
      </c>
      <c r="B14" s="65" t="s">
        <v>623</v>
      </c>
      <c r="C14" s="41" t="s">
        <v>540</v>
      </c>
      <c r="D14" s="41" t="s">
        <v>50</v>
      </c>
      <c r="E14" s="65" t="s">
        <v>57</v>
      </c>
      <c r="F14" s="66">
        <v>400</v>
      </c>
      <c r="G14" s="66">
        <v>444</v>
      </c>
      <c r="H14" s="66">
        <v>120630</v>
      </c>
      <c r="I14" s="65" t="s">
        <v>58</v>
      </c>
      <c r="J14" s="66">
        <v>119716</v>
      </c>
      <c r="K14" s="41" t="s">
        <v>54</v>
      </c>
      <c r="L14" s="93" t="str">
        <f>VLOOKUP(C14,'Trips&amp;Operators'!$C$1:$E$9999,3,0)</f>
        <v>WEBSTER</v>
      </c>
      <c r="M14" s="9" t="s">
        <v>100</v>
      </c>
      <c r="N14" s="10"/>
      <c r="O14" s="41"/>
      <c r="P14" s="72" t="str">
        <f>VLOOKUP(C14,'Train Runs'!$A$13:$AE$803,31,0)</f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Q14" s="70" t="str">
        <f>VLOOKUP(C14,'Train Runs'!$A$13:$AE$803,22,0)</f>
        <v>https://search-rtdc-monitor-bjffxe2xuh6vdkpspy63sjmuny.us-east-1.es.amazonaws.com/_plugin/kibana/#/discover/Steve-Slow-Train-Analysis-(2080s-and-2083s)?_g=(refreshInterval:(display:Off,section:0,value:0),time:(from:'2016-07-22 14:06:28-0600',mode:absolute,to:'2016-07-22 16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4" s="71" t="str">
        <f>astrogrep_path&amp;" /spath="&amp;search_path&amp;" /stypes=""*"&amp;S14&amp;"*"&amp;TEXT(A14-utc_offset/24,"YYYYMMDD")&amp;"*"" /stext="" "&amp;TEXT(A14-utc_offset/24,"HH")&amp;search_regexp&amp;""" /e /r /s"</f>
        <v>"C:\Program Files (x86)\AstroGrep\AstroGrep.exe" /spath="C:\Users\stu\Documents\Analysis\2016-02-23 RTDC Observations" /stypes="*4037*20160722*" /stext=" 21:.+((prompt.+disp)|(slice.+state.+chan)|(ment ac)|(system.+state.+chan)|(\|lc)|(penalty)|(\[timeout))" /e /r /s</v>
      </c>
      <c r="S14" s="9" t="str">
        <f>MID(B14,13,4)</f>
        <v>4037</v>
      </c>
      <c r="T14" s="48">
        <f>A14+6/24</f>
        <v>42573.894583333335</v>
      </c>
      <c r="U14" s="69" t="str">
        <f>IF(VALUE(LEFT(IF(LEN(C14)=6,"0"&amp;C14,C14),4))&lt;300,"EC","NWGL")</f>
        <v>EC</v>
      </c>
      <c r="V14" s="69" t="str">
        <f>IF(AND(E14="TRACK WARRANT AUTHORITY",G14&lt;10),"OMIT","KEEP")</f>
        <v>KEEP</v>
      </c>
    </row>
    <row r="15" spans="1:22" s="1" customFormat="1" x14ac:dyDescent="0.25">
      <c r="A15" s="48">
        <v>42573.685497685183</v>
      </c>
      <c r="B15" s="65" t="s">
        <v>119</v>
      </c>
      <c r="C15" s="41" t="s">
        <v>549</v>
      </c>
      <c r="D15" s="41" t="s">
        <v>50</v>
      </c>
      <c r="E15" s="65" t="s">
        <v>57</v>
      </c>
      <c r="F15" s="66">
        <v>400</v>
      </c>
      <c r="G15" s="66">
        <v>473</v>
      </c>
      <c r="H15" s="66">
        <v>120984</v>
      </c>
      <c r="I15" s="65" t="s">
        <v>58</v>
      </c>
      <c r="J15" s="66">
        <v>119716</v>
      </c>
      <c r="K15" s="41" t="s">
        <v>54</v>
      </c>
      <c r="L15" s="93" t="str">
        <f>VLOOKUP(C15,'Trips&amp;Operators'!$C$1:$E$9999,3,0)</f>
        <v>MOSES</v>
      </c>
      <c r="M15" s="9" t="s">
        <v>100</v>
      </c>
      <c r="N15" s="10"/>
      <c r="O15" s="41"/>
      <c r="P15" s="72" t="str">
        <f>VLOOKUP(C15,'Train Runs'!$A$13:$AE$803,31,0)</f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Q15" s="70" t="str">
        <f>VLOOKUP(C15,'Train Runs'!$A$13:$AE$803,22,0)</f>
        <v>https://search-rtdc-monitor-bjffxe2xuh6vdkpspy63sjmuny.us-east-1.es.amazonaws.com/_plugin/kibana/#/discover/Steve-Slow-Train-Analysis-(2080s-and-2083s)?_g=(refreshInterval:(display:Off,section:0,value:0),time:(from:'2016-07-22 15:06:14-0600',mode:absolute,to:'2016-07-22 17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5" s="71" t="str">
        <f>astrogrep_path&amp;" /spath="&amp;search_path&amp;" /stypes=""*"&amp;S15&amp;"*"&amp;TEXT(A15-utc_offset/24,"YYYYMMDD")&amp;"*"" /stext="" "&amp;TEXT(A15-utc_offset/24,"HH")&amp;search_regexp&amp;""" /e /r /s"</f>
        <v>"C:\Program Files (x86)\AstroGrep\AstroGrep.exe" /spath="C:\Users\stu\Documents\Analysis\2016-02-23 RTDC Observations" /stypes="*4043*20160722*" /stext=" 22:.+((prompt.+disp)|(slice.+state.+chan)|(ment ac)|(system.+state.+chan)|(\|lc)|(penalty)|(\[timeout))" /e /r /s</v>
      </c>
      <c r="S15" s="9" t="str">
        <f>MID(B15,13,4)</f>
        <v>4043</v>
      </c>
      <c r="T15" s="48">
        <f>A15+6/24</f>
        <v>42573.935497685183</v>
      </c>
      <c r="U15" s="69" t="str">
        <f>IF(VALUE(LEFT(IF(LEN(C15)=6,"0"&amp;C15,C15),4))&lt;300,"EC","NWGL")</f>
        <v>EC</v>
      </c>
      <c r="V15" s="69" t="str">
        <f>IF(AND(E15="TRACK WARRANT AUTHORITY",G15&lt;10),"OMIT","KEEP")</f>
        <v>KEEP</v>
      </c>
    </row>
    <row r="16" spans="1:22" s="1" customFormat="1" x14ac:dyDescent="0.25">
      <c r="A16" s="48">
        <v>42573.522129629629</v>
      </c>
      <c r="B16" s="65" t="s">
        <v>164</v>
      </c>
      <c r="C16" s="41" t="s">
        <v>510</v>
      </c>
      <c r="D16" s="41" t="s">
        <v>50</v>
      </c>
      <c r="E16" s="65" t="s">
        <v>57</v>
      </c>
      <c r="F16" s="66">
        <v>450</v>
      </c>
      <c r="G16" s="66">
        <v>478</v>
      </c>
      <c r="H16" s="66">
        <v>192544</v>
      </c>
      <c r="I16" s="65" t="s">
        <v>58</v>
      </c>
      <c r="J16" s="66">
        <v>191108</v>
      </c>
      <c r="K16" s="41" t="s">
        <v>54</v>
      </c>
      <c r="L16" s="93" t="str">
        <f>VLOOKUP(C16,'Trips&amp;Operators'!$C$1:$E$9999,3,0)</f>
        <v>HELVIE</v>
      </c>
      <c r="M16" s="9" t="s">
        <v>100</v>
      </c>
      <c r="N16" s="10"/>
      <c r="O16" s="41"/>
      <c r="P16" s="72" t="str">
        <f>VLOOKUP(C16,'Train Runs'!$A$13:$AE$803,31,0)</f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Q16" s="70" t="str">
        <f>VLOOKUP(C16,'Train Runs'!$A$13:$AE$803,22,0)</f>
        <v>https://search-rtdc-monitor-bjffxe2xuh6vdkpspy63sjmuny.us-east-1.es.amazonaws.com/_plugin/kibana/#/discover/Steve-Slow-Train-Analysis-(2080s-and-2083s)?_g=(refreshInterval:(display:Off,section:0,value:0),time:(from:'2016-07-22 11:17:20-0600',mode:absolute,to:'2016-07-22 14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71" t="str">
        <f>astrogrep_path&amp;" /spath="&amp;search_path&amp;" /stypes=""*"&amp;S16&amp;"*"&amp;TEXT(A16-utc_offset/24,"YYYYMMDD")&amp;"*"" /stext="" "&amp;TEXT(A16-utc_offset/24,"HH")&amp;search_regexp&amp;""" /e /r /s"</f>
        <v>"C:\Program Files (x86)\AstroGrep\AstroGrep.exe" /spath="C:\Users\stu\Documents\Analysis\2016-02-23 RTDC Observations" /stypes="*4041*20160722*" /stext=" 18:.+((prompt.+disp)|(slice.+state.+chan)|(ment ac)|(system.+state.+chan)|(\|lc)|(penalty)|(\[timeout))" /e /r /s</v>
      </c>
      <c r="S16" s="9" t="str">
        <f>MID(B16,13,4)</f>
        <v>4041</v>
      </c>
      <c r="T16" s="48">
        <f>A16+6/24</f>
        <v>42573.772129629629</v>
      </c>
      <c r="U16" s="69" t="str">
        <f>IF(VALUE(LEFT(IF(LEN(C16)=6,"0"&amp;C16,C16),4))&lt;300,"EC","NWGL")</f>
        <v>EC</v>
      </c>
      <c r="V16" s="69" t="str">
        <f>IF(AND(E16="TRACK WARRANT AUTHORITY",G16&lt;10),"OMIT","KEEP")</f>
        <v>KEEP</v>
      </c>
    </row>
    <row r="17" spans="1:22" s="1" customFormat="1" x14ac:dyDescent="0.25">
      <c r="A17" s="48">
        <v>42573.654895833337</v>
      </c>
      <c r="B17" s="65" t="s">
        <v>125</v>
      </c>
      <c r="C17" s="41" t="s">
        <v>543</v>
      </c>
      <c r="D17" s="41" t="s">
        <v>50</v>
      </c>
      <c r="E17" s="65" t="s">
        <v>57</v>
      </c>
      <c r="F17" s="66">
        <v>150</v>
      </c>
      <c r="G17" s="66">
        <v>192</v>
      </c>
      <c r="H17" s="66">
        <v>229436</v>
      </c>
      <c r="I17" s="65" t="s">
        <v>58</v>
      </c>
      <c r="J17" s="66">
        <v>229055</v>
      </c>
      <c r="K17" s="41" t="s">
        <v>54</v>
      </c>
      <c r="L17" s="93" t="str">
        <f>VLOOKUP(C17,'Trips&amp;Operators'!$C$1:$E$9999,3,0)</f>
        <v>MAYBERRY</v>
      </c>
      <c r="M17" s="9" t="s">
        <v>100</v>
      </c>
      <c r="N17" s="10"/>
      <c r="O17" s="41"/>
      <c r="P17" s="72" t="str">
        <f>VLOOKUP(C17,'Train Runs'!$A$13:$AE$803,31,0)</f>
        <v>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 &amp; 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</v>
      </c>
      <c r="Q17" s="70" t="str">
        <f>VLOOKUP(C17,'Train Runs'!$A$13:$AE$803,22,0)</f>
        <v>https://search-rtdc-monitor-bjffxe2xuh6vdkpspy63sjmuny.us-east-1.es.amazonaws.com/_plugin/kibana/#/discover/Steve-Slow-Train-Analysis-(2080s-and-2083s)?_g=(refreshInterval:(display:Off,section:0,value:0),time:(from:'2016-07-22 14:30:57-0600',mode:absolute,to:'2016-07-22 17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7" s="71" t="str">
        <f>astrogrep_path&amp;" /spath="&amp;search_path&amp;" /stypes=""*"&amp;S17&amp;"*"&amp;TEXT(A17-utc_offset/24,"YYYYMMDD")&amp;"*"" /stext="" "&amp;TEXT(A17-utc_offset/24,"HH")&amp;search_regexp&amp;""" /e /r /s"</f>
        <v>"C:\Program Files (x86)\AstroGrep\AstroGrep.exe" /spath="C:\Users\stu\Documents\Analysis\2016-02-23 RTDC Observations" /stypes="*4039*20160722*" /stext=" 21:.+((prompt.+disp)|(slice.+state.+chan)|(ment ac)|(system.+state.+chan)|(\|lc)|(penalty)|(\[timeout))" /e /r /s</v>
      </c>
      <c r="S17" s="9" t="str">
        <f>MID(B17,13,4)</f>
        <v>4039</v>
      </c>
      <c r="T17" s="48">
        <f>A17+6/24</f>
        <v>42573.904895833337</v>
      </c>
      <c r="U17" s="69" t="str">
        <f>IF(VALUE(LEFT(IF(LEN(C17)=6,"0"&amp;C17,C17),4))&lt;300,"EC","NWGL")</f>
        <v>EC</v>
      </c>
      <c r="V17" s="69" t="str">
        <f>IF(AND(E17="TRACK WARRANT AUTHORITY",G17&lt;10),"OMIT","KEEP")</f>
        <v>KEEP</v>
      </c>
    </row>
    <row r="18" spans="1:22" s="1" customFormat="1" x14ac:dyDescent="0.25">
      <c r="A18" s="48">
        <v>42573.565393518518</v>
      </c>
      <c r="B18" s="65" t="s">
        <v>265</v>
      </c>
      <c r="C18" s="41" t="s">
        <v>525</v>
      </c>
      <c r="D18" s="41" t="s">
        <v>50</v>
      </c>
      <c r="E18" s="65" t="s">
        <v>57</v>
      </c>
      <c r="F18" s="66">
        <v>150</v>
      </c>
      <c r="G18" s="66">
        <v>150</v>
      </c>
      <c r="H18" s="66">
        <v>230046</v>
      </c>
      <c r="I18" s="65" t="s">
        <v>58</v>
      </c>
      <c r="J18" s="66">
        <v>230436</v>
      </c>
      <c r="K18" s="41" t="s">
        <v>53</v>
      </c>
      <c r="L18" s="93" t="str">
        <f>VLOOKUP(C18,'Trips&amp;Operators'!$C$1:$E$9999,3,0)</f>
        <v>MAYBERRY</v>
      </c>
      <c r="M18" s="9" t="s">
        <v>100</v>
      </c>
      <c r="N18" s="10"/>
      <c r="O18" s="41"/>
      <c r="P18" s="72" t="str">
        <f>VLOOKUP(C18,'Train Runs'!$A$13:$AE$803,31,0)</f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Q18" s="70" t="str">
        <f>VLOOKUP(C18,'Train Runs'!$A$13:$AE$803,22,0)</f>
        <v>https://search-rtdc-monitor-bjffxe2xuh6vdkpspy63sjmuny.us-east-1.es.amazonaws.com/_plugin/kibana/#/discover/Steve-Slow-Train-Analysis-(2080s-and-2083s)?_g=(refreshInterval:(display:Off,section:0,value:0),time:(from:'2016-07-22 11:49:29-0600',mode:absolute,to:'2016-07-22 14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8" s="71" t="str">
        <f>astrogrep_path&amp;" /spath="&amp;search_path&amp;" /stypes=""*"&amp;S18&amp;"*"&amp;TEXT(A18-utc_offset/24,"YYYYMMDD")&amp;"*"" /stext="" "&amp;TEXT(A18-utc_offset/24,"HH")&amp;search_regexp&amp;""" /e /r /s"</f>
        <v>"C:\Program Files (x86)\AstroGrep\AstroGrep.exe" /spath="C:\Users\stu\Documents\Analysis\2016-02-23 RTDC Observations" /stypes="*4040*20160722*" /stext=" 19:.+((prompt.+disp)|(slice.+state.+chan)|(ment ac)|(system.+state.+chan)|(\|lc)|(penalty)|(\[timeout))" /e /r /s</v>
      </c>
      <c r="S18" s="9" t="str">
        <f>MID(B18,13,4)</f>
        <v>4040</v>
      </c>
      <c r="T18" s="48">
        <f>A18+6/24</f>
        <v>42573.815393518518</v>
      </c>
      <c r="U18" s="69" t="str">
        <f>IF(VALUE(LEFT(IF(LEN(C18)=6,"0"&amp;C18,C18),4))&lt;300,"EC","NWGL")</f>
        <v>EC</v>
      </c>
      <c r="V18" s="69" t="str">
        <f>IF(AND(E18="TRACK WARRANT AUTHORITY",G18&lt;10),"OMIT","KEEP")</f>
        <v>KEEP</v>
      </c>
    </row>
    <row r="19" spans="1:22" s="1" customFormat="1" x14ac:dyDescent="0.25">
      <c r="A19" s="48">
        <v>42573.763541666667</v>
      </c>
      <c r="B19" s="65" t="s">
        <v>146</v>
      </c>
      <c r="C19" s="41" t="s">
        <v>585</v>
      </c>
      <c r="D19" s="41" t="s">
        <v>158</v>
      </c>
      <c r="E19" s="65" t="s">
        <v>55</v>
      </c>
      <c r="F19" s="66">
        <v>0</v>
      </c>
      <c r="G19" s="66">
        <v>101</v>
      </c>
      <c r="H19" s="66">
        <v>1884</v>
      </c>
      <c r="I19" s="65" t="s">
        <v>56</v>
      </c>
      <c r="J19" s="66">
        <v>1692</v>
      </c>
      <c r="K19" s="41" t="s">
        <v>53</v>
      </c>
      <c r="L19" s="93" t="str">
        <f>VLOOKUP(C19,'Trips&amp;Operators'!$C$1:$E$9999,3,0)</f>
        <v>CHANDLER</v>
      </c>
      <c r="M19" s="9" t="s">
        <v>100</v>
      </c>
      <c r="N19" s="10" t="s">
        <v>641</v>
      </c>
      <c r="O19" s="41"/>
      <c r="P19" s="72" t="str">
        <f>VLOOKUP(C19,'Train Runs'!$A$13:$AE$803,31,0)</f>
        <v>aws s3 cp s3://rtdc.mdm.uploadarchive/RTDC4016/2016-07-22/ "C:\Users\stu\Documents\Analysis\2016-02-23 RTDC Observations"\RTDC4016\2016-07-22 --recursive &amp; "C:\Users\stu\Documents\GitHub\mrs-test-scripts\Headless Mode &amp; Sideloading\WalkAndUnGZ.bat" "C:\Users\stu\Documents\Analysis\2016-02-23 RTDC Observations"\RTDC4016\2016-07-22 &amp; aws s3 cp s3://rtdc.mdm.uploadarchive/RTDC4016/2016-07-23/ "C:\Users\stu\Documents\Analysis\2016-02-23 RTDC Observations"\RTDC4016\2016-07-23 --recursive &amp; "C:\Users\stu\Documents\GitHub\mrs-test-scripts\Headless Mode &amp; Sideloading\WalkAndUnGZ.bat" "C:\Users\stu\Documents\Analysis\2016-02-23 RTDC Observations"\RTDC4016\2016-07-23</v>
      </c>
      <c r="Q19" s="70" t="str">
        <f>VLOOKUP(C19,'Train Runs'!$A$13:$AE$803,22,0)</f>
        <v>https://search-rtdc-monitor-bjffxe2xuh6vdkpspy63sjmuny.us-east-1.es.amazonaws.com/_plugin/kibana/#/discover/Steve-Slow-Train-Analysis-(2080s-and-2083s)?_g=(refreshInterval:(display:Off,section:0,value:0),time:(from:'2016-07-22 17:16:17-0600',mode:absolute,to:'2016-07-22 19:20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19" s="71" t="str">
        <f>astrogrep_path&amp;" /spath="&amp;search_path&amp;" /stypes=""*"&amp;S19&amp;"*"&amp;TEXT(A19-utc_offset/24,"YYYYMMDD")&amp;"*"" /stext="" "&amp;TEXT(A19-utc_offset/24,"HH")&amp;search_regexp&amp;""" /e /r /s"</f>
        <v>"C:\Program Files (x86)\AstroGrep\AstroGrep.exe" /spath="C:\Users\stu\Documents\Analysis\2016-02-23 RTDC Observations" /stypes="*4016*20160723*" /stext=" 00:.+((prompt.+disp)|(slice.+state.+chan)|(ment ac)|(system.+state.+chan)|(\|lc)|(penalty)|(\[timeout))" /e /r /s</v>
      </c>
      <c r="S19" s="9" t="str">
        <f>MID(B19,13,4)</f>
        <v>4016</v>
      </c>
      <c r="T19" s="48">
        <f>A19+6/24</f>
        <v>42574.013541666667</v>
      </c>
      <c r="U19" s="69" t="str">
        <f>IF(VALUE(LEFT(IF(LEN(C19)=6,"0"&amp;C19,C19),4))&lt;300,"EC","NWGL")</f>
        <v>EC</v>
      </c>
      <c r="V19" s="69" t="str">
        <f>IF(AND(E19="TRACK WARRANT AUTHORITY",G19&lt;10),"OMIT","KEEP")</f>
        <v>KEEP</v>
      </c>
    </row>
    <row r="20" spans="1:22" s="1" customFormat="1" x14ac:dyDescent="0.25">
      <c r="A20" s="48">
        <v>42573.400648148148</v>
      </c>
      <c r="B20" s="65" t="s">
        <v>265</v>
      </c>
      <c r="C20" s="41" t="s">
        <v>486</v>
      </c>
      <c r="D20" s="41" t="s">
        <v>50</v>
      </c>
      <c r="E20" s="65" t="s">
        <v>55</v>
      </c>
      <c r="F20" s="66">
        <v>0</v>
      </c>
      <c r="G20" s="66">
        <v>220</v>
      </c>
      <c r="H20" s="66">
        <v>19649</v>
      </c>
      <c r="I20" s="65" t="s">
        <v>56</v>
      </c>
      <c r="J20" s="66">
        <v>20617</v>
      </c>
      <c r="K20" s="41" t="s">
        <v>53</v>
      </c>
      <c r="L20" s="93" t="str">
        <f>VLOOKUP(C20,'Trips&amp;Operators'!$C$1:$E$9999,3,0)</f>
        <v>MALAVE</v>
      </c>
      <c r="M20" s="9" t="s">
        <v>100</v>
      </c>
      <c r="N20" s="10" t="s">
        <v>650</v>
      </c>
      <c r="O20" s="41"/>
      <c r="P20" s="72" t="str">
        <f>VLOOKUP(C20,'Train Runs'!$A$13:$AE$803,31,0)</f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Q20" s="70" t="str">
        <f>VLOOKUP(C20,'Train Runs'!$A$13:$AE$803,22,0)</f>
        <v>https://search-rtdc-monitor-bjffxe2xuh6vdkpspy63sjmuny.us-east-1.es.amazonaws.com/_plugin/kibana/#/discover/Steve-Slow-Train-Analysis-(2080s-and-2083s)?_g=(refreshInterval:(display:Off,section:0,value:0),time:(from:'2016-07-22 08:35:01-0600',mode:absolute,to:'2016-07-22 10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0" s="71" t="str">
        <f>astrogrep_path&amp;" /spath="&amp;search_path&amp;" /stypes=""*"&amp;S20&amp;"*"&amp;TEXT(A20-utc_offset/24,"YYYYMMDD")&amp;"*"" /stext="" "&amp;TEXT(A20-utc_offset/24,"HH")&amp;search_regexp&amp;""" /e /r /s"</f>
        <v>"C:\Program Files (x86)\AstroGrep\AstroGrep.exe" /spath="C:\Users\stu\Documents\Analysis\2016-02-23 RTDC Observations" /stypes="*4040*20160722*" /stext=" 15:.+((prompt.+disp)|(slice.+state.+chan)|(ment ac)|(system.+state.+chan)|(\|lc)|(penalty)|(\[timeout))" /e /r /s</v>
      </c>
      <c r="S20" s="9" t="str">
        <f>MID(B20,13,4)</f>
        <v>4040</v>
      </c>
      <c r="T20" s="48">
        <f>A20+6/24</f>
        <v>42573.650648148148</v>
      </c>
      <c r="U20" s="69" t="str">
        <f>IF(VALUE(LEFT(IF(LEN(C20)=6,"0"&amp;C20,C20),4))&lt;300,"EC","NWGL")</f>
        <v>EC</v>
      </c>
      <c r="V20" s="69" t="str">
        <f>IF(AND(E20="TRACK WARRANT AUTHORITY",G20&lt;10),"OMIT","KEEP")</f>
        <v>KEEP</v>
      </c>
    </row>
    <row r="21" spans="1:22" s="1" customFormat="1" x14ac:dyDescent="0.25">
      <c r="A21" s="48">
        <v>42573.402106481481</v>
      </c>
      <c r="B21" s="65" t="s">
        <v>265</v>
      </c>
      <c r="C21" s="41" t="s">
        <v>486</v>
      </c>
      <c r="D21" s="41" t="s">
        <v>50</v>
      </c>
      <c r="E21" s="65" t="s">
        <v>55</v>
      </c>
      <c r="F21" s="66">
        <v>0</v>
      </c>
      <c r="G21" s="66">
        <v>68</v>
      </c>
      <c r="H21" s="66">
        <v>20356</v>
      </c>
      <c r="I21" s="65" t="s">
        <v>56</v>
      </c>
      <c r="J21" s="66">
        <v>20617</v>
      </c>
      <c r="K21" s="41" t="s">
        <v>53</v>
      </c>
      <c r="L21" s="93" t="str">
        <f>VLOOKUP(C21,'Trips&amp;Operators'!$C$1:$E$9999,3,0)</f>
        <v>MALAVE</v>
      </c>
      <c r="M21" s="9" t="s">
        <v>100</v>
      </c>
      <c r="N21" s="10" t="s">
        <v>650</v>
      </c>
      <c r="O21" s="41"/>
      <c r="P21" s="72" t="str">
        <f>VLOOKUP(C21,'Train Runs'!$A$13:$AE$803,31,0)</f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Q21" s="70" t="str">
        <f>VLOOKUP(C21,'Train Runs'!$A$13:$AE$803,22,0)</f>
        <v>https://search-rtdc-monitor-bjffxe2xuh6vdkpspy63sjmuny.us-east-1.es.amazonaws.com/_plugin/kibana/#/discover/Steve-Slow-Train-Analysis-(2080s-and-2083s)?_g=(refreshInterval:(display:Off,section:0,value:0),time:(from:'2016-07-22 08:35:01-0600',mode:absolute,to:'2016-07-22 10:40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1" s="71" t="str">
        <f>astrogrep_path&amp;" /spath="&amp;search_path&amp;" /stypes=""*"&amp;S21&amp;"*"&amp;TEXT(A21-utc_offset/24,"YYYYMMDD")&amp;"*"" /stext="" "&amp;TEXT(A21-utc_offset/24,"HH")&amp;search_regexp&amp;""" /e /r /s"</f>
        <v>"C:\Program Files (x86)\AstroGrep\AstroGrep.exe" /spath="C:\Users\stu\Documents\Analysis\2016-02-23 RTDC Observations" /stypes="*4040*20160722*" /stext=" 15:.+((prompt.+disp)|(slice.+state.+chan)|(ment ac)|(system.+state.+chan)|(\|lc)|(penalty)|(\[timeout))" /e /r /s</v>
      </c>
      <c r="S21" s="9" t="str">
        <f>MID(B21,13,4)</f>
        <v>4040</v>
      </c>
      <c r="T21" s="48">
        <f>A21+6/24</f>
        <v>42573.652106481481</v>
      </c>
      <c r="U21" s="69" t="str">
        <f>IF(VALUE(LEFT(IF(LEN(C21)=6,"0"&amp;C21,C21),4))&lt;300,"EC","NWGL")</f>
        <v>EC</v>
      </c>
      <c r="V21" s="69" t="str">
        <f>IF(AND(E21="TRACK WARRANT AUTHORITY",G21&lt;10),"OMIT","KEEP")</f>
        <v>KEEP</v>
      </c>
    </row>
    <row r="22" spans="1:22" s="1" customFormat="1" x14ac:dyDescent="0.25">
      <c r="A22" s="48">
        <v>42573.906956018516</v>
      </c>
      <c r="B22" s="65" t="s">
        <v>104</v>
      </c>
      <c r="C22" s="41" t="s">
        <v>604</v>
      </c>
      <c r="D22" s="41" t="s">
        <v>50</v>
      </c>
      <c r="E22" s="65" t="s">
        <v>55</v>
      </c>
      <c r="F22" s="66">
        <v>0</v>
      </c>
      <c r="G22" s="66">
        <v>736</v>
      </c>
      <c r="H22" s="66">
        <v>74025</v>
      </c>
      <c r="I22" s="65" t="s">
        <v>56</v>
      </c>
      <c r="J22" s="66">
        <v>75566</v>
      </c>
      <c r="K22" s="41" t="s">
        <v>53</v>
      </c>
      <c r="L22" s="93" t="str">
        <f>VLOOKUP(C22,'Trips&amp;Operators'!$C$1:$E$9999,3,0)</f>
        <v>YANAI</v>
      </c>
      <c r="M22" s="9" t="s">
        <v>99</v>
      </c>
      <c r="N22" s="10" t="s">
        <v>180</v>
      </c>
      <c r="O22" s="41"/>
      <c r="P22" s="72" t="str">
        <f>VLOOKUP(C22,'Train Runs'!$A$13:$AE$803,31,0)</f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Q22" s="70" t="str">
        <f>VLOOKUP(C22,'Train Runs'!$A$13:$AE$803,22,0)</f>
        <v>https://search-rtdc-monitor-bjffxe2xuh6vdkpspy63sjmuny.us-east-1.es.amazonaws.com/_plugin/kibana/#/discover/Steve-Slow-Train-Analysis-(2080s-and-2083s)?_g=(refreshInterval:(display:Off,section:0,value:0),time:(from:'2016-07-22 20:26:30-0600',mode:absolute,to:'2016-07-22 23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2" s="71" t="str">
        <f>astrogrep_path&amp;" /spath="&amp;search_path&amp;" /stypes=""*"&amp;S22&amp;"*"&amp;TEXT(A22-utc_offset/24,"YYYYMMDD")&amp;"*"" /stext="" "&amp;TEXT(A22-utc_offset/24,"HH")&amp;search_regexp&amp;""" /e /r /s"</f>
        <v>"C:\Program Files (x86)\AstroGrep\AstroGrep.exe" /spath="C:\Users\stu\Documents\Analysis\2016-02-23 RTDC Observations" /stypes="*4038*20160723*" /stext=" 03:.+((prompt.+disp)|(slice.+state.+chan)|(ment ac)|(system.+state.+chan)|(\|lc)|(penalty)|(\[timeout))" /e /r /s</v>
      </c>
      <c r="S22" s="9" t="str">
        <f>MID(B22,13,4)</f>
        <v>4038</v>
      </c>
      <c r="T22" s="48">
        <f>A22+6/24</f>
        <v>42574.156956018516</v>
      </c>
      <c r="U22" s="69" t="str">
        <f>IF(VALUE(LEFT(IF(LEN(C22)=6,"0"&amp;C22,C22),4))&lt;300,"EC","NWGL")</f>
        <v>EC</v>
      </c>
      <c r="V22" s="69" t="str">
        <f>IF(AND(E22="TRACK WARRANT AUTHORITY",G22&lt;10),"OMIT","KEEP")</f>
        <v>KEEP</v>
      </c>
    </row>
    <row r="23" spans="1:22" x14ac:dyDescent="0.25">
      <c r="A23" s="48">
        <v>42573.805520833332</v>
      </c>
      <c r="B23" s="65" t="s">
        <v>121</v>
      </c>
      <c r="C23" s="41" t="s">
        <v>593</v>
      </c>
      <c r="D23" s="41" t="s">
        <v>50</v>
      </c>
      <c r="E23" s="65" t="s">
        <v>55</v>
      </c>
      <c r="F23" s="66">
        <v>0</v>
      </c>
      <c r="G23" s="66">
        <v>433</v>
      </c>
      <c r="H23" s="66">
        <v>105793</v>
      </c>
      <c r="I23" s="65" t="s">
        <v>56</v>
      </c>
      <c r="J23" s="66">
        <v>107939</v>
      </c>
      <c r="K23" s="41" t="s">
        <v>53</v>
      </c>
      <c r="L23" s="93" t="str">
        <f>VLOOKUP(C23,'Trips&amp;Operators'!$C$1:$E$9999,3,0)</f>
        <v>LEVIN</v>
      </c>
      <c r="M23" s="9" t="s">
        <v>100</v>
      </c>
      <c r="N23" s="10" t="s">
        <v>651</v>
      </c>
      <c r="O23" s="41"/>
      <c r="P23" s="72" t="str">
        <f>VLOOKUP(C23,'Train Runs'!$A$13:$AE$803,31,0)</f>
        <v>aws s3 cp s3://rtdc.mdm.uploadarchive/RTDC4007/2016-07-22/ "C:\Users\stu\Documents\Analysis\2016-02-23 RTDC Observations"\RTDC4007\2016-07-22 --recursive &amp; "C:\Users\stu\Documents\GitHub\mrs-test-scripts\Headless Mode &amp; Sideloading\WalkAndUnGZ.bat" "C:\Users\stu\Documents\Analysis\2016-02-23 RTDC Observations"\RTDC4007\2016-07-22 &amp; aws s3 cp s3://rtdc.mdm.uploadarchive/RTDC4007/2016-07-23/ "C:\Users\stu\Documents\Analysis\2016-02-23 RTDC Observations"\RTDC4007\2016-07-23 --recursive &amp; "C:\Users\stu\Documents\GitHub\mrs-test-scripts\Headless Mode &amp; Sideloading\WalkAndUnGZ.bat" "C:\Users\stu\Documents\Analysis\2016-02-23 RTDC Observations"\RTDC4007\2016-07-23</v>
      </c>
      <c r="Q23" s="70" t="str">
        <f>VLOOKUP(C23,'Train Runs'!$A$13:$AE$803,22,0)</f>
        <v>https://search-rtdc-monitor-bjffxe2xuh6vdkpspy63sjmuny.us-east-1.es.amazonaws.com/_plugin/kibana/#/discover/Steve-Slow-Train-Analysis-(2080s-and-2083s)?_g=(refreshInterval:(display:Off,section:0,value:0),time:(from:'2016-07-22 17:59:53-0600',mode:absolute,to:'2016-07-22 20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3" s="71" t="str">
        <f>astrogrep_path&amp;" /spath="&amp;search_path&amp;" /stypes=""*"&amp;S23&amp;"*"&amp;TEXT(A23-utc_offset/24,"YYYYMMDD")&amp;"*"" /stext="" "&amp;TEXT(A23-utc_offset/24,"HH")&amp;search_regexp&amp;""" /e /r /s"</f>
        <v>"C:\Program Files (x86)\AstroGrep\AstroGrep.exe" /spath="C:\Users\stu\Documents\Analysis\2016-02-23 RTDC Observations" /stypes="*4007*20160723*" /stext=" 01:.+((prompt.+disp)|(slice.+state.+chan)|(ment ac)|(system.+state.+chan)|(\|lc)|(penalty)|(\[timeout))" /e /r /s</v>
      </c>
      <c r="S23" s="9" t="str">
        <f>MID(B23,13,4)</f>
        <v>4007</v>
      </c>
      <c r="T23" s="48">
        <f>A23+6/24</f>
        <v>42574.055520833332</v>
      </c>
      <c r="U23" s="69" t="str">
        <f>IF(VALUE(LEFT(IF(LEN(C23)=6,"0"&amp;C23,C23),4))&lt;300,"EC","NWGL")</f>
        <v>EC</v>
      </c>
      <c r="V23" s="69" t="str">
        <f>IF(AND(E23="TRACK WARRANT AUTHORITY",G23&lt;10),"OMIT","KEEP")</f>
        <v>KEEP</v>
      </c>
    </row>
    <row r="24" spans="1:22" s="1" customFormat="1" x14ac:dyDescent="0.25">
      <c r="A24" s="48">
        <v>42573.280821759261</v>
      </c>
      <c r="B24" s="65" t="s">
        <v>125</v>
      </c>
      <c r="C24" s="41" t="s">
        <v>440</v>
      </c>
      <c r="D24" s="41" t="s">
        <v>158</v>
      </c>
      <c r="E24" s="65" t="s">
        <v>624</v>
      </c>
      <c r="F24" s="66">
        <v>790</v>
      </c>
      <c r="G24" s="66">
        <v>846</v>
      </c>
      <c r="H24" s="66">
        <v>99069</v>
      </c>
      <c r="I24" s="65" t="s">
        <v>58</v>
      </c>
      <c r="J24" s="66">
        <v>126678</v>
      </c>
      <c r="K24" s="41" t="s">
        <v>54</v>
      </c>
      <c r="L24" s="93" t="str">
        <f>VLOOKUP(C24,'Trips&amp;Operators'!$C$1:$E$9999,3,0)</f>
        <v>ROCHA</v>
      </c>
      <c r="M24" s="9" t="s">
        <v>100</v>
      </c>
      <c r="N24" s="10"/>
      <c r="O24" s="41"/>
      <c r="P24" s="72" t="str">
        <f>VLOOKUP(C24,'Train Runs'!$A$13:$AE$803,31,0)</f>
        <v>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 &amp; 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</v>
      </c>
      <c r="Q24" s="70" t="str">
        <f>VLOOKUP(C24,'Train Runs'!$A$13:$AE$803,22,0)</f>
        <v>https://search-rtdc-monitor-bjffxe2xuh6vdkpspy63sjmuny.us-east-1.es.amazonaws.com/_plugin/kibana/#/discover/Steve-Slow-Train-Analysis-(2080s-and-2083s)?_g=(refreshInterval:(display:Off,section:0,value:0),time:(from:'2016-07-22 05:24:50-0600',mode:absolute,to:'2016-07-22 08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4" s="71" t="str">
        <f>astrogrep_path&amp;" /spath="&amp;search_path&amp;" /stypes=""*"&amp;S24&amp;"*"&amp;TEXT(A24-utc_offset/24,"YYYYMMDD")&amp;"*"" /stext="" "&amp;TEXT(A24-utc_offset/24,"HH")&amp;search_regexp&amp;""" /e /r /s"</f>
        <v>"C:\Program Files (x86)\AstroGrep\AstroGrep.exe" /spath="C:\Users\stu\Documents\Analysis\2016-02-23 RTDC Observations" /stypes="*4039*20160722*" /stext=" 12:.+((prompt.+disp)|(slice.+state.+chan)|(ment ac)|(system.+state.+chan)|(\|lc)|(penalty)|(\[timeout))" /e /r /s</v>
      </c>
      <c r="S24" s="9" t="str">
        <f>MID(B24,13,4)</f>
        <v>4039</v>
      </c>
      <c r="T24" s="48">
        <f>A24+6/24</f>
        <v>42573.530821759261</v>
      </c>
      <c r="U24" s="69" t="str">
        <f>IF(VALUE(LEFT(IF(LEN(C24)=6,"0"&amp;C24,C24),4))&lt;300,"EC","NWGL")</f>
        <v>EC</v>
      </c>
      <c r="V24" s="69" t="str">
        <f>IF(AND(E24="TRACK WARRANT AUTHORITY",G24&lt;10),"OMIT","KEEP")</f>
        <v>KEEP</v>
      </c>
    </row>
    <row r="25" spans="1:22" x14ac:dyDescent="0.25">
      <c r="A25" s="48">
        <v>42573.200624999998</v>
      </c>
      <c r="B25" s="65" t="s">
        <v>109</v>
      </c>
      <c r="C25" s="41" t="s">
        <v>412</v>
      </c>
      <c r="D25" s="41" t="s">
        <v>50</v>
      </c>
      <c r="E25" s="65" t="s">
        <v>51</v>
      </c>
      <c r="F25" s="66">
        <v>0</v>
      </c>
      <c r="G25" s="66">
        <v>41</v>
      </c>
      <c r="H25" s="66">
        <v>145</v>
      </c>
      <c r="I25" s="65" t="s">
        <v>52</v>
      </c>
      <c r="J25" s="66">
        <v>1</v>
      </c>
      <c r="K25" s="41" t="s">
        <v>54</v>
      </c>
      <c r="L25" s="93" t="str">
        <f>VLOOKUP(C25,'Trips&amp;Operators'!$C$1:$E$9999,3,0)</f>
        <v>MAELZER</v>
      </c>
      <c r="M25" s="9" t="s">
        <v>100</v>
      </c>
      <c r="N25" s="10"/>
      <c r="O25" s="41"/>
      <c r="P25" s="72" t="str">
        <f>VLOOKUP(C25,'Train Runs'!$A$13:$AE$803,31,0)</f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Q25" s="70" t="str">
        <f>VLOOKUP(C25,'Train Runs'!$A$13:$AE$803,22,0)</f>
        <v>https://search-rtdc-monitor-bjffxe2xuh6vdkpspy63sjmuny.us-east-1.es.amazonaws.com/_plugin/kibana/#/discover/Steve-Slow-Train-Analysis-(2080s-and-2083s)?_g=(refreshInterval:(display:Off,section:0,value:0),time:(from:'2016-07-22 03:03:08-0600',mode:absolute,to:'2016-07-22 05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5" s="71" t="str">
        <f>astrogrep_path&amp;" /spath="&amp;search_path&amp;" /stypes=""*"&amp;S25&amp;"*"&amp;TEXT(A25-utc_offset/24,"YYYYMMDD")&amp;"*"" /stext="" "&amp;TEXT(A25-utc_offset/24,"HH")&amp;search_regexp&amp;""" /e /r /s"</f>
        <v>"C:\Program Files (x86)\AstroGrep\AstroGrep.exe" /spath="C:\Users\stu\Documents\Analysis\2016-02-23 RTDC Observations" /stypes="*4013*20160722*" /stext=" 10:.+((prompt.+disp)|(slice.+state.+chan)|(ment ac)|(system.+state.+chan)|(\|lc)|(penalty)|(\[timeout))" /e /r /s</v>
      </c>
      <c r="S25" s="9" t="str">
        <f>MID(B25,13,4)</f>
        <v>4013</v>
      </c>
      <c r="T25" s="48">
        <f>A25+6/24</f>
        <v>42573.450624999998</v>
      </c>
      <c r="U25" s="69" t="str">
        <f>IF(VALUE(LEFT(IF(LEN(C25)=6,"0"&amp;C25,C25),4))&lt;300,"EC","NWGL")</f>
        <v>EC</v>
      </c>
      <c r="V25" s="69" t="str">
        <f>IF(AND(E25="TRACK WARRANT AUTHORITY",G25&lt;10),"OMIT","KEEP")</f>
        <v>KEEP</v>
      </c>
    </row>
    <row r="26" spans="1:22" hidden="1" x14ac:dyDescent="0.25">
      <c r="A26" s="48">
        <v>42573.223171296297</v>
      </c>
      <c r="B26" s="65" t="s">
        <v>72</v>
      </c>
      <c r="C26" s="41" t="s">
        <v>417</v>
      </c>
      <c r="D26" s="41" t="s">
        <v>50</v>
      </c>
      <c r="E26" s="65" t="s">
        <v>51</v>
      </c>
      <c r="F26" s="66">
        <v>0</v>
      </c>
      <c r="G26" s="66">
        <v>5</v>
      </c>
      <c r="H26" s="66">
        <v>119</v>
      </c>
      <c r="I26" s="65" t="s">
        <v>52</v>
      </c>
      <c r="J26" s="66">
        <v>1</v>
      </c>
      <c r="K26" s="41" t="s">
        <v>54</v>
      </c>
      <c r="L26" s="93" t="str">
        <f>VLOOKUP(C26,'Trips&amp;Operators'!$C$1:$E$9999,3,0)</f>
        <v>NELSON</v>
      </c>
      <c r="M26" s="9" t="s">
        <v>100</v>
      </c>
      <c r="N26" s="10"/>
      <c r="O26" s="41"/>
      <c r="P26" s="72" t="str">
        <f>VLOOKUP(C26,'Train Runs'!$A$13:$AE$803,31,0)</f>
        <v>aws s3 cp s3://rtdc.mdm.uploadarchive/RTDC4017/2016-07-22/ "C:\Users\stu\Documents\Analysis\2016-02-23 RTDC Observations"\RTDC4017\2016-07-22 --recursive &amp; "C:\Users\stu\Documents\GitHub\mrs-test-scripts\Headless Mode &amp; Sideloading\WalkAndUnGZ.bat" "C:\Users\stu\Documents\Analysis\2016-02-23 RTDC Observations"\RTDC4017\2016-07-22 &amp; aws s3 cp s3://rtdc.mdm.uploadarchive/RTDC4017/2016-07-23/ "C:\Users\stu\Documents\Analysis\2016-02-23 RTDC Observations"\RTDC4017\2016-07-23 --recursive &amp; "C:\Users\stu\Documents\GitHub\mrs-test-scripts\Headless Mode &amp; Sideloading\WalkAndUnGZ.bat" "C:\Users\stu\Documents\Analysis\2016-02-23 RTDC Observations"\RTDC4017\2016-07-23</v>
      </c>
      <c r="Q26" s="70" t="str">
        <f>VLOOKUP(C26,'Train Runs'!$A$13:$AE$803,22,0)</f>
        <v>https://search-rtdc-monitor-bjffxe2xuh6vdkpspy63sjmuny.us-east-1.es.amazonaws.com/_plugin/kibana/#/discover/Steve-Slow-Train-Analysis-(2080s-and-2083s)?_g=(refreshInterval:(display:Off,section:0,value:0),time:(from:'2016-07-22 03:33:25-0600',mode:absolute,to:'2016-07-22 06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6" s="71" t="str">
        <f>astrogrep_path&amp;" /spath="&amp;search_path&amp;" /stypes=""*"&amp;S26&amp;"*"&amp;TEXT(A26-utc_offset/24,"YYYYMMDD")&amp;"*"" /stext="" "&amp;TEXT(A26-utc_offset/24,"HH")&amp;search_regexp&amp;""" /e /r /s"</f>
        <v>"C:\Program Files (x86)\AstroGrep\AstroGrep.exe" /spath="C:\Users\stu\Documents\Analysis\2016-02-23 RTDC Observations" /stypes="*4017*20160722*" /stext=" 11:.+((prompt.+disp)|(slice.+state.+chan)|(ment ac)|(system.+state.+chan)|(\|lc)|(penalty)|(\[timeout))" /e /r /s</v>
      </c>
      <c r="S26" s="9" t="str">
        <f>MID(B26,13,4)</f>
        <v>4017</v>
      </c>
      <c r="T26" s="48">
        <f>A26+6/24</f>
        <v>42573.473171296297</v>
      </c>
      <c r="U26" s="69" t="str">
        <f>IF(VALUE(LEFT(IF(LEN(C26)=6,"0"&amp;C26,C26),4))&lt;300,"EC","NWGL")</f>
        <v>EC</v>
      </c>
      <c r="V26" s="69" t="str">
        <f>IF(AND(E26="TRACK WARRANT AUTHORITY",G26&lt;10),"OMIT","KEEP")</f>
        <v>OMIT</v>
      </c>
    </row>
    <row r="27" spans="1:22" hidden="1" x14ac:dyDescent="0.25">
      <c r="A27" s="48">
        <v>42573.241944444446</v>
      </c>
      <c r="B27" s="65" t="s">
        <v>623</v>
      </c>
      <c r="C27" s="41" t="s">
        <v>422</v>
      </c>
      <c r="D27" s="41" t="s">
        <v>50</v>
      </c>
      <c r="E27" s="65" t="s">
        <v>51</v>
      </c>
      <c r="F27" s="66">
        <v>0</v>
      </c>
      <c r="G27" s="66">
        <v>5</v>
      </c>
      <c r="H27" s="66">
        <v>127</v>
      </c>
      <c r="I27" s="65" t="s">
        <v>52</v>
      </c>
      <c r="J27" s="66">
        <v>1</v>
      </c>
      <c r="K27" s="41" t="s">
        <v>54</v>
      </c>
      <c r="L27" s="93" t="str">
        <f>VLOOKUP(C27,'Trips&amp;Operators'!$C$1:$E$9999,3,0)</f>
        <v>MALAVE</v>
      </c>
      <c r="M27" s="9" t="s">
        <v>100</v>
      </c>
      <c r="N27" s="10"/>
      <c r="O27" s="41"/>
      <c r="P27" s="72" t="str">
        <f>VLOOKUP(C27,'Train Runs'!$A$13:$AE$803,31,0)</f>
        <v>aws s3 cp s3://rtdc.mdm.uploadarchive/RTDC4037/2016-07-22/ "C:\Users\stu\Documents\Analysis\2016-02-23 RTDC Observations"\RTDC4037\2016-07-22 --recursive &amp; "C:\Users\stu\Documents\GitHub\mrs-test-scripts\Headless Mode &amp; Sideloading\WalkAndUnGZ.bat" "C:\Users\stu\Documents\Analysis\2016-02-23 RTDC Observations"\RTDC4037\2016-07-22 &amp; aws s3 cp s3://rtdc.mdm.uploadarchive/RTDC4037/2016-07-23/ "C:\Users\stu\Documents\Analysis\2016-02-23 RTDC Observations"\RTDC4037\2016-07-23 --recursive &amp; "C:\Users\stu\Documents\GitHub\mrs-test-scripts\Headless Mode &amp; Sideloading\WalkAndUnGZ.bat" "C:\Users\stu\Documents\Analysis\2016-02-23 RTDC Observations"\RTDC4037\2016-07-23</v>
      </c>
      <c r="Q27" s="70" t="str">
        <f>VLOOKUP(C27,'Train Runs'!$A$13:$AE$803,22,0)</f>
        <v>https://search-rtdc-monitor-bjffxe2xuh6vdkpspy63sjmuny.us-east-1.es.amazonaws.com/_plugin/kibana/#/discover/Steve-Slow-Train-Analysis-(2080s-and-2083s)?_g=(refreshInterval:(display:Off,section:0,value:0),time:(from:'2016-07-22 04:08:20-0600',mode:absolute,to:'2016-07-22 06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7" s="71" t="str">
        <f>astrogrep_path&amp;" /spath="&amp;search_path&amp;" /stypes=""*"&amp;S27&amp;"*"&amp;TEXT(A27-utc_offset/24,"YYYYMMDD")&amp;"*"" /stext="" "&amp;TEXT(A27-utc_offset/24,"HH")&amp;search_regexp&amp;""" /e /r /s"</f>
        <v>"C:\Program Files (x86)\AstroGrep\AstroGrep.exe" /spath="C:\Users\stu\Documents\Analysis\2016-02-23 RTDC Observations" /stypes="*4037*20160722*" /stext=" 11:.+((prompt.+disp)|(slice.+state.+chan)|(ment ac)|(system.+state.+chan)|(\|lc)|(penalty)|(\[timeout))" /e /r /s</v>
      </c>
      <c r="S27" s="9" t="str">
        <f>MID(B27,13,4)</f>
        <v>4037</v>
      </c>
      <c r="T27" s="48">
        <f>A27+6/24</f>
        <v>42573.491944444446</v>
      </c>
      <c r="U27" s="69" t="str">
        <f>IF(VALUE(LEFT(IF(LEN(C27)=6,"0"&amp;C27,C27),4))&lt;300,"EC","NWGL")</f>
        <v>EC</v>
      </c>
      <c r="V27" s="69" t="str">
        <f>IF(AND(E27="TRACK WARRANT AUTHORITY",G27&lt;10),"OMIT","KEEP")</f>
        <v>OMIT</v>
      </c>
    </row>
    <row r="28" spans="1:22" x14ac:dyDescent="0.25">
      <c r="A28" s="48">
        <v>42573.283148148148</v>
      </c>
      <c r="B28" s="65" t="s">
        <v>109</v>
      </c>
      <c r="C28" s="41" t="s">
        <v>437</v>
      </c>
      <c r="D28" s="41" t="s">
        <v>50</v>
      </c>
      <c r="E28" s="65" t="s">
        <v>51</v>
      </c>
      <c r="F28" s="66">
        <v>0</v>
      </c>
      <c r="G28" s="66">
        <v>48</v>
      </c>
      <c r="H28" s="66">
        <v>174</v>
      </c>
      <c r="I28" s="65" t="s">
        <v>52</v>
      </c>
      <c r="J28" s="66">
        <v>1</v>
      </c>
      <c r="K28" s="41" t="s">
        <v>54</v>
      </c>
      <c r="L28" s="93" t="str">
        <f>VLOOKUP(C28,'Trips&amp;Operators'!$C$1:$E$9999,3,0)</f>
        <v>MAELZER</v>
      </c>
      <c r="M28" s="9" t="s">
        <v>100</v>
      </c>
      <c r="N28" s="10"/>
      <c r="O28" s="41"/>
      <c r="P28" s="72" t="str">
        <f>VLOOKUP(C28,'Train Runs'!$A$13:$AE$803,31,0)</f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Q28" s="70" t="str">
        <f>VLOOKUP(C28,'Train Runs'!$A$13:$AE$803,22,0)</f>
        <v>https://search-rtdc-monitor-bjffxe2xuh6vdkpspy63sjmuny.us-east-1.es.amazonaws.com/_plugin/kibana/#/discover/Steve-Slow-Train-Analysis-(2080s-and-2083s)?_g=(refreshInterval:(display:Off,section:0,value:0),time:(from:'2016-07-22 05:05:51-0600',mode:absolute,to:'2016-07-22 07:47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8" s="71" t="str">
        <f>astrogrep_path&amp;" /spath="&amp;search_path&amp;" /stypes=""*"&amp;S28&amp;"*"&amp;TEXT(A28-utc_offset/24,"YYYYMMDD")&amp;"*"" /stext="" "&amp;TEXT(A28-utc_offset/24,"HH")&amp;search_regexp&amp;""" /e /r /s"</f>
        <v>"C:\Program Files (x86)\AstroGrep\AstroGrep.exe" /spath="C:\Users\stu\Documents\Analysis\2016-02-23 RTDC Observations" /stypes="*4013*20160722*" /stext=" 12:.+((prompt.+disp)|(slice.+state.+chan)|(ment ac)|(system.+state.+chan)|(\|lc)|(penalty)|(\[timeout))" /e /r /s</v>
      </c>
      <c r="S28" s="9" t="str">
        <f>MID(B28,13,4)</f>
        <v>4013</v>
      </c>
      <c r="T28" s="48">
        <f>A28+6/24</f>
        <v>42573.533148148148</v>
      </c>
      <c r="U28" s="69" t="str">
        <f>IF(VALUE(LEFT(IF(LEN(C28)=6,"0"&amp;C28,C28),4))&lt;300,"EC","NWGL")</f>
        <v>EC</v>
      </c>
      <c r="V28" s="69" t="str">
        <f>IF(AND(E28="TRACK WARRANT AUTHORITY",G28&lt;10),"OMIT","KEEP")</f>
        <v>KEEP</v>
      </c>
    </row>
    <row r="29" spans="1:22" x14ac:dyDescent="0.25">
      <c r="A29" s="48">
        <v>42573.345879629633</v>
      </c>
      <c r="B29" s="65" t="s">
        <v>111</v>
      </c>
      <c r="C29" s="41" t="s">
        <v>459</v>
      </c>
      <c r="D29" s="41" t="s">
        <v>50</v>
      </c>
      <c r="E29" s="65" t="s">
        <v>51</v>
      </c>
      <c r="F29" s="66">
        <v>0</v>
      </c>
      <c r="G29" s="66">
        <v>45</v>
      </c>
      <c r="H29" s="66">
        <v>172</v>
      </c>
      <c r="I29" s="65" t="s">
        <v>52</v>
      </c>
      <c r="J29" s="66">
        <v>1</v>
      </c>
      <c r="K29" s="41" t="s">
        <v>54</v>
      </c>
      <c r="L29" s="93" t="str">
        <f>VLOOKUP(C29,'Trips&amp;Operators'!$C$1:$E$9999,3,0)</f>
        <v>SPECTOR</v>
      </c>
      <c r="M29" s="9" t="s">
        <v>100</v>
      </c>
      <c r="N29" s="10"/>
      <c r="O29" s="41"/>
      <c r="P29" s="72" t="str">
        <f>VLOOKUP(C29,'Train Runs'!$A$13:$AE$803,31,0)</f>
        <v>aws s3 cp s3://rtdc.mdm.uploadarchive/RTDC4028/2016-07-22/ "C:\Users\stu\Documents\Analysis\2016-02-23 RTDC Observations"\RTDC4028\2016-07-22 --recursive &amp; "C:\Users\stu\Documents\GitHub\mrs-test-scripts\Headless Mode &amp; Sideloading\WalkAndUnGZ.bat" "C:\Users\stu\Documents\Analysis\2016-02-23 RTDC Observations"\RTDC4028\2016-07-22 &amp; aws s3 cp s3://rtdc.mdm.uploadarchive/RTDC4028/2016-07-23/ "C:\Users\stu\Documents\Analysis\2016-02-23 RTDC Observations"\RTDC4028\2016-07-23 --recursive &amp; "C:\Users\stu\Documents\GitHub\mrs-test-scripts\Headless Mode &amp; Sideloading\WalkAndUnGZ.bat" "C:\Users\stu\Documents\Analysis\2016-02-23 RTDC Observations"\RTDC4028\2016-07-23</v>
      </c>
      <c r="Q29" s="70" t="str">
        <f>VLOOKUP(C29,'Train Runs'!$A$13:$AE$803,22,0)</f>
        <v>https://search-rtdc-monitor-bjffxe2xuh6vdkpspy63sjmuny.us-east-1.es.amazonaws.com/_plugin/kibana/#/discover/Steve-Slow-Train-Analysis-(2080s-and-2083s)?_g=(refreshInterval:(display:Off,section:0,value:0),time:(from:'2016-07-22 06:32:54-0600',mode:absolute,to:'2016-07-22 09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9" s="71" t="str">
        <f>astrogrep_path&amp;" /spath="&amp;search_path&amp;" /stypes=""*"&amp;S29&amp;"*"&amp;TEXT(A29-utc_offset/24,"YYYYMMDD")&amp;"*"" /stext="" "&amp;TEXT(A29-utc_offset/24,"HH")&amp;search_regexp&amp;""" /e /r /s"</f>
        <v>"C:\Program Files (x86)\AstroGrep\AstroGrep.exe" /spath="C:\Users\stu\Documents\Analysis\2016-02-23 RTDC Observations" /stypes="*4028*20160722*" /stext=" 14:.+((prompt.+disp)|(slice.+state.+chan)|(ment ac)|(system.+state.+chan)|(\|lc)|(penalty)|(\[timeout))" /e /r /s</v>
      </c>
      <c r="S29" s="9" t="str">
        <f>MID(B29,13,4)</f>
        <v>4028</v>
      </c>
      <c r="T29" s="48">
        <f>A29+6/24</f>
        <v>42573.595879629633</v>
      </c>
      <c r="U29" s="69" t="str">
        <f>IF(VALUE(LEFT(IF(LEN(C29)=6,"0"&amp;C29,C29),4))&lt;300,"EC","NWGL")</f>
        <v>EC</v>
      </c>
      <c r="V29" s="69" t="str">
        <f>IF(AND(E29="TRACK WARRANT AUTHORITY",G29&lt;10),"OMIT","KEEP")</f>
        <v>KEEP</v>
      </c>
    </row>
    <row r="30" spans="1:22" hidden="1" x14ac:dyDescent="0.25">
      <c r="A30" s="48">
        <v>42573.502245370371</v>
      </c>
      <c r="B30" s="65" t="s">
        <v>109</v>
      </c>
      <c r="C30" s="41" t="s">
        <v>501</v>
      </c>
      <c r="D30" s="41" t="s">
        <v>50</v>
      </c>
      <c r="E30" s="65" t="s">
        <v>51</v>
      </c>
      <c r="F30" s="66">
        <v>0</v>
      </c>
      <c r="G30" s="66">
        <v>3</v>
      </c>
      <c r="H30" s="66">
        <v>125</v>
      </c>
      <c r="I30" s="65" t="s">
        <v>52</v>
      </c>
      <c r="J30" s="66">
        <v>1</v>
      </c>
      <c r="K30" s="41" t="s">
        <v>54</v>
      </c>
      <c r="L30" s="93" t="str">
        <f>VLOOKUP(C30,'Trips&amp;Operators'!$C$1:$E$9999,3,0)</f>
        <v>DE LA ROSA</v>
      </c>
      <c r="M30" s="9" t="s">
        <v>100</v>
      </c>
      <c r="N30" s="10"/>
      <c r="O30" s="41"/>
      <c r="P30" s="72" t="str">
        <f>VLOOKUP(C30,'Train Runs'!$A$13:$AE$803,31,0)</f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Q30" s="70" t="str">
        <f>VLOOKUP(C30,'Train Runs'!$A$13:$AE$803,22,0)</f>
        <v>https://search-rtdc-monitor-bjffxe2xuh6vdkpspy63sjmuny.us-east-1.es.amazonaws.com/_plugin/kibana/#/discover/Steve-Slow-Train-Analysis-(2080s-and-2083s)?_g=(refreshInterval:(display:Off,section:0,value:0),time:(from:'2016-07-22 10:21:22-0600',mode:absolute,to:'2016-07-22 13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0" s="71" t="str">
        <f>astrogrep_path&amp;" /spath="&amp;search_path&amp;" /stypes=""*"&amp;S30&amp;"*"&amp;TEXT(A30-utc_offset/24,"YYYYMMDD")&amp;"*"" /stext="" "&amp;TEXT(A30-utc_offset/24,"HH")&amp;search_regexp&amp;""" /e /r /s"</f>
        <v>"C:\Program Files (x86)\AstroGrep\AstroGrep.exe" /spath="C:\Users\stu\Documents\Analysis\2016-02-23 RTDC Observations" /stypes="*4013*20160722*" /stext=" 18:.+((prompt.+disp)|(slice.+state.+chan)|(ment ac)|(system.+state.+chan)|(\|lc)|(penalty)|(\[timeout))" /e /r /s</v>
      </c>
      <c r="S30" s="9" t="str">
        <f>MID(B30,13,4)</f>
        <v>4013</v>
      </c>
      <c r="T30" s="48">
        <f>A30+6/24</f>
        <v>42573.752245370371</v>
      </c>
      <c r="U30" s="69" t="str">
        <f>IF(VALUE(LEFT(IF(LEN(C30)=6,"0"&amp;C30,C30),4))&lt;300,"EC","NWGL")</f>
        <v>EC</v>
      </c>
      <c r="V30" s="69" t="str">
        <f>IF(AND(E30="TRACK WARRANT AUTHORITY",G30&lt;10),"OMIT","KEEP")</f>
        <v>OMIT</v>
      </c>
    </row>
    <row r="31" spans="1:22" hidden="1" x14ac:dyDescent="0.25">
      <c r="A31" s="48">
        <v>42573.547581018516</v>
      </c>
      <c r="B31" s="65" t="s">
        <v>164</v>
      </c>
      <c r="C31" s="41" t="s">
        <v>510</v>
      </c>
      <c r="D31" s="41" t="s">
        <v>50</v>
      </c>
      <c r="E31" s="65" t="s">
        <v>51</v>
      </c>
      <c r="F31" s="66">
        <v>0</v>
      </c>
      <c r="G31" s="66">
        <v>8</v>
      </c>
      <c r="H31" s="66">
        <v>138</v>
      </c>
      <c r="I31" s="65" t="s">
        <v>52</v>
      </c>
      <c r="J31" s="66">
        <v>1</v>
      </c>
      <c r="K31" s="41" t="s">
        <v>54</v>
      </c>
      <c r="L31" s="93" t="str">
        <f>VLOOKUP(C31,'Trips&amp;Operators'!$C$1:$E$9999,3,0)</f>
        <v>HELVIE</v>
      </c>
      <c r="M31" s="9" t="s">
        <v>100</v>
      </c>
      <c r="N31" s="10"/>
      <c r="O31" s="41"/>
      <c r="P31" s="72" t="str">
        <f>VLOOKUP(C31,'Train Runs'!$A$13:$AE$803,31,0)</f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Q31" s="70" t="str">
        <f>VLOOKUP(C31,'Train Runs'!$A$13:$AE$803,22,0)</f>
        <v>https://search-rtdc-monitor-bjffxe2xuh6vdkpspy63sjmuny.us-east-1.es.amazonaws.com/_plugin/kibana/#/discover/Steve-Slow-Train-Analysis-(2080s-and-2083s)?_g=(refreshInterval:(display:Off,section:0,value:0),time:(from:'2016-07-22 11:17:20-0600',mode:absolute,to:'2016-07-22 14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1" s="71" t="str">
        <f>astrogrep_path&amp;" /spath="&amp;search_path&amp;" /stypes=""*"&amp;S31&amp;"*"&amp;TEXT(A31-utc_offset/24,"YYYYMMDD")&amp;"*"" /stext="" "&amp;TEXT(A31-utc_offset/24,"HH")&amp;search_regexp&amp;""" /e /r /s"</f>
        <v>"C:\Program Files (x86)\AstroGrep\AstroGrep.exe" /spath="C:\Users\stu\Documents\Analysis\2016-02-23 RTDC Observations" /stypes="*4041*20160722*" /stext=" 19:.+((prompt.+disp)|(slice.+state.+chan)|(ment ac)|(system.+state.+chan)|(\|lc)|(penalty)|(\[timeout))" /e /r /s</v>
      </c>
      <c r="S31" s="9" t="str">
        <f>MID(B31,13,4)</f>
        <v>4041</v>
      </c>
      <c r="T31" s="48">
        <f>A31+6/24</f>
        <v>42573.797581018516</v>
      </c>
      <c r="U31" s="69" t="str">
        <f>IF(VALUE(LEFT(IF(LEN(C31)=6,"0"&amp;C31,C31),4))&lt;300,"EC","NWGL")</f>
        <v>EC</v>
      </c>
      <c r="V31" s="69" t="str">
        <f>IF(AND(E31="TRACK WARRANT AUTHORITY",G31&lt;10),"OMIT","KEEP")</f>
        <v>OMIT</v>
      </c>
    </row>
    <row r="32" spans="1:22" hidden="1" x14ac:dyDescent="0.25">
      <c r="A32" s="48">
        <v>42573.575671296298</v>
      </c>
      <c r="B32" s="65" t="s">
        <v>109</v>
      </c>
      <c r="C32" s="41" t="s">
        <v>519</v>
      </c>
      <c r="D32" s="41" t="s">
        <v>50</v>
      </c>
      <c r="E32" s="65" t="s">
        <v>51</v>
      </c>
      <c r="F32" s="66">
        <v>0</v>
      </c>
      <c r="G32" s="66">
        <v>9</v>
      </c>
      <c r="H32" s="66">
        <v>114</v>
      </c>
      <c r="I32" s="65" t="s">
        <v>52</v>
      </c>
      <c r="J32" s="66">
        <v>1</v>
      </c>
      <c r="K32" s="41" t="s">
        <v>54</v>
      </c>
      <c r="L32" s="93" t="str">
        <f>VLOOKUP(C32,'Trips&amp;Operators'!$C$1:$E$9999,3,0)</f>
        <v>SHOOK</v>
      </c>
      <c r="M32" s="9" t="s">
        <v>100</v>
      </c>
      <c r="N32" s="10"/>
      <c r="O32" s="41"/>
      <c r="P32" s="72" t="str">
        <f>VLOOKUP(C32,'Train Runs'!$A$13:$AE$803,31,0)</f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Q32" s="70" t="str">
        <f>VLOOKUP(C32,'Train Runs'!$A$13:$AE$803,22,0)</f>
        <v>https://search-rtdc-monitor-bjffxe2xuh6vdkpspy63sjmuny.us-east-1.es.amazonaws.com/_plugin/kibana/#/discover/Steve-Slow-Train-Analysis-(2080s-and-2083s)?_g=(refreshInterval:(display:Off,section:0,value:0),time:(from:'2016-07-22 12:02:15-0600',mode:absolute,to:'2016-07-22 14:49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2" s="71" t="str">
        <f>astrogrep_path&amp;" /spath="&amp;search_path&amp;" /stypes=""*"&amp;S32&amp;"*"&amp;TEXT(A32-utc_offset/24,"YYYYMMDD")&amp;"*"" /stext="" "&amp;TEXT(A32-utc_offset/24,"HH")&amp;search_regexp&amp;""" /e /r /s"</f>
        <v>"C:\Program Files (x86)\AstroGrep\AstroGrep.exe" /spath="C:\Users\stu\Documents\Analysis\2016-02-23 RTDC Observations" /stypes="*4013*20160722*" /stext=" 19:.+((prompt.+disp)|(slice.+state.+chan)|(ment ac)|(system.+state.+chan)|(\|lc)|(penalty)|(\[timeout))" /e /r /s</v>
      </c>
      <c r="S32" s="9" t="str">
        <f>MID(B32,13,4)</f>
        <v>4013</v>
      </c>
      <c r="T32" s="48">
        <f>A32+6/24</f>
        <v>42573.825671296298</v>
      </c>
      <c r="U32" s="69" t="str">
        <f>IF(VALUE(LEFT(IF(LEN(C32)=6,"0"&amp;C32,C32),4))&lt;300,"EC","NWGL")</f>
        <v>EC</v>
      </c>
      <c r="V32" s="69" t="str">
        <f>IF(AND(E32="TRACK WARRANT AUTHORITY",G32&lt;10),"OMIT","KEEP")</f>
        <v>OMIT</v>
      </c>
    </row>
    <row r="33" spans="1:22" x14ac:dyDescent="0.25">
      <c r="A33" s="48">
        <v>42573.629317129627</v>
      </c>
      <c r="B33" s="65" t="s">
        <v>119</v>
      </c>
      <c r="C33" s="41" t="s">
        <v>531</v>
      </c>
      <c r="D33" s="41" t="s">
        <v>50</v>
      </c>
      <c r="E33" s="65" t="s">
        <v>51</v>
      </c>
      <c r="F33" s="66">
        <v>0</v>
      </c>
      <c r="G33" s="66">
        <v>51</v>
      </c>
      <c r="H33" s="66">
        <v>185</v>
      </c>
      <c r="I33" s="65" t="s">
        <v>52</v>
      </c>
      <c r="J33" s="66">
        <v>1</v>
      </c>
      <c r="K33" s="41" t="s">
        <v>54</v>
      </c>
      <c r="L33" s="93" t="str">
        <f>VLOOKUP(C33,'Trips&amp;Operators'!$C$1:$E$9999,3,0)</f>
        <v>MOSES</v>
      </c>
      <c r="M33" s="9" t="s">
        <v>100</v>
      </c>
      <c r="N33" s="10"/>
      <c r="O33" s="41"/>
      <c r="P33" s="72" t="str">
        <f>VLOOKUP(C33,'Train Runs'!$A$13:$AE$803,31,0)</f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Q33" s="70" t="str">
        <f>VLOOKUP(C33,'Train Runs'!$A$13:$AE$803,22,0)</f>
        <v>https://search-rtdc-monitor-bjffxe2xuh6vdkpspy63sjmuny.us-east-1.es.amazonaws.com/_plugin/kibana/#/discover/Steve-Slow-Train-Analysis-(2080s-and-2083s)?_g=(refreshInterval:(display:Off,section:0,value:0),time:(from:'2016-07-22 13:18:52-0600',mode:absolute,to:'2016-07-22 16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3" s="71" t="str">
        <f>astrogrep_path&amp;" /spath="&amp;search_path&amp;" /stypes=""*"&amp;S33&amp;"*"&amp;TEXT(A33-utc_offset/24,"YYYYMMDD")&amp;"*"" /stext="" "&amp;TEXT(A33-utc_offset/24,"HH")&amp;search_regexp&amp;""" /e /r /s"</f>
        <v>"C:\Program Files (x86)\AstroGrep\AstroGrep.exe" /spath="C:\Users\stu\Documents\Analysis\2016-02-23 RTDC Observations" /stypes="*4043*20160722*" /stext=" 21:.+((prompt.+disp)|(slice.+state.+chan)|(ment ac)|(system.+state.+chan)|(\|lc)|(penalty)|(\[timeout))" /e /r /s</v>
      </c>
      <c r="S33" s="9" t="str">
        <f>MID(B33,13,4)</f>
        <v>4043</v>
      </c>
      <c r="T33" s="48">
        <f>A33+6/24</f>
        <v>42573.879317129627</v>
      </c>
      <c r="U33" s="69" t="str">
        <f>IF(VALUE(LEFT(IF(LEN(C33)=6,"0"&amp;C33,C33),4))&lt;300,"EC","NWGL")</f>
        <v>EC</v>
      </c>
      <c r="V33" s="69" t="str">
        <f>IF(AND(E33="TRACK WARRANT AUTHORITY",G33&lt;10),"OMIT","KEEP")</f>
        <v>KEEP</v>
      </c>
    </row>
    <row r="34" spans="1:22" x14ac:dyDescent="0.25">
      <c r="A34" s="48">
        <v>42573.701215277775</v>
      </c>
      <c r="B34" s="65" t="s">
        <v>119</v>
      </c>
      <c r="C34" s="41" t="s">
        <v>549</v>
      </c>
      <c r="D34" s="41" t="s">
        <v>50</v>
      </c>
      <c r="E34" s="65" t="s">
        <v>51</v>
      </c>
      <c r="F34" s="66">
        <v>0</v>
      </c>
      <c r="G34" s="66">
        <v>57</v>
      </c>
      <c r="H34" s="66">
        <v>178</v>
      </c>
      <c r="I34" s="65" t="s">
        <v>52</v>
      </c>
      <c r="J34" s="66">
        <v>1</v>
      </c>
      <c r="K34" s="41" t="s">
        <v>54</v>
      </c>
      <c r="L34" s="93" t="str">
        <f>VLOOKUP(C34,'Trips&amp;Operators'!$C$1:$E$9999,3,0)</f>
        <v>MOSES</v>
      </c>
      <c r="M34" s="9" t="s">
        <v>100</v>
      </c>
      <c r="N34" s="10"/>
      <c r="O34" s="41"/>
      <c r="P34" s="72" t="str">
        <f>VLOOKUP(C34,'Train Runs'!$A$13:$AE$803,31,0)</f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Q34" s="70" t="str">
        <f>VLOOKUP(C34,'Train Runs'!$A$13:$AE$803,22,0)</f>
        <v>https://search-rtdc-monitor-bjffxe2xuh6vdkpspy63sjmuny.us-east-1.es.amazonaws.com/_plugin/kibana/#/discover/Steve-Slow-Train-Analysis-(2080s-and-2083s)?_g=(refreshInterval:(display:Off,section:0,value:0),time:(from:'2016-07-22 15:06:14-0600',mode:absolute,to:'2016-07-22 17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4" s="71" t="str">
        <f>astrogrep_path&amp;" /spath="&amp;search_path&amp;" /stypes=""*"&amp;S34&amp;"*"&amp;TEXT(A34-utc_offset/24,"YYYYMMDD")&amp;"*"" /stext="" "&amp;TEXT(A34-utc_offset/24,"HH")&amp;search_regexp&amp;""" /e /r /s"</f>
        <v>"C:\Program Files (x86)\AstroGrep\AstroGrep.exe" /spath="C:\Users\stu\Documents\Analysis\2016-02-23 RTDC Observations" /stypes="*4043*20160722*" /stext=" 22:.+((prompt.+disp)|(slice.+state.+chan)|(ment ac)|(system.+state.+chan)|(\|lc)|(penalty)|(\[timeout))" /e /r /s</v>
      </c>
      <c r="S34" s="9" t="str">
        <f>MID(B34,13,4)</f>
        <v>4043</v>
      </c>
      <c r="T34" s="48">
        <f>A34+6/24</f>
        <v>42573.951215277775</v>
      </c>
      <c r="U34" s="69" t="str">
        <f>IF(VALUE(LEFT(IF(LEN(C34)=6,"0"&amp;C34,C34),4))&lt;300,"EC","NWGL")</f>
        <v>EC</v>
      </c>
      <c r="V34" s="69" t="str">
        <f>IF(AND(E34="TRACK WARRANT AUTHORITY",G34&lt;10),"OMIT","KEEP")</f>
        <v>KEEP</v>
      </c>
    </row>
    <row r="35" spans="1:22" x14ac:dyDescent="0.25">
      <c r="A35" s="48">
        <v>42573.779236111113</v>
      </c>
      <c r="B35" s="65" t="s">
        <v>119</v>
      </c>
      <c r="C35" s="41" t="s">
        <v>569</v>
      </c>
      <c r="D35" s="41" t="s">
        <v>50</v>
      </c>
      <c r="E35" s="65" t="s">
        <v>51</v>
      </c>
      <c r="F35" s="66">
        <v>0</v>
      </c>
      <c r="G35" s="66">
        <v>69</v>
      </c>
      <c r="H35" s="66">
        <v>229</v>
      </c>
      <c r="I35" s="65" t="s">
        <v>52</v>
      </c>
      <c r="J35" s="66">
        <v>1</v>
      </c>
      <c r="K35" s="41" t="s">
        <v>54</v>
      </c>
      <c r="L35" s="93" t="str">
        <f>VLOOKUP(C35,'Trips&amp;Operators'!$C$1:$E$9999,3,0)</f>
        <v>MOSES</v>
      </c>
      <c r="M35" s="9" t="s">
        <v>100</v>
      </c>
      <c r="N35" s="10"/>
      <c r="O35" s="41"/>
      <c r="P35" s="72" t="str">
        <f>VLOOKUP(C35,'Train Runs'!$A$13:$AE$803,31,0)</f>
        <v>aws s3 cp s3://rtdc.mdm.uploadarchive/RTDC4043/2016-07-22/ "C:\Users\stu\Documents\Analysis\2016-02-23 RTDC Observations"\RTDC4043\2016-07-22 --recursive &amp; "C:\Users\stu\Documents\GitHub\mrs-test-scripts\Headless Mode &amp; Sideloading\WalkAndUnGZ.bat" "C:\Users\stu\Documents\Analysis\2016-02-23 RTDC Observations"\RTDC4043\2016-07-22 &amp; aws s3 cp s3://rtdc.mdm.uploadarchive/RTDC4043/2016-07-23/ "C:\Users\stu\Documents\Analysis\2016-02-23 RTDC Observations"\RTDC4043\2016-07-23 --recursive &amp; "C:\Users\stu\Documents\GitHub\mrs-test-scripts\Headless Mode &amp; Sideloading\WalkAndUnGZ.bat" "C:\Users\stu\Documents\Analysis\2016-02-23 RTDC Observations"\RTDC4043\2016-07-23</v>
      </c>
      <c r="Q35" s="70" t="str">
        <f>VLOOKUP(C35,'Train Runs'!$A$13:$AE$803,22,0)</f>
        <v>https://search-rtdc-monitor-bjffxe2xuh6vdkpspy63sjmuny.us-east-1.es.amazonaws.com/_plugin/kibana/#/discover/Steve-Slow-Train-Analysis-(2080s-and-2083s)?_g=(refreshInterval:(display:Off,section:0,value:0),time:(from:'2016-07-22 16:50:12-0600',mode:absolute,to:'2016-07-22 19:42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5" s="71" t="str">
        <f>astrogrep_path&amp;" /spath="&amp;search_path&amp;" /stypes=""*"&amp;S35&amp;"*"&amp;TEXT(A35-utc_offset/24,"YYYYMMDD")&amp;"*"" /stext="" "&amp;TEXT(A35-utc_offset/24,"HH")&amp;search_regexp&amp;""" /e /r /s"</f>
        <v>"C:\Program Files (x86)\AstroGrep\AstroGrep.exe" /spath="C:\Users\stu\Documents\Analysis\2016-02-23 RTDC Observations" /stypes="*4043*20160723*" /stext=" 00:.+((prompt.+disp)|(slice.+state.+chan)|(ment ac)|(system.+state.+chan)|(\|lc)|(penalty)|(\[timeout))" /e /r /s</v>
      </c>
      <c r="S35" s="9" t="str">
        <f>MID(B35,13,4)</f>
        <v>4043</v>
      </c>
      <c r="T35" s="48">
        <f>A35+6/24</f>
        <v>42574.029236111113</v>
      </c>
      <c r="U35" s="69" t="str">
        <f>IF(VALUE(LEFT(IF(LEN(C35)=6,"0"&amp;C35,C35),4))&lt;300,"EC","NWGL")</f>
        <v>EC</v>
      </c>
      <c r="V35" s="69" t="str">
        <f>IF(AND(E35="TRACK WARRANT AUTHORITY",G35&lt;10),"OMIT","KEEP")</f>
        <v>KEEP</v>
      </c>
    </row>
    <row r="36" spans="1:22" x14ac:dyDescent="0.25">
      <c r="A36" s="48">
        <v>42573.795925925922</v>
      </c>
      <c r="B36" s="65" t="s">
        <v>109</v>
      </c>
      <c r="C36" s="41" t="s">
        <v>576</v>
      </c>
      <c r="D36" s="41" t="s">
        <v>50</v>
      </c>
      <c r="E36" s="65" t="s">
        <v>51</v>
      </c>
      <c r="F36" s="66">
        <v>0</v>
      </c>
      <c r="G36" s="66">
        <v>45</v>
      </c>
      <c r="H36" s="66">
        <v>126</v>
      </c>
      <c r="I36" s="65" t="s">
        <v>52</v>
      </c>
      <c r="J36" s="66">
        <v>1</v>
      </c>
      <c r="K36" s="41" t="s">
        <v>54</v>
      </c>
      <c r="L36" s="93" t="str">
        <f>VLOOKUP(C36,'Trips&amp;Operators'!$C$1:$E$9999,3,0)</f>
        <v>SHOOK</v>
      </c>
      <c r="M36" s="9" t="s">
        <v>100</v>
      </c>
      <c r="N36" s="10"/>
      <c r="O36" s="41"/>
      <c r="P36" s="72" t="str">
        <f>VLOOKUP(C36,'Train Runs'!$A$13:$AE$803,31,0)</f>
        <v>aws s3 cp s3://rtdc.mdm.uploadarchive/RTDC4013/2016-07-22/ "C:\Users\stu\Documents\Analysis\2016-02-23 RTDC Observations"\RTDC4013\2016-07-22 --recursive &amp; "C:\Users\stu\Documents\GitHub\mrs-test-scripts\Headless Mode &amp; Sideloading\WalkAndUnGZ.bat" "C:\Users\stu\Documents\Analysis\2016-02-23 RTDC Observations"\RTDC4013\2016-07-22 &amp; aws s3 cp s3://rtdc.mdm.uploadarchive/RTDC4013/2016-07-23/ "C:\Users\stu\Documents\Analysis\2016-02-23 RTDC Observations"\RTDC4013\2016-07-23 --recursive &amp; "C:\Users\stu\Documents\GitHub\mrs-test-scripts\Headless Mode &amp; Sideloading\WalkAndUnGZ.bat" "C:\Users\stu\Documents\Analysis\2016-02-23 RTDC Observations"\RTDC4013\2016-07-23</v>
      </c>
      <c r="Q36" s="70" t="str">
        <f>VLOOKUP(C36,'Train Runs'!$A$13:$AE$803,22,0)</f>
        <v>https://search-rtdc-monitor-bjffxe2xuh6vdkpspy63sjmuny.us-east-1.es.amazonaws.com/_plugin/kibana/#/discover/Steve-Slow-Train-Analysis-(2080s-and-2083s)?_g=(refreshInterval:(display:Off,section:0,value:0),time:(from:'2016-07-22 17:20:50-0600',mode:absolute,to:'2016-07-22 20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6" s="71" t="str">
        <f>astrogrep_path&amp;" /spath="&amp;search_path&amp;" /stypes=""*"&amp;S36&amp;"*"&amp;TEXT(A36-utc_offset/24,"YYYYMMDD")&amp;"*"" /stext="" "&amp;TEXT(A36-utc_offset/24,"HH")&amp;search_regexp&amp;""" /e /r /s"</f>
        <v>"C:\Program Files (x86)\AstroGrep\AstroGrep.exe" /spath="C:\Users\stu\Documents\Analysis\2016-02-23 RTDC Observations" /stypes="*4013*20160723*" /stext=" 01:.+((prompt.+disp)|(slice.+state.+chan)|(ment ac)|(system.+state.+chan)|(\|lc)|(penalty)|(\[timeout))" /e /r /s</v>
      </c>
      <c r="S36" s="9" t="str">
        <f>MID(B36,13,4)</f>
        <v>4013</v>
      </c>
      <c r="T36" s="48">
        <f>A36+6/24</f>
        <v>42574.045925925922</v>
      </c>
      <c r="U36" s="69" t="str">
        <f>IF(VALUE(LEFT(IF(LEN(C36)=6,"0"&amp;C36,C36),4))&lt;300,"EC","NWGL")</f>
        <v>EC</v>
      </c>
      <c r="V36" s="69" t="str">
        <f>IF(AND(E36="TRACK WARRANT AUTHORITY",G36&lt;10),"OMIT","KEEP")</f>
        <v>KEEP</v>
      </c>
    </row>
    <row r="37" spans="1:22" hidden="1" x14ac:dyDescent="0.25">
      <c r="A37" s="48">
        <v>42573.819953703707</v>
      </c>
      <c r="B37" s="65" t="s">
        <v>69</v>
      </c>
      <c r="C37" s="41" t="s">
        <v>584</v>
      </c>
      <c r="D37" s="41" t="s">
        <v>50</v>
      </c>
      <c r="E37" s="65" t="s">
        <v>51</v>
      </c>
      <c r="F37" s="66">
        <v>0</v>
      </c>
      <c r="G37" s="66">
        <v>8</v>
      </c>
      <c r="H37" s="66">
        <v>127</v>
      </c>
      <c r="I37" s="65" t="s">
        <v>52</v>
      </c>
      <c r="J37" s="66">
        <v>1</v>
      </c>
      <c r="K37" s="41" t="s">
        <v>54</v>
      </c>
      <c r="L37" s="93" t="str">
        <f>VLOOKUP(C37,'Trips&amp;Operators'!$C$1:$E$9999,3,0)</f>
        <v>WEBSTER</v>
      </c>
      <c r="M37" s="9" t="s">
        <v>100</v>
      </c>
      <c r="N37" s="10"/>
      <c r="O37" s="41"/>
      <c r="P37" s="72" t="str">
        <f>VLOOKUP(C37,'Train Runs'!$A$13:$AE$803,31,0)</f>
        <v>aws s3 cp s3://rtdc.mdm.uploadarchive/RTDC4019/2016-07-22/ "C:\Users\stu\Documents\Analysis\2016-02-23 RTDC Observations"\RTDC4019\2016-07-22 --recursive &amp; "C:\Users\stu\Documents\GitHub\mrs-test-scripts\Headless Mode &amp; Sideloading\WalkAndUnGZ.bat" "C:\Users\stu\Documents\Analysis\2016-02-23 RTDC Observations"\RTDC4019\2016-07-22 &amp; aws s3 cp s3://rtdc.mdm.uploadarchive/RTDC4019/2016-07-23/ "C:\Users\stu\Documents\Analysis\2016-02-23 RTDC Observations"\RTDC4019\2016-07-23 --recursive &amp; "C:\Users\stu\Documents\GitHub\mrs-test-scripts\Headless Mode &amp; Sideloading\WalkAndUnGZ.bat" "C:\Users\stu\Documents\Analysis\2016-02-23 RTDC Observations"\RTDC4019\2016-07-23</v>
      </c>
      <c r="Q37" s="70" t="str">
        <f>VLOOKUP(C37,'Train Runs'!$A$13:$AE$803,22,0)</f>
        <v>https://search-rtdc-monitor-bjffxe2xuh6vdkpspy63sjmuny.us-east-1.es.amazonaws.com/_plugin/kibana/#/discover/Steve-Slow-Train-Analysis-(2080s-and-2083s)?_g=(refreshInterval:(display:Off,section:0,value:0),time:(from:'2016-07-22 17:49:53-0600',mode:absolute,to:'2016-07-22 20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7" s="71" t="str">
        <f>astrogrep_path&amp;" /spath="&amp;search_path&amp;" /stypes=""*"&amp;S37&amp;"*"&amp;TEXT(A37-utc_offset/24,"YYYYMMDD")&amp;"*"" /stext="" "&amp;TEXT(A37-utc_offset/24,"HH")&amp;search_regexp&amp;""" /e /r /s"</f>
        <v>"C:\Program Files (x86)\AstroGrep\AstroGrep.exe" /spath="C:\Users\stu\Documents\Analysis\2016-02-23 RTDC Observations" /stypes="*4019*20160723*" /stext=" 01:.+((prompt.+disp)|(slice.+state.+chan)|(ment ac)|(system.+state.+chan)|(\|lc)|(penalty)|(\[timeout))" /e /r /s</v>
      </c>
      <c r="S37" s="9" t="str">
        <f>MID(B37,13,4)</f>
        <v>4019</v>
      </c>
      <c r="T37" s="48">
        <f>A37+6/24</f>
        <v>42574.069953703707</v>
      </c>
      <c r="U37" s="69" t="str">
        <f>IF(VALUE(LEFT(IF(LEN(C37)=6,"0"&amp;C37,C37),4))&lt;300,"EC","NWGL")</f>
        <v>EC</v>
      </c>
      <c r="V37" s="69" t="str">
        <f>IF(AND(E37="TRACK WARRANT AUTHORITY",G37&lt;10),"OMIT","KEEP")</f>
        <v>OMIT</v>
      </c>
    </row>
    <row r="38" spans="1:22" ht="15" hidden="1" customHeight="1" x14ac:dyDescent="0.25">
      <c r="A38" s="48">
        <v>42573.8356712963</v>
      </c>
      <c r="B38" s="65" t="s">
        <v>164</v>
      </c>
      <c r="C38" s="41" t="s">
        <v>592</v>
      </c>
      <c r="D38" s="41" t="s">
        <v>50</v>
      </c>
      <c r="E38" s="65" t="s">
        <v>51</v>
      </c>
      <c r="F38" s="66">
        <v>0</v>
      </c>
      <c r="G38" s="66">
        <v>8</v>
      </c>
      <c r="H38" s="66">
        <v>132</v>
      </c>
      <c r="I38" s="65" t="s">
        <v>52</v>
      </c>
      <c r="J38" s="66">
        <v>1</v>
      </c>
      <c r="K38" s="41" t="s">
        <v>54</v>
      </c>
      <c r="L38" s="93" t="str">
        <f>VLOOKUP(C38,'Trips&amp;Operators'!$C$1:$E$9999,3,0)</f>
        <v>STURGEON</v>
      </c>
      <c r="M38" s="9" t="s">
        <v>100</v>
      </c>
      <c r="N38" s="10"/>
      <c r="O38" s="41"/>
      <c r="P38" s="72" t="str">
        <f>VLOOKUP(C38,'Train Runs'!$A$13:$AE$803,31,0)</f>
        <v>aws s3 cp s3://rtdc.mdm.uploadarchive/RTDC4041/2016-07-22/ "C:\Users\stu\Documents\Analysis\2016-02-23 RTDC Observations"\RTDC4041\2016-07-22 --recursive &amp; "C:\Users\stu\Documents\GitHub\mrs-test-scripts\Headless Mode &amp; Sideloading\WalkAndUnGZ.bat" "C:\Users\stu\Documents\Analysis\2016-02-23 RTDC Observations"\RTDC4041\2016-07-22 &amp; aws s3 cp s3://rtdc.mdm.uploadarchive/RTDC4041/2016-07-23/ "C:\Users\stu\Documents\Analysis\2016-02-23 RTDC Observations"\RTDC4041\2016-07-23 --recursive &amp; "C:\Users\stu\Documents\GitHub\mrs-test-scripts\Headless Mode &amp; Sideloading\WalkAndUnGZ.bat" "C:\Users\stu\Documents\Analysis\2016-02-23 RTDC Observations"\RTDC4041\2016-07-23</v>
      </c>
      <c r="Q38" s="70" t="str">
        <f>VLOOKUP(C38,'Train Runs'!$A$13:$AE$803,22,0)</f>
        <v>https://search-rtdc-monitor-bjffxe2xuh6vdkpspy63sjmuny.us-east-1.es.amazonaws.com/_plugin/kibana/#/discover/Steve-Slow-Train-Analysis-(2080s-and-2083s)?_g=(refreshInterval:(display:Off,section:0,value:0),time:(from:'2016-07-22 18:18:40-0600',mode:absolute,to:'2016-07-22 21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8" s="71" t="str">
        <f>astrogrep_path&amp;" /spath="&amp;search_path&amp;" /stypes=""*"&amp;S38&amp;"*"&amp;TEXT(A38-utc_offset/24,"YYYYMMDD")&amp;"*"" /stext="" "&amp;TEXT(A38-utc_offset/24,"HH")&amp;search_regexp&amp;""" /e /r /s"</f>
        <v>"C:\Program Files (x86)\AstroGrep\AstroGrep.exe" /spath="C:\Users\stu\Documents\Analysis\2016-02-23 RTDC Observations" /stypes="*4041*20160723*" /stext=" 02:.+((prompt.+disp)|(slice.+state.+chan)|(ment ac)|(system.+state.+chan)|(\|lc)|(penalty)|(\[timeout))" /e /r /s</v>
      </c>
      <c r="S38" s="9" t="str">
        <f>MID(B38,13,4)</f>
        <v>4041</v>
      </c>
      <c r="T38" s="48">
        <f>A38+6/24</f>
        <v>42574.0856712963</v>
      </c>
      <c r="U38" s="69" t="str">
        <f>IF(VALUE(LEFT(IF(LEN(C38)=6,"0"&amp;C38,C38),4))&lt;300,"EC","NWGL")</f>
        <v>EC</v>
      </c>
      <c r="V38" s="69" t="str">
        <f>IF(AND(E38="TRACK WARRANT AUTHORITY",G38&lt;10),"OMIT","KEEP")</f>
        <v>OMIT</v>
      </c>
    </row>
    <row r="39" spans="1:22" ht="15" customHeight="1" x14ac:dyDescent="0.25">
      <c r="A39" s="48">
        <v>42573.900069444448</v>
      </c>
      <c r="B39" s="65" t="s">
        <v>145</v>
      </c>
      <c r="C39" s="41" t="s">
        <v>598</v>
      </c>
      <c r="D39" s="41" t="s">
        <v>50</v>
      </c>
      <c r="E39" s="65" t="s">
        <v>51</v>
      </c>
      <c r="F39" s="66">
        <v>0</v>
      </c>
      <c r="G39" s="66">
        <v>60</v>
      </c>
      <c r="H39" s="66">
        <v>234</v>
      </c>
      <c r="I39" s="65" t="s">
        <v>52</v>
      </c>
      <c r="J39" s="66">
        <v>1</v>
      </c>
      <c r="K39" s="41" t="s">
        <v>54</v>
      </c>
      <c r="L39" s="93" t="str">
        <f>VLOOKUP(C39,'Trips&amp;Operators'!$C$1:$E$9999,3,0)</f>
        <v>CHANDLER</v>
      </c>
      <c r="M39" s="9" t="s">
        <v>100</v>
      </c>
      <c r="N39" s="10"/>
      <c r="O39" s="41"/>
      <c r="P39" s="72" t="str">
        <f>VLOOKUP(C39,'Train Runs'!$A$13:$AE$803,31,0)</f>
        <v>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 &amp; aws s3 cp s3://rtdc.mdm.uploadarchive/RTDC4015/2016-07-23/ "C:\Users\stu\Documents\Analysis\2016-02-23 RTDC Observations"\RTDC4015\2016-07-23 --recursive &amp; "C:\Users\stu\Documents\GitHub\mrs-test-scripts\Headless Mode &amp; Sideloading\WalkAndUnGZ.bat" "C:\Users\stu\Documents\Analysis\2016-02-23 RTDC Observations"\RTDC4015\2016-07-23</v>
      </c>
      <c r="Q39" s="70" t="str">
        <f>VLOOKUP(C39,'Train Runs'!$A$13:$AE$803,22,0)</f>
        <v>https://search-rtdc-monitor-bjffxe2xuh6vdkpspy63sjmuny.us-east-1.es.amazonaws.com/_plugin/kibana/#/discover/Steve-Slow-Train-Analysis-(2080s-and-2083s)?_g=(refreshInterval:(display:Off,section:0,value:0),time:(from:'2016-07-22 19:53:56-0600',mode:absolute,to:'2016-07-22 22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9" s="71" t="str">
        <f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/stypes="*4015*20160723*" /stext=" 03:.+((prompt.+disp)|(slice.+state.+chan)|(ment ac)|(system.+state.+chan)|(\|lc)|(penalty)|(\[timeout))" /e /r /s</v>
      </c>
      <c r="S39" s="9" t="str">
        <f>MID(B39,13,4)</f>
        <v>4015</v>
      </c>
      <c r="T39" s="48">
        <f>A39+6/24</f>
        <v>42574.150069444448</v>
      </c>
      <c r="U39" s="69" t="str">
        <f>IF(VALUE(LEFT(IF(LEN(C39)=6,"0"&amp;C39,C39),4))&lt;300,"EC","NWGL")</f>
        <v>EC</v>
      </c>
      <c r="V39" s="69" t="str">
        <f>IF(AND(E39="TRACK WARRANT AUTHORITY",G39&lt;10),"OMIT","KEEP")</f>
        <v>KEEP</v>
      </c>
    </row>
    <row r="40" spans="1:22" x14ac:dyDescent="0.25">
      <c r="A40" s="48">
        <v>42573.984733796293</v>
      </c>
      <c r="B40" s="65" t="s">
        <v>145</v>
      </c>
      <c r="C40" s="41" t="s">
        <v>609</v>
      </c>
      <c r="D40" s="41" t="s">
        <v>50</v>
      </c>
      <c r="E40" s="65" t="s">
        <v>51</v>
      </c>
      <c r="F40" s="66">
        <v>0</v>
      </c>
      <c r="G40" s="66">
        <v>54</v>
      </c>
      <c r="H40" s="66">
        <v>192</v>
      </c>
      <c r="I40" s="65" t="s">
        <v>52</v>
      </c>
      <c r="J40" s="66">
        <v>1</v>
      </c>
      <c r="K40" s="41" t="s">
        <v>54</v>
      </c>
      <c r="L40" s="93" t="str">
        <f>VLOOKUP(C40,'Trips&amp;Operators'!$C$1:$E$9999,3,0)</f>
        <v>CHANDLER</v>
      </c>
      <c r="M40" s="9" t="s">
        <v>100</v>
      </c>
      <c r="N40" s="10"/>
      <c r="O40" s="41"/>
      <c r="P40" s="72" t="str">
        <f>VLOOKUP(C40,'Train Runs'!$A$13:$AE$803,31,0)</f>
        <v>aws s3 cp s3://rtdc.mdm.uploadarchive/RTDC4015/2016-07-22/ "C:\Users\stu\Documents\Analysis\2016-02-23 RTDC Observations"\RTDC4015\2016-07-22 --recursive &amp; "C:\Users\stu\Documents\GitHub\mrs-test-scripts\Headless Mode &amp; Sideloading\WalkAndUnGZ.bat" "C:\Users\stu\Documents\Analysis\2016-02-23 RTDC Observations"\RTDC4015\2016-07-22 &amp; aws s3 cp s3://rtdc.mdm.uploadarchive/RTDC4015/2016-07-23/ "C:\Users\stu\Documents\Analysis\2016-02-23 RTDC Observations"\RTDC4015\2016-07-23 --recursive &amp; "C:\Users\stu\Documents\GitHub\mrs-test-scripts\Headless Mode &amp; Sideloading\WalkAndUnGZ.bat" "C:\Users\stu\Documents\Analysis\2016-02-23 RTDC Observations"\RTDC4015\2016-07-23</v>
      </c>
      <c r="Q40" s="70" t="str">
        <f>VLOOKUP(C40,'Train Runs'!$A$13:$AE$803,22,0)</f>
        <v>https://search-rtdc-monitor-bjffxe2xuh6vdkpspy63sjmuny.us-east-1.es.amazonaws.com/_plugin/kibana/#/discover/Steve-Slow-Train-Analysis-(2080s-and-2083s)?_g=(refreshInterval:(display:Off,section:0,value:0),time:(from:'2016-07-22 21:48:34-0600',mode:absolute,to:'2016-07-23 00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0" s="71" t="str">
        <f>astrogrep_path&amp;" /spath="&amp;search_path&amp;" /stypes=""*"&amp;S40&amp;"*"&amp;TEXT(A40-utc_offset/24,"YYYYMMDD")&amp;"*"" /stext="" "&amp;TEXT(A40-utc_offset/24,"HH")&amp;search_regexp&amp;""" /e /r /s"</f>
        <v>"C:\Program Files (x86)\AstroGrep\AstroGrep.exe" /spath="C:\Users\stu\Documents\Analysis\2016-02-23 RTDC Observations" /stypes="*4015*20160723*" /stext=" 05:.+((prompt.+disp)|(slice.+state.+chan)|(ment ac)|(system.+state.+chan)|(\|lc)|(penalty)|(\[timeout))" /e /r /s</v>
      </c>
      <c r="S40" s="9" t="str">
        <f>MID(B40,13,4)</f>
        <v>4015</v>
      </c>
      <c r="T40" s="48">
        <f>A40+6/24</f>
        <v>42574.234733796293</v>
      </c>
      <c r="U40" s="69" t="str">
        <f>IF(VALUE(LEFT(IF(LEN(C40)=6,"0"&amp;C40,C40),4))&lt;300,"EC","NWGL")</f>
        <v>EC</v>
      </c>
      <c r="V40" s="69" t="str">
        <f>IF(AND(E40="TRACK WARRANT AUTHORITY",G40&lt;10),"OMIT","KEEP")</f>
        <v>KEEP</v>
      </c>
    </row>
    <row r="41" spans="1:22" ht="15" hidden="1" customHeight="1" x14ac:dyDescent="0.25">
      <c r="A41" s="48">
        <v>42573.293356481481</v>
      </c>
      <c r="B41" s="65" t="s">
        <v>125</v>
      </c>
      <c r="C41" s="41" t="s">
        <v>440</v>
      </c>
      <c r="D41" s="41" t="s">
        <v>50</v>
      </c>
      <c r="E41" s="65" t="s">
        <v>51</v>
      </c>
      <c r="F41" s="66">
        <v>0</v>
      </c>
      <c r="G41" s="66">
        <v>8</v>
      </c>
      <c r="H41" s="66">
        <v>1164</v>
      </c>
      <c r="I41" s="65" t="s">
        <v>52</v>
      </c>
      <c r="J41" s="66">
        <v>839</v>
      </c>
      <c r="K41" s="41" t="s">
        <v>54</v>
      </c>
      <c r="L41" s="93" t="str">
        <f>VLOOKUP(C41,'Trips&amp;Operators'!$C$1:$E$9999,3,0)</f>
        <v>ROCHA</v>
      </c>
      <c r="M41" s="9" t="s">
        <v>100</v>
      </c>
      <c r="N41" s="10"/>
      <c r="O41" s="41"/>
      <c r="P41" s="72" t="str">
        <f>VLOOKUP(C41,'Train Runs'!$A$13:$AE$803,31,0)</f>
        <v>aws s3 cp s3://rtdc.mdm.uploadarchive/RTDC4039/2016-07-22/ "C:\Users\stu\Documents\Analysis\2016-02-23 RTDC Observations"\RTDC4039\2016-07-22 --recursive &amp; "C:\Users\stu\Documents\GitHub\mrs-test-scripts\Headless Mode &amp; Sideloading\WalkAndUnGZ.bat" "C:\Users\stu\Documents\Analysis\2016-02-23 RTDC Observations"\RTDC4039\2016-07-22 &amp; aws s3 cp s3://rtdc.mdm.uploadarchive/RTDC4039/2016-07-23/ "C:\Users\stu\Documents\Analysis\2016-02-23 RTDC Observations"\RTDC4039\2016-07-23 --recursive &amp; "C:\Users\stu\Documents\GitHub\mrs-test-scripts\Headless Mode &amp; Sideloading\WalkAndUnGZ.bat" "C:\Users\stu\Documents\Analysis\2016-02-23 RTDC Observations"\RTDC4039\2016-07-23</v>
      </c>
      <c r="Q41" s="70" t="str">
        <f>VLOOKUP(C41,'Train Runs'!$A$13:$AE$803,22,0)</f>
        <v>https://search-rtdc-monitor-bjffxe2xuh6vdkpspy63sjmuny.us-east-1.es.amazonaws.com/_plugin/kibana/#/discover/Steve-Slow-Train-Analysis-(2080s-and-2083s)?_g=(refreshInterval:(display:Off,section:0,value:0),time:(from:'2016-07-22 05:24:50-0600',mode:absolute,to:'2016-07-22 08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1" s="71" t="str">
        <f>astrogrep_path&amp;" /spath="&amp;search_path&amp;" /stypes=""*"&amp;S41&amp;"*"&amp;TEXT(A41-utc_offset/24,"YYYYMMDD")&amp;"*"" /stext="" "&amp;TEXT(A41-utc_offset/24,"HH")&amp;search_regexp&amp;""" /e /r /s"</f>
        <v>"C:\Program Files (x86)\AstroGrep\AstroGrep.exe" /spath="C:\Users\stu\Documents\Analysis\2016-02-23 RTDC Observations" /stypes="*4039*20160722*" /stext=" 13:.+((prompt.+disp)|(slice.+state.+chan)|(ment ac)|(system.+state.+chan)|(\|lc)|(penalty)|(\[timeout))" /e /r /s</v>
      </c>
      <c r="S41" s="9" t="str">
        <f>MID(B41,13,4)</f>
        <v>4039</v>
      </c>
      <c r="T41" s="48">
        <f>A41+6/24</f>
        <v>42573.543356481481</v>
      </c>
      <c r="U41" s="69" t="str">
        <f>IF(VALUE(LEFT(IF(LEN(C41)=6,"0"&amp;C41,C41),4))&lt;300,"EC","NWGL")</f>
        <v>EC</v>
      </c>
      <c r="V41" s="69" t="str">
        <f>IF(AND(E41="TRACK WARRANT AUTHORITY",G41&lt;10),"OMIT","KEEP")</f>
        <v>OMIT</v>
      </c>
    </row>
    <row r="42" spans="1:22" hidden="1" x14ac:dyDescent="0.25">
      <c r="A42" s="48">
        <v>42573.253923611112</v>
      </c>
      <c r="B42" s="65" t="s">
        <v>265</v>
      </c>
      <c r="C42" s="41" t="s">
        <v>438</v>
      </c>
      <c r="D42" s="41" t="s">
        <v>50</v>
      </c>
      <c r="E42" s="65" t="s">
        <v>51</v>
      </c>
      <c r="F42" s="66">
        <v>0</v>
      </c>
      <c r="G42" s="66">
        <v>7</v>
      </c>
      <c r="H42" s="66">
        <v>233342</v>
      </c>
      <c r="I42" s="65" t="s">
        <v>52</v>
      </c>
      <c r="J42" s="66">
        <v>233491</v>
      </c>
      <c r="K42" s="41" t="s">
        <v>53</v>
      </c>
      <c r="L42" s="93" t="str">
        <f>VLOOKUP(C42,'Trips&amp;Operators'!$C$1:$E$9999,3,0)</f>
        <v>ROCHA</v>
      </c>
      <c r="M42" s="9" t="s">
        <v>100</v>
      </c>
      <c r="N42" s="10"/>
      <c r="O42" s="41"/>
      <c r="P42" s="72" t="str">
        <f>VLOOKUP(C42,'Train Runs'!$A$13:$AE$803,31,0)</f>
        <v>aws s3 cp s3://rtdc.mdm.uploadarchive/RTDC4040/2016-07-22/ "C:\Users\stu\Documents\Analysis\2016-02-23 RTDC Observations"\RTDC4040\2016-07-22 --recursive &amp; "C:\Users\stu\Documents\GitHub\mrs-test-scripts\Headless Mode &amp; Sideloading\WalkAndUnGZ.bat" "C:\Users\stu\Documents\Analysis\2016-02-23 RTDC Observations"\RTDC4040\2016-07-22 &amp; aws s3 cp s3://rtdc.mdm.uploadarchive/RTDC4040/2016-07-23/ "C:\Users\stu\Documents\Analysis\2016-02-23 RTDC Observations"\RTDC4040\2016-07-23 --recursive &amp; "C:\Users\stu\Documents\GitHub\mrs-test-scripts\Headless Mode &amp; Sideloading\WalkAndUnGZ.bat" "C:\Users\stu\Documents\Analysis\2016-02-23 RTDC Observations"\RTDC4040\2016-07-23</v>
      </c>
      <c r="Q42" s="70" t="str">
        <f>VLOOKUP(C42,'Train Runs'!$A$13:$AE$803,22,0)</f>
        <v>https://search-rtdc-monitor-bjffxe2xuh6vdkpspy63sjmuny.us-east-1.es.amazonaws.com/_plugin/kibana/#/discover/Steve-Slow-Train-Analysis-(2080s-and-2083s)?_g=(refreshInterval:(display:Off,section:0,value:0),time:(from:'2016-07-22 04:25:41-0600',mode:absolute,to:'2016-07-22 07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2" s="71" t="str">
        <f>astrogrep_path&amp;" /spath="&amp;search_path&amp;" /stypes=""*"&amp;S42&amp;"*"&amp;TEXT(A42-utc_offset/24,"YYYYMMDD")&amp;"*"" /stext="" "&amp;TEXT(A42-utc_offset/24,"HH")&amp;search_regexp&amp;""" /e /r /s"</f>
        <v>"C:\Program Files (x86)\AstroGrep\AstroGrep.exe" /spath="C:\Users\stu\Documents\Analysis\2016-02-23 RTDC Observations" /stypes="*4040*20160722*" /stext=" 12:.+((prompt.+disp)|(slice.+state.+chan)|(ment ac)|(system.+state.+chan)|(\|lc)|(penalty)|(\[timeout))" /e /r /s</v>
      </c>
      <c r="S42" s="9" t="str">
        <f>MID(B42,13,4)</f>
        <v>4040</v>
      </c>
      <c r="T42" s="48">
        <f>A42+6/24</f>
        <v>42573.503923611112</v>
      </c>
      <c r="U42" s="69" t="str">
        <f>IF(VALUE(LEFT(IF(LEN(C42)=6,"0"&amp;C42,C42),4))&lt;300,"EC","NWGL")</f>
        <v>EC</v>
      </c>
      <c r="V42" s="69" t="str">
        <f>IF(AND(E42="TRACK WARRANT AUTHORITY",G42&lt;10),"OMIT","KEEP")</f>
        <v>OMIT</v>
      </c>
    </row>
    <row r="43" spans="1:22" ht="15" hidden="1" customHeight="1" x14ac:dyDescent="0.25">
      <c r="A43" s="48">
        <v>42573.284884259258</v>
      </c>
      <c r="B43" s="65" t="s">
        <v>78</v>
      </c>
      <c r="C43" s="41" t="s">
        <v>449</v>
      </c>
      <c r="D43" s="41" t="s">
        <v>50</v>
      </c>
      <c r="E43" s="65" t="s">
        <v>51</v>
      </c>
      <c r="F43" s="66">
        <v>0</v>
      </c>
      <c r="G43" s="66">
        <v>6</v>
      </c>
      <c r="H43" s="66">
        <v>233128</v>
      </c>
      <c r="I43" s="65" t="s">
        <v>52</v>
      </c>
      <c r="J43" s="66">
        <v>233491</v>
      </c>
      <c r="K43" s="41" t="s">
        <v>53</v>
      </c>
      <c r="L43" s="93" t="str">
        <f>VLOOKUP(C43,'Trips&amp;Operators'!$C$1:$E$9999,3,0)</f>
        <v>BRANNON</v>
      </c>
      <c r="M43" s="9" t="s">
        <v>100</v>
      </c>
      <c r="N43" s="10"/>
      <c r="O43" s="41"/>
      <c r="P43" s="72" t="str">
        <f>VLOOKUP(C43,'Train Runs'!$A$13:$AE$803,31,0)</f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Q43" s="70" t="str">
        <f>VLOOKUP(C43,'Train Runs'!$A$13:$AE$803,22,0)</f>
        <v>https://search-rtdc-monitor-bjffxe2xuh6vdkpspy63sjmuny.us-east-1.es.amazonaws.com/_plugin/kibana/#/discover/Steve-Slow-Train-Analysis-(2080s-and-2083s)?_g=(refreshInterval:(display:Off,section:0,value:0),time:(from:'2016-07-22 05:04:03-0600',mode:absolute,to:'2016-07-22 07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43" s="71" t="str">
        <f>astrogrep_path&amp;" /spath="&amp;search_path&amp;" /stypes=""*"&amp;S43&amp;"*"&amp;TEXT(A43-utc_offset/24,"YYYYMMDD")&amp;"*"" /stext="" "&amp;TEXT(A43-utc_offset/24,"HH")&amp;search_regexp&amp;""" /e /r /s"</f>
        <v>"C:\Program Files (x86)\AstroGrep\AstroGrep.exe" /spath="C:\Users\stu\Documents\Analysis\2016-02-23 RTDC Observations" /stypes="*4042*20160722*" /stext=" 12:.+((prompt.+disp)|(slice.+state.+chan)|(ment ac)|(system.+state.+chan)|(\|lc)|(penalty)|(\[timeout))" /e /r /s</v>
      </c>
      <c r="S43" s="9" t="str">
        <f>MID(B43,13,4)</f>
        <v>4042</v>
      </c>
      <c r="T43" s="48">
        <f>A43+6/24</f>
        <v>42573.534884259258</v>
      </c>
      <c r="U43" s="69" t="str">
        <f>IF(VALUE(LEFT(IF(LEN(C43)=6,"0"&amp;C43,C43),4))&lt;300,"EC","NWGL")</f>
        <v>EC</v>
      </c>
      <c r="V43" s="69" t="str">
        <f>IF(AND(E43="TRACK WARRANT AUTHORITY",G43&lt;10),"OMIT","KEEP")</f>
        <v>OMIT</v>
      </c>
    </row>
    <row r="44" spans="1:22" hidden="1" x14ac:dyDescent="0.25">
      <c r="A44" s="48">
        <v>42573.357928240737</v>
      </c>
      <c r="B44" s="65" t="s">
        <v>78</v>
      </c>
      <c r="C44" s="41" t="s">
        <v>469</v>
      </c>
      <c r="D44" s="41" t="s">
        <v>50</v>
      </c>
      <c r="E44" s="65" t="s">
        <v>51</v>
      </c>
      <c r="F44" s="66">
        <v>0</v>
      </c>
      <c r="G44" s="66">
        <v>6</v>
      </c>
      <c r="H44" s="66">
        <v>233329</v>
      </c>
      <c r="I44" s="65" t="s">
        <v>52</v>
      </c>
      <c r="J44" s="66">
        <v>233491</v>
      </c>
      <c r="K44" s="41" t="s">
        <v>53</v>
      </c>
      <c r="L44" s="93" t="str">
        <f>VLOOKUP(C44,'Trips&amp;Operators'!$C$1:$E$9999,3,0)</f>
        <v>BRANNON</v>
      </c>
      <c r="M44" s="9" t="s">
        <v>100</v>
      </c>
      <c r="N44" s="10"/>
      <c r="O44" s="41"/>
      <c r="P44" s="72" t="str">
        <f>VLOOKUP(C44,'Train Runs'!$A$13:$AE$803,31,0)</f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Q44" s="70" t="str">
        <f>VLOOKUP(C44,'Train Runs'!$A$13:$AE$803,22,0)</f>
        <v>https://search-rtdc-monitor-bjffxe2xuh6vdkpspy63sjmuny.us-east-1.es.amazonaws.com/_plugin/kibana/#/discover/Steve-Slow-Train-Analysis-(2080s-and-2083s)?_g=(refreshInterval:(display:Off,section:0,value:0),time:(from:'2016-07-22 06:49:15-0600',mode:absolute,to:'2016-07-22 09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44" s="71" t="str">
        <f>astrogrep_path&amp;" /spath="&amp;search_path&amp;" /stypes=""*"&amp;S44&amp;"*"&amp;TEXT(A44-utc_offset/24,"YYYYMMDD")&amp;"*"" /stext="" "&amp;TEXT(A44-utc_offset/24,"HH")&amp;search_regexp&amp;""" /e /r /s"</f>
        <v>"C:\Program Files (x86)\AstroGrep\AstroGrep.exe" /spath="C:\Users\stu\Documents\Analysis\2016-02-23 RTDC Observations" /stypes="*4042*20160722*" /stext=" 14:.+((prompt.+disp)|(slice.+state.+chan)|(ment ac)|(system.+state.+chan)|(\|lc)|(penalty)|(\[timeout))" /e /r /s</v>
      </c>
      <c r="S44" s="9" t="str">
        <f>MID(B44,13,4)</f>
        <v>4042</v>
      </c>
      <c r="T44" s="48">
        <f>A44+6/24</f>
        <v>42573.607928240737</v>
      </c>
      <c r="U44" s="69" t="str">
        <f>IF(VALUE(LEFT(IF(LEN(C44)=6,"0"&amp;C44,C44),4))&lt;300,"EC","NWGL")</f>
        <v>EC</v>
      </c>
      <c r="V44" s="69" t="str">
        <f>IF(AND(E44="TRACK WARRANT AUTHORITY",G44&lt;10),"OMIT","KEEP")</f>
        <v>OMIT</v>
      </c>
    </row>
    <row r="45" spans="1:22" ht="15" hidden="1" customHeight="1" x14ac:dyDescent="0.25">
      <c r="A45" s="48">
        <v>42573.40996527778</v>
      </c>
      <c r="B45" s="65" t="s">
        <v>71</v>
      </c>
      <c r="C45" s="41" t="s">
        <v>484</v>
      </c>
      <c r="D45" s="41" t="s">
        <v>50</v>
      </c>
      <c r="E45" s="65" t="s">
        <v>51</v>
      </c>
      <c r="F45" s="66">
        <v>0</v>
      </c>
      <c r="G45" s="66">
        <v>7</v>
      </c>
      <c r="H45" s="66">
        <v>233326</v>
      </c>
      <c r="I45" s="65" t="s">
        <v>52</v>
      </c>
      <c r="J45" s="66">
        <v>233491</v>
      </c>
      <c r="K45" s="41" t="s">
        <v>53</v>
      </c>
      <c r="L45" s="93" t="str">
        <f>VLOOKUP(C45,'Trips&amp;Operators'!$C$1:$E$9999,3,0)</f>
        <v>NELSON</v>
      </c>
      <c r="M45" s="9" t="s">
        <v>100</v>
      </c>
      <c r="N45" s="10"/>
      <c r="O45" s="41"/>
      <c r="P45" s="72" t="str">
        <f>VLOOKUP(C45,'Train Runs'!$A$13:$AE$803,31,0)</f>
        <v>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 &amp; 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</v>
      </c>
      <c r="Q45" s="70" t="str">
        <f>VLOOKUP(C45,'Train Runs'!$A$13:$AE$803,22,0)</f>
        <v>https://search-rtdc-monitor-bjffxe2xuh6vdkpspy63sjmuny.us-east-1.es.amazonaws.com/_plugin/kibana/#/discover/Steve-Slow-Train-Analysis-(2080s-and-2083s)?_g=(refreshInterval:(display:Off,section:0,value:0),time:(from:'2016-07-22 08:07:11-0600',mode:absolute,to:'2016-07-22 10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5" s="71" t="str">
        <f>astrogrep_path&amp;" /spath="&amp;search_path&amp;" /stypes=""*"&amp;S45&amp;"*"&amp;TEXT(A45-utc_offset/24,"YYYYMMDD")&amp;"*"" /stext="" "&amp;TEXT(A45-utc_offset/24,"HH")&amp;search_regexp&amp;""" /e /r /s"</f>
        <v>"C:\Program Files (x86)\AstroGrep\AstroGrep.exe" /spath="C:\Users\stu\Documents\Analysis\2016-02-23 RTDC Observations" /stypes="*4018*20160722*" /stext=" 15:.+((prompt.+disp)|(slice.+state.+chan)|(ment ac)|(system.+state.+chan)|(\|lc)|(penalty)|(\[timeout))" /e /r /s</v>
      </c>
      <c r="S45" s="9" t="str">
        <f>MID(B45,13,4)</f>
        <v>4018</v>
      </c>
      <c r="T45" s="48">
        <f>A45+6/24</f>
        <v>42573.65996527778</v>
      </c>
      <c r="U45" s="69" t="str">
        <f>IF(VALUE(LEFT(IF(LEN(C45)=6,"0"&amp;C45,C45),4))&lt;300,"EC","NWGL")</f>
        <v>EC</v>
      </c>
      <c r="V45" s="69" t="str">
        <f>IF(AND(E45="TRACK WARRANT AUTHORITY",G45&lt;10),"OMIT","KEEP")</f>
        <v>OMIT</v>
      </c>
    </row>
    <row r="46" spans="1:22" hidden="1" x14ac:dyDescent="0.25">
      <c r="A46" s="48">
        <v>42573.442314814813</v>
      </c>
      <c r="B46" s="65" t="s">
        <v>117</v>
      </c>
      <c r="C46" s="41" t="s">
        <v>494</v>
      </c>
      <c r="D46" s="41" t="s">
        <v>50</v>
      </c>
      <c r="E46" s="65" t="s">
        <v>51</v>
      </c>
      <c r="F46" s="66">
        <v>0</v>
      </c>
      <c r="G46" s="66">
        <v>8</v>
      </c>
      <c r="H46" s="66">
        <v>233314</v>
      </c>
      <c r="I46" s="65" t="s">
        <v>52</v>
      </c>
      <c r="J46" s="66">
        <v>233491</v>
      </c>
      <c r="K46" s="41" t="s">
        <v>53</v>
      </c>
      <c r="L46" s="93" t="str">
        <f>VLOOKUP(C46,'Trips&amp;Operators'!$C$1:$E$9999,3,0)</f>
        <v>GEBRETEKLE</v>
      </c>
      <c r="M46" s="9" t="s">
        <v>100</v>
      </c>
      <c r="N46" s="10"/>
      <c r="O46" s="41"/>
      <c r="P46" s="72" t="str">
        <f>VLOOKUP(C46,'Train Runs'!$A$13:$AE$803,31,0)</f>
        <v>aws s3 cp s3://rtdc.mdm.uploadarchive/RTDC4044/2016-07-22/ "C:\Users\stu\Documents\Analysis\2016-02-23 RTDC Observations"\RTDC4044\2016-07-22 --recursive &amp; "C:\Users\stu\Documents\GitHub\mrs-test-scripts\Headless Mode &amp; Sideloading\WalkAndUnGZ.bat" "C:\Users\stu\Documents\Analysis\2016-02-23 RTDC Observations"\RTDC4044\2016-07-22 &amp; aws s3 cp s3://rtdc.mdm.uploadarchive/RTDC4044/2016-07-23/ "C:\Users\stu\Documents\Analysis\2016-02-23 RTDC Observations"\RTDC4044\2016-07-23 --recursive &amp; "C:\Users\stu\Documents\GitHub\mrs-test-scripts\Headless Mode &amp; Sideloading\WalkAndUnGZ.bat" "C:\Users\stu\Documents\Analysis\2016-02-23 RTDC Observations"\RTDC4044\2016-07-23</v>
      </c>
      <c r="Q46" s="70" t="str">
        <f>VLOOKUP(C46,'Train Runs'!$A$13:$AE$803,22,0)</f>
        <v>https://search-rtdc-monitor-bjffxe2xuh6vdkpspy63sjmuny.us-east-1.es.amazonaws.com/_plugin/kibana/#/discover/Steve-Slow-Train-Analysis-(2080s-and-2083s)?_g=(refreshInterval:(display:Off,section:0,value:0),time:(from:'2016-07-22 08:52:12-0600',mode:absolute,to:'2016-07-22 11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6" s="71" t="str">
        <f>astrogrep_path&amp;" /spath="&amp;search_path&amp;" /stypes=""*"&amp;S46&amp;"*"&amp;TEXT(A46-utc_offset/24,"YYYYMMDD")&amp;"*"" /stext="" "&amp;TEXT(A46-utc_offset/24,"HH")&amp;search_regexp&amp;""" /e /r /s"</f>
        <v>"C:\Program Files (x86)\AstroGrep\AstroGrep.exe" /spath="C:\Users\stu\Documents\Analysis\2016-02-23 RTDC Observations" /stypes="*4044*20160722*" /stext=" 16:.+((prompt.+disp)|(slice.+state.+chan)|(ment ac)|(system.+state.+chan)|(\|lc)|(penalty)|(\[timeout))" /e /r /s</v>
      </c>
      <c r="S46" s="9" t="str">
        <f>MID(B46,13,4)</f>
        <v>4044</v>
      </c>
      <c r="T46" s="48">
        <f>A46+6/24</f>
        <v>42573.692314814813</v>
      </c>
      <c r="U46" s="69" t="str">
        <f>IF(VALUE(LEFT(IF(LEN(C46)=6,"0"&amp;C46,C46),4))&lt;300,"EC","NWGL")</f>
        <v>EC</v>
      </c>
      <c r="V46" s="69" t="str">
        <f>IF(AND(E46="TRACK WARRANT AUTHORITY",G46&lt;10),"OMIT","KEEP")</f>
        <v>OMIT</v>
      </c>
    </row>
    <row r="47" spans="1:22" ht="15" hidden="1" customHeight="1" x14ac:dyDescent="0.25">
      <c r="A47" s="48">
        <v>42573.472418981481</v>
      </c>
      <c r="B47" s="65" t="s">
        <v>104</v>
      </c>
      <c r="C47" s="41" t="s">
        <v>502</v>
      </c>
      <c r="D47" s="41" t="s">
        <v>50</v>
      </c>
      <c r="E47" s="65" t="s">
        <v>51</v>
      </c>
      <c r="F47" s="66">
        <v>0</v>
      </c>
      <c r="G47" s="66">
        <v>3</v>
      </c>
      <c r="H47" s="66">
        <v>233337</v>
      </c>
      <c r="I47" s="65" t="s">
        <v>52</v>
      </c>
      <c r="J47" s="66">
        <v>233491</v>
      </c>
      <c r="K47" s="41" t="s">
        <v>53</v>
      </c>
      <c r="L47" s="93" t="str">
        <f>VLOOKUP(C47,'Trips&amp;Operators'!$C$1:$E$9999,3,0)</f>
        <v>ROCHA</v>
      </c>
      <c r="M47" s="9" t="s">
        <v>100</v>
      </c>
      <c r="N47" s="10"/>
      <c r="O47" s="41"/>
      <c r="P47" s="72" t="str">
        <f>VLOOKUP(C47,'Train Runs'!$A$13:$AE$803,31,0)</f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Q47" s="70" t="str">
        <f>VLOOKUP(C47,'Train Runs'!$A$13:$AE$803,22,0)</f>
        <v>https://search-rtdc-monitor-bjffxe2xuh6vdkpspy63sjmuny.us-east-1.es.amazonaws.com/_plugin/kibana/#/discover/Steve-Slow-Train-Analysis-(2080s-and-2083s)?_g=(refreshInterval:(display:Off,section:0,value:0),time:(from:'2016-07-22 09:42:47-0600',mode:absolute,to:'2016-07-22 12:20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7" s="71" t="str">
        <f>astrogrep_path&amp;" /spath="&amp;search_path&amp;" /stypes=""*"&amp;S47&amp;"*"&amp;TEXT(A47-utc_offset/24,"YYYYMMDD")&amp;"*"" /stext="" "&amp;TEXT(A47-utc_offset/24,"HH")&amp;search_regexp&amp;""" /e /r /s"</f>
        <v>"C:\Program Files (x86)\AstroGrep\AstroGrep.exe" /spath="C:\Users\stu\Documents\Analysis\2016-02-23 RTDC Observations" /stypes="*4038*20160722*" /stext=" 17:.+((prompt.+disp)|(slice.+state.+chan)|(ment ac)|(system.+state.+chan)|(\|lc)|(penalty)|(\[timeout))" /e /r /s</v>
      </c>
      <c r="S47" s="9" t="str">
        <f>MID(B47,13,4)</f>
        <v>4038</v>
      </c>
      <c r="T47" s="48">
        <f>A47+6/24</f>
        <v>42573.722418981481</v>
      </c>
      <c r="U47" s="69" t="str">
        <f>IF(VALUE(LEFT(IF(LEN(C47)=6,"0"&amp;C47,C47),4))&lt;300,"EC","NWGL")</f>
        <v>EC</v>
      </c>
      <c r="V47" s="69" t="str">
        <f>IF(AND(E47="TRACK WARRANT AUTHORITY",G47&lt;10),"OMIT","KEEP")</f>
        <v>OMIT</v>
      </c>
    </row>
    <row r="48" spans="1:22" x14ac:dyDescent="0.25">
      <c r="A48" s="48">
        <v>42573.483437499999</v>
      </c>
      <c r="B48" s="65" t="s">
        <v>71</v>
      </c>
      <c r="C48" s="41" t="s">
        <v>504</v>
      </c>
      <c r="D48" s="41" t="s">
        <v>50</v>
      </c>
      <c r="E48" s="65" t="s">
        <v>51</v>
      </c>
      <c r="F48" s="66">
        <v>0</v>
      </c>
      <c r="G48" s="66">
        <v>60</v>
      </c>
      <c r="H48" s="66">
        <v>233261</v>
      </c>
      <c r="I48" s="65" t="s">
        <v>52</v>
      </c>
      <c r="J48" s="66">
        <v>233491</v>
      </c>
      <c r="K48" s="41" t="s">
        <v>53</v>
      </c>
      <c r="L48" s="93" t="str">
        <f>VLOOKUP(C48,'Trips&amp;Operators'!$C$1:$E$9999,3,0)</f>
        <v>STEWART</v>
      </c>
      <c r="M48" s="9" t="s">
        <v>100</v>
      </c>
      <c r="N48" s="10"/>
      <c r="O48" s="41"/>
      <c r="P48" s="72" t="str">
        <f>VLOOKUP(C48,'Train Runs'!$A$13:$AE$803,31,0)</f>
        <v>aws s3 cp s3://rtdc.mdm.uploadarchive/RTDC4018/2016-07-22/ "C:\Users\stu\Documents\Analysis\2016-02-23 RTDC Observations"\RTDC4018\2016-07-22 --recursive &amp; "C:\Users\stu\Documents\GitHub\mrs-test-scripts\Headless Mode &amp; Sideloading\WalkAndUnGZ.bat" "C:\Users\stu\Documents\Analysis\2016-02-23 RTDC Observations"\RTDC4018\2016-07-22 &amp; aws s3 cp s3://rtdc.mdm.uploadarchive/RTDC4018/2016-07-23/ "C:\Users\stu\Documents\Analysis\2016-02-23 RTDC Observations"\RTDC4018\2016-07-23 --recursive &amp; "C:\Users\stu\Documents\GitHub\mrs-test-scripts\Headless Mode &amp; Sideloading\WalkAndUnGZ.bat" "C:\Users\stu\Documents\Analysis\2016-02-23 RTDC Observations"\RTDC4018\2016-07-23</v>
      </c>
      <c r="Q48" s="70" t="str">
        <f>VLOOKUP(C48,'Train Runs'!$A$13:$AE$803,22,0)</f>
        <v>https://search-rtdc-monitor-bjffxe2xuh6vdkpspy63sjmuny.us-east-1.es.amazonaws.com/_plugin/kibana/#/discover/Steve-Slow-Train-Analysis-(2080s-and-2083s)?_g=(refreshInterval:(display:Off,section:0,value:0),time:(from:'2016-07-22 09:53:56-0600',mode:absolute,to:'2016-07-22 12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48" s="71" t="str">
        <f>astrogrep_path&amp;" /spath="&amp;search_path&amp;" /stypes=""*"&amp;S48&amp;"*"&amp;TEXT(A48-utc_offset/24,"YYYYMMDD")&amp;"*"" /stext="" "&amp;TEXT(A48-utc_offset/24,"HH")&amp;search_regexp&amp;""" /e /r /s"</f>
        <v>"C:\Program Files (x86)\AstroGrep\AstroGrep.exe" /spath="C:\Users\stu\Documents\Analysis\2016-02-23 RTDC Observations" /stypes="*4018*20160722*" /stext=" 17:.+((prompt.+disp)|(slice.+state.+chan)|(ment ac)|(system.+state.+chan)|(\|lc)|(penalty)|(\[timeout))" /e /r /s</v>
      </c>
      <c r="S48" s="9" t="str">
        <f>MID(B48,13,4)</f>
        <v>4018</v>
      </c>
      <c r="T48" s="48">
        <f>A48+6/24</f>
        <v>42573.733437499999</v>
      </c>
      <c r="U48" s="69" t="str">
        <f>IF(VALUE(LEFT(IF(LEN(C48)=6,"0"&amp;C48,C48),4))&lt;300,"EC","NWGL")</f>
        <v>EC</v>
      </c>
      <c r="V48" s="69" t="str">
        <f>IF(AND(E48="TRACK WARRANT AUTHORITY",G48&lt;10),"OMIT","KEEP")</f>
        <v>KEEP</v>
      </c>
    </row>
    <row r="49" spans="1:22" hidden="1" x14ac:dyDescent="0.25">
      <c r="A49" s="48">
        <v>42573.545902777776</v>
      </c>
      <c r="B49" s="65" t="s">
        <v>104</v>
      </c>
      <c r="C49" s="41" t="s">
        <v>520</v>
      </c>
      <c r="D49" s="41" t="s">
        <v>50</v>
      </c>
      <c r="E49" s="65" t="s">
        <v>51</v>
      </c>
      <c r="F49" s="66">
        <v>0</v>
      </c>
      <c r="G49" s="66">
        <v>6</v>
      </c>
      <c r="H49" s="66">
        <v>233336</v>
      </c>
      <c r="I49" s="65" t="s">
        <v>52</v>
      </c>
      <c r="J49" s="66">
        <v>233491</v>
      </c>
      <c r="K49" s="41" t="s">
        <v>53</v>
      </c>
      <c r="L49" s="93" t="str">
        <f>VLOOKUP(C49,'Trips&amp;Operators'!$C$1:$E$9999,3,0)</f>
        <v>WEBSTER</v>
      </c>
      <c r="M49" s="9" t="s">
        <v>100</v>
      </c>
      <c r="N49" s="10"/>
      <c r="O49" s="41"/>
      <c r="P49" s="72" t="str">
        <f>VLOOKUP(C49,'Train Runs'!$A$13:$AE$803,31,0)</f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Q49" s="70" t="str">
        <f>VLOOKUP(C49,'Train Runs'!$A$13:$AE$803,22,0)</f>
        <v>https://search-rtdc-monitor-bjffxe2xuh6vdkpspy63sjmuny.us-east-1.es.amazonaws.com/_plugin/kibana/#/discover/Steve-Slow-Train-Analysis-(2080s-and-2083s)?_g=(refreshInterval:(display:Off,section:0,value:0),time:(from:'2016-07-22 11:21:19-0600',mode:absolute,to:'2016-07-22 14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9" s="71" t="str">
        <f>astrogrep_path&amp;" /spath="&amp;search_path&amp;" /stypes=""*"&amp;S49&amp;"*"&amp;TEXT(A49-utc_offset/24,"YYYYMMDD")&amp;"*"" /stext="" "&amp;TEXT(A49-utc_offset/24,"HH")&amp;search_regexp&amp;""" /e /r /s"</f>
        <v>"C:\Program Files (x86)\AstroGrep\AstroGrep.exe" /spath="C:\Users\stu\Documents\Analysis\2016-02-23 RTDC Observations" /stypes="*4038*20160722*" /stext=" 19:.+((prompt.+disp)|(slice.+state.+chan)|(ment ac)|(system.+state.+chan)|(\|lc)|(penalty)|(\[timeout))" /e /r /s</v>
      </c>
      <c r="S49" s="9" t="str">
        <f>MID(B49,13,4)</f>
        <v>4038</v>
      </c>
      <c r="T49" s="48">
        <f>A49+6/24</f>
        <v>42573.795902777776</v>
      </c>
      <c r="U49" s="69" t="str">
        <f>IF(VALUE(LEFT(IF(LEN(C49)=6,"0"&amp;C49,C49),4))&lt;300,"EC","NWGL")</f>
        <v>EC</v>
      </c>
      <c r="V49" s="69" t="str">
        <f>IF(AND(E49="TRACK WARRANT AUTHORITY",G49&lt;10),"OMIT","KEEP")</f>
        <v>OMIT</v>
      </c>
    </row>
    <row r="50" spans="1:22" ht="15" hidden="1" customHeight="1" x14ac:dyDescent="0.25">
      <c r="A50" s="48">
        <v>42573.627453703702</v>
      </c>
      <c r="B50" s="65" t="s">
        <v>104</v>
      </c>
      <c r="C50" s="41" t="s">
        <v>539</v>
      </c>
      <c r="D50" s="41" t="s">
        <v>50</v>
      </c>
      <c r="E50" s="65" t="s">
        <v>51</v>
      </c>
      <c r="F50" s="66">
        <v>0</v>
      </c>
      <c r="G50" s="66">
        <v>3</v>
      </c>
      <c r="H50" s="66">
        <v>233322</v>
      </c>
      <c r="I50" s="65" t="s">
        <v>52</v>
      </c>
      <c r="J50" s="66">
        <v>233491</v>
      </c>
      <c r="K50" s="41" t="s">
        <v>53</v>
      </c>
      <c r="L50" s="93" t="str">
        <f>VLOOKUP(C50,'Trips&amp;Operators'!$C$1:$E$9999,3,0)</f>
        <v>WEBSTER</v>
      </c>
      <c r="M50" s="9" t="s">
        <v>100</v>
      </c>
      <c r="N50" s="10"/>
      <c r="O50" s="41"/>
      <c r="P50" s="72" t="str">
        <f>VLOOKUP(C50,'Train Runs'!$A$13:$AE$803,31,0)</f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Q50" s="70" t="str">
        <f>VLOOKUP(C50,'Train Runs'!$A$13:$AE$803,22,0)</f>
        <v>https://search-rtdc-monitor-bjffxe2xuh6vdkpspy63sjmuny.us-east-1.es.amazonaws.com/_plugin/kibana/#/discover/Steve-Slow-Train-Analysis-(2080s-and-2083s)?_g=(refreshInterval:(display:Off,section:0,value:0),time:(from:'2016-07-22 13:10:56-0600',mode:absolute,to:'2016-07-22 16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0" s="71" t="str">
        <f>astrogrep_path&amp;" /spath="&amp;search_path&amp;" /stypes=""*"&amp;S50&amp;"*"&amp;TEXT(A50-utc_offset/24,"YYYYMMDD")&amp;"*"" /stext="" "&amp;TEXT(A50-utc_offset/24,"HH")&amp;search_regexp&amp;""" /e /r /s"</f>
        <v>"C:\Program Files (x86)\AstroGrep\AstroGrep.exe" /spath="C:\Users\stu\Documents\Analysis\2016-02-23 RTDC Observations" /stypes="*4038*20160722*" /stext=" 21:.+((prompt.+disp)|(slice.+state.+chan)|(ment ac)|(system.+state.+chan)|(\|lc)|(penalty)|(\[timeout))" /e /r /s</v>
      </c>
      <c r="S50" s="9" t="str">
        <f>MID(B50,13,4)</f>
        <v>4038</v>
      </c>
      <c r="T50" s="48">
        <f>A50+6/24</f>
        <v>42573.877453703702</v>
      </c>
      <c r="U50" s="69" t="str">
        <f>IF(VALUE(LEFT(IF(LEN(C50)=6,"0"&amp;C50,C50),4))&lt;300,"EC","NWGL")</f>
        <v>EC</v>
      </c>
      <c r="V50" s="69" t="str">
        <f>IF(AND(E50="TRACK WARRANT AUTHORITY",G50&lt;10),"OMIT","KEEP")</f>
        <v>OMIT</v>
      </c>
    </row>
    <row r="51" spans="1:22" ht="15" hidden="1" customHeight="1" x14ac:dyDescent="0.25">
      <c r="A51" s="48">
        <v>42573.691712962966</v>
      </c>
      <c r="B51" s="65" t="s">
        <v>104</v>
      </c>
      <c r="C51" s="41" t="s">
        <v>557</v>
      </c>
      <c r="D51" s="41" t="s">
        <v>50</v>
      </c>
      <c r="E51" s="65" t="s">
        <v>51</v>
      </c>
      <c r="F51" s="66">
        <v>0</v>
      </c>
      <c r="G51" s="66">
        <v>9</v>
      </c>
      <c r="H51" s="66">
        <v>233361</v>
      </c>
      <c r="I51" s="65" t="s">
        <v>52</v>
      </c>
      <c r="J51" s="66">
        <v>233491</v>
      </c>
      <c r="K51" s="41" t="s">
        <v>53</v>
      </c>
      <c r="L51" s="93" t="str">
        <f>VLOOKUP(C51,'Trips&amp;Operators'!$C$1:$E$9999,3,0)</f>
        <v>WEBSTER</v>
      </c>
      <c r="M51" s="9" t="s">
        <v>100</v>
      </c>
      <c r="N51" s="10"/>
      <c r="O51" s="41"/>
      <c r="P51" s="72" t="str">
        <f>VLOOKUP(C51,'Train Runs'!$A$13:$AE$803,31,0)</f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Q51" s="70" t="str">
        <f>VLOOKUP(C51,'Train Runs'!$A$13:$AE$803,22,0)</f>
        <v>https://search-rtdc-monitor-bjffxe2xuh6vdkpspy63sjmuny.us-east-1.es.amazonaws.com/_plugin/kibana/#/discover/Steve-Slow-Train-Analysis-(2080s-and-2083s)?_g=(refreshInterval:(display:Off,section:0,value:0),time:(from:'2016-07-22 14:56:50-0600',mode:absolute,to:'2016-07-22 17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1" s="71" t="str">
        <f>astrogrep_path&amp;" /spath="&amp;search_path&amp;" /stypes=""*"&amp;S51&amp;"*"&amp;TEXT(A51-utc_offset/24,"YYYYMMDD")&amp;"*"" /stext="" "&amp;TEXT(A51-utc_offset/24,"HH")&amp;search_regexp&amp;""" /e /r /s"</f>
        <v>"C:\Program Files (x86)\AstroGrep\AstroGrep.exe" /spath="C:\Users\stu\Documents\Analysis\2016-02-23 RTDC Observations" /stypes="*4038*20160722*" /stext=" 22:.+((prompt.+disp)|(slice.+state.+chan)|(ment ac)|(system.+state.+chan)|(\|lc)|(penalty)|(\[timeout))" /e /r /s</v>
      </c>
      <c r="S51" s="9" t="str">
        <f>MID(B51,13,4)</f>
        <v>4038</v>
      </c>
      <c r="T51" s="48">
        <f>A51+6/24</f>
        <v>42573.941712962966</v>
      </c>
      <c r="U51" s="69" t="str">
        <f>IF(VALUE(LEFT(IF(LEN(C51)=6,"0"&amp;C51,C51),4))&lt;300,"EC","NWGL")</f>
        <v>EC</v>
      </c>
      <c r="V51" s="69" t="str">
        <f>IF(AND(E51="TRACK WARRANT AUTHORITY",G51&lt;10),"OMIT","KEEP")</f>
        <v>OMIT</v>
      </c>
    </row>
    <row r="52" spans="1:22" ht="15" hidden="1" customHeight="1" x14ac:dyDescent="0.25">
      <c r="A52" s="48">
        <v>42573.759398148148</v>
      </c>
      <c r="B52" s="65" t="s">
        <v>270</v>
      </c>
      <c r="C52" s="41" t="s">
        <v>573</v>
      </c>
      <c r="D52" s="41" t="s">
        <v>50</v>
      </c>
      <c r="E52" s="65" t="s">
        <v>51</v>
      </c>
      <c r="F52" s="66">
        <v>0</v>
      </c>
      <c r="G52" s="66">
        <v>7</v>
      </c>
      <c r="H52" s="66">
        <v>233395</v>
      </c>
      <c r="I52" s="65" t="s">
        <v>52</v>
      </c>
      <c r="J52" s="66">
        <v>233491</v>
      </c>
      <c r="K52" s="41" t="s">
        <v>53</v>
      </c>
      <c r="L52" s="93" t="str">
        <f>VLOOKUP(C52,'Trips&amp;Operators'!$C$1:$E$9999,3,0)</f>
        <v>SHOOK</v>
      </c>
      <c r="M52" s="9" t="s">
        <v>100</v>
      </c>
      <c r="N52" s="10"/>
      <c r="O52" s="41"/>
      <c r="P52" s="72" t="str">
        <f>VLOOKUP(C52,'Train Runs'!$A$13:$AE$803,31,0)</f>
        <v>aws s3 cp s3://rtdc.mdm.uploadarchive/RTDC4014/2016-07-22/ "C:\Users\stu\Documents\Analysis\2016-02-23 RTDC Observations"\RTDC4014\2016-07-22 --recursive &amp; "C:\Users\stu\Documents\GitHub\mrs-test-scripts\Headless Mode &amp; Sideloading\WalkAndUnGZ.bat" "C:\Users\stu\Documents\Analysis\2016-02-23 RTDC Observations"\RTDC4014\2016-07-22 &amp; aws s3 cp s3://rtdc.mdm.uploadarchive/RTDC4014/2016-07-23/ "C:\Users\stu\Documents\Analysis\2016-02-23 RTDC Observations"\RTDC4014\2016-07-23 --recursive &amp; "C:\Users\stu\Documents\GitHub\mrs-test-scripts\Headless Mode &amp; Sideloading\WalkAndUnGZ.bat" "C:\Users\stu\Documents\Analysis\2016-02-23 RTDC Observations"\RTDC4014\2016-07-23</v>
      </c>
      <c r="Q52" s="70" t="str">
        <f>VLOOKUP(C52,'Train Runs'!$A$13:$AE$803,22,0)</f>
        <v>https://search-rtdc-monitor-bjffxe2xuh6vdkpspy63sjmuny.us-east-1.es.amazonaws.com/_plugin/kibana/#/discover/Steve-Slow-Train-Analysis-(2080s-and-2083s)?_g=(refreshInterval:(display:Off,section:0,value:0),time:(from:'2016-07-22 16:30:27-0600',mode:absolute,to:'2016-07-22 19:13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2" s="71" t="str">
        <f>astrogrep_path&amp;" /spath="&amp;search_path&amp;" /stypes=""*"&amp;S52&amp;"*"&amp;TEXT(A52-utc_offset/24,"YYYYMMDD")&amp;"*"" /stext="" "&amp;TEXT(A52-utc_offset/24,"HH")&amp;search_regexp&amp;""" /e /r /s"</f>
        <v>"C:\Program Files (x86)\AstroGrep\AstroGrep.exe" /spath="C:\Users\stu\Documents\Analysis\2016-02-23 RTDC Observations" /stypes="*4014*20160723*" /stext=" 00:.+((prompt.+disp)|(slice.+state.+chan)|(ment ac)|(system.+state.+chan)|(\|lc)|(penalty)|(\[timeout))" /e /r /s</v>
      </c>
      <c r="S52" s="9" t="str">
        <f>MID(B52,13,4)</f>
        <v>4014</v>
      </c>
      <c r="T52" s="48">
        <f>A52+6/24</f>
        <v>42574.009398148148</v>
      </c>
      <c r="U52" s="69" t="str">
        <f>IF(VALUE(LEFT(IF(LEN(C52)=6,"0"&amp;C52,C52),4))&lt;300,"EC","NWGL")</f>
        <v>EC</v>
      </c>
      <c r="V52" s="69" t="str">
        <f>IF(AND(E52="TRACK WARRANT AUTHORITY",G52&lt;10),"OMIT","KEEP")</f>
        <v>OMIT</v>
      </c>
    </row>
    <row r="53" spans="1:22" ht="15" hidden="1" customHeight="1" x14ac:dyDescent="0.25">
      <c r="A53" s="48">
        <v>42573.776574074072</v>
      </c>
      <c r="B53" s="65" t="s">
        <v>70</v>
      </c>
      <c r="C53" s="41" t="s">
        <v>583</v>
      </c>
      <c r="D53" s="41" t="s">
        <v>50</v>
      </c>
      <c r="E53" s="65" t="s">
        <v>51</v>
      </c>
      <c r="F53" s="66">
        <v>0</v>
      </c>
      <c r="G53" s="66">
        <v>8</v>
      </c>
      <c r="H53" s="66">
        <v>233342</v>
      </c>
      <c r="I53" s="65" t="s">
        <v>52</v>
      </c>
      <c r="J53" s="66">
        <v>233491</v>
      </c>
      <c r="K53" s="41" t="s">
        <v>53</v>
      </c>
      <c r="L53" s="93" t="str">
        <f>VLOOKUP(C53,'Trips&amp;Operators'!$C$1:$E$9999,3,0)</f>
        <v>WEBSTER</v>
      </c>
      <c r="M53" s="9" t="s">
        <v>100</v>
      </c>
      <c r="N53" s="10"/>
      <c r="O53" s="41"/>
      <c r="P53" s="72" t="str">
        <f>VLOOKUP(C53,'Train Runs'!$A$13:$AE$803,31,0)</f>
        <v>aws s3 cp s3://rtdc.mdm.uploadarchive/RTDC4020/2016-07-22/ "C:\Users\stu\Documents\Analysis\2016-02-23 RTDC Observations"\RTDC4020\2016-07-22 --recursive &amp; "C:\Users\stu\Documents\GitHub\mrs-test-scripts\Headless Mode &amp; Sideloading\WalkAndUnGZ.bat" "C:\Users\stu\Documents\Analysis\2016-02-23 RTDC Observations"\RTDC4020\2016-07-22 &amp; aws s3 cp s3://rtdc.mdm.uploadarchive/RTDC4020/2016-07-23/ "C:\Users\stu\Documents\Analysis\2016-02-23 RTDC Observations"\RTDC4020\2016-07-23 --recursive &amp; "C:\Users\stu\Documents\GitHub\mrs-test-scripts\Headless Mode &amp; Sideloading\WalkAndUnGZ.bat" "C:\Users\stu\Documents\Analysis\2016-02-23 RTDC Observations"\RTDC4020\2016-07-23</v>
      </c>
      <c r="Q53" s="70" t="str">
        <f>VLOOKUP(C53,'Train Runs'!$A$13:$AE$803,22,0)</f>
        <v>https://search-rtdc-monitor-bjffxe2xuh6vdkpspy63sjmuny.us-east-1.es.amazonaws.com/_plugin/kibana/#/discover/Steve-Slow-Train-Analysis-(2080s-and-2083s)?_g=(refreshInterval:(display:Off,section:0,value:0),time:(from:'2016-07-22 16:57:41-0600',mode:absolute,to:'2016-07-22 19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3" s="71" t="str">
        <f>astrogrep_path&amp;" /spath="&amp;search_path&amp;" /stypes=""*"&amp;S53&amp;"*"&amp;TEXT(A53-utc_offset/24,"YYYYMMDD")&amp;"*"" /stext="" "&amp;TEXT(A53-utc_offset/24,"HH")&amp;search_regexp&amp;""" /e /r /s"</f>
        <v>"C:\Program Files (x86)\AstroGrep\AstroGrep.exe" /spath="C:\Users\stu\Documents\Analysis\2016-02-23 RTDC Observations" /stypes="*4020*20160723*" /stext=" 00:.+((prompt.+disp)|(slice.+state.+chan)|(ment ac)|(system.+state.+chan)|(\|lc)|(penalty)|(\[timeout))" /e /r /s</v>
      </c>
      <c r="S53" s="9" t="str">
        <f>MID(B53,13,4)</f>
        <v>4020</v>
      </c>
      <c r="T53" s="48">
        <f>A53+6/24</f>
        <v>42574.026574074072</v>
      </c>
      <c r="U53" s="69" t="str">
        <f>IF(VALUE(LEFT(IF(LEN(C53)=6,"0"&amp;C53,C53),4))&lt;300,"EC","NWGL")</f>
        <v>EC</v>
      </c>
      <c r="V53" s="69" t="str">
        <f>IF(AND(E53="TRACK WARRANT AUTHORITY",G53&lt;10),"OMIT","KEEP")</f>
        <v>OMIT</v>
      </c>
    </row>
    <row r="54" spans="1:22" hidden="1" x14ac:dyDescent="0.25">
      <c r="A54" s="48">
        <v>42573.799386574072</v>
      </c>
      <c r="B54" s="65" t="s">
        <v>78</v>
      </c>
      <c r="C54" s="41" t="s">
        <v>591</v>
      </c>
      <c r="D54" s="41" t="s">
        <v>50</v>
      </c>
      <c r="E54" s="65" t="s">
        <v>51</v>
      </c>
      <c r="F54" s="66">
        <v>0</v>
      </c>
      <c r="G54" s="66">
        <v>9</v>
      </c>
      <c r="H54" s="66">
        <v>233325</v>
      </c>
      <c r="I54" s="65" t="s">
        <v>52</v>
      </c>
      <c r="J54" s="66">
        <v>233491</v>
      </c>
      <c r="K54" s="41" t="s">
        <v>53</v>
      </c>
      <c r="L54" s="93" t="str">
        <f>VLOOKUP(C54,'Trips&amp;Operators'!$C$1:$E$9999,3,0)</f>
        <v>STURGEON</v>
      </c>
      <c r="M54" s="9" t="s">
        <v>100</v>
      </c>
      <c r="N54" s="10"/>
      <c r="O54" s="41"/>
      <c r="P54" s="72" t="str">
        <f>VLOOKUP(C54,'Train Runs'!$A$13:$AE$803,31,0)</f>
        <v>aws s3 cp s3://rtdc.mdm.uploadarchive/RTDC4042/2016-07-22/ "C:\Users\stu\Documents\Analysis\2016-02-23 RTDC Observations"\RTDC4042\2016-07-22 --recursive &amp; "C:\Users\stu\Documents\GitHub\mrs-test-scripts\Headless Mode &amp; Sideloading\WalkAndUnGZ.bat" "C:\Users\stu\Documents\Analysis\2016-02-23 RTDC Observations"\RTDC4042\2016-07-22 &amp; aws s3 cp s3://rtdc.mdm.uploadarchive/RTDC4042/2016-07-23/ "C:\Users\stu\Documents\Analysis\2016-02-23 RTDC Observations"\RTDC4042\2016-07-23 --recursive &amp; "C:\Users\stu\Documents\GitHub\mrs-test-scripts\Headless Mode &amp; Sideloading\WalkAndUnGZ.bat" "C:\Users\stu\Documents\Analysis\2016-02-23 RTDC Observations"\RTDC4042\2016-07-23</v>
      </c>
      <c r="Q54" s="70" t="str">
        <f>VLOOKUP(C54,'Train Runs'!$A$13:$AE$803,22,0)</f>
        <v>https://search-rtdc-monitor-bjffxe2xuh6vdkpspy63sjmuny.us-east-1.es.amazonaws.com/_plugin/kibana/#/discover/Steve-Slow-Train-Analysis-(2080s-and-2083s)?_g=(refreshInterval:(display:Off,section:0,value:0),time:(from:'2016-07-22 17:29:23-0600',mode:absolute,to:'2016-07-22 20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54" s="71" t="str">
        <f>astrogrep_path&amp;" /spath="&amp;search_path&amp;" /stypes=""*"&amp;S54&amp;"*"&amp;TEXT(A54-utc_offset/24,"YYYYMMDD")&amp;"*"" /stext="" "&amp;TEXT(A54-utc_offset/24,"HH")&amp;search_regexp&amp;""" /e /r /s"</f>
        <v>"C:\Program Files (x86)\AstroGrep\AstroGrep.exe" /spath="C:\Users\stu\Documents\Analysis\2016-02-23 RTDC Observations" /stypes="*4042*20160723*" /stext=" 01:.+((prompt.+disp)|(slice.+state.+chan)|(ment ac)|(system.+state.+chan)|(\|lc)|(penalty)|(\[timeout))" /e /r /s</v>
      </c>
      <c r="S54" s="9" t="str">
        <f>MID(B54,13,4)</f>
        <v>4042</v>
      </c>
      <c r="T54" s="48">
        <f>A54+6/24</f>
        <v>42574.049386574072</v>
      </c>
      <c r="U54" s="69" t="str">
        <f>IF(VALUE(LEFT(IF(LEN(C54)=6,"0"&amp;C54,C54),4))&lt;300,"EC","NWGL")</f>
        <v>EC</v>
      </c>
      <c r="V54" s="69" t="str">
        <f>IF(AND(E54="TRACK WARRANT AUTHORITY",G54&lt;10),"OMIT","KEEP")</f>
        <v>OMIT</v>
      </c>
    </row>
    <row r="55" spans="1:22" hidden="1" x14ac:dyDescent="0.25">
      <c r="A55" s="48">
        <v>42573.922002314815</v>
      </c>
      <c r="B55" s="65" t="s">
        <v>104</v>
      </c>
      <c r="C55" s="41" t="s">
        <v>604</v>
      </c>
      <c r="D55" s="41" t="s">
        <v>50</v>
      </c>
      <c r="E55" s="65" t="s">
        <v>51</v>
      </c>
      <c r="F55" s="66">
        <v>0</v>
      </c>
      <c r="G55" s="66">
        <v>8</v>
      </c>
      <c r="H55" s="66">
        <v>233325</v>
      </c>
      <c r="I55" s="65" t="s">
        <v>52</v>
      </c>
      <c r="J55" s="66">
        <v>233491</v>
      </c>
      <c r="K55" s="41" t="s">
        <v>53</v>
      </c>
      <c r="L55" s="93" t="str">
        <f>VLOOKUP(C55,'Trips&amp;Operators'!$C$1:$E$9999,3,0)</f>
        <v>YANAI</v>
      </c>
      <c r="M55" s="9" t="s">
        <v>100</v>
      </c>
      <c r="N55" s="10"/>
      <c r="O55" s="41"/>
      <c r="P55" s="72" t="str">
        <f>VLOOKUP(C55,'Train Runs'!$A$13:$AE$803,31,0)</f>
        <v>aws s3 cp s3://rtdc.mdm.uploadarchive/RTDC4038/2016-07-22/ "C:\Users\stu\Documents\Analysis\2016-02-23 RTDC Observations"\RTDC4038\2016-07-22 --recursive &amp; "C:\Users\stu\Documents\GitHub\mrs-test-scripts\Headless Mode &amp; Sideloading\WalkAndUnGZ.bat" "C:\Users\stu\Documents\Analysis\2016-02-23 RTDC Observations"\RTDC4038\2016-07-22 &amp; aws s3 cp s3://rtdc.mdm.uploadarchive/RTDC4038/2016-07-23/ "C:\Users\stu\Documents\Analysis\2016-02-23 RTDC Observations"\RTDC4038\2016-07-23 --recursive &amp; "C:\Users\stu\Documents\GitHub\mrs-test-scripts\Headless Mode &amp; Sideloading\WalkAndUnGZ.bat" "C:\Users\stu\Documents\Analysis\2016-02-23 RTDC Observations"\RTDC4038\2016-07-23</v>
      </c>
      <c r="Q55" s="70" t="str">
        <f>VLOOKUP(C55,'Train Runs'!$A$13:$AE$803,22,0)</f>
        <v>https://search-rtdc-monitor-bjffxe2xuh6vdkpspy63sjmuny.us-east-1.es.amazonaws.com/_plugin/kibana/#/discover/Steve-Slow-Train-Analysis-(2080s-and-2083s)?_g=(refreshInterval:(display:Off,section:0,value:0),time:(from:'2016-07-22 20:26:30-0600',mode:absolute,to:'2016-07-22 23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5" s="71" t="str">
        <f>astrogrep_path&amp;" /spath="&amp;search_path&amp;" /stypes=""*"&amp;S55&amp;"*"&amp;TEXT(A55-utc_offset/24,"YYYYMMDD")&amp;"*"" /stext="" "&amp;TEXT(A55-utc_offset/24,"HH")&amp;search_regexp&amp;""" /e /r /s"</f>
        <v>"C:\Program Files (x86)\AstroGrep\AstroGrep.exe" /spath="C:\Users\stu\Documents\Analysis\2016-02-23 RTDC Observations" /stypes="*4038*20160723*" /stext=" 04:.+((prompt.+disp)|(slice.+state.+chan)|(ment ac)|(system.+state.+chan)|(\|lc)|(penalty)|(\[timeout))" /e /r /s</v>
      </c>
      <c r="S55" s="9" t="str">
        <f>MID(B55,13,4)</f>
        <v>4038</v>
      </c>
      <c r="T55" s="48">
        <f>A55+6/24</f>
        <v>42574.172002314815</v>
      </c>
      <c r="U55" s="69" t="str">
        <f>IF(VALUE(LEFT(IF(LEN(C55)=6,"0"&amp;C55,C55),4))&lt;300,"EC","NWGL")</f>
        <v>EC</v>
      </c>
      <c r="V55" s="69" t="str">
        <f>IF(AND(E55="TRACK WARRANT AUTHORITY",G55&lt;10),"OMIT","KEEP")</f>
        <v>OMIT</v>
      </c>
    </row>
  </sheetData>
  <autoFilter ref="A6:V55">
    <filterColumn colId="21">
      <filters>
        <filter val="KEEP"/>
      </filters>
    </filterColumn>
    <sortState ref="A7:V55">
      <sortCondition ref="U7:U55"/>
      <sortCondition ref="E7:E55"/>
      <sortCondition ref="J7:J55"/>
      <sortCondition ref="F7:F55"/>
    </sortState>
  </autoFilter>
  <sortState ref="A7:V85">
    <sortCondition ref="U7:U85"/>
    <sortCondition ref="E7:E85"/>
    <sortCondition ref="J7:J85"/>
    <sortCondition ref="C7:C85"/>
    <sortCondition ref="F7:F85"/>
  </sortState>
  <mergeCells count="1">
    <mergeCell ref="A5:M5"/>
  </mergeCells>
  <conditionalFormatting sqref="M6:N6 P6 M7:M1048576">
    <cfRule type="cellIs" dxfId="4" priority="14" operator="equal">
      <formula>"Y"</formula>
    </cfRule>
  </conditionalFormatting>
  <conditionalFormatting sqref="A7:N55">
    <cfRule type="expression" dxfId="3" priority="7">
      <formula>$M7="Y"</formula>
    </cfRule>
  </conditionalFormatting>
  <conditionalFormatting sqref="M2:M3">
    <cfRule type="cellIs" dxfId="2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A9" sqref="A9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20" t="str">
        <f>"Trips that did not appear in PTC Data "&amp;TEXT(Variables!$A$2,"YYYY-mm-dd")</f>
        <v>Trips that did not appear in PTC Data 2016-07-24</v>
      </c>
      <c r="B1" s="120"/>
      <c r="C1" s="120"/>
      <c r="D1" s="120"/>
      <c r="E1" s="120"/>
    </row>
    <row r="2" spans="1:10" s="29" customFormat="1" ht="45" x14ac:dyDescent="0.25">
      <c r="A2" s="28" t="s">
        <v>75</v>
      </c>
      <c r="B2" s="38" t="s">
        <v>76</v>
      </c>
      <c r="C2" s="36" t="s">
        <v>77</v>
      </c>
      <c r="D2" s="29" t="s">
        <v>73</v>
      </c>
      <c r="E2" s="29" t="s">
        <v>74</v>
      </c>
      <c r="F2" s="29" t="s">
        <v>79</v>
      </c>
      <c r="G2" s="39" t="s">
        <v>80</v>
      </c>
    </row>
    <row r="3" spans="1:10" x14ac:dyDescent="0.25">
      <c r="A3" s="41" t="s">
        <v>642</v>
      </c>
      <c r="B3" s="41"/>
      <c r="C3" s="41"/>
      <c r="D3" s="41" t="s">
        <v>184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643</v>
      </c>
      <c r="B4" s="41"/>
      <c r="C4" s="41"/>
      <c r="D4" s="41"/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644</v>
      </c>
      <c r="B5" s="41"/>
      <c r="C5" s="41"/>
      <c r="D5" s="41"/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69" t="s">
        <v>645</v>
      </c>
      <c r="B6" s="41"/>
      <c r="C6" s="41"/>
      <c r="D6" s="41"/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69" t="s">
        <v>646</v>
      </c>
      <c r="B7" s="41"/>
      <c r="C7" s="41"/>
      <c r="D7" s="41"/>
      <c r="E7" s="26" t="e">
        <f>VLOOKUP(A7,'Trips&amp;Operators'!$C$2:$E$10000,3,FALSE)</f>
        <v>#N/A</v>
      </c>
      <c r="F7" s="26" t="e">
        <f>VLOOKUP(A7,'Trips&amp;Operators'!$C$1:$F$10000,4,FALSE)</f>
        <v>#N/A</v>
      </c>
      <c r="G7" s="40" t="e">
        <f>VLOOKUP(A7,'Trips&amp;Operators'!$C$1:$H$10000,5,FALSE)</f>
        <v>#N/A</v>
      </c>
      <c r="H7" s="25"/>
      <c r="I7" s="25"/>
      <c r="J7" s="25"/>
    </row>
    <row r="8" spans="1:10" x14ac:dyDescent="0.25">
      <c r="A8" s="69" t="s">
        <v>647</v>
      </c>
      <c r="B8" s="41"/>
      <c r="C8" s="41"/>
      <c r="D8" s="41"/>
      <c r="E8" s="26" t="e">
        <f>VLOOKUP(A8,'Trips&amp;Operators'!$C$2:$E$10000,3,FALSE)</f>
        <v>#N/A</v>
      </c>
      <c r="F8" s="26" t="e">
        <f>VLOOKUP(A8,'Trips&amp;Operators'!$C$1:$F$10000,4,FALSE)</f>
        <v>#N/A</v>
      </c>
      <c r="G8" s="40" t="e">
        <f>VLOOKUP(A8,'Trips&amp;Operators'!$C$1:$H$10000,5,FALSE)</f>
        <v>#N/A</v>
      </c>
      <c r="H8" s="25"/>
      <c r="I8" s="25"/>
      <c r="J8" s="25"/>
    </row>
    <row r="9" spans="1:10" x14ac:dyDescent="0.25">
      <c r="A9" s="41" t="s">
        <v>638</v>
      </c>
      <c r="B9" s="41"/>
      <c r="C9" s="41"/>
      <c r="D9" s="41"/>
      <c r="E9" s="26" t="str">
        <f>VLOOKUP(A9,'Trips&amp;Operators'!$C$2:$E$10000,3,FALSE)</f>
        <v>STURGEON</v>
      </c>
      <c r="F9" s="26" t="str">
        <f>VLOOKUP(A9,'Trips&amp;Operators'!$C$1:$F$10000,4,FALSE)</f>
        <v>rtdc.l.rtdc.4041:itc</v>
      </c>
      <c r="G9" s="40">
        <f>VLOOKUP(A9,'Trips&amp;Operators'!$C$1:$H$10000,5,FALSE)</f>
        <v>42573.969942129632</v>
      </c>
      <c r="H9" s="25"/>
      <c r="I9" s="25"/>
      <c r="J9" s="25"/>
    </row>
    <row r="10" spans="1:10" x14ac:dyDescent="0.25">
      <c r="A10" s="41" t="s">
        <v>648</v>
      </c>
      <c r="B10" s="41"/>
      <c r="C10" s="41"/>
      <c r="D10" s="41"/>
      <c r="E10" s="26" t="e">
        <f>VLOOKUP(A10,'Trips&amp;Operators'!$C$2:$E$10000,3,FALSE)</f>
        <v>#N/A</v>
      </c>
      <c r="F10" s="26" t="e">
        <f>VLOOKUP(A10,'Trips&amp;Operators'!$C$1:$F$10000,4,FALSE)</f>
        <v>#N/A</v>
      </c>
      <c r="G10" s="40" t="e">
        <f>VLOOKUP(A10,'Trips&amp;Operators'!$C$1:$H$10000,5,FALSE)</f>
        <v>#N/A</v>
      </c>
      <c r="H10" s="25"/>
      <c r="I10" s="25"/>
      <c r="J10" s="25"/>
    </row>
    <row r="11" spans="1:10" x14ac:dyDescent="0.25">
      <c r="A11" s="41"/>
      <c r="B11" s="41"/>
      <c r="C11" s="41"/>
      <c r="D11" s="41"/>
      <c r="E11" s="26" t="e">
        <f>VLOOKUP(A11,'Trips&amp;Operators'!$C$2:$E$10000,3,FALSE)</f>
        <v>#N/A</v>
      </c>
      <c r="F11" s="26" t="e">
        <f>VLOOKUP(A11,'Trips&amp;Operators'!$C$1:$F$10000,4,FALSE)</f>
        <v>#N/A</v>
      </c>
      <c r="G11" s="40" t="e">
        <f>VLOOKUP(A11,'Trips&amp;Operators'!$C$1:$H$10000,5,FALSE)</f>
        <v>#N/A</v>
      </c>
      <c r="H11" s="25"/>
      <c r="I11" s="25"/>
      <c r="J11" s="25"/>
    </row>
    <row r="12" spans="1:10" x14ac:dyDescent="0.25">
      <c r="A12" s="41"/>
      <c r="B12" s="41"/>
      <c r="C12" s="41"/>
      <c r="D12" s="41"/>
      <c r="E12" s="26" t="e">
        <f>VLOOKUP(A12,'Trips&amp;Operators'!$C$2:$E$10000,3,FALSE)</f>
        <v>#N/A</v>
      </c>
      <c r="F12" s="26" t="e">
        <f>VLOOKUP(A12,'Trips&amp;Operators'!$C$1:$F$10000,4,FALSE)</f>
        <v>#N/A</v>
      </c>
      <c r="G12" s="40" t="e">
        <f>VLOOKUP(A12,'Trips&amp;Operators'!$C$1:$H$10000,5,FALSE)</f>
        <v>#N/A</v>
      </c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8:10" x14ac:dyDescent="0.25">
      <c r="H129" s="25"/>
      <c r="I129" s="25"/>
      <c r="J129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/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185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186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187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188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625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2016-07-22 00:05:13.822 to 2016-07-23 04:20:13.822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189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190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191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192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193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194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195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196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197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198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199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200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201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202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203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204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205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206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207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208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209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210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211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212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213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214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215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216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217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218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219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220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221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222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223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224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225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226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227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228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229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230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626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160 hits</v>
      </c>
    </row>
    <row r="59" spans="1:7" x14ac:dyDescent="0.25">
      <c r="A59" s="8" t="s">
        <v>627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2016-07-22 00:05:13.822 - 2016-07-23 04:20:13.822</v>
      </c>
    </row>
    <row r="60" spans="1:7" x14ac:dyDescent="0.25">
      <c r="A60" s="8" t="s">
        <v>231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0.125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0.125</v>
      </c>
    </row>
    <row r="67" spans="1:7" x14ac:dyDescent="0.25">
      <c r="A67" s="8">
        <v>0.25</v>
      </c>
      <c r="B67" s="25"/>
      <c r="C67" s="25"/>
      <c r="D67" s="25"/>
      <c r="E67" s="25"/>
      <c r="F67" s="25">
        <f t="shared" si="2"/>
        <v>0</v>
      </c>
      <c r="G67" s="8">
        <f t="shared" si="3"/>
        <v>0.25</v>
      </c>
    </row>
    <row r="68" spans="1:7" x14ac:dyDescent="0.25">
      <c r="A68" s="8">
        <v>0.375</v>
      </c>
      <c r="B68" s="25"/>
      <c r="C68" s="25"/>
      <c r="D68" s="25"/>
      <c r="E68" s="25"/>
      <c r="F68" s="25">
        <f t="shared" si="2"/>
        <v>0</v>
      </c>
      <c r="G68" s="8">
        <f t="shared" si="3"/>
        <v>0.375</v>
      </c>
    </row>
    <row r="69" spans="1:7" x14ac:dyDescent="0.25">
      <c r="A69" s="8">
        <v>0.5</v>
      </c>
      <c r="B69" s="25"/>
      <c r="C69" s="25"/>
      <c r="D69" s="25"/>
      <c r="E69" s="25"/>
      <c r="F69" s="25">
        <f t="shared" si="2"/>
        <v>0</v>
      </c>
      <c r="G69" s="8">
        <f t="shared" si="3"/>
        <v>0.5</v>
      </c>
    </row>
    <row r="70" spans="1:7" x14ac:dyDescent="0.25">
      <c r="A70" s="8">
        <v>0.625</v>
      </c>
      <c r="B70" s="25"/>
      <c r="C70" s="25"/>
      <c r="D70" s="25"/>
      <c r="E70" s="25"/>
      <c r="F70" s="25">
        <f t="shared" si="2"/>
        <v>0</v>
      </c>
      <c r="G70" s="8">
        <f t="shared" si="3"/>
        <v>0.625</v>
      </c>
    </row>
    <row r="71" spans="1:7" x14ac:dyDescent="0.25">
      <c r="A71" s="8">
        <v>0.75</v>
      </c>
      <c r="B71" s="25"/>
      <c r="C71" s="25"/>
      <c r="D71" s="25"/>
      <c r="E71" s="25"/>
      <c r="F71" s="25">
        <f t="shared" si="2"/>
        <v>0</v>
      </c>
      <c r="G71" s="8">
        <f t="shared" si="3"/>
        <v>0.75</v>
      </c>
    </row>
    <row r="72" spans="1:7" x14ac:dyDescent="0.25">
      <c r="A72" s="8">
        <v>0.875</v>
      </c>
      <c r="B72" s="25"/>
      <c r="C72" s="25"/>
      <c r="D72" s="25"/>
      <c r="E72" s="25"/>
      <c r="F72" s="25">
        <f t="shared" si="2"/>
        <v>0</v>
      </c>
      <c r="G72" s="8">
        <f t="shared" si="3"/>
        <v>0.875</v>
      </c>
    </row>
    <row r="73" spans="1:7" x14ac:dyDescent="0.25">
      <c r="A73" s="8">
        <v>0</v>
      </c>
      <c r="B73" s="25"/>
      <c r="C73" s="25"/>
      <c r="D73" s="25"/>
      <c r="E73" s="25"/>
      <c r="F73" s="25">
        <f t="shared" si="2"/>
        <v>0</v>
      </c>
      <c r="G73" s="8">
        <f t="shared" si="3"/>
        <v>0</v>
      </c>
    </row>
    <row r="74" spans="1:7" x14ac:dyDescent="0.25">
      <c r="A74" s="8">
        <v>0.125</v>
      </c>
      <c r="B74" s="25"/>
      <c r="C74" s="25"/>
      <c r="D74" s="25"/>
      <c r="E74" s="25"/>
      <c r="F74" s="25">
        <f t="shared" si="2"/>
        <v>0</v>
      </c>
      <c r="G74" s="8">
        <f t="shared" si="3"/>
        <v>0.125</v>
      </c>
    </row>
    <row r="75" spans="1:7" x14ac:dyDescent="0.25">
      <c r="A75" s="8" t="s">
        <v>232</v>
      </c>
      <c r="B75" s="25"/>
      <c r="C75" s="25"/>
      <c r="D75" s="25"/>
      <c r="E75" s="25"/>
      <c r="F75" s="25">
        <f t="shared" si="2"/>
        <v>0</v>
      </c>
      <c r="G75" s="8" t="str">
        <f t="shared" si="3"/>
        <v>Time per 30 minutes</v>
      </c>
    </row>
    <row r="76" spans="1:7" x14ac:dyDescent="0.25">
      <c r="A76" s="8" t="s">
        <v>38</v>
      </c>
      <c r="B76" s="25" t="s">
        <v>233</v>
      </c>
      <c r="C76" s="25" t="s">
        <v>234</v>
      </c>
      <c r="D76" s="25" t="s">
        <v>235</v>
      </c>
      <c r="E76" s="25" t="s">
        <v>236</v>
      </c>
      <c r="F76" s="25" t="str">
        <f t="shared" si="2"/>
        <v xml:space="preserve">Source  </v>
      </c>
      <c r="G76" s="8" t="str">
        <f t="shared" si="3"/>
        <v xml:space="preserve">Time </v>
      </c>
    </row>
    <row r="77" spans="1:7" x14ac:dyDescent="0.25">
      <c r="A77" s="8">
        <v>42573.438634259262</v>
      </c>
      <c r="B77" s="25" t="s">
        <v>164</v>
      </c>
      <c r="C77" s="25" t="s">
        <v>493</v>
      </c>
      <c r="D77" s="25">
        <v>1190000</v>
      </c>
      <c r="E77" s="25" t="s">
        <v>163</v>
      </c>
      <c r="F77" s="25" t="str">
        <f t="shared" si="2"/>
        <v>rtdc.l.rtdc.4041:itc</v>
      </c>
      <c r="G77" s="8">
        <f t="shared" si="3"/>
        <v>42573.438634259262</v>
      </c>
    </row>
    <row r="78" spans="1:7" x14ac:dyDescent="0.25">
      <c r="A78" s="8">
        <v>42573.554872685185</v>
      </c>
      <c r="B78" s="25" t="s">
        <v>623</v>
      </c>
      <c r="C78" s="25" t="s">
        <v>521</v>
      </c>
      <c r="D78" s="25">
        <v>950000</v>
      </c>
      <c r="E78" s="25" t="s">
        <v>628</v>
      </c>
      <c r="F78" s="25" t="str">
        <f t="shared" si="2"/>
        <v>rtdc.l.rtdc.4037:itc</v>
      </c>
      <c r="G78" s="8">
        <f t="shared" si="3"/>
        <v>42573.554872685185</v>
      </c>
    </row>
    <row r="79" spans="1:7" x14ac:dyDescent="0.25">
      <c r="A79" s="8">
        <v>42573.571203703701</v>
      </c>
      <c r="B79" s="25" t="s">
        <v>125</v>
      </c>
      <c r="C79" s="25" t="s">
        <v>526</v>
      </c>
      <c r="D79" s="25">
        <v>1520000</v>
      </c>
      <c r="E79" s="25" t="s">
        <v>369</v>
      </c>
      <c r="F79" s="25" t="str">
        <f t="shared" si="2"/>
        <v>rtdc.l.rtdc.4039:itc</v>
      </c>
      <c r="G79" s="8">
        <f t="shared" si="3"/>
        <v>42573.571203703701</v>
      </c>
    </row>
    <row r="80" spans="1:7" x14ac:dyDescent="0.25">
      <c r="A80" s="8">
        <v>42573.644166666665</v>
      </c>
      <c r="B80" s="25" t="s">
        <v>114</v>
      </c>
      <c r="C80" s="25" t="s">
        <v>550</v>
      </c>
      <c r="D80" s="25">
        <v>1820000</v>
      </c>
      <c r="E80" s="25" t="s">
        <v>268</v>
      </c>
      <c r="F80" s="25" t="str">
        <f t="shared" si="2"/>
        <v>rtdc.l.rtdc.4027:itc</v>
      </c>
      <c r="G80" s="8">
        <f t="shared" si="3"/>
        <v>42573.644166666665</v>
      </c>
    </row>
    <row r="81" spans="1:7" x14ac:dyDescent="0.25">
      <c r="A81" s="8">
        <v>42573.744027777779</v>
      </c>
      <c r="B81" s="25" t="s">
        <v>119</v>
      </c>
      <c r="C81" s="25" t="s">
        <v>569</v>
      </c>
      <c r="D81" s="25">
        <v>2040000</v>
      </c>
      <c r="E81" s="25" t="s">
        <v>266</v>
      </c>
      <c r="F81" s="25" t="str">
        <f t="shared" si="2"/>
        <v>rtdc.l.rtdc.4043:itc</v>
      </c>
      <c r="G81" s="8">
        <f t="shared" si="3"/>
        <v>42573.744027777779</v>
      </c>
    </row>
    <row r="82" spans="1:7" x14ac:dyDescent="0.25">
      <c r="A82" s="8">
        <v>42573.53638888889</v>
      </c>
      <c r="B82" s="25" t="s">
        <v>111</v>
      </c>
      <c r="C82" s="25" t="s">
        <v>516</v>
      </c>
      <c r="D82" s="25">
        <v>1820000</v>
      </c>
      <c r="E82" s="25" t="s">
        <v>268</v>
      </c>
      <c r="F82" s="25" t="str">
        <f t="shared" si="2"/>
        <v>rtdc.l.rtdc.4028:itc</v>
      </c>
      <c r="G82" s="8">
        <f t="shared" si="3"/>
        <v>42573.53638888889</v>
      </c>
    </row>
    <row r="83" spans="1:7" x14ac:dyDescent="0.25">
      <c r="A83" s="8">
        <v>42573.274131944447</v>
      </c>
      <c r="B83" s="25" t="s">
        <v>72</v>
      </c>
      <c r="C83" s="25" t="s">
        <v>444</v>
      </c>
      <c r="D83" s="25">
        <v>1460000</v>
      </c>
      <c r="E83" s="25" t="s">
        <v>629</v>
      </c>
      <c r="F83" s="25" t="str">
        <f t="shared" si="2"/>
        <v>rtdc.l.rtdc.4017:itc</v>
      </c>
      <c r="G83" s="8">
        <f t="shared" si="3"/>
        <v>42573.274131944447</v>
      </c>
    </row>
    <row r="84" spans="1:7" x14ac:dyDescent="0.25">
      <c r="A84" s="8">
        <v>42573.300833333335</v>
      </c>
      <c r="B84" s="25" t="s">
        <v>104</v>
      </c>
      <c r="C84" s="25" t="s">
        <v>463</v>
      </c>
      <c r="D84" s="25">
        <v>900000</v>
      </c>
      <c r="E84" s="25" t="s">
        <v>630</v>
      </c>
      <c r="F84" s="25" t="str">
        <f t="shared" si="2"/>
        <v>rtdc.l.rtdc.4038:itc</v>
      </c>
      <c r="G84" s="8">
        <f t="shared" si="3"/>
        <v>42573.300833333335</v>
      </c>
    </row>
    <row r="85" spans="1:7" x14ac:dyDescent="0.25">
      <c r="A85" s="8">
        <v>42573.360914351855</v>
      </c>
      <c r="B85" s="25" t="s">
        <v>270</v>
      </c>
      <c r="C85" s="25" t="s">
        <v>479</v>
      </c>
      <c r="D85" s="25">
        <v>2010000</v>
      </c>
      <c r="E85" s="25" t="s">
        <v>129</v>
      </c>
      <c r="F85" s="25" t="str">
        <f t="shared" si="2"/>
        <v>rtdc.l.rtdc.4014:itc</v>
      </c>
      <c r="G85" s="8">
        <f t="shared" si="3"/>
        <v>42573.360914351855</v>
      </c>
    </row>
    <row r="86" spans="1:7" x14ac:dyDescent="0.25">
      <c r="A86" s="8">
        <v>42573.506018518521</v>
      </c>
      <c r="B86" s="25" t="s">
        <v>270</v>
      </c>
      <c r="C86" s="25" t="s">
        <v>517</v>
      </c>
      <c r="D86" s="25">
        <v>2020000</v>
      </c>
      <c r="E86" s="25" t="s">
        <v>631</v>
      </c>
      <c r="F86" s="25" t="str">
        <f t="shared" si="2"/>
        <v>rtdc.l.rtdc.4014:itc</v>
      </c>
      <c r="G86" s="8">
        <f t="shared" si="3"/>
        <v>42573.506018518521</v>
      </c>
    </row>
    <row r="87" spans="1:7" x14ac:dyDescent="0.25">
      <c r="A87" s="8">
        <v>42573.653541666667</v>
      </c>
      <c r="B87" s="25" t="s">
        <v>270</v>
      </c>
      <c r="C87" s="25" t="s">
        <v>552</v>
      </c>
      <c r="D87" s="25">
        <v>2020000</v>
      </c>
      <c r="E87" s="25" t="s">
        <v>631</v>
      </c>
      <c r="F87" s="25" t="str">
        <f t="shared" si="2"/>
        <v>rtdc.l.rtdc.4014:itc</v>
      </c>
      <c r="G87" s="8">
        <f t="shared" si="3"/>
        <v>42573.653541666667</v>
      </c>
    </row>
    <row r="88" spans="1:7" x14ac:dyDescent="0.25">
      <c r="A88" s="8">
        <v>42573.525763888887</v>
      </c>
      <c r="B88" s="25" t="s">
        <v>119</v>
      </c>
      <c r="C88" s="25" t="s">
        <v>513</v>
      </c>
      <c r="D88" s="25">
        <v>2040000</v>
      </c>
      <c r="E88" s="25" t="s">
        <v>266</v>
      </c>
      <c r="F88" s="25" t="str">
        <f t="shared" si="2"/>
        <v>rtdc.l.rtdc.4043:itc</v>
      </c>
      <c r="G88" s="8">
        <f t="shared" si="3"/>
        <v>42573.525763888887</v>
      </c>
    </row>
    <row r="89" spans="1:7" x14ac:dyDescent="0.25">
      <c r="A89" s="8">
        <v>42573.776678240742</v>
      </c>
      <c r="B89" s="25" t="s">
        <v>623</v>
      </c>
      <c r="C89" s="25" t="s">
        <v>582</v>
      </c>
      <c r="D89" s="25">
        <v>1230000</v>
      </c>
      <c r="E89" s="25" t="s">
        <v>178</v>
      </c>
      <c r="F89" s="25" t="str">
        <f t="shared" si="2"/>
        <v>rtdc.l.rtdc.4037:itc</v>
      </c>
      <c r="G89" s="8">
        <f t="shared" si="3"/>
        <v>42573.776678240742</v>
      </c>
    </row>
    <row r="90" spans="1:7" x14ac:dyDescent="0.25">
      <c r="A90" s="8">
        <v>42573.349340277775</v>
      </c>
      <c r="B90" s="25" t="s">
        <v>114</v>
      </c>
      <c r="C90" s="25" t="s">
        <v>475</v>
      </c>
      <c r="D90" s="25">
        <v>1090000</v>
      </c>
      <c r="E90" s="25" t="s">
        <v>116</v>
      </c>
      <c r="F90" s="25" t="str">
        <f t="shared" si="2"/>
        <v>rtdc.l.rtdc.4027:itc</v>
      </c>
      <c r="G90" s="8">
        <f t="shared" si="3"/>
        <v>42573.349340277775</v>
      </c>
    </row>
    <row r="91" spans="1:7" x14ac:dyDescent="0.25">
      <c r="A91" s="8">
        <v>42573.792071759257</v>
      </c>
      <c r="B91" s="25" t="s">
        <v>121</v>
      </c>
      <c r="C91" s="25" t="s">
        <v>593</v>
      </c>
      <c r="D91" s="25">
        <v>1300000</v>
      </c>
      <c r="E91" s="25" t="s">
        <v>167</v>
      </c>
      <c r="F91" s="25" t="str">
        <f t="shared" si="2"/>
        <v>rtdc.l.rtdc.4007:itc</v>
      </c>
      <c r="G91" s="8">
        <f t="shared" si="3"/>
        <v>42573.792071759257</v>
      </c>
    </row>
    <row r="92" spans="1:7" x14ac:dyDescent="0.25">
      <c r="A92" s="8">
        <v>42573.314884259256</v>
      </c>
      <c r="B92" s="25" t="s">
        <v>111</v>
      </c>
      <c r="C92" s="25" t="s">
        <v>459</v>
      </c>
      <c r="D92" s="25">
        <v>1090000</v>
      </c>
      <c r="E92" s="25" t="s">
        <v>116</v>
      </c>
      <c r="F92" s="25" t="str">
        <f t="shared" si="2"/>
        <v>rtdc.l.rtdc.4028:itc</v>
      </c>
      <c r="G92" s="8">
        <f t="shared" si="3"/>
        <v>42573.314884259256</v>
      </c>
    </row>
    <row r="93" spans="1:7" x14ac:dyDescent="0.25">
      <c r="A93" s="8">
        <v>42573.805335648147</v>
      </c>
      <c r="B93" s="25" t="s">
        <v>164</v>
      </c>
      <c r="C93" s="25" t="s">
        <v>592</v>
      </c>
      <c r="D93" s="25">
        <v>1480000</v>
      </c>
      <c r="E93" s="25" t="s">
        <v>107</v>
      </c>
      <c r="F93" s="25" t="str">
        <f t="shared" si="2"/>
        <v>rtdc.l.rtdc.4041:itc</v>
      </c>
      <c r="G93" s="8">
        <f t="shared" si="3"/>
        <v>42573.805335648147</v>
      </c>
    </row>
    <row r="94" spans="1:7" x14ac:dyDescent="0.25">
      <c r="A94" s="8">
        <v>42573.766006944446</v>
      </c>
      <c r="B94" s="25" t="s">
        <v>109</v>
      </c>
      <c r="C94" s="25" t="s">
        <v>576</v>
      </c>
      <c r="D94" s="25">
        <v>2020000</v>
      </c>
      <c r="E94" s="25" t="s">
        <v>631</v>
      </c>
      <c r="F94" s="25" t="str">
        <f t="shared" si="2"/>
        <v>rtdc.l.rtdc.4013:itc</v>
      </c>
      <c r="G94" s="8">
        <f t="shared" si="3"/>
        <v>42573.766006944446</v>
      </c>
    </row>
    <row r="95" spans="1:7" x14ac:dyDescent="0.25">
      <c r="A95" s="8">
        <v>42573.871203703704</v>
      </c>
      <c r="B95" s="25" t="s">
        <v>145</v>
      </c>
      <c r="C95" s="25" t="s">
        <v>598</v>
      </c>
      <c r="D95" s="25">
        <v>1800000</v>
      </c>
      <c r="E95" s="25" t="s">
        <v>375</v>
      </c>
      <c r="F95" s="25" t="str">
        <f t="shared" si="2"/>
        <v>rtdc.l.rtdc.4015:itc</v>
      </c>
      <c r="G95" s="8">
        <f t="shared" si="3"/>
        <v>42573.871203703704</v>
      </c>
    </row>
    <row r="96" spans="1:7" x14ac:dyDescent="0.25">
      <c r="A96" s="8">
        <v>42573.646990740737</v>
      </c>
      <c r="B96" s="25" t="s">
        <v>125</v>
      </c>
      <c r="C96" s="25" t="s">
        <v>543</v>
      </c>
      <c r="D96" s="25">
        <v>1520000</v>
      </c>
      <c r="E96" s="25" t="s">
        <v>369</v>
      </c>
      <c r="F96" s="25" t="str">
        <f t="shared" si="2"/>
        <v>rtdc.l.rtdc.4039:itc</v>
      </c>
      <c r="G96" s="8">
        <f t="shared" si="3"/>
        <v>42573.646990740737</v>
      </c>
    </row>
    <row r="97" spans="1:7" x14ac:dyDescent="0.25">
      <c r="A97" s="8">
        <v>42573.90997685185</v>
      </c>
      <c r="B97" s="25" t="s">
        <v>146</v>
      </c>
      <c r="C97" s="25" t="s">
        <v>607</v>
      </c>
      <c r="D97" s="25">
        <v>1800000</v>
      </c>
      <c r="E97" s="25" t="s">
        <v>375</v>
      </c>
      <c r="F97" s="25" t="str">
        <f t="shared" si="2"/>
        <v>rtdc.l.rtdc.4016:itc</v>
      </c>
      <c r="G97" s="8">
        <f t="shared" si="3"/>
        <v>42573.90997685185</v>
      </c>
    </row>
    <row r="98" spans="1:7" x14ac:dyDescent="0.25">
      <c r="A98" s="8">
        <v>42573.446747685186</v>
      </c>
      <c r="B98" s="25" t="s">
        <v>104</v>
      </c>
      <c r="C98" s="25" t="s">
        <v>502</v>
      </c>
      <c r="D98" s="25">
        <v>900000</v>
      </c>
      <c r="E98" s="25" t="s">
        <v>630</v>
      </c>
      <c r="F98" s="25" t="str">
        <f t="shared" si="2"/>
        <v>rtdc.l.rtdc.4038:itc</v>
      </c>
      <c r="G98" s="8">
        <f t="shared" si="3"/>
        <v>42573.446747685186</v>
      </c>
    </row>
    <row r="99" spans="1:7" x14ac:dyDescent="0.25">
      <c r="A99" s="8">
        <v>42573.013391203705</v>
      </c>
      <c r="B99" s="25" t="s">
        <v>161</v>
      </c>
      <c r="C99" s="25" t="s">
        <v>632</v>
      </c>
      <c r="D99" s="25">
        <v>1300000</v>
      </c>
      <c r="E99" s="25" t="s">
        <v>167</v>
      </c>
      <c r="F99" s="25" t="str">
        <f t="shared" si="2"/>
        <v>rtdc.l.rtdc.4010:itc</v>
      </c>
      <c r="G99" s="8">
        <f t="shared" si="3"/>
        <v>42573.013391203705</v>
      </c>
    </row>
    <row r="100" spans="1:7" x14ac:dyDescent="0.25">
      <c r="A100" s="8">
        <v>42573.419189814813</v>
      </c>
      <c r="B100" s="25" t="s">
        <v>72</v>
      </c>
      <c r="C100" s="25" t="s">
        <v>485</v>
      </c>
      <c r="D100" s="25">
        <v>1460000</v>
      </c>
      <c r="E100" s="25" t="s">
        <v>629</v>
      </c>
      <c r="F100" s="25" t="str">
        <f t="shared" si="2"/>
        <v>rtdc.l.rtdc.4017:itc</v>
      </c>
      <c r="G100" s="8">
        <f t="shared" si="3"/>
        <v>42573.419189814813</v>
      </c>
    </row>
    <row r="101" spans="1:7" x14ac:dyDescent="0.25">
      <c r="A101" s="8">
        <v>42573.373148148145</v>
      </c>
      <c r="B101" s="25" t="s">
        <v>104</v>
      </c>
      <c r="C101" s="25" t="s">
        <v>481</v>
      </c>
      <c r="D101" s="25">
        <v>900000</v>
      </c>
      <c r="E101" s="25" t="s">
        <v>630</v>
      </c>
      <c r="F101" s="25" t="str">
        <f t="shared" si="2"/>
        <v>rtdc.l.rtdc.4038:itc</v>
      </c>
      <c r="G101" s="8">
        <f t="shared" si="3"/>
        <v>42573.373148148145</v>
      </c>
    </row>
    <row r="102" spans="1:7" x14ac:dyDescent="0.25">
      <c r="A102" s="8">
        <v>42573.845671296294</v>
      </c>
      <c r="B102" s="25" t="s">
        <v>78</v>
      </c>
      <c r="C102" s="25" t="s">
        <v>600</v>
      </c>
      <c r="D102" s="25">
        <v>1480000</v>
      </c>
      <c r="E102" s="25" t="s">
        <v>107</v>
      </c>
      <c r="F102" s="25" t="str">
        <f t="shared" si="2"/>
        <v>rtdc.l.rtdc.4042:itc</v>
      </c>
      <c r="G102" s="8">
        <f t="shared" si="3"/>
        <v>42573.845671296294</v>
      </c>
    </row>
    <row r="103" spans="1:7" x14ac:dyDescent="0.25">
      <c r="A103" s="8">
        <v>42573.380347222221</v>
      </c>
      <c r="B103" s="25" t="s">
        <v>71</v>
      </c>
      <c r="C103" s="25" t="s">
        <v>484</v>
      </c>
      <c r="D103" s="25">
        <v>1460000</v>
      </c>
      <c r="E103" s="25" t="s">
        <v>629</v>
      </c>
      <c r="F103" s="25" t="str">
        <f t="shared" si="2"/>
        <v>rtdc.l.rtdc.4018:itc</v>
      </c>
      <c r="G103" s="8">
        <f t="shared" si="3"/>
        <v>42573.380347222221</v>
      </c>
    </row>
    <row r="104" spans="1:7" x14ac:dyDescent="0.25">
      <c r="A104" s="8">
        <v>42573.691076388888</v>
      </c>
      <c r="B104" s="25" t="s">
        <v>109</v>
      </c>
      <c r="C104" s="25" t="s">
        <v>554</v>
      </c>
      <c r="D104" s="25">
        <v>2020000</v>
      </c>
      <c r="E104" s="25" t="s">
        <v>631</v>
      </c>
      <c r="F104" s="25" t="str">
        <f t="shared" si="2"/>
        <v>rtdc.l.rtdc.4013:itc</v>
      </c>
      <c r="G104" s="8">
        <f t="shared" si="3"/>
        <v>42573.691076388888</v>
      </c>
    </row>
    <row r="105" spans="1:7" x14ac:dyDescent="0.25">
      <c r="A105" s="8">
        <v>42573.395092592589</v>
      </c>
      <c r="B105" s="25" t="s">
        <v>265</v>
      </c>
      <c r="C105" s="25" t="s">
        <v>486</v>
      </c>
      <c r="D105" s="25">
        <v>1310000</v>
      </c>
      <c r="E105" s="25" t="s">
        <v>105</v>
      </c>
      <c r="F105" s="25" t="str">
        <f t="shared" si="2"/>
        <v>rtdc.l.rtdc.4040:itc</v>
      </c>
      <c r="G105" s="8">
        <f t="shared" si="3"/>
        <v>42573.395092592589</v>
      </c>
    </row>
    <row r="106" spans="1:7" x14ac:dyDescent="0.25">
      <c r="A106" s="8">
        <v>42573.589108796295</v>
      </c>
      <c r="B106" s="25" t="s">
        <v>104</v>
      </c>
      <c r="C106" s="25" t="s">
        <v>539</v>
      </c>
      <c r="D106" s="25">
        <v>950000</v>
      </c>
      <c r="E106" s="25" t="s">
        <v>628</v>
      </c>
      <c r="F106" s="25" t="str">
        <f t="shared" si="2"/>
        <v>rtdc.l.rtdc.4038:itc</v>
      </c>
      <c r="G106" s="8">
        <f t="shared" si="3"/>
        <v>42573.589108796295</v>
      </c>
    </row>
    <row r="107" spans="1:7" x14ac:dyDescent="0.25">
      <c r="A107" s="8">
        <v>42573.411898148152</v>
      </c>
      <c r="B107" s="25" t="s">
        <v>117</v>
      </c>
      <c r="C107" s="25" t="s">
        <v>494</v>
      </c>
      <c r="D107" s="25">
        <v>1100000</v>
      </c>
      <c r="E107" s="25" t="s">
        <v>267</v>
      </c>
      <c r="F107" s="25" t="str">
        <f t="shared" si="2"/>
        <v>rtdc.l.rtdc.4044:itc</v>
      </c>
      <c r="G107" s="8">
        <f t="shared" si="3"/>
        <v>42573.411898148152</v>
      </c>
    </row>
    <row r="108" spans="1:7" x14ac:dyDescent="0.25">
      <c r="A108" s="8">
        <v>42573.529629629629</v>
      </c>
      <c r="B108" s="25" t="s">
        <v>71</v>
      </c>
      <c r="C108" s="25" t="s">
        <v>523</v>
      </c>
      <c r="D108" s="25">
        <v>880000</v>
      </c>
      <c r="E108" s="25" t="s">
        <v>374</v>
      </c>
      <c r="F108" s="25" t="str">
        <f t="shared" si="2"/>
        <v>rtdc.l.rtdc.4018:itc</v>
      </c>
      <c r="G108" s="8">
        <f t="shared" si="3"/>
        <v>42573.529629629629</v>
      </c>
    </row>
    <row r="109" spans="1:7" x14ac:dyDescent="0.25">
      <c r="A109" s="8">
        <v>42573.487002314818</v>
      </c>
      <c r="B109" s="25" t="s">
        <v>117</v>
      </c>
      <c r="C109" s="25" t="s">
        <v>512</v>
      </c>
      <c r="D109" s="25">
        <v>2040000</v>
      </c>
      <c r="E109" s="25" t="s">
        <v>266</v>
      </c>
      <c r="F109" s="25" t="str">
        <f t="shared" si="2"/>
        <v>rtdc.l.rtdc.4044:itc</v>
      </c>
      <c r="G109" s="8">
        <f t="shared" si="3"/>
        <v>42573.487002314818</v>
      </c>
    </row>
    <row r="110" spans="1:7" x14ac:dyDescent="0.25">
      <c r="A110" s="8">
        <v>42573.3046412037</v>
      </c>
      <c r="B110" s="25" t="s">
        <v>119</v>
      </c>
      <c r="C110" s="25" t="s">
        <v>455</v>
      </c>
      <c r="D110" s="25">
        <v>1100000</v>
      </c>
      <c r="E110" s="25" t="s">
        <v>267</v>
      </c>
      <c r="F110" s="25" t="str">
        <f t="shared" si="2"/>
        <v>rtdc.l.rtdc.4043:itc</v>
      </c>
      <c r="G110" s="8">
        <f t="shared" si="3"/>
        <v>42573.3046412037</v>
      </c>
    </row>
    <row r="111" spans="1:7" x14ac:dyDescent="0.25">
      <c r="A111" s="8">
        <v>42573.923842592594</v>
      </c>
      <c r="B111" s="25" t="s">
        <v>623</v>
      </c>
      <c r="C111" s="25" t="s">
        <v>605</v>
      </c>
      <c r="D111" s="25">
        <v>1230000</v>
      </c>
      <c r="E111" s="25" t="s">
        <v>178</v>
      </c>
      <c r="F111" s="25" t="str">
        <f t="shared" si="2"/>
        <v>rtdc.l.rtdc.4037:itc</v>
      </c>
      <c r="G111" s="8">
        <f t="shared" si="3"/>
        <v>42573.923842592594</v>
      </c>
    </row>
    <row r="112" spans="1:7" x14ac:dyDescent="0.25">
      <c r="A112" s="8">
        <v>42573.26761574074</v>
      </c>
      <c r="B112" s="25" t="s">
        <v>125</v>
      </c>
      <c r="C112" s="25" t="s">
        <v>440</v>
      </c>
      <c r="D112" s="25">
        <v>900000</v>
      </c>
      <c r="E112" s="25" t="s">
        <v>630</v>
      </c>
      <c r="F112" s="25" t="str">
        <f t="shared" si="2"/>
        <v>rtdc.l.rtdc.4039:itc</v>
      </c>
      <c r="G112" s="8">
        <f t="shared" si="3"/>
        <v>42573.26761574074</v>
      </c>
    </row>
    <row r="113" spans="1:7" x14ac:dyDescent="0.25">
      <c r="A113" s="8">
        <v>42573.306203703702</v>
      </c>
      <c r="B113" s="25" t="s">
        <v>71</v>
      </c>
      <c r="C113" s="25" t="s">
        <v>466</v>
      </c>
      <c r="D113" s="25">
        <v>1460000</v>
      </c>
      <c r="E113" s="25" t="s">
        <v>629</v>
      </c>
      <c r="F113" s="25" t="str">
        <f t="shared" si="2"/>
        <v>rtdc.l.rtdc.4018:itc</v>
      </c>
      <c r="G113" s="8">
        <f t="shared" si="3"/>
        <v>42573.306203703702</v>
      </c>
    </row>
    <row r="114" spans="1:7" x14ac:dyDescent="0.25">
      <c r="A114" s="8">
        <v>42573.227777777778</v>
      </c>
      <c r="B114" s="25" t="s">
        <v>71</v>
      </c>
      <c r="C114" s="25" t="s">
        <v>442</v>
      </c>
      <c r="D114" s="25">
        <v>1460000</v>
      </c>
      <c r="E114" s="25" t="s">
        <v>629</v>
      </c>
      <c r="F114" s="25" t="str">
        <f t="shared" si="2"/>
        <v>rtdc.l.rtdc.4018:itc</v>
      </c>
      <c r="G114" s="8">
        <f t="shared" si="3"/>
        <v>42573.227777777778</v>
      </c>
    </row>
    <row r="115" spans="1:7" x14ac:dyDescent="0.25">
      <c r="A115" s="8">
        <v>42573.324652777781</v>
      </c>
      <c r="B115" s="25" t="s">
        <v>109</v>
      </c>
      <c r="C115" s="25" t="s">
        <v>462</v>
      </c>
      <c r="D115" s="25">
        <v>2010000</v>
      </c>
      <c r="E115" s="25" t="s">
        <v>129</v>
      </c>
      <c r="F115" s="25" t="str">
        <f t="shared" si="2"/>
        <v>rtdc.l.rtdc.4013:itc</v>
      </c>
      <c r="G115" s="8">
        <f t="shared" si="3"/>
        <v>42573.324652777781</v>
      </c>
    </row>
    <row r="116" spans="1:7" x14ac:dyDescent="0.25">
      <c r="A116" s="8">
        <v>42573.214467592596</v>
      </c>
      <c r="B116" s="25" t="s">
        <v>164</v>
      </c>
      <c r="C116" s="25" t="s">
        <v>427</v>
      </c>
      <c r="D116" s="25">
        <v>1190000</v>
      </c>
      <c r="E116" s="25" t="s">
        <v>163</v>
      </c>
      <c r="F116" s="25" t="str">
        <f t="shared" si="2"/>
        <v>rtdc.l.rtdc.4041:itc</v>
      </c>
      <c r="G116" s="8">
        <f t="shared" si="3"/>
        <v>42573.214467592596</v>
      </c>
    </row>
    <row r="117" spans="1:7" x14ac:dyDescent="0.25">
      <c r="A117" s="8">
        <v>42573.505277777775</v>
      </c>
      <c r="B117" s="25" t="s">
        <v>125</v>
      </c>
      <c r="C117" s="25" t="s">
        <v>507</v>
      </c>
      <c r="D117" s="25">
        <v>1520000</v>
      </c>
      <c r="E117" s="25" t="s">
        <v>369</v>
      </c>
      <c r="F117" s="25" t="str">
        <f t="shared" si="2"/>
        <v>rtdc.l.rtdc.4039:itc</v>
      </c>
      <c r="G117" s="8">
        <f t="shared" si="3"/>
        <v>42573.505277777775</v>
      </c>
    </row>
    <row r="118" spans="1:7" x14ac:dyDescent="0.25">
      <c r="A118" s="8">
        <v>42573.176458333335</v>
      </c>
      <c r="B118" s="25" t="s">
        <v>70</v>
      </c>
      <c r="C118" s="25" t="s">
        <v>419</v>
      </c>
      <c r="D118" s="25">
        <v>1310000</v>
      </c>
      <c r="E118" s="25" t="s">
        <v>105</v>
      </c>
      <c r="F118" s="25" t="str">
        <f t="shared" si="2"/>
        <v>rtdc.l.rtdc.4020:itc</v>
      </c>
      <c r="G118" s="8">
        <f t="shared" si="3"/>
        <v>42573.176458333335</v>
      </c>
    </row>
    <row r="119" spans="1:7" x14ac:dyDescent="0.25">
      <c r="A119" s="8">
        <v>42573.660138888888</v>
      </c>
      <c r="B119" s="25" t="s">
        <v>164</v>
      </c>
      <c r="C119" s="25" t="s">
        <v>546</v>
      </c>
      <c r="D119" s="25">
        <v>1540000</v>
      </c>
      <c r="E119" s="25" t="s">
        <v>384</v>
      </c>
      <c r="F119" s="25" t="str">
        <f t="shared" si="2"/>
        <v>rtdc.l.rtdc.4041:itc</v>
      </c>
      <c r="G119" s="8">
        <f t="shared" si="3"/>
        <v>42573.660138888888</v>
      </c>
    </row>
    <row r="120" spans="1:7" x14ac:dyDescent="0.25">
      <c r="A120" s="8">
        <v>42573.169386574074</v>
      </c>
      <c r="B120" s="25" t="s">
        <v>109</v>
      </c>
      <c r="C120" s="25" t="s">
        <v>412</v>
      </c>
      <c r="D120" s="25">
        <v>2010000</v>
      </c>
      <c r="E120" s="25" t="s">
        <v>129</v>
      </c>
      <c r="F120" s="25" t="str">
        <f t="shared" si="2"/>
        <v>rtdc.l.rtdc.4013:itc</v>
      </c>
      <c r="G120" s="8">
        <f t="shared" si="3"/>
        <v>42573.169386574074</v>
      </c>
    </row>
    <row r="121" spans="1:7" x14ac:dyDescent="0.25">
      <c r="A121" s="8">
        <v>42573.66479166667</v>
      </c>
      <c r="B121" s="25" t="s">
        <v>104</v>
      </c>
      <c r="C121" s="25" t="s">
        <v>557</v>
      </c>
      <c r="D121" s="25">
        <v>950000</v>
      </c>
      <c r="E121" s="25" t="s">
        <v>628</v>
      </c>
      <c r="F121" s="25" t="str">
        <f t="shared" si="2"/>
        <v>rtdc.l.rtdc.4038:itc</v>
      </c>
      <c r="G121" s="8">
        <f t="shared" si="3"/>
        <v>42573.66479166667</v>
      </c>
    </row>
    <row r="122" spans="1:7" x14ac:dyDescent="0.25">
      <c r="A122" s="8">
        <v>42573.133194444446</v>
      </c>
      <c r="B122" s="33" t="s">
        <v>114</v>
      </c>
      <c r="C122" s="25" t="s">
        <v>410</v>
      </c>
      <c r="D122" s="25">
        <v>2010000</v>
      </c>
      <c r="E122" s="25" t="s">
        <v>129</v>
      </c>
      <c r="F122" s="25" t="str">
        <f t="shared" si="2"/>
        <v>rtdc.l.rtdc.4027:itc</v>
      </c>
      <c r="G122" s="8">
        <f t="shared" si="3"/>
        <v>42573.133194444446</v>
      </c>
    </row>
    <row r="123" spans="1:7" x14ac:dyDescent="0.25">
      <c r="A123" s="8">
        <v>42573.671469907407</v>
      </c>
      <c r="B123" s="25" t="s">
        <v>119</v>
      </c>
      <c r="C123" s="25" t="s">
        <v>549</v>
      </c>
      <c r="D123" s="25">
        <v>2040000</v>
      </c>
      <c r="E123" s="25" t="s">
        <v>266</v>
      </c>
      <c r="F123" s="25" t="str">
        <f t="shared" si="2"/>
        <v>rtdc.l.rtdc.4043:itc</v>
      </c>
      <c r="G123" s="8">
        <f t="shared" si="3"/>
        <v>42573.671469907407</v>
      </c>
    </row>
    <row r="124" spans="1:7" x14ac:dyDescent="0.25">
      <c r="A124" s="8">
        <v>42573.03466435185</v>
      </c>
      <c r="B124" s="25" t="s">
        <v>145</v>
      </c>
      <c r="C124" s="25" t="s">
        <v>633</v>
      </c>
      <c r="D124" s="25">
        <v>1480000</v>
      </c>
      <c r="E124" s="25" t="s">
        <v>107</v>
      </c>
      <c r="F124" s="25" t="str">
        <f t="shared" si="2"/>
        <v>rtdc.l.rtdc.4015:itc</v>
      </c>
      <c r="G124" s="8">
        <f t="shared" si="3"/>
        <v>42573.03466435185</v>
      </c>
    </row>
    <row r="125" spans="1:7" x14ac:dyDescent="0.25">
      <c r="A125" s="8">
        <v>42573.69</v>
      </c>
      <c r="B125" s="25" t="s">
        <v>71</v>
      </c>
      <c r="C125" s="25" t="s">
        <v>563</v>
      </c>
      <c r="D125" s="25">
        <v>1520000</v>
      </c>
      <c r="E125" s="25" t="s">
        <v>369</v>
      </c>
      <c r="F125" s="25" t="str">
        <f t="shared" si="2"/>
        <v>rtdc.l.rtdc.4018:itc</v>
      </c>
      <c r="G125" s="8">
        <f t="shared" si="3"/>
        <v>42573.69</v>
      </c>
    </row>
    <row r="126" spans="1:7" x14ac:dyDescent="0.25">
      <c r="A126" s="8">
        <v>42573.022291666668</v>
      </c>
      <c r="B126" s="25" t="s">
        <v>177</v>
      </c>
      <c r="C126" s="25" t="s">
        <v>634</v>
      </c>
      <c r="D126" s="25">
        <v>1180000</v>
      </c>
      <c r="E126" s="25" t="s">
        <v>635</v>
      </c>
      <c r="F126" s="25" t="str">
        <f t="shared" si="2"/>
        <v>rtdc.l.rtdc.4011:itc</v>
      </c>
      <c r="G126" s="8">
        <f t="shared" si="3"/>
        <v>42573.022291666668</v>
      </c>
    </row>
    <row r="127" spans="1:7" x14ac:dyDescent="0.25">
      <c r="A127" s="8">
        <v>42573.849317129629</v>
      </c>
      <c r="B127" s="25" t="s">
        <v>623</v>
      </c>
      <c r="C127" s="25" t="s">
        <v>596</v>
      </c>
      <c r="D127" s="25">
        <v>1230000</v>
      </c>
      <c r="E127" s="25" t="s">
        <v>178</v>
      </c>
      <c r="F127" s="25" t="str">
        <f t="shared" si="2"/>
        <v>rtdc.l.rtdc.4037:itc</v>
      </c>
      <c r="G127" s="8">
        <f t="shared" si="3"/>
        <v>42573.849317129629</v>
      </c>
    </row>
    <row r="128" spans="1:7" x14ac:dyDescent="0.25">
      <c r="A128" s="8">
        <v>42573.663807870369</v>
      </c>
      <c r="B128" s="25" t="s">
        <v>104</v>
      </c>
      <c r="C128" s="25" t="s">
        <v>557</v>
      </c>
      <c r="D128" s="25">
        <v>950000</v>
      </c>
      <c r="E128" s="25" t="s">
        <v>628</v>
      </c>
      <c r="F128" s="25" t="str">
        <f t="shared" si="2"/>
        <v>rtdc.l.rtdc.4038:itc</v>
      </c>
      <c r="G128" s="8">
        <f t="shared" si="3"/>
        <v>42573.663807870369</v>
      </c>
    </row>
    <row r="129" spans="1:7" x14ac:dyDescent="0.25">
      <c r="A129" s="8">
        <v>42573.243622685186</v>
      </c>
      <c r="B129" s="25" t="s">
        <v>111</v>
      </c>
      <c r="C129" s="25" t="s">
        <v>434</v>
      </c>
      <c r="D129" s="25">
        <v>1090000</v>
      </c>
      <c r="E129" s="25" t="s">
        <v>116</v>
      </c>
      <c r="F129" s="25" t="str">
        <f t="shared" si="2"/>
        <v>rtdc.l.rtdc.4028:itc</v>
      </c>
      <c r="G129" s="8">
        <f t="shared" si="3"/>
        <v>42573.243622685186</v>
      </c>
    </row>
    <row r="130" spans="1:7" x14ac:dyDescent="0.25">
      <c r="A130" s="8">
        <v>42573.61990740741</v>
      </c>
      <c r="B130" s="25" t="s">
        <v>109</v>
      </c>
      <c r="C130" s="25" t="s">
        <v>537</v>
      </c>
      <c r="D130" s="25">
        <v>2020000</v>
      </c>
      <c r="E130" s="25" t="s">
        <v>631</v>
      </c>
      <c r="F130" s="25" t="str">
        <f t="shared" ref="F130:F193" si="4">B130</f>
        <v>rtdc.l.rtdc.4013:itc</v>
      </c>
      <c r="G130" s="8">
        <f t="shared" ref="G130:G193" si="5">A130</f>
        <v>42573.61990740741</v>
      </c>
    </row>
    <row r="131" spans="1:7" x14ac:dyDescent="0.25">
      <c r="A131" s="8">
        <v>42573.247407407405</v>
      </c>
      <c r="B131" s="25" t="s">
        <v>70</v>
      </c>
      <c r="C131" s="25" t="s">
        <v>446</v>
      </c>
      <c r="D131" s="25">
        <v>1310000</v>
      </c>
      <c r="E131" s="25" t="s">
        <v>105</v>
      </c>
      <c r="F131" s="25" t="str">
        <f t="shared" si="4"/>
        <v>rtdc.l.rtdc.4020:itc</v>
      </c>
      <c r="G131" s="8">
        <f t="shared" si="5"/>
        <v>42573.247407407405</v>
      </c>
    </row>
    <row r="132" spans="1:7" x14ac:dyDescent="0.25">
      <c r="A132" s="8">
        <v>42573.60497685185</v>
      </c>
      <c r="B132" s="25" t="s">
        <v>70</v>
      </c>
      <c r="C132" s="25" t="s">
        <v>541</v>
      </c>
      <c r="D132" s="25">
        <v>880000</v>
      </c>
      <c r="E132" s="25" t="s">
        <v>374</v>
      </c>
      <c r="F132" s="25" t="str">
        <f t="shared" si="4"/>
        <v>rtdc.l.rtdc.4020:itc</v>
      </c>
      <c r="G132" s="8">
        <f t="shared" si="5"/>
        <v>42573.60497685185</v>
      </c>
    </row>
    <row r="133" spans="1:7" x14ac:dyDescent="0.25">
      <c r="A133" s="8">
        <v>42573.254513888889</v>
      </c>
      <c r="B133" s="25" t="s">
        <v>109</v>
      </c>
      <c r="C133" s="25" t="s">
        <v>437</v>
      </c>
      <c r="D133" s="25">
        <v>2010000</v>
      </c>
      <c r="E133" s="25" t="s">
        <v>129</v>
      </c>
      <c r="F133" s="25" t="str">
        <f t="shared" si="4"/>
        <v>rtdc.l.rtdc.4013:itc</v>
      </c>
      <c r="G133" s="8">
        <f t="shared" si="5"/>
        <v>42573.254513888889</v>
      </c>
    </row>
    <row r="134" spans="1:7" x14ac:dyDescent="0.25">
      <c r="A134" s="8">
        <v>42573.569861111115</v>
      </c>
      <c r="B134" s="25" t="s">
        <v>114</v>
      </c>
      <c r="C134" s="25" t="s">
        <v>532</v>
      </c>
      <c r="D134" s="25">
        <v>1820000</v>
      </c>
      <c r="E134" s="25" t="s">
        <v>268</v>
      </c>
      <c r="F134" s="25" t="str">
        <f t="shared" si="4"/>
        <v>rtdc.l.rtdc.4027:itc</v>
      </c>
      <c r="G134" s="8">
        <f t="shared" si="5"/>
        <v>42573.569861111115</v>
      </c>
    </row>
    <row r="135" spans="1:7" x14ac:dyDescent="0.25">
      <c r="A135" s="8">
        <v>42573.398993055554</v>
      </c>
      <c r="B135" s="25" t="s">
        <v>78</v>
      </c>
      <c r="C135" s="25" t="s">
        <v>491</v>
      </c>
      <c r="D135" s="25">
        <v>1190000</v>
      </c>
      <c r="E135" s="25" t="s">
        <v>163</v>
      </c>
      <c r="F135" s="25" t="str">
        <f t="shared" si="4"/>
        <v>rtdc.l.rtdc.4042:itc</v>
      </c>
      <c r="G135" s="8">
        <f t="shared" si="5"/>
        <v>42573.398993055554</v>
      </c>
    </row>
    <row r="136" spans="1:7" x14ac:dyDescent="0.25">
      <c r="A136" s="8">
        <v>42573.570243055554</v>
      </c>
      <c r="B136" s="25" t="s">
        <v>125</v>
      </c>
      <c r="C136" s="25" t="s">
        <v>526</v>
      </c>
      <c r="D136" s="25">
        <v>1520000</v>
      </c>
      <c r="E136" s="25" t="s">
        <v>369</v>
      </c>
      <c r="F136" s="25" t="str">
        <f t="shared" si="4"/>
        <v>rtdc.l.rtdc.4039:itc</v>
      </c>
      <c r="G136" s="8">
        <f t="shared" si="5"/>
        <v>42573.570243055554</v>
      </c>
    </row>
    <row r="137" spans="1:7" x14ac:dyDescent="0.25">
      <c r="A137" s="8">
        <v>42573.535138888888</v>
      </c>
      <c r="B137" s="25" t="s">
        <v>265</v>
      </c>
      <c r="C137" s="25" t="s">
        <v>525</v>
      </c>
      <c r="D137" s="25">
        <v>1520000</v>
      </c>
      <c r="E137" s="25" t="s">
        <v>369</v>
      </c>
      <c r="F137" s="25" t="str">
        <f t="shared" si="4"/>
        <v>rtdc.l.rtdc.4040:itc</v>
      </c>
      <c r="G137" s="8">
        <f t="shared" si="5"/>
        <v>42573.535138888888</v>
      </c>
    </row>
    <row r="138" spans="1:7" x14ac:dyDescent="0.25">
      <c r="A138" s="8">
        <v>42573.226782407408</v>
      </c>
      <c r="B138" s="25" t="s">
        <v>265</v>
      </c>
      <c r="C138" s="25" t="s">
        <v>438</v>
      </c>
      <c r="D138" s="25">
        <v>900000</v>
      </c>
      <c r="E138" s="25" t="s">
        <v>630</v>
      </c>
      <c r="F138" s="25" t="str">
        <f t="shared" si="4"/>
        <v>rtdc.l.rtdc.4040:itc</v>
      </c>
      <c r="G138" s="8">
        <f t="shared" si="5"/>
        <v>42573.226782407408</v>
      </c>
    </row>
    <row r="139" spans="1:7" x14ac:dyDescent="0.25">
      <c r="A139" s="8">
        <v>42573.606030092589</v>
      </c>
      <c r="B139" s="25" t="s">
        <v>70</v>
      </c>
      <c r="C139" s="25" t="s">
        <v>541</v>
      </c>
      <c r="D139" s="25">
        <v>880000</v>
      </c>
      <c r="E139" s="25" t="s">
        <v>374</v>
      </c>
      <c r="F139" s="25" t="str">
        <f t="shared" si="4"/>
        <v>rtdc.l.rtdc.4020:itc</v>
      </c>
      <c r="G139" s="8">
        <f t="shared" si="5"/>
        <v>42573.606030092589</v>
      </c>
    </row>
    <row r="140" spans="1:7" x14ac:dyDescent="0.25">
      <c r="A140" s="8">
        <v>42573.13113425926</v>
      </c>
      <c r="B140" s="25" t="s">
        <v>114</v>
      </c>
      <c r="C140" s="25" t="s">
        <v>410</v>
      </c>
      <c r="D140" s="25">
        <v>2010000</v>
      </c>
      <c r="E140" s="25" t="s">
        <v>129</v>
      </c>
      <c r="F140" s="25" t="str">
        <f t="shared" si="4"/>
        <v>rtdc.l.rtdc.4027:itc</v>
      </c>
      <c r="G140" s="8">
        <f t="shared" si="5"/>
        <v>42573.13113425926</v>
      </c>
    </row>
    <row r="141" spans="1:7" x14ac:dyDescent="0.25">
      <c r="A141" s="8">
        <v>42573.748888888891</v>
      </c>
      <c r="B141" s="25" t="s">
        <v>70</v>
      </c>
      <c r="C141" s="25" t="s">
        <v>583</v>
      </c>
      <c r="D141" s="25">
        <v>950000</v>
      </c>
      <c r="E141" s="25" t="s">
        <v>628</v>
      </c>
      <c r="F141" s="25" t="str">
        <f t="shared" si="4"/>
        <v>rtdc.l.rtdc.4020:itc</v>
      </c>
      <c r="G141" s="8">
        <f t="shared" si="5"/>
        <v>42573.748888888891</v>
      </c>
    </row>
    <row r="142" spans="1:7" x14ac:dyDescent="0.25">
      <c r="A142" s="8">
        <v>42574.012152777781</v>
      </c>
      <c r="B142" s="25" t="s">
        <v>623</v>
      </c>
      <c r="C142" s="25" t="s">
        <v>614</v>
      </c>
      <c r="D142" s="25">
        <v>1230000</v>
      </c>
      <c r="E142" s="25" t="s">
        <v>178</v>
      </c>
      <c r="F142" s="25" t="str">
        <f t="shared" si="4"/>
        <v>rtdc.l.rtdc.4037:itc</v>
      </c>
      <c r="G142" s="8">
        <f t="shared" si="5"/>
        <v>42574.012152777781</v>
      </c>
    </row>
    <row r="143" spans="1:7" x14ac:dyDescent="0.25">
      <c r="A143" s="8">
        <v>42573.821423611109</v>
      </c>
      <c r="B143" s="25" t="s">
        <v>118</v>
      </c>
      <c r="C143" s="25" t="s">
        <v>594</v>
      </c>
      <c r="D143" s="25">
        <v>1300000</v>
      </c>
      <c r="E143" s="25" t="s">
        <v>167</v>
      </c>
      <c r="F143" s="25" t="str">
        <f t="shared" si="4"/>
        <v>rtdc.l.rtdc.4008:itc</v>
      </c>
      <c r="G143" s="8">
        <f t="shared" si="5"/>
        <v>42573.821423611109</v>
      </c>
    </row>
    <row r="144" spans="1:7" x14ac:dyDescent="0.25">
      <c r="A144" s="8">
        <v>42573.732037037036</v>
      </c>
      <c r="B144" s="25" t="s">
        <v>164</v>
      </c>
      <c r="C144" s="25" t="s">
        <v>567</v>
      </c>
      <c r="D144" s="25">
        <v>1540000</v>
      </c>
      <c r="E144" s="25" t="s">
        <v>384</v>
      </c>
      <c r="F144" s="25" t="str">
        <f t="shared" si="4"/>
        <v>rtdc.l.rtdc.4041:itc</v>
      </c>
      <c r="G144" s="8">
        <f t="shared" si="5"/>
        <v>42573.732037037036</v>
      </c>
    </row>
    <row r="145" spans="1:7" x14ac:dyDescent="0.25">
      <c r="A145" s="8">
        <v>42573.830393518518</v>
      </c>
      <c r="B145" s="25" t="s">
        <v>146</v>
      </c>
      <c r="C145" s="25" t="s">
        <v>597</v>
      </c>
      <c r="D145" s="25">
        <v>1800000</v>
      </c>
      <c r="E145" s="25" t="s">
        <v>375</v>
      </c>
      <c r="F145" s="25" t="str">
        <f t="shared" si="4"/>
        <v>rtdc.l.rtdc.4016:itc</v>
      </c>
      <c r="G145" s="8">
        <f t="shared" si="5"/>
        <v>42573.830393518518</v>
      </c>
    </row>
    <row r="146" spans="1:7" x14ac:dyDescent="0.25">
      <c r="A146" s="8">
        <v>42573.712002314816</v>
      </c>
      <c r="B146" s="25" t="s">
        <v>121</v>
      </c>
      <c r="C146" s="25" t="s">
        <v>570</v>
      </c>
      <c r="D146" s="25">
        <v>2030000</v>
      </c>
      <c r="E146" s="25" t="s">
        <v>127</v>
      </c>
      <c r="F146" s="25" t="str">
        <f t="shared" si="4"/>
        <v>rtdc.l.rtdc.4007:itc</v>
      </c>
      <c r="G146" s="8">
        <f t="shared" si="5"/>
        <v>42573.712002314816</v>
      </c>
    </row>
    <row r="147" spans="1:7" x14ac:dyDescent="0.25">
      <c r="A147" s="8">
        <v>42574.07644675926</v>
      </c>
      <c r="B147" s="25" t="s">
        <v>118</v>
      </c>
      <c r="C147" s="25" t="s">
        <v>621</v>
      </c>
      <c r="D147" s="25">
        <v>1300000</v>
      </c>
      <c r="E147" s="25" t="s">
        <v>167</v>
      </c>
      <c r="F147" s="25" t="str">
        <f t="shared" si="4"/>
        <v>rtdc.l.rtdc.4008:itc</v>
      </c>
      <c r="G147" s="8">
        <f t="shared" si="5"/>
        <v>42574.07644675926</v>
      </c>
    </row>
    <row r="148" spans="1:7" x14ac:dyDescent="0.25">
      <c r="A148" s="8">
        <v>42573.64203703704</v>
      </c>
      <c r="B148" s="25" t="s">
        <v>69</v>
      </c>
      <c r="C148" s="25" t="s">
        <v>542</v>
      </c>
      <c r="D148" s="25">
        <v>880000</v>
      </c>
      <c r="E148" s="25" t="s">
        <v>374</v>
      </c>
      <c r="F148" s="25" t="str">
        <f t="shared" si="4"/>
        <v>rtdc.l.rtdc.4019:itc</v>
      </c>
      <c r="G148" s="8">
        <f t="shared" si="5"/>
        <v>42573.64203703704</v>
      </c>
    </row>
    <row r="149" spans="1:7" x14ac:dyDescent="0.25">
      <c r="A149" s="8">
        <v>42574.1721412037</v>
      </c>
      <c r="B149" s="25" t="s">
        <v>117</v>
      </c>
      <c r="C149" s="25" t="s">
        <v>636</v>
      </c>
      <c r="D149" s="25">
        <v>1260000</v>
      </c>
      <c r="E149" s="25" t="s">
        <v>381</v>
      </c>
      <c r="F149" s="25" t="str">
        <f t="shared" si="4"/>
        <v>rtdc.l.rtdc.4044:itc</v>
      </c>
      <c r="G149" s="8">
        <f t="shared" si="5"/>
        <v>42574.1721412037</v>
      </c>
    </row>
    <row r="150" spans="1:7" x14ac:dyDescent="0.25">
      <c r="A150" s="8">
        <v>42573.54378472222</v>
      </c>
      <c r="B150" s="25" t="s">
        <v>109</v>
      </c>
      <c r="C150" s="25" t="s">
        <v>519</v>
      </c>
      <c r="D150" s="25">
        <v>2020000</v>
      </c>
      <c r="E150" s="25" t="s">
        <v>631</v>
      </c>
      <c r="F150" s="25" t="str">
        <f t="shared" si="4"/>
        <v>rtdc.l.rtdc.4013:itc</v>
      </c>
      <c r="G150" s="8">
        <f t="shared" si="5"/>
        <v>42573.54378472222</v>
      </c>
    </row>
    <row r="151" spans="1:7" x14ac:dyDescent="0.25">
      <c r="A151" s="8">
        <v>42573.253449074073</v>
      </c>
      <c r="B151" s="25" t="s">
        <v>78</v>
      </c>
      <c r="C151" s="25" t="s">
        <v>449</v>
      </c>
      <c r="D151" s="25">
        <v>1190000</v>
      </c>
      <c r="E151" s="25" t="s">
        <v>163</v>
      </c>
      <c r="F151" s="25" t="str">
        <f t="shared" si="4"/>
        <v>rtdc.l.rtdc.4042:itc</v>
      </c>
      <c r="G151" s="8">
        <f t="shared" si="5"/>
        <v>42573.253449074073</v>
      </c>
    </row>
    <row r="152" spans="1:7" x14ac:dyDescent="0.25">
      <c r="A152" s="8">
        <v>42573.413344907407</v>
      </c>
      <c r="B152" s="25" t="s">
        <v>623</v>
      </c>
      <c r="C152" s="25" t="s">
        <v>483</v>
      </c>
      <c r="D152" s="25">
        <v>900000</v>
      </c>
      <c r="E152" s="25" t="s">
        <v>630</v>
      </c>
      <c r="F152" s="25" t="str">
        <f t="shared" si="4"/>
        <v>rtdc.l.rtdc.4037:itc</v>
      </c>
      <c r="G152" s="8">
        <f t="shared" si="5"/>
        <v>42573.413344907407</v>
      </c>
    </row>
    <row r="153" spans="1:7" x14ac:dyDescent="0.25">
      <c r="A153" s="8">
        <v>42573.287210648145</v>
      </c>
      <c r="B153" s="25" t="s">
        <v>270</v>
      </c>
      <c r="C153" s="25" t="s">
        <v>460</v>
      </c>
      <c r="D153" s="25">
        <v>2010000</v>
      </c>
      <c r="E153" s="25" t="s">
        <v>129</v>
      </c>
      <c r="F153" s="25" t="str">
        <f t="shared" si="4"/>
        <v>rtdc.l.rtdc.4014:itc</v>
      </c>
      <c r="G153" s="8">
        <f t="shared" si="5"/>
        <v>42573.287210648145</v>
      </c>
    </row>
    <row r="154" spans="1:7" x14ac:dyDescent="0.25">
      <c r="A154" s="8">
        <v>42573.370416666665</v>
      </c>
      <c r="B154" s="25" t="s">
        <v>164</v>
      </c>
      <c r="C154" s="25" t="s">
        <v>470</v>
      </c>
      <c r="D154" s="25">
        <v>1190000</v>
      </c>
      <c r="E154" s="25" t="s">
        <v>163</v>
      </c>
      <c r="F154" s="25" t="str">
        <f t="shared" si="4"/>
        <v>rtdc.l.rtdc.4041:itc</v>
      </c>
      <c r="G154" s="8">
        <f t="shared" si="5"/>
        <v>42573.370416666665</v>
      </c>
    </row>
    <row r="155" spans="1:7" x14ac:dyDescent="0.25">
      <c r="A155" s="8">
        <v>42573.376134259262</v>
      </c>
      <c r="B155" s="25" t="s">
        <v>119</v>
      </c>
      <c r="C155" s="25" t="s">
        <v>473</v>
      </c>
      <c r="D155" s="25">
        <v>1100000</v>
      </c>
      <c r="E155" s="25" t="s">
        <v>267</v>
      </c>
      <c r="F155" s="25" t="str">
        <f t="shared" si="4"/>
        <v>rtdc.l.rtdc.4043:itc</v>
      </c>
      <c r="G155" s="8">
        <f t="shared" si="5"/>
        <v>42573.376134259262</v>
      </c>
    </row>
    <row r="156" spans="1:7" x14ac:dyDescent="0.25">
      <c r="A156" s="8">
        <v>42573.190567129626</v>
      </c>
      <c r="B156" s="25" t="s">
        <v>72</v>
      </c>
      <c r="C156" s="25" t="s">
        <v>417</v>
      </c>
      <c r="D156" s="25">
        <v>1460000</v>
      </c>
      <c r="E156" s="25" t="s">
        <v>629</v>
      </c>
      <c r="F156" s="25" t="str">
        <f t="shared" si="4"/>
        <v>rtdc.l.rtdc.4017:itc</v>
      </c>
      <c r="G156" s="8">
        <f t="shared" si="5"/>
        <v>42573.190567129626</v>
      </c>
    </row>
    <row r="157" spans="1:7" x14ac:dyDescent="0.25">
      <c r="A157" s="8">
        <v>42573.591331018521</v>
      </c>
      <c r="B157" s="25" t="s">
        <v>104</v>
      </c>
      <c r="C157" s="25" t="s">
        <v>539</v>
      </c>
      <c r="D157" s="25">
        <v>950000</v>
      </c>
      <c r="E157" s="25" t="s">
        <v>628</v>
      </c>
      <c r="F157" s="25" t="str">
        <f t="shared" si="4"/>
        <v>rtdc.l.rtdc.4038:itc</v>
      </c>
      <c r="G157" s="8">
        <f t="shared" si="5"/>
        <v>42573.591331018521</v>
      </c>
    </row>
    <row r="158" spans="1:7" x14ac:dyDescent="0.25">
      <c r="A158" s="8">
        <v>42573.135405092595</v>
      </c>
      <c r="B158" s="25" t="s">
        <v>114</v>
      </c>
      <c r="C158" s="25" t="s">
        <v>410</v>
      </c>
      <c r="D158" s="25">
        <v>2010000</v>
      </c>
      <c r="E158" s="25" t="s">
        <v>129</v>
      </c>
      <c r="F158" s="25" t="str">
        <f t="shared" si="4"/>
        <v>rtdc.l.rtdc.4027:itc</v>
      </c>
      <c r="G158" s="8">
        <f t="shared" si="5"/>
        <v>42573.135405092595</v>
      </c>
    </row>
    <row r="159" spans="1:7" x14ac:dyDescent="0.25">
      <c r="A159" s="8">
        <v>42573.767337962963</v>
      </c>
      <c r="B159" s="25" t="s">
        <v>146</v>
      </c>
      <c r="C159" s="25" t="s">
        <v>585</v>
      </c>
      <c r="D159" s="25">
        <v>1800000</v>
      </c>
      <c r="E159" s="25" t="s">
        <v>375</v>
      </c>
      <c r="F159" s="25" t="str">
        <f t="shared" si="4"/>
        <v>rtdc.l.rtdc.4016:itc</v>
      </c>
      <c r="G159" s="8">
        <f t="shared" si="5"/>
        <v>42573.767337962963</v>
      </c>
    </row>
    <row r="160" spans="1:7" x14ac:dyDescent="0.25">
      <c r="A160" s="8">
        <v>42573.951793981483</v>
      </c>
      <c r="B160" s="25" t="s">
        <v>121</v>
      </c>
      <c r="C160" s="25" t="s">
        <v>611</v>
      </c>
      <c r="D160" s="25">
        <v>1300000</v>
      </c>
      <c r="E160" s="25" t="s">
        <v>167</v>
      </c>
      <c r="F160" s="25" t="str">
        <f t="shared" si="4"/>
        <v>rtdc.l.rtdc.4007:itc</v>
      </c>
      <c r="G160" s="8">
        <f t="shared" si="5"/>
        <v>42573.951793981483</v>
      </c>
    </row>
    <row r="161" spans="1:7" x14ac:dyDescent="0.25">
      <c r="A161" s="8">
        <v>42573.995567129627</v>
      </c>
      <c r="B161" s="25" t="s">
        <v>118</v>
      </c>
      <c r="C161" s="25" t="s">
        <v>612</v>
      </c>
      <c r="D161" s="25">
        <v>1300000</v>
      </c>
      <c r="E161" s="25" t="s">
        <v>167</v>
      </c>
      <c r="F161" s="25" t="str">
        <f t="shared" si="4"/>
        <v>rtdc.l.rtdc.4008:itc</v>
      </c>
      <c r="G161" s="8">
        <f t="shared" si="5"/>
        <v>42573.995567129627</v>
      </c>
    </row>
    <row r="162" spans="1:7" x14ac:dyDescent="0.25">
      <c r="A162" s="8">
        <v>42573.867835648147</v>
      </c>
      <c r="B162" s="25" t="s">
        <v>121</v>
      </c>
      <c r="C162" s="25" t="s">
        <v>602</v>
      </c>
      <c r="D162" s="25">
        <v>1300000</v>
      </c>
      <c r="E162" s="25" t="s">
        <v>167</v>
      </c>
      <c r="F162" s="25" t="str">
        <f t="shared" si="4"/>
        <v>rtdc.l.rtdc.4007:itc</v>
      </c>
      <c r="G162" s="8">
        <f t="shared" si="5"/>
        <v>42573.867835648147</v>
      </c>
    </row>
    <row r="163" spans="1:7" x14ac:dyDescent="0.25">
      <c r="A163" s="8">
        <v>42573.289629629631</v>
      </c>
      <c r="B163" s="25" t="s">
        <v>69</v>
      </c>
      <c r="C163" s="25" t="s">
        <v>448</v>
      </c>
      <c r="D163" s="25">
        <v>1310000</v>
      </c>
      <c r="E163" s="25" t="s">
        <v>105</v>
      </c>
      <c r="F163" s="25" t="str">
        <f t="shared" si="4"/>
        <v>rtdc.l.rtdc.4019:itc</v>
      </c>
      <c r="G163" s="8">
        <f t="shared" si="5"/>
        <v>42573.289629629631</v>
      </c>
    </row>
    <row r="164" spans="1:7" x14ac:dyDescent="0.25">
      <c r="A164" s="8">
        <v>42573.701365740744</v>
      </c>
      <c r="B164" s="25" t="s">
        <v>623</v>
      </c>
      <c r="C164" s="25" t="s">
        <v>560</v>
      </c>
      <c r="D164" s="25">
        <v>950000</v>
      </c>
      <c r="E164" s="25" t="s">
        <v>628</v>
      </c>
      <c r="F164" s="25" t="str">
        <f t="shared" si="4"/>
        <v>rtdc.l.rtdc.4037:itc</v>
      </c>
      <c r="G164" s="8">
        <f t="shared" si="5"/>
        <v>42573.701365740744</v>
      </c>
    </row>
    <row r="165" spans="1:7" x14ac:dyDescent="0.25">
      <c r="A165" s="8">
        <v>42573.296574074076</v>
      </c>
      <c r="B165" s="25" t="s">
        <v>164</v>
      </c>
      <c r="C165" s="25" t="s">
        <v>451</v>
      </c>
      <c r="D165" s="25">
        <v>1190000</v>
      </c>
      <c r="E165" s="25" t="s">
        <v>163</v>
      </c>
      <c r="F165" s="25" t="str">
        <f t="shared" si="4"/>
        <v>rtdc.l.rtdc.4041:itc</v>
      </c>
      <c r="G165" s="8">
        <f t="shared" si="5"/>
        <v>42573.296574074076</v>
      </c>
    </row>
    <row r="166" spans="1:7" x14ac:dyDescent="0.25">
      <c r="A166" s="8">
        <v>42573.435046296298</v>
      </c>
      <c r="B166" s="25" t="s">
        <v>270</v>
      </c>
      <c r="C166" s="25" t="s">
        <v>500</v>
      </c>
      <c r="D166" s="25">
        <v>1780000</v>
      </c>
      <c r="E166" s="25" t="s">
        <v>122</v>
      </c>
      <c r="F166" s="25" t="str">
        <f t="shared" si="4"/>
        <v>rtdc.l.rtdc.4014:itc</v>
      </c>
      <c r="G166" s="8">
        <f t="shared" si="5"/>
        <v>42573.435046296298</v>
      </c>
    </row>
    <row r="167" spans="1:7" x14ac:dyDescent="0.25">
      <c r="A167" s="8">
        <v>42573.392152777778</v>
      </c>
      <c r="B167" s="25" t="s">
        <v>111</v>
      </c>
      <c r="C167" s="25" t="s">
        <v>478</v>
      </c>
      <c r="D167" s="25">
        <v>1090000</v>
      </c>
      <c r="E167" s="25" t="s">
        <v>116</v>
      </c>
      <c r="F167" s="25" t="str">
        <f t="shared" si="4"/>
        <v>rtdc.l.rtdc.4028:itc</v>
      </c>
      <c r="G167" s="8">
        <f t="shared" si="5"/>
        <v>42573.392152777778</v>
      </c>
    </row>
    <row r="168" spans="1:7" x14ac:dyDescent="0.25">
      <c r="A168" s="8">
        <v>42573.326319444444</v>
      </c>
      <c r="B168" s="25" t="s">
        <v>78</v>
      </c>
      <c r="C168" s="25" t="s">
        <v>469</v>
      </c>
      <c r="D168" s="25">
        <v>1190000</v>
      </c>
      <c r="E168" s="25" t="s">
        <v>163</v>
      </c>
      <c r="F168" s="25" t="str">
        <f t="shared" si="4"/>
        <v>rtdc.l.rtdc.4042:itc</v>
      </c>
      <c r="G168" s="8">
        <f t="shared" si="5"/>
        <v>42573.326319444444</v>
      </c>
    </row>
    <row r="169" spans="1:7" x14ac:dyDescent="0.25">
      <c r="A169" s="8">
        <v>42573.474189814813</v>
      </c>
      <c r="B169" s="25" t="s">
        <v>78</v>
      </c>
      <c r="C169" s="25" t="s">
        <v>508</v>
      </c>
      <c r="D169" s="25">
        <v>1540000</v>
      </c>
      <c r="E169" s="25" t="s">
        <v>384</v>
      </c>
      <c r="F169" s="25" t="str">
        <f t="shared" si="4"/>
        <v>rtdc.l.rtdc.4042:itc</v>
      </c>
      <c r="G169" s="8">
        <f t="shared" si="5"/>
        <v>42573.474189814813</v>
      </c>
    </row>
    <row r="170" spans="1:7" x14ac:dyDescent="0.25">
      <c r="A170" s="8">
        <v>42573.154340277775</v>
      </c>
      <c r="B170" s="25" t="s">
        <v>265</v>
      </c>
      <c r="C170" s="25" t="s">
        <v>415</v>
      </c>
      <c r="D170" s="25">
        <v>1460000</v>
      </c>
      <c r="E170" s="25" t="s">
        <v>629</v>
      </c>
      <c r="F170" s="25" t="str">
        <f t="shared" si="4"/>
        <v>rtdc.l.rtdc.4040:itc</v>
      </c>
      <c r="G170" s="8">
        <f t="shared" si="5"/>
        <v>42573.154340277775</v>
      </c>
    </row>
    <row r="171" spans="1:7" x14ac:dyDescent="0.25">
      <c r="A171" s="8">
        <v>42573.486319444448</v>
      </c>
      <c r="B171" s="25" t="s">
        <v>623</v>
      </c>
      <c r="C171" s="25" t="s">
        <v>503</v>
      </c>
      <c r="D171" s="25">
        <v>900000</v>
      </c>
      <c r="E171" s="25" t="s">
        <v>630</v>
      </c>
      <c r="F171" s="25" t="str">
        <f t="shared" si="4"/>
        <v>rtdc.l.rtdc.4037:itc</v>
      </c>
      <c r="G171" s="8">
        <f t="shared" si="5"/>
        <v>42573.486319444448</v>
      </c>
    </row>
    <row r="172" spans="1:7" x14ac:dyDescent="0.25">
      <c r="A172" s="8">
        <v>42573.060844907406</v>
      </c>
      <c r="B172" s="25" t="s">
        <v>179</v>
      </c>
      <c r="C172" s="25" t="s">
        <v>637</v>
      </c>
      <c r="D172" s="25">
        <v>1180000</v>
      </c>
      <c r="E172" s="25" t="s">
        <v>635</v>
      </c>
      <c r="F172" s="25" t="str">
        <f t="shared" si="4"/>
        <v>rtdc.l.rtdc.4012:itc</v>
      </c>
      <c r="G172" s="8">
        <f t="shared" si="5"/>
        <v>42573.060844907406</v>
      </c>
    </row>
    <row r="173" spans="1:7" x14ac:dyDescent="0.25">
      <c r="A173" s="8">
        <v>42573.550162037034</v>
      </c>
      <c r="B173" s="25" t="s">
        <v>78</v>
      </c>
      <c r="C173" s="25" t="s">
        <v>528</v>
      </c>
      <c r="D173" s="25">
        <v>1540000</v>
      </c>
      <c r="E173" s="25" t="s">
        <v>384</v>
      </c>
      <c r="F173" s="25" t="str">
        <f t="shared" si="4"/>
        <v>rtdc.l.rtdc.4042:itc</v>
      </c>
      <c r="G173" s="8">
        <f t="shared" si="5"/>
        <v>42573.550162037034</v>
      </c>
    </row>
    <row r="174" spans="1:7" x14ac:dyDescent="0.25">
      <c r="A174" s="8">
        <v>42573.742349537039</v>
      </c>
      <c r="B174" s="25" t="s">
        <v>104</v>
      </c>
      <c r="C174" s="25" t="s">
        <v>579</v>
      </c>
      <c r="D174" s="25">
        <v>1230000</v>
      </c>
      <c r="E174" s="25" t="s">
        <v>178</v>
      </c>
      <c r="F174" s="25" t="str">
        <f t="shared" si="4"/>
        <v>rtdc.l.rtdc.4038:itc</v>
      </c>
      <c r="G174" s="8">
        <f t="shared" si="5"/>
        <v>42573.742349537039</v>
      </c>
    </row>
    <row r="175" spans="1:7" x14ac:dyDescent="0.25">
      <c r="A175" s="8">
        <v>42573.620104166665</v>
      </c>
      <c r="B175" s="25" t="s">
        <v>78</v>
      </c>
      <c r="C175" s="25" t="s">
        <v>544</v>
      </c>
      <c r="D175" s="25">
        <v>1540000</v>
      </c>
      <c r="E175" s="25" t="s">
        <v>384</v>
      </c>
      <c r="F175" s="25" t="str">
        <f t="shared" si="4"/>
        <v>rtdc.l.rtdc.4042:itc</v>
      </c>
      <c r="G175" s="8">
        <f t="shared" si="5"/>
        <v>42573.620104166665</v>
      </c>
    </row>
    <row r="176" spans="1:7" x14ac:dyDescent="0.25">
      <c r="A176" s="8">
        <v>42573.695208333331</v>
      </c>
      <c r="B176" s="25" t="s">
        <v>78</v>
      </c>
      <c r="C176" s="25" t="s">
        <v>565</v>
      </c>
      <c r="D176" s="25">
        <v>1540000</v>
      </c>
      <c r="E176" s="25" t="s">
        <v>384</v>
      </c>
      <c r="F176" s="25" t="str">
        <f t="shared" si="4"/>
        <v>rtdc.l.rtdc.4042:itc</v>
      </c>
      <c r="G176" s="8">
        <f t="shared" si="5"/>
        <v>42573.695208333331</v>
      </c>
    </row>
    <row r="177" spans="1:7" x14ac:dyDescent="0.25">
      <c r="A177" s="8">
        <v>42573.714004629626</v>
      </c>
      <c r="B177" s="25" t="s">
        <v>69</v>
      </c>
      <c r="C177" s="25" t="s">
        <v>562</v>
      </c>
      <c r="D177" s="25">
        <v>880000</v>
      </c>
      <c r="E177" s="25" t="s">
        <v>374</v>
      </c>
      <c r="F177" s="25" t="str">
        <f t="shared" si="4"/>
        <v>rtdc.l.rtdc.4019:itc</v>
      </c>
      <c r="G177" s="8">
        <f t="shared" si="5"/>
        <v>42573.714004629626</v>
      </c>
    </row>
    <row r="178" spans="1:7" x14ac:dyDescent="0.25">
      <c r="A178" s="8">
        <v>42573.597060185188</v>
      </c>
      <c r="B178" s="25" t="s">
        <v>119</v>
      </c>
      <c r="C178" s="25" t="s">
        <v>531</v>
      </c>
      <c r="D178" s="25">
        <v>2040000</v>
      </c>
      <c r="E178" s="25" t="s">
        <v>266</v>
      </c>
      <c r="F178" s="25" t="str">
        <f t="shared" si="4"/>
        <v>rtdc.l.rtdc.4043:itc</v>
      </c>
      <c r="G178" s="8">
        <f t="shared" si="5"/>
        <v>42573.597060185188</v>
      </c>
    </row>
    <row r="179" spans="1:7" x14ac:dyDescent="0.25">
      <c r="A179" s="8">
        <v>42573.884155092594</v>
      </c>
      <c r="B179" s="25" t="s">
        <v>164</v>
      </c>
      <c r="C179" s="25" t="s">
        <v>601</v>
      </c>
      <c r="D179" s="25">
        <v>1480000</v>
      </c>
      <c r="E179" s="25" t="s">
        <v>107</v>
      </c>
      <c r="F179" s="25" t="str">
        <f t="shared" si="4"/>
        <v>rtdc.l.rtdc.4041:itc</v>
      </c>
      <c r="G179" s="8">
        <f t="shared" si="5"/>
        <v>42573.884155092594</v>
      </c>
    </row>
    <row r="180" spans="1:7" x14ac:dyDescent="0.25">
      <c r="A180" s="8">
        <v>42573.40693287037</v>
      </c>
      <c r="B180" s="25" t="s">
        <v>265</v>
      </c>
      <c r="C180" s="25" t="s">
        <v>486</v>
      </c>
      <c r="D180" s="25">
        <v>1310000</v>
      </c>
      <c r="E180" s="25" t="s">
        <v>105</v>
      </c>
      <c r="F180" s="25" t="str">
        <f t="shared" si="4"/>
        <v>rtdc.l.rtdc.4040:itc</v>
      </c>
      <c r="G180" s="8">
        <f t="shared" si="5"/>
        <v>42573.40693287037</v>
      </c>
    </row>
    <row r="181" spans="1:7" x14ac:dyDescent="0.25">
      <c r="A181" s="8">
        <v>42574.036469907405</v>
      </c>
      <c r="B181" s="25" t="s">
        <v>145</v>
      </c>
      <c r="C181" s="25" t="s">
        <v>616</v>
      </c>
      <c r="D181" s="25">
        <v>1800000</v>
      </c>
      <c r="E181" s="25" t="s">
        <v>375</v>
      </c>
      <c r="F181" s="25" t="str">
        <f t="shared" si="4"/>
        <v>rtdc.l.rtdc.4015:itc</v>
      </c>
      <c r="G181" s="8">
        <f t="shared" si="5"/>
        <v>42574.036469907405</v>
      </c>
    </row>
    <row r="182" spans="1:7" x14ac:dyDescent="0.25">
      <c r="A182" s="8">
        <v>42573.340555555558</v>
      </c>
      <c r="B182" s="25" t="s">
        <v>117</v>
      </c>
      <c r="C182" s="25" t="s">
        <v>471</v>
      </c>
      <c r="D182" s="25">
        <v>1100000</v>
      </c>
      <c r="E182" s="25" t="s">
        <v>267</v>
      </c>
      <c r="F182" s="25" t="str">
        <f t="shared" si="4"/>
        <v>rtdc.l.rtdc.4044:itc</v>
      </c>
      <c r="G182" s="8">
        <f t="shared" si="5"/>
        <v>42573.340555555558</v>
      </c>
    </row>
    <row r="183" spans="1:7" x14ac:dyDescent="0.25">
      <c r="A183" s="8">
        <v>42573.20590277778</v>
      </c>
      <c r="B183" s="25" t="s">
        <v>114</v>
      </c>
      <c r="C183" s="25" t="s">
        <v>432</v>
      </c>
      <c r="D183" s="25">
        <v>1090000</v>
      </c>
      <c r="E183" s="25" t="s">
        <v>116</v>
      </c>
      <c r="F183" s="25" t="str">
        <f t="shared" si="4"/>
        <v>rtdc.l.rtdc.4027:itc</v>
      </c>
      <c r="G183" s="8">
        <f t="shared" si="5"/>
        <v>42573.20590277778</v>
      </c>
    </row>
    <row r="184" spans="1:7" x14ac:dyDescent="0.25">
      <c r="A184" s="8">
        <v>42573.290914351855</v>
      </c>
      <c r="B184" s="25" t="s">
        <v>69</v>
      </c>
      <c r="C184" s="25" t="s">
        <v>448</v>
      </c>
      <c r="D184" s="25">
        <v>1310000</v>
      </c>
      <c r="E184" s="25" t="s">
        <v>105</v>
      </c>
      <c r="F184" s="25" t="str">
        <f t="shared" si="4"/>
        <v>rtdc.l.rtdc.4019:itc</v>
      </c>
      <c r="G184" s="8">
        <f t="shared" si="5"/>
        <v>42573.290914351855</v>
      </c>
    </row>
    <row r="185" spans="1:7" x14ac:dyDescent="0.25">
      <c r="A185" s="8">
        <v>42573.399861111109</v>
      </c>
      <c r="B185" s="25" t="s">
        <v>265</v>
      </c>
      <c r="C185" s="25" t="s">
        <v>486</v>
      </c>
      <c r="D185" s="25">
        <v>1310000</v>
      </c>
      <c r="E185" s="25" t="s">
        <v>105</v>
      </c>
      <c r="F185" s="25" t="str">
        <f t="shared" si="4"/>
        <v>rtdc.l.rtdc.4040:itc</v>
      </c>
      <c r="G185" s="8">
        <f t="shared" si="5"/>
        <v>42573.399861111109</v>
      </c>
    </row>
    <row r="186" spans="1:7" x14ac:dyDescent="0.25">
      <c r="A186" s="8">
        <v>42573.265231481484</v>
      </c>
      <c r="B186" s="25" t="s">
        <v>117</v>
      </c>
      <c r="C186" s="25" t="s">
        <v>453</v>
      </c>
      <c r="D186" s="25">
        <v>1100000</v>
      </c>
      <c r="E186" s="25" t="s">
        <v>267</v>
      </c>
      <c r="F186" s="25" t="str">
        <f t="shared" si="4"/>
        <v>rtdc.l.rtdc.4044:itc</v>
      </c>
      <c r="G186" s="8">
        <f t="shared" si="5"/>
        <v>42573.265231481484</v>
      </c>
    </row>
    <row r="187" spans="1:7" x14ac:dyDescent="0.25">
      <c r="A187" s="8">
        <v>42573.433298611111</v>
      </c>
      <c r="B187" s="25" t="s">
        <v>125</v>
      </c>
      <c r="C187" s="25" t="s">
        <v>490</v>
      </c>
      <c r="D187" s="25">
        <v>1310000</v>
      </c>
      <c r="E187" s="25" t="s">
        <v>105</v>
      </c>
      <c r="F187" s="25" t="str">
        <f t="shared" si="4"/>
        <v>rtdc.l.rtdc.4039:itc</v>
      </c>
      <c r="G187" s="8">
        <f t="shared" si="5"/>
        <v>42573.433298611111</v>
      </c>
    </row>
    <row r="188" spans="1:7" x14ac:dyDescent="0.25">
      <c r="A188" s="8">
        <v>42573.969942129632</v>
      </c>
      <c r="B188" s="25" t="s">
        <v>164</v>
      </c>
      <c r="C188" s="25" t="s">
        <v>638</v>
      </c>
      <c r="D188" s="25">
        <v>1480000</v>
      </c>
      <c r="E188" s="25" t="s">
        <v>107</v>
      </c>
      <c r="F188" s="25" t="str">
        <f t="shared" si="4"/>
        <v>rtdc.l.rtdc.4041:itc</v>
      </c>
      <c r="G188" s="8">
        <f t="shared" si="5"/>
        <v>42573.969942129632</v>
      </c>
    </row>
    <row r="189" spans="1:7" x14ac:dyDescent="0.25">
      <c r="A189" s="8">
        <v>42573.512743055559</v>
      </c>
      <c r="B189" s="25" t="s">
        <v>164</v>
      </c>
      <c r="C189" s="25" t="s">
        <v>510</v>
      </c>
      <c r="D189" s="25">
        <v>1540000</v>
      </c>
      <c r="E189" s="25" t="s">
        <v>384</v>
      </c>
      <c r="F189" s="25" t="str">
        <f t="shared" si="4"/>
        <v>rtdc.l.rtdc.4041:itc</v>
      </c>
      <c r="G189" s="8">
        <f t="shared" si="5"/>
        <v>42573.512743055559</v>
      </c>
    </row>
    <row r="190" spans="1:7" x14ac:dyDescent="0.25">
      <c r="A190" s="8">
        <v>42573.772743055553</v>
      </c>
      <c r="B190" s="25" t="s">
        <v>78</v>
      </c>
      <c r="C190" s="25" t="s">
        <v>591</v>
      </c>
      <c r="D190" s="25">
        <v>1480000</v>
      </c>
      <c r="E190" s="25" t="s">
        <v>107</v>
      </c>
      <c r="F190" s="25" t="str">
        <f t="shared" si="4"/>
        <v>rtdc.l.rtdc.4042:itc</v>
      </c>
      <c r="G190" s="8">
        <f t="shared" si="5"/>
        <v>42573.772743055553</v>
      </c>
    </row>
    <row r="191" spans="1:7" x14ac:dyDescent="0.25">
      <c r="A191" s="8">
        <v>42573.585821759261</v>
      </c>
      <c r="B191" s="25" t="s">
        <v>164</v>
      </c>
      <c r="C191" s="25" t="s">
        <v>529</v>
      </c>
      <c r="D191" s="25">
        <v>1540000</v>
      </c>
      <c r="E191" s="25" t="s">
        <v>384</v>
      </c>
      <c r="F191" s="25" t="str">
        <f t="shared" si="4"/>
        <v>rtdc.l.rtdc.4041:itc</v>
      </c>
      <c r="G191" s="8">
        <f t="shared" si="5"/>
        <v>42573.585821759261</v>
      </c>
    </row>
    <row r="192" spans="1:7" x14ac:dyDescent="0.25">
      <c r="A192" s="8">
        <v>42573.705925925926</v>
      </c>
      <c r="B192" s="25" t="s">
        <v>117</v>
      </c>
      <c r="C192" s="25" t="s">
        <v>568</v>
      </c>
      <c r="D192" s="25">
        <v>2040000</v>
      </c>
      <c r="E192" s="25" t="s">
        <v>266</v>
      </c>
      <c r="F192" s="25" t="str">
        <f t="shared" si="4"/>
        <v>rtdc.l.rtdc.4044:itc</v>
      </c>
      <c r="G192" s="8">
        <f t="shared" si="5"/>
        <v>42573.705925925926</v>
      </c>
    </row>
    <row r="193" spans="1:7" x14ac:dyDescent="0.25">
      <c r="A193" s="8">
        <v>42573.674976851849</v>
      </c>
      <c r="B193" s="25" t="s">
        <v>70</v>
      </c>
      <c r="C193" s="25" t="s">
        <v>561</v>
      </c>
      <c r="D193" s="25">
        <v>880000</v>
      </c>
      <c r="E193" s="25" t="s">
        <v>374</v>
      </c>
      <c r="F193" s="25" t="str">
        <f t="shared" si="4"/>
        <v>rtdc.l.rtdc.4020:itc</v>
      </c>
      <c r="G193" s="8">
        <f t="shared" si="5"/>
        <v>42573.674976851849</v>
      </c>
    </row>
    <row r="194" spans="1:7" x14ac:dyDescent="0.25">
      <c r="A194" s="8">
        <v>42573.473645833335</v>
      </c>
      <c r="B194" s="25" t="s">
        <v>109</v>
      </c>
      <c r="C194" s="25" t="s">
        <v>501</v>
      </c>
      <c r="D194" s="25">
        <v>1780000</v>
      </c>
      <c r="E194" s="25" t="s">
        <v>122</v>
      </c>
      <c r="F194" s="25" t="str">
        <f t="shared" ref="F194:F235" si="6">B194</f>
        <v>rtdc.l.rtdc.4013:itc</v>
      </c>
      <c r="G194" s="8">
        <f t="shared" ref="G194:G235" si="7">A194</f>
        <v>42573.473645833335</v>
      </c>
    </row>
    <row r="195" spans="1:7" x14ac:dyDescent="0.25">
      <c r="A195" s="8">
        <v>42573.762662037036</v>
      </c>
      <c r="B195" s="25" t="s">
        <v>146</v>
      </c>
      <c r="C195" s="25" t="s">
        <v>585</v>
      </c>
      <c r="D195" s="25">
        <v>1800000</v>
      </c>
      <c r="E195" s="25" t="s">
        <v>375</v>
      </c>
      <c r="F195" s="25" t="str">
        <f t="shared" si="6"/>
        <v>rtdc.l.rtdc.4016:itc</v>
      </c>
      <c r="G195" s="8">
        <f t="shared" si="7"/>
        <v>42573.762662037036</v>
      </c>
    </row>
    <row r="196" spans="1:7" x14ac:dyDescent="0.25">
      <c r="A196" s="8">
        <v>42573.463067129633</v>
      </c>
      <c r="B196" s="25" t="s">
        <v>111</v>
      </c>
      <c r="C196" s="25" t="s">
        <v>498</v>
      </c>
      <c r="D196" s="25">
        <v>1090000</v>
      </c>
      <c r="E196" s="25" t="s">
        <v>116</v>
      </c>
      <c r="F196" s="25" t="str">
        <f t="shared" si="6"/>
        <v>rtdc.l.rtdc.4028:itc</v>
      </c>
      <c r="G196" s="8">
        <f t="shared" si="7"/>
        <v>42573.463067129633</v>
      </c>
    </row>
    <row r="197" spans="1:7" x14ac:dyDescent="0.25">
      <c r="A197" s="8">
        <v>42574.173842592594</v>
      </c>
      <c r="B197" s="25" t="s">
        <v>117</v>
      </c>
      <c r="C197" s="25" t="s">
        <v>636</v>
      </c>
      <c r="D197" s="25">
        <v>1260000</v>
      </c>
      <c r="E197" s="25" t="s">
        <v>381</v>
      </c>
      <c r="F197" s="25" t="str">
        <f t="shared" si="6"/>
        <v>rtdc.l.rtdc.4044:itc</v>
      </c>
      <c r="G197" s="8">
        <f t="shared" si="7"/>
        <v>42574.173842592594</v>
      </c>
    </row>
    <row r="198" spans="1:7" x14ac:dyDescent="0.25">
      <c r="A198" s="8">
        <v>42573.450196759259</v>
      </c>
      <c r="B198" s="25" t="s">
        <v>119</v>
      </c>
      <c r="C198" s="25" t="s">
        <v>496</v>
      </c>
      <c r="D198" s="25">
        <v>1100000</v>
      </c>
      <c r="E198" s="25" t="s">
        <v>267</v>
      </c>
      <c r="F198" s="25" t="str">
        <f t="shared" si="6"/>
        <v>rtdc.l.rtdc.4043:itc</v>
      </c>
      <c r="G198" s="8">
        <f t="shared" si="7"/>
        <v>42573.450196759259</v>
      </c>
    </row>
    <row r="199" spans="1:7" x14ac:dyDescent="0.25">
      <c r="A199" s="8">
        <v>42573.183935185189</v>
      </c>
      <c r="B199" s="25" t="s">
        <v>78</v>
      </c>
      <c r="C199" s="25" t="s">
        <v>424</v>
      </c>
      <c r="D199" s="25">
        <v>1190000</v>
      </c>
      <c r="E199" s="25" t="s">
        <v>163</v>
      </c>
      <c r="F199" s="25" t="str">
        <f t="shared" si="6"/>
        <v>rtdc.l.rtdc.4042:itc</v>
      </c>
      <c r="G199" s="8">
        <f t="shared" si="7"/>
        <v>42573.183935185189</v>
      </c>
    </row>
    <row r="200" spans="1:7" x14ac:dyDescent="0.25">
      <c r="A200" s="8">
        <v>42573.189976851849</v>
      </c>
      <c r="B200" s="25" t="s">
        <v>117</v>
      </c>
      <c r="C200" s="25" t="s">
        <v>428</v>
      </c>
      <c r="D200" s="25">
        <v>1100000</v>
      </c>
      <c r="E200" s="25" t="s">
        <v>267</v>
      </c>
      <c r="F200" s="25" t="str">
        <f t="shared" si="6"/>
        <v>rtdc.l.rtdc.4044:itc</v>
      </c>
      <c r="G200" s="8">
        <f t="shared" si="7"/>
        <v>42573.189976851849</v>
      </c>
    </row>
    <row r="201" spans="1:7" x14ac:dyDescent="0.25">
      <c r="A201" s="8">
        <v>42573.277337962965</v>
      </c>
      <c r="B201" s="25" t="s">
        <v>114</v>
      </c>
      <c r="C201" s="25" t="s">
        <v>457</v>
      </c>
      <c r="D201" s="25">
        <v>1090000</v>
      </c>
      <c r="E201" s="25" t="s">
        <v>116</v>
      </c>
      <c r="F201" s="25" t="str">
        <f t="shared" si="6"/>
        <v>rtdc.l.rtdc.4027:itc</v>
      </c>
      <c r="G201" s="8">
        <f t="shared" si="7"/>
        <v>42573.277337962965</v>
      </c>
    </row>
    <row r="202" spans="1:7" x14ac:dyDescent="0.25">
      <c r="A202" s="34">
        <v>42573.997407407405</v>
      </c>
      <c r="B202" s="25" t="s">
        <v>146</v>
      </c>
      <c r="C202" s="25" t="s">
        <v>615</v>
      </c>
      <c r="D202" s="25">
        <v>1800000</v>
      </c>
      <c r="E202" s="25" t="s">
        <v>375</v>
      </c>
      <c r="F202" s="25" t="str">
        <f t="shared" si="6"/>
        <v>rtdc.l.rtdc.4016:itc</v>
      </c>
      <c r="G202" s="8">
        <f t="shared" si="7"/>
        <v>42573.997407407405</v>
      </c>
    </row>
    <row r="203" spans="1:7" x14ac:dyDescent="0.25">
      <c r="A203" s="8">
        <v>42573.340439814812</v>
      </c>
      <c r="B203" s="25" t="s">
        <v>623</v>
      </c>
      <c r="C203" s="25" t="s">
        <v>465</v>
      </c>
      <c r="D203" s="25">
        <v>900000</v>
      </c>
      <c r="E203" s="25" t="s">
        <v>630</v>
      </c>
      <c r="F203" s="25" t="str">
        <f t="shared" si="6"/>
        <v>rtdc.l.rtdc.4037:itc</v>
      </c>
      <c r="G203" s="8">
        <f t="shared" si="7"/>
        <v>42573.340439814812</v>
      </c>
    </row>
    <row r="204" spans="1:7" x14ac:dyDescent="0.25">
      <c r="A204" s="8">
        <v>42573.95140046296</v>
      </c>
      <c r="B204" s="25" t="s">
        <v>145</v>
      </c>
      <c r="C204" s="25" t="s">
        <v>609</v>
      </c>
      <c r="D204" s="25">
        <v>1800000</v>
      </c>
      <c r="E204" s="25" t="s">
        <v>375</v>
      </c>
      <c r="F204" s="25" t="str">
        <f t="shared" si="6"/>
        <v>rtdc.l.rtdc.4015:itc</v>
      </c>
      <c r="G204" s="8">
        <f t="shared" si="7"/>
        <v>42573.95140046296</v>
      </c>
    </row>
    <row r="205" spans="1:7" x14ac:dyDescent="0.25">
      <c r="A205" s="8">
        <v>42573.346898148149</v>
      </c>
      <c r="B205" s="25" t="s">
        <v>72</v>
      </c>
      <c r="C205" s="25" t="s">
        <v>467</v>
      </c>
      <c r="D205" s="25">
        <v>1460000</v>
      </c>
      <c r="E205" s="25" t="s">
        <v>629</v>
      </c>
      <c r="F205" s="25" t="str">
        <f t="shared" si="6"/>
        <v>rtdc.l.rtdc.4017:itc</v>
      </c>
      <c r="G205" s="8">
        <f t="shared" si="7"/>
        <v>42573.346898148149</v>
      </c>
    </row>
    <row r="206" spans="1:7" x14ac:dyDescent="0.25">
      <c r="A206" s="8">
        <v>42573.906608796293</v>
      </c>
      <c r="B206" s="25" t="s">
        <v>118</v>
      </c>
      <c r="C206" s="25" t="s">
        <v>603</v>
      </c>
      <c r="D206" s="25">
        <v>1300000</v>
      </c>
      <c r="E206" s="25" t="s">
        <v>167</v>
      </c>
      <c r="F206" s="25" t="str">
        <f t="shared" si="6"/>
        <v>rtdc.l.rtdc.4008:itc</v>
      </c>
      <c r="G206" s="8">
        <f t="shared" si="7"/>
        <v>42573.906608796293</v>
      </c>
    </row>
    <row r="207" spans="1:7" x14ac:dyDescent="0.25">
      <c r="A207" s="8">
        <v>42573.496111111112</v>
      </c>
      <c r="B207" s="25" t="s">
        <v>114</v>
      </c>
      <c r="C207" s="25" t="s">
        <v>515</v>
      </c>
      <c r="D207" s="25">
        <v>1820000</v>
      </c>
      <c r="E207" s="25" t="s">
        <v>268</v>
      </c>
      <c r="F207" s="25" t="str">
        <f t="shared" si="6"/>
        <v>rtdc.l.rtdc.4027:itc</v>
      </c>
      <c r="G207" s="8">
        <f t="shared" si="7"/>
        <v>42573.496111111112</v>
      </c>
    </row>
    <row r="208" spans="1:7" x14ac:dyDescent="0.25">
      <c r="A208" s="8">
        <v>42573.645543981482</v>
      </c>
      <c r="B208" s="25" t="s">
        <v>125</v>
      </c>
      <c r="C208" s="25" t="s">
        <v>543</v>
      </c>
      <c r="D208" s="25">
        <v>1520000</v>
      </c>
      <c r="E208" s="25" t="s">
        <v>369</v>
      </c>
      <c r="F208" s="25" t="str">
        <f t="shared" si="6"/>
        <v>rtdc.l.rtdc.4039:itc</v>
      </c>
      <c r="G208" s="8">
        <f t="shared" si="7"/>
        <v>42573.645543981482</v>
      </c>
    </row>
    <row r="209" spans="1:7" x14ac:dyDescent="0.25">
      <c r="A209" s="8">
        <v>42573.55909722222</v>
      </c>
      <c r="B209" s="25" t="s">
        <v>117</v>
      </c>
      <c r="C209" s="25" t="s">
        <v>530</v>
      </c>
      <c r="D209" s="25">
        <v>2040000</v>
      </c>
      <c r="E209" s="25" t="s">
        <v>266</v>
      </c>
      <c r="F209" s="25" t="str">
        <f t="shared" si="6"/>
        <v>rtdc.l.rtdc.4044:itc</v>
      </c>
      <c r="G209" s="8">
        <f t="shared" si="7"/>
        <v>42573.55909722222</v>
      </c>
    </row>
    <row r="210" spans="1:7" x14ac:dyDescent="0.25">
      <c r="A210" s="8">
        <v>42573.416203703702</v>
      </c>
      <c r="B210" s="25" t="s">
        <v>110</v>
      </c>
      <c r="C210" s="25" t="s">
        <v>622</v>
      </c>
      <c r="D210" s="25">
        <v>1830000</v>
      </c>
      <c r="E210" s="25" t="s">
        <v>269</v>
      </c>
      <c r="F210" s="25" t="str">
        <f t="shared" si="6"/>
        <v>rtdc.l.rtdc.4025:itc</v>
      </c>
      <c r="G210" s="8">
        <f t="shared" si="7"/>
        <v>42573.416203703702</v>
      </c>
    </row>
    <row r="211" spans="1:7" x14ac:dyDescent="0.25">
      <c r="A211" s="8">
        <v>42573.797766203701</v>
      </c>
      <c r="B211" s="25" t="s">
        <v>145</v>
      </c>
      <c r="C211" s="25" t="s">
        <v>589</v>
      </c>
      <c r="D211" s="25">
        <v>1800000</v>
      </c>
      <c r="E211" s="25" t="s">
        <v>375</v>
      </c>
      <c r="F211" s="25" t="str">
        <f t="shared" si="6"/>
        <v>rtdc.l.rtdc.4015:itc</v>
      </c>
      <c r="G211" s="8">
        <f t="shared" si="7"/>
        <v>42573.797766203701</v>
      </c>
    </row>
    <row r="212" spans="1:7" x14ac:dyDescent="0.25">
      <c r="A212" s="8">
        <v>42573.322106481479</v>
      </c>
      <c r="B212" s="25" t="s">
        <v>70</v>
      </c>
      <c r="C212" s="25" t="s">
        <v>468</v>
      </c>
      <c r="D212" s="25">
        <v>1310000</v>
      </c>
      <c r="E212" s="25" t="s">
        <v>105</v>
      </c>
      <c r="F212" s="25" t="str">
        <f t="shared" si="6"/>
        <v>rtdc.l.rtdc.4020:itc</v>
      </c>
      <c r="G212" s="8">
        <f t="shared" si="7"/>
        <v>42573.322106481479</v>
      </c>
    </row>
    <row r="213" spans="1:7" x14ac:dyDescent="0.25">
      <c r="A213" s="8">
        <v>42573.893761574072</v>
      </c>
      <c r="B213" s="25" t="s">
        <v>104</v>
      </c>
      <c r="C213" s="25" t="s">
        <v>604</v>
      </c>
      <c r="D213" s="25">
        <v>1230000</v>
      </c>
      <c r="E213" s="25" t="s">
        <v>178</v>
      </c>
      <c r="F213" s="25" t="str">
        <f t="shared" si="6"/>
        <v>rtdc.l.rtdc.4038:itc</v>
      </c>
      <c r="G213" s="8">
        <f t="shared" si="7"/>
        <v>42573.893761574072</v>
      </c>
    </row>
    <row r="214" spans="1:7" x14ac:dyDescent="0.25">
      <c r="A214" s="8">
        <v>42573.236226851855</v>
      </c>
      <c r="B214" s="25" t="s">
        <v>71</v>
      </c>
      <c r="C214" s="25" t="s">
        <v>442</v>
      </c>
      <c r="D214" s="25">
        <v>1460000</v>
      </c>
      <c r="E214" s="25" t="s">
        <v>629</v>
      </c>
      <c r="F214" s="25" t="str">
        <f t="shared" si="6"/>
        <v>rtdc.l.rtdc.4018:itc</v>
      </c>
      <c r="G214" s="8">
        <f t="shared" si="7"/>
        <v>42573.236226851855</v>
      </c>
    </row>
    <row r="215" spans="1:7" x14ac:dyDescent="0.25">
      <c r="A215" s="8">
        <v>42573.926504629628</v>
      </c>
      <c r="B215" s="25" t="s">
        <v>78</v>
      </c>
      <c r="C215" s="25" t="s">
        <v>610</v>
      </c>
      <c r="D215" s="25">
        <v>1480000</v>
      </c>
      <c r="E215" s="25" t="s">
        <v>107</v>
      </c>
      <c r="F215" s="25" t="str">
        <f t="shared" si="6"/>
        <v>rtdc.l.rtdc.4042:itc</v>
      </c>
      <c r="G215" s="8">
        <f t="shared" si="7"/>
        <v>42573.926504629628</v>
      </c>
    </row>
    <row r="216" spans="1:7" x14ac:dyDescent="0.25">
      <c r="A216" s="8">
        <v>42573.234201388892</v>
      </c>
      <c r="B216" s="25" t="s">
        <v>119</v>
      </c>
      <c r="C216" s="25" t="s">
        <v>430</v>
      </c>
      <c r="D216" s="25">
        <v>1100000</v>
      </c>
      <c r="E216" s="25" t="s">
        <v>267</v>
      </c>
      <c r="F216" s="25" t="str">
        <f t="shared" si="6"/>
        <v>rtdc.l.rtdc.4043:itc</v>
      </c>
      <c r="G216" s="8">
        <f t="shared" si="7"/>
        <v>42573.234201388892</v>
      </c>
    </row>
    <row r="217" spans="1:7" x14ac:dyDescent="0.25">
      <c r="A217" s="8">
        <v>42574.015810185185</v>
      </c>
      <c r="B217" s="25" t="s">
        <v>78</v>
      </c>
      <c r="C217" s="25" t="s">
        <v>617</v>
      </c>
      <c r="D217" s="25">
        <v>1480000</v>
      </c>
      <c r="E217" s="25" t="s">
        <v>107</v>
      </c>
      <c r="F217" s="25" t="str">
        <f t="shared" si="6"/>
        <v>rtdc.l.rtdc.4042:itc</v>
      </c>
      <c r="G217" s="8">
        <f t="shared" si="7"/>
        <v>42574.015810185185</v>
      </c>
    </row>
    <row r="218" spans="1:7" x14ac:dyDescent="0.25">
      <c r="A218" s="8">
        <v>42573.211898148147</v>
      </c>
      <c r="B218" s="25" t="s">
        <v>270</v>
      </c>
      <c r="C218" s="25" t="s">
        <v>436</v>
      </c>
      <c r="D218" s="25">
        <v>2010000</v>
      </c>
      <c r="E218" s="25" t="s">
        <v>129</v>
      </c>
      <c r="F218" s="25" t="str">
        <f t="shared" si="6"/>
        <v>rtdc.l.rtdc.4014:itc</v>
      </c>
      <c r="G218" s="8">
        <f t="shared" si="7"/>
        <v>42573.211898148147</v>
      </c>
    </row>
    <row r="219" spans="1:7" x14ac:dyDescent="0.25">
      <c r="A219" s="8">
        <v>42573.214525462965</v>
      </c>
      <c r="B219" s="25" t="s">
        <v>623</v>
      </c>
      <c r="C219" s="25" t="s">
        <v>422</v>
      </c>
      <c r="D219" s="25">
        <v>1310000</v>
      </c>
      <c r="E219" s="25" t="s">
        <v>105</v>
      </c>
      <c r="F219" s="25" t="str">
        <f t="shared" si="6"/>
        <v>rtdc.l.rtdc.4037:itc</v>
      </c>
      <c r="G219" s="8">
        <f t="shared" si="7"/>
        <v>42573.214525462965</v>
      </c>
    </row>
    <row r="220" spans="1:7" x14ac:dyDescent="0.25">
      <c r="A220" s="8">
        <v>42573.673854166664</v>
      </c>
      <c r="B220" s="25" t="s">
        <v>70</v>
      </c>
      <c r="C220" s="25" t="s">
        <v>561</v>
      </c>
      <c r="D220" s="25">
        <v>880000</v>
      </c>
      <c r="E220" s="25" t="s">
        <v>374</v>
      </c>
      <c r="F220" s="25" t="str">
        <f t="shared" si="6"/>
        <v>rtdc.l.rtdc.4020:itc</v>
      </c>
      <c r="G220" s="8">
        <f t="shared" si="7"/>
        <v>42573.673854166664</v>
      </c>
    </row>
    <row r="221" spans="1:7" x14ac:dyDescent="0.25">
      <c r="A221" s="8">
        <v>42573.423738425925</v>
      </c>
      <c r="B221" s="25" t="s">
        <v>114</v>
      </c>
      <c r="C221" s="25" t="s">
        <v>497</v>
      </c>
      <c r="D221" s="25">
        <v>1090000</v>
      </c>
      <c r="E221" s="25" t="s">
        <v>116</v>
      </c>
      <c r="F221" s="25" t="str">
        <f t="shared" si="6"/>
        <v>rtdc.l.rtdc.4027:itc</v>
      </c>
      <c r="G221" s="8">
        <f t="shared" si="7"/>
        <v>42573.423738425925</v>
      </c>
    </row>
    <row r="222" spans="1:7" x14ac:dyDescent="0.25">
      <c r="A222" s="8">
        <v>42573.577997685185</v>
      </c>
      <c r="B222" s="25" t="s">
        <v>270</v>
      </c>
      <c r="C222" s="25" t="s">
        <v>535</v>
      </c>
      <c r="D222" s="25">
        <v>2020000</v>
      </c>
      <c r="E222" s="25" t="s">
        <v>631</v>
      </c>
      <c r="F222" s="25" t="str">
        <f t="shared" si="6"/>
        <v>rtdc.l.rtdc.4014:itc</v>
      </c>
      <c r="G222" s="8">
        <f t="shared" si="7"/>
        <v>42573.577997685185</v>
      </c>
    </row>
    <row r="223" spans="1:7" x14ac:dyDescent="0.25">
      <c r="A223" s="8">
        <v>42573.454722222225</v>
      </c>
      <c r="B223" s="25" t="s">
        <v>71</v>
      </c>
      <c r="C223" s="25" t="s">
        <v>504</v>
      </c>
      <c r="D223" s="25">
        <v>880000</v>
      </c>
      <c r="E223" s="25" t="s">
        <v>374</v>
      </c>
      <c r="F223" s="25" t="str">
        <f t="shared" si="6"/>
        <v>rtdc.l.rtdc.4018:itc</v>
      </c>
      <c r="G223" s="8">
        <f t="shared" si="7"/>
        <v>42573.454722222225</v>
      </c>
    </row>
    <row r="224" spans="1:7" x14ac:dyDescent="0.25">
      <c r="A224" s="8">
        <v>42573.398240740738</v>
      </c>
      <c r="B224" t="s">
        <v>109</v>
      </c>
      <c r="C224" t="s">
        <v>480</v>
      </c>
      <c r="D224">
        <v>2010000</v>
      </c>
      <c r="E224" t="s">
        <v>129</v>
      </c>
      <c r="F224" s="25" t="str">
        <f t="shared" si="6"/>
        <v>rtdc.l.rtdc.4013:itc</v>
      </c>
      <c r="G224" s="8">
        <f t="shared" si="7"/>
        <v>42573.398240740738</v>
      </c>
    </row>
    <row r="225" spans="1:7" x14ac:dyDescent="0.25">
      <c r="A225" s="8">
        <v>42573.463912037034</v>
      </c>
      <c r="B225" t="s">
        <v>265</v>
      </c>
      <c r="C225" t="s">
        <v>506</v>
      </c>
      <c r="D225">
        <v>1520000</v>
      </c>
      <c r="E225" t="s">
        <v>369</v>
      </c>
      <c r="F225" s="25" t="str">
        <f t="shared" si="6"/>
        <v>rtdc.l.rtdc.4040:itc</v>
      </c>
      <c r="G225" s="8">
        <f t="shared" si="7"/>
        <v>42573.463912037034</v>
      </c>
    </row>
    <row r="226" spans="1:7" x14ac:dyDescent="0.25">
      <c r="A226" s="8">
        <v>42574.034432870372</v>
      </c>
      <c r="B226" t="s">
        <v>121</v>
      </c>
      <c r="C226" t="s">
        <v>619</v>
      </c>
      <c r="D226">
        <v>1300000</v>
      </c>
      <c r="E226" t="s">
        <v>167</v>
      </c>
      <c r="F226" s="25" t="str">
        <f t="shared" si="6"/>
        <v>rtdc.l.rtdc.4007:itc</v>
      </c>
      <c r="G226" s="8">
        <f t="shared" si="7"/>
        <v>42574.034432870372</v>
      </c>
    </row>
    <row r="227" spans="1:7" x14ac:dyDescent="0.25">
      <c r="A227" s="8">
        <v>42573.516076388885</v>
      </c>
      <c r="B227" t="s">
        <v>104</v>
      </c>
      <c r="C227" t="s">
        <v>520</v>
      </c>
      <c r="D227">
        <v>950000</v>
      </c>
      <c r="E227" t="s">
        <v>628</v>
      </c>
      <c r="F227" s="25" t="str">
        <f t="shared" si="6"/>
        <v>rtdc.l.rtdc.4038:itc</v>
      </c>
      <c r="G227" s="8">
        <f t="shared" si="7"/>
        <v>42573.516076388885</v>
      </c>
    </row>
    <row r="228" spans="1:7" x14ac:dyDescent="0.25">
      <c r="A228" s="8">
        <v>42573.976585648146</v>
      </c>
      <c r="B228" t="s">
        <v>104</v>
      </c>
      <c r="C228" t="s">
        <v>613</v>
      </c>
      <c r="D228">
        <v>1230000</v>
      </c>
      <c r="E228" t="s">
        <v>178</v>
      </c>
      <c r="F228" s="25" t="str">
        <f t="shared" si="6"/>
        <v>rtdc.l.rtdc.4038:itc</v>
      </c>
      <c r="G228" s="8">
        <f t="shared" si="7"/>
        <v>42573.976585648146</v>
      </c>
    </row>
    <row r="229" spans="1:7" x14ac:dyDescent="0.25">
      <c r="A229" s="8">
        <v>42573.63008101852</v>
      </c>
      <c r="B229" t="s">
        <v>623</v>
      </c>
      <c r="C229" t="s">
        <v>540</v>
      </c>
      <c r="D229">
        <v>950000</v>
      </c>
      <c r="E229" t="s">
        <v>628</v>
      </c>
      <c r="F229" s="25" t="str">
        <f t="shared" si="6"/>
        <v>rtdc.l.rtdc.4037:itc</v>
      </c>
      <c r="G229" s="8">
        <f t="shared" si="7"/>
        <v>42573.63008101852</v>
      </c>
    </row>
    <row r="230" spans="1:7" x14ac:dyDescent="0.25">
      <c r="A230" s="8">
        <v>42573.730057870373</v>
      </c>
      <c r="B230" t="s">
        <v>270</v>
      </c>
      <c r="C230" t="s">
        <v>573</v>
      </c>
      <c r="D230">
        <v>2020000</v>
      </c>
      <c r="E230" t="s">
        <v>631</v>
      </c>
      <c r="F230" s="25" t="str">
        <f t="shared" si="6"/>
        <v>rtdc.l.rtdc.4014:itc</v>
      </c>
      <c r="G230" s="8">
        <f t="shared" si="7"/>
        <v>42573.730057870373</v>
      </c>
    </row>
    <row r="231" spans="1:7" x14ac:dyDescent="0.25">
      <c r="A231" s="8">
        <v>42573.755601851852</v>
      </c>
      <c r="B231" t="s">
        <v>118</v>
      </c>
      <c r="C231" t="s">
        <v>572</v>
      </c>
      <c r="D231">
        <v>2030000</v>
      </c>
      <c r="E231" t="s">
        <v>127</v>
      </c>
      <c r="F231" s="25" t="str">
        <f t="shared" si="6"/>
        <v>rtdc.l.rtdc.4008:itc</v>
      </c>
      <c r="G231" s="8">
        <f t="shared" si="7"/>
        <v>42573.755601851852</v>
      </c>
    </row>
    <row r="232" spans="1:7" x14ac:dyDescent="0.25">
      <c r="A232" s="8">
        <v>42573.634479166663</v>
      </c>
      <c r="B232" t="s">
        <v>117</v>
      </c>
      <c r="C232" t="s">
        <v>548</v>
      </c>
      <c r="D232">
        <v>2040000</v>
      </c>
      <c r="E232" t="s">
        <v>266</v>
      </c>
      <c r="F232" s="25" t="str">
        <f t="shared" si="6"/>
        <v>rtdc.l.rtdc.4044:itc</v>
      </c>
      <c r="G232" s="8">
        <f t="shared" si="7"/>
        <v>42573.634479166663</v>
      </c>
    </row>
    <row r="233" spans="1:7" x14ac:dyDescent="0.25">
      <c r="A233" s="8">
        <v>42573.810162037036</v>
      </c>
      <c r="B233" t="s">
        <v>104</v>
      </c>
      <c r="C233" t="s">
        <v>595</v>
      </c>
      <c r="D233">
        <v>1230000</v>
      </c>
      <c r="E233" t="s">
        <v>178</v>
      </c>
      <c r="F233" s="25" t="str">
        <f t="shared" si="6"/>
        <v>rtdc.l.rtdc.4038:itc</v>
      </c>
      <c r="G233" s="8">
        <f t="shared" si="7"/>
        <v>42573.810162037036</v>
      </c>
    </row>
    <row r="234" spans="1:7" x14ac:dyDescent="0.25">
      <c r="A234" s="8">
        <v>42573.610208333332</v>
      </c>
      <c r="B234" t="s">
        <v>111</v>
      </c>
      <c r="C234" t="s">
        <v>533</v>
      </c>
      <c r="D234">
        <v>1820000</v>
      </c>
      <c r="E234" t="s">
        <v>268</v>
      </c>
      <c r="F234" s="25" t="str">
        <f t="shared" si="6"/>
        <v>rtdc.l.rtdc.4028:itc</v>
      </c>
      <c r="G234" s="8">
        <f t="shared" si="7"/>
        <v>42573.610208333332</v>
      </c>
    </row>
    <row r="235" spans="1:7" x14ac:dyDescent="0.25">
      <c r="A235" s="8">
        <v>42574.169386574074</v>
      </c>
      <c r="B235" t="s">
        <v>125</v>
      </c>
      <c r="C235" t="s">
        <v>639</v>
      </c>
      <c r="D235">
        <v>2010000</v>
      </c>
      <c r="E235" t="s">
        <v>129</v>
      </c>
      <c r="F235" s="25" t="str">
        <f t="shared" si="6"/>
        <v>rtdc.l.rtdc.4039:itc</v>
      </c>
      <c r="G235" s="8">
        <f t="shared" si="7"/>
        <v>42574.169386574074</v>
      </c>
    </row>
    <row r="236" spans="1:7" x14ac:dyDescent="0.25">
      <c r="A236" s="8">
        <v>42573.785497685189</v>
      </c>
      <c r="B236" t="s">
        <v>69</v>
      </c>
      <c r="C236" t="s">
        <v>584</v>
      </c>
      <c r="D236">
        <v>950000</v>
      </c>
      <c r="E236" t="s">
        <v>628</v>
      </c>
      <c r="F236" s="25" t="str">
        <f t="shared" ref="F236:F265" si="8">B236</f>
        <v>rtdc.l.rtdc.4019:itc</v>
      </c>
      <c r="G236" s="8">
        <f t="shared" ref="G236:G265" si="9">A236</f>
        <v>42573.785497685189</v>
      </c>
    </row>
    <row r="237" spans="1:7" x14ac:dyDescent="0.25">
      <c r="F237" s="25">
        <f t="shared" si="8"/>
        <v>0</v>
      </c>
      <c r="G237" s="8">
        <f t="shared" si="9"/>
        <v>0</v>
      </c>
    </row>
    <row r="238" spans="1:7" x14ac:dyDescent="0.25">
      <c r="A238" s="8">
        <v>42574.889976851853</v>
      </c>
      <c r="B238" t="s">
        <v>72</v>
      </c>
      <c r="C238" t="s">
        <v>385</v>
      </c>
      <c r="D238">
        <v>2000000</v>
      </c>
      <c r="E238" t="s">
        <v>368</v>
      </c>
      <c r="F238" s="25" t="str">
        <f t="shared" si="8"/>
        <v>rtdc.l.rtdc.4017:itc</v>
      </c>
      <c r="G238" s="8">
        <f t="shared" si="9"/>
        <v>42574.889976851853</v>
      </c>
    </row>
    <row r="239" spans="1:7" x14ac:dyDescent="0.25">
      <c r="A239" s="8">
        <v>42575.236076388886</v>
      </c>
      <c r="B239" t="s">
        <v>72</v>
      </c>
      <c r="C239" t="s">
        <v>275</v>
      </c>
      <c r="D239">
        <v>1310000</v>
      </c>
      <c r="E239" t="s">
        <v>105</v>
      </c>
      <c r="F239" s="25" t="str">
        <f t="shared" si="8"/>
        <v>rtdc.l.rtdc.4017:itc</v>
      </c>
      <c r="G239" s="8">
        <f t="shared" si="9"/>
        <v>42575.236076388886</v>
      </c>
    </row>
    <row r="240" spans="1:7" x14ac:dyDescent="0.25">
      <c r="A240" s="8">
        <v>42575.308819444443</v>
      </c>
      <c r="B240" t="s">
        <v>121</v>
      </c>
      <c r="C240" t="s">
        <v>288</v>
      </c>
      <c r="D240">
        <v>1260000</v>
      </c>
      <c r="E240" t="s">
        <v>381</v>
      </c>
      <c r="F240" s="25" t="str">
        <f t="shared" si="8"/>
        <v>rtdc.l.rtdc.4007:itc</v>
      </c>
      <c r="G240" s="8">
        <f t="shared" si="9"/>
        <v>42575.308819444443</v>
      </c>
    </row>
    <row r="241" spans="1:7" x14ac:dyDescent="0.25">
      <c r="A241" s="8">
        <v>42575.009976851848</v>
      </c>
      <c r="B241" t="s">
        <v>112</v>
      </c>
      <c r="C241" t="s">
        <v>382</v>
      </c>
      <c r="D241">
        <v>1300000</v>
      </c>
      <c r="E241" t="s">
        <v>167</v>
      </c>
      <c r="F241" s="25" t="str">
        <f t="shared" si="8"/>
        <v>rtdc.l.rtdc.4029:itc</v>
      </c>
      <c r="G241" s="8">
        <f t="shared" si="9"/>
        <v>42575.009976851848</v>
      </c>
    </row>
    <row r="242" spans="1:7" x14ac:dyDescent="0.25">
      <c r="A242" s="8">
        <v>42575.343194444446</v>
      </c>
      <c r="B242" t="s">
        <v>71</v>
      </c>
      <c r="C242" t="s">
        <v>292</v>
      </c>
      <c r="D242">
        <v>1310000</v>
      </c>
      <c r="E242" t="s">
        <v>105</v>
      </c>
      <c r="F242" s="25" t="str">
        <f t="shared" si="8"/>
        <v>rtdc.l.rtdc.4018:itc</v>
      </c>
      <c r="G242" s="8">
        <f t="shared" si="9"/>
        <v>42575.343194444446</v>
      </c>
    </row>
    <row r="243" spans="1:7" x14ac:dyDescent="0.25">
      <c r="A243" s="8">
        <v>42575.224687499998</v>
      </c>
      <c r="B243" t="s">
        <v>179</v>
      </c>
      <c r="C243" t="s">
        <v>273</v>
      </c>
      <c r="D243">
        <v>1100000</v>
      </c>
      <c r="E243" t="s">
        <v>267</v>
      </c>
      <c r="F243" s="25" t="str">
        <f t="shared" si="8"/>
        <v>rtdc.l.rtdc.4012:itc</v>
      </c>
      <c r="G243" s="8">
        <f t="shared" si="9"/>
        <v>42575.224687499998</v>
      </c>
    </row>
    <row r="244" spans="1:7" x14ac:dyDescent="0.25">
      <c r="A244" s="8">
        <v>42574.859236111108</v>
      </c>
      <c r="B244" t="s">
        <v>113</v>
      </c>
      <c r="C244" t="s">
        <v>386</v>
      </c>
      <c r="D244">
        <v>1810000</v>
      </c>
      <c r="E244" t="s">
        <v>373</v>
      </c>
      <c r="F244" s="25" t="str">
        <f t="shared" si="8"/>
        <v>rtdc.l.rtdc.4030:itc</v>
      </c>
      <c r="G244" s="8">
        <f t="shared" si="9"/>
        <v>42574.859236111108</v>
      </c>
    </row>
    <row r="245" spans="1:7" x14ac:dyDescent="0.25">
      <c r="A245" s="8">
        <v>42575.208437499998</v>
      </c>
      <c r="B245" t="s">
        <v>114</v>
      </c>
      <c r="C245" t="s">
        <v>277</v>
      </c>
      <c r="D245">
        <v>1780000</v>
      </c>
      <c r="E245" t="s">
        <v>122</v>
      </c>
      <c r="F245" s="25" t="str">
        <f t="shared" si="8"/>
        <v>rtdc.l.rtdc.4027:itc</v>
      </c>
      <c r="G245" s="8">
        <f t="shared" si="9"/>
        <v>42575.208437499998</v>
      </c>
    </row>
    <row r="246" spans="1:7" x14ac:dyDescent="0.25">
      <c r="A246" s="8">
        <v>42574.971087962964</v>
      </c>
      <c r="B246" t="s">
        <v>113</v>
      </c>
      <c r="C246" t="s">
        <v>387</v>
      </c>
      <c r="D246">
        <v>1300000</v>
      </c>
      <c r="E246" t="s">
        <v>167</v>
      </c>
      <c r="F246" s="25" t="str">
        <f t="shared" si="8"/>
        <v>rtdc.l.rtdc.4030:itc</v>
      </c>
      <c r="G246" s="8">
        <f t="shared" si="9"/>
        <v>42574.971087962964</v>
      </c>
    </row>
    <row r="247" spans="1:7" x14ac:dyDescent="0.25">
      <c r="A247" s="8">
        <v>42575.170648148145</v>
      </c>
      <c r="B247" t="s">
        <v>145</v>
      </c>
      <c r="C247" t="s">
        <v>271</v>
      </c>
      <c r="D247">
        <v>1360000</v>
      </c>
      <c r="E247" t="s">
        <v>377</v>
      </c>
      <c r="F247" s="25" t="str">
        <f t="shared" si="8"/>
        <v>rtdc.l.rtdc.4015:itc</v>
      </c>
      <c r="G247" s="8">
        <f t="shared" si="9"/>
        <v>42575.170648148145</v>
      </c>
    </row>
    <row r="248" spans="1:7" x14ac:dyDescent="0.25">
      <c r="A248" s="8">
        <v>42575.235219907408</v>
      </c>
      <c r="B248" t="s">
        <v>121</v>
      </c>
      <c r="C248" t="s">
        <v>283</v>
      </c>
      <c r="D248">
        <v>1260000</v>
      </c>
      <c r="E248" t="s">
        <v>381</v>
      </c>
      <c r="F248" s="25" t="str">
        <f t="shared" si="8"/>
        <v>rtdc.l.rtdc.4007:itc</v>
      </c>
      <c r="G248" s="8">
        <f t="shared" si="9"/>
        <v>42575.235219907408</v>
      </c>
    </row>
    <row r="249" spans="1:7" x14ac:dyDescent="0.25">
      <c r="A249" s="8">
        <v>42575.012974537036</v>
      </c>
      <c r="B249" t="s">
        <v>112</v>
      </c>
      <c r="C249" t="s">
        <v>388</v>
      </c>
      <c r="D249">
        <v>1300000</v>
      </c>
      <c r="E249" t="s">
        <v>167</v>
      </c>
      <c r="F249" s="25" t="str">
        <f t="shared" si="8"/>
        <v>rtdc.l.rtdc.4029:itc</v>
      </c>
      <c r="G249" s="8">
        <f t="shared" si="9"/>
        <v>42575.012974537036</v>
      </c>
    </row>
    <row r="250" spans="1:7" x14ac:dyDescent="0.25">
      <c r="A250" s="8">
        <v>42575.248576388891</v>
      </c>
      <c r="B250" t="s">
        <v>265</v>
      </c>
      <c r="C250" t="s">
        <v>284</v>
      </c>
      <c r="D250">
        <v>2010000</v>
      </c>
      <c r="E250" t="s">
        <v>129</v>
      </c>
      <c r="F250" s="25" t="str">
        <f t="shared" si="8"/>
        <v>rtdc.l.rtdc.4040:itc</v>
      </c>
      <c r="G250" s="8">
        <f t="shared" si="9"/>
        <v>42575.248576388891</v>
      </c>
    </row>
    <row r="251" spans="1:7" x14ac:dyDescent="0.25">
      <c r="A251" s="8">
        <v>42574.925694444442</v>
      </c>
      <c r="B251" t="s">
        <v>112</v>
      </c>
      <c r="C251" t="s">
        <v>389</v>
      </c>
      <c r="D251">
        <v>1300000</v>
      </c>
      <c r="E251" t="s">
        <v>167</v>
      </c>
      <c r="F251" s="25" t="str">
        <f t="shared" si="8"/>
        <v>rtdc.l.rtdc.4029:itc</v>
      </c>
      <c r="G251" s="8">
        <f t="shared" si="9"/>
        <v>42574.925694444442</v>
      </c>
    </row>
    <row r="252" spans="1:7" x14ac:dyDescent="0.25">
      <c r="A252" s="8">
        <v>42575.255891203706</v>
      </c>
      <c r="B252" t="s">
        <v>265</v>
      </c>
      <c r="C252" t="s">
        <v>284</v>
      </c>
      <c r="D252">
        <v>2010000</v>
      </c>
      <c r="E252" t="s">
        <v>129</v>
      </c>
      <c r="F252" s="25" t="str">
        <f t="shared" si="8"/>
        <v>rtdc.l.rtdc.4040:itc</v>
      </c>
      <c r="G252" s="8">
        <f t="shared" si="9"/>
        <v>42575.255891203706</v>
      </c>
    </row>
    <row r="253" spans="1:7" x14ac:dyDescent="0.25">
      <c r="A253" s="8">
        <v>42574.859363425923</v>
      </c>
      <c r="B253" t="s">
        <v>108</v>
      </c>
      <c r="C253" t="s">
        <v>390</v>
      </c>
      <c r="D253">
        <v>1820000</v>
      </c>
      <c r="E253" t="s">
        <v>268</v>
      </c>
      <c r="F253" s="25" t="str">
        <f t="shared" si="8"/>
        <v>rtdc.l.rtdc.4026:itc</v>
      </c>
      <c r="G253" s="8">
        <f t="shared" si="9"/>
        <v>42574.859363425923</v>
      </c>
    </row>
    <row r="254" spans="1:7" x14ac:dyDescent="0.25">
      <c r="A254" s="8">
        <v>42575.318402777775</v>
      </c>
      <c r="B254" t="s">
        <v>265</v>
      </c>
      <c r="C254" t="s">
        <v>289</v>
      </c>
      <c r="D254">
        <v>2010000</v>
      </c>
      <c r="E254" t="s">
        <v>129</v>
      </c>
      <c r="F254" s="25" t="str">
        <f t="shared" si="8"/>
        <v>rtdc.l.rtdc.4040:itc</v>
      </c>
      <c r="G254" s="8">
        <f t="shared" si="9"/>
        <v>42575.318402777775</v>
      </c>
    </row>
    <row r="255" spans="1:7" x14ac:dyDescent="0.25">
      <c r="A255" s="8">
        <v>42576.297581018516</v>
      </c>
      <c r="B255" t="s">
        <v>109</v>
      </c>
      <c r="C255" t="s">
        <v>391</v>
      </c>
      <c r="D255">
        <v>1830000</v>
      </c>
      <c r="E255" t="s">
        <v>269</v>
      </c>
      <c r="F255" s="25" t="str">
        <f t="shared" si="8"/>
        <v>rtdc.l.rtdc.4013:itc</v>
      </c>
      <c r="G255" s="8">
        <f t="shared" si="9"/>
        <v>42576.297581018516</v>
      </c>
    </row>
    <row r="256" spans="1:7" x14ac:dyDescent="0.25">
      <c r="A256" s="8">
        <v>42575.591481481482</v>
      </c>
      <c r="B256" t="s">
        <v>270</v>
      </c>
      <c r="C256" t="s">
        <v>326</v>
      </c>
      <c r="D256">
        <v>1230000</v>
      </c>
      <c r="E256" t="s">
        <v>178</v>
      </c>
      <c r="F256" s="25" t="str">
        <f t="shared" si="8"/>
        <v>rtdc.l.rtdc.4014:itc</v>
      </c>
      <c r="G256" s="8">
        <f t="shared" si="9"/>
        <v>42575.591481481482</v>
      </c>
    </row>
    <row r="257" spans="1:7" x14ac:dyDescent="0.25">
      <c r="A257" s="8">
        <v>42576.269976851851</v>
      </c>
      <c r="B257" t="s">
        <v>270</v>
      </c>
      <c r="C257" t="s">
        <v>392</v>
      </c>
      <c r="D257">
        <v>1830000</v>
      </c>
      <c r="E257" t="s">
        <v>269</v>
      </c>
      <c r="F257" s="25" t="str">
        <f t="shared" si="8"/>
        <v>rtdc.l.rtdc.4014:itc</v>
      </c>
      <c r="G257" s="8">
        <f t="shared" si="9"/>
        <v>42576.269976851851</v>
      </c>
    </row>
    <row r="258" spans="1:7" x14ac:dyDescent="0.25">
      <c r="A258" s="8">
        <v>42575.598101851851</v>
      </c>
      <c r="B258" t="s">
        <v>72</v>
      </c>
      <c r="C258" t="s">
        <v>313</v>
      </c>
      <c r="D258">
        <v>2040000</v>
      </c>
      <c r="E258" t="s">
        <v>266</v>
      </c>
      <c r="F258" s="25" t="str">
        <f t="shared" si="8"/>
        <v>rtdc.l.rtdc.4017:itc</v>
      </c>
      <c r="G258" s="8">
        <f t="shared" si="9"/>
        <v>42575.598101851851</v>
      </c>
    </row>
    <row r="259" spans="1:7" x14ac:dyDescent="0.25">
      <c r="A259" s="8">
        <v>42576.251608796294</v>
      </c>
      <c r="B259" t="s">
        <v>70</v>
      </c>
      <c r="C259" t="s">
        <v>393</v>
      </c>
      <c r="D259">
        <v>1240000</v>
      </c>
      <c r="E259" t="s">
        <v>120</v>
      </c>
      <c r="F259" s="25" t="str">
        <f t="shared" si="8"/>
        <v>rtdc.l.rtdc.4020:itc</v>
      </c>
      <c r="G259" s="8">
        <f t="shared" si="9"/>
        <v>42576.251608796294</v>
      </c>
    </row>
    <row r="260" spans="1:7" x14ac:dyDescent="0.25">
      <c r="A260" s="8">
        <v>42575.640532407408</v>
      </c>
      <c r="B260" t="s">
        <v>118</v>
      </c>
      <c r="C260" t="s">
        <v>327</v>
      </c>
      <c r="D260">
        <v>880000</v>
      </c>
      <c r="E260" t="s">
        <v>374</v>
      </c>
      <c r="F260" s="25" t="str">
        <f t="shared" si="8"/>
        <v>rtdc.l.rtdc.4008:itc</v>
      </c>
      <c r="G260" s="8">
        <f t="shared" si="9"/>
        <v>42575.640532407408</v>
      </c>
    </row>
    <row r="261" spans="1:7" x14ac:dyDescent="0.25">
      <c r="A261" s="8">
        <v>42576.226782407408</v>
      </c>
      <c r="B261" t="s">
        <v>113</v>
      </c>
      <c r="C261" t="s">
        <v>380</v>
      </c>
      <c r="D261">
        <v>1190000</v>
      </c>
      <c r="E261" t="s">
        <v>163</v>
      </c>
      <c r="F261" s="25" t="str">
        <f t="shared" si="8"/>
        <v>rtdc.l.rtdc.4030:itc</v>
      </c>
      <c r="G261" s="8">
        <f t="shared" si="9"/>
        <v>42576.226782407408</v>
      </c>
    </row>
    <row r="262" spans="1:7" x14ac:dyDescent="0.25">
      <c r="A262" s="8">
        <v>42575.645775462966</v>
      </c>
      <c r="B262" t="s">
        <v>114</v>
      </c>
      <c r="C262" t="s">
        <v>333</v>
      </c>
      <c r="D262">
        <v>1140000</v>
      </c>
      <c r="E262" t="s">
        <v>370</v>
      </c>
      <c r="F262" s="25" t="str">
        <f t="shared" si="8"/>
        <v>rtdc.l.rtdc.4027:itc</v>
      </c>
      <c r="G262" s="8">
        <f t="shared" si="9"/>
        <v>42575.645775462966</v>
      </c>
    </row>
    <row r="263" spans="1:7" x14ac:dyDescent="0.25">
      <c r="A263" s="8">
        <v>42576.21025462963</v>
      </c>
      <c r="B263" t="s">
        <v>104</v>
      </c>
      <c r="C263" t="s">
        <v>394</v>
      </c>
      <c r="D263">
        <v>1110000</v>
      </c>
      <c r="E263" t="s">
        <v>128</v>
      </c>
      <c r="F263" s="25" t="str">
        <f t="shared" si="8"/>
        <v>rtdc.l.rtdc.4038:itc</v>
      </c>
      <c r="G263" s="8">
        <f t="shared" si="9"/>
        <v>42576.21025462963</v>
      </c>
    </row>
    <row r="264" spans="1:7" x14ac:dyDescent="0.25">
      <c r="A264" s="8">
        <v>42575.646655092591</v>
      </c>
      <c r="B264" t="s">
        <v>125</v>
      </c>
      <c r="C264" t="s">
        <v>329</v>
      </c>
      <c r="D264">
        <v>1280000</v>
      </c>
      <c r="E264" t="s">
        <v>376</v>
      </c>
      <c r="F264" s="25" t="str">
        <f t="shared" si="8"/>
        <v>rtdc.l.rtdc.4039:itc</v>
      </c>
      <c r="G264" s="8">
        <f t="shared" si="9"/>
        <v>42575.646655092591</v>
      </c>
    </row>
    <row r="265" spans="1:7" x14ac:dyDescent="0.25">
      <c r="A265" s="8">
        <v>42576.173506944448</v>
      </c>
      <c r="B265" t="s">
        <v>161</v>
      </c>
      <c r="C265" t="s">
        <v>395</v>
      </c>
      <c r="D265">
        <v>1480000</v>
      </c>
      <c r="E265" t="s">
        <v>107</v>
      </c>
      <c r="F265" s="25" t="str">
        <f t="shared" si="8"/>
        <v>rtdc.l.rtdc.4010:itc</v>
      </c>
      <c r="G265" s="8">
        <f t="shared" si="9"/>
        <v>42576.173506944448</v>
      </c>
    </row>
    <row r="266" spans="1:7" x14ac:dyDescent="0.25">
      <c r="A266" s="8">
        <v>42575.674016203702</v>
      </c>
      <c r="B266" t="s">
        <v>121</v>
      </c>
      <c r="C266" t="s">
        <v>337</v>
      </c>
      <c r="D266">
        <v>880000</v>
      </c>
      <c r="E266" t="s">
        <v>374</v>
      </c>
      <c r="F266" s="25" t="str">
        <f t="shared" ref="F266:F281" si="10">B266</f>
        <v>rtdc.l.rtdc.4007:itc</v>
      </c>
      <c r="G266" s="8">
        <f t="shared" ref="G266:G281" si="11">A266</f>
        <v>42575.674016203702</v>
      </c>
    </row>
    <row r="267" spans="1:7" x14ac:dyDescent="0.25">
      <c r="A267" s="8">
        <v>42576.171527777777</v>
      </c>
      <c r="B267" t="s">
        <v>146</v>
      </c>
      <c r="C267" t="s">
        <v>396</v>
      </c>
      <c r="D267">
        <v>1190000</v>
      </c>
      <c r="E267" t="s">
        <v>163</v>
      </c>
      <c r="F267" s="25" t="str">
        <f t="shared" si="10"/>
        <v>rtdc.l.rtdc.4016:itc</v>
      </c>
      <c r="G267" s="8">
        <f t="shared" si="11"/>
        <v>42576.171527777777</v>
      </c>
    </row>
    <row r="268" spans="1:7" x14ac:dyDescent="0.25">
      <c r="A268" s="8">
        <v>42575.680300925924</v>
      </c>
      <c r="B268" t="s">
        <v>111</v>
      </c>
      <c r="C268" t="s">
        <v>334</v>
      </c>
      <c r="D268">
        <v>1140000</v>
      </c>
      <c r="E268" t="s">
        <v>370</v>
      </c>
      <c r="F268" s="25" t="str">
        <f t="shared" si="10"/>
        <v>rtdc.l.rtdc.4028:itc</v>
      </c>
      <c r="G268" s="8">
        <f t="shared" si="11"/>
        <v>42575.680300925924</v>
      </c>
    </row>
    <row r="269" spans="1:7" x14ac:dyDescent="0.25">
      <c r="A269" s="8">
        <v>42576.140347222223</v>
      </c>
      <c r="B269" t="s">
        <v>104</v>
      </c>
      <c r="C269" t="s">
        <v>397</v>
      </c>
      <c r="D269">
        <v>1480000</v>
      </c>
      <c r="E269" t="s">
        <v>107</v>
      </c>
      <c r="F269" s="25" t="str">
        <f t="shared" si="10"/>
        <v>rtdc.l.rtdc.4038:itc</v>
      </c>
      <c r="G269" s="8">
        <f t="shared" si="11"/>
        <v>42576.140347222223</v>
      </c>
    </row>
    <row r="270" spans="1:7" x14ac:dyDescent="0.25">
      <c r="A270" s="8">
        <v>42575.688356481478</v>
      </c>
      <c r="B270" t="s">
        <v>366</v>
      </c>
      <c r="C270" t="s">
        <v>360</v>
      </c>
      <c r="D270">
        <v>1750000</v>
      </c>
      <c r="E270" t="s">
        <v>383</v>
      </c>
      <c r="F270" s="25" t="str">
        <f t="shared" si="10"/>
        <v>rtdc.l.rtdc.4031:itc</v>
      </c>
      <c r="G270" s="8">
        <f t="shared" si="11"/>
        <v>42575.688356481478</v>
      </c>
    </row>
    <row r="271" spans="1:7" x14ac:dyDescent="0.25">
      <c r="A271" s="8">
        <v>42576.058923611112</v>
      </c>
      <c r="B271" t="s">
        <v>179</v>
      </c>
      <c r="C271" t="s">
        <v>358</v>
      </c>
      <c r="D271">
        <v>1800000</v>
      </c>
      <c r="E271" t="s">
        <v>375</v>
      </c>
      <c r="F271" s="25" t="str">
        <f t="shared" si="10"/>
        <v>rtdc.l.rtdc.4012:itc</v>
      </c>
      <c r="G271" s="8">
        <f t="shared" si="11"/>
        <v>42576.058923611112</v>
      </c>
    </row>
    <row r="272" spans="1:7" x14ac:dyDescent="0.25">
      <c r="A272" s="8">
        <v>42575.696944444448</v>
      </c>
      <c r="B272" t="s">
        <v>108</v>
      </c>
      <c r="C272" t="s">
        <v>359</v>
      </c>
      <c r="D272">
        <v>1820000</v>
      </c>
      <c r="E272" t="s">
        <v>268</v>
      </c>
      <c r="F272" s="25" t="str">
        <f t="shared" si="10"/>
        <v>rtdc.l.rtdc.4026:itc</v>
      </c>
      <c r="G272" s="8">
        <f t="shared" si="11"/>
        <v>42575.696944444448</v>
      </c>
    </row>
    <row r="273" spans="1:7" x14ac:dyDescent="0.25">
      <c r="A273" s="8">
        <v>42576.017511574071</v>
      </c>
      <c r="B273" t="s">
        <v>177</v>
      </c>
      <c r="C273" t="s">
        <v>357</v>
      </c>
      <c r="D273">
        <v>1800000</v>
      </c>
      <c r="E273" t="s">
        <v>375</v>
      </c>
      <c r="F273" s="25" t="str">
        <f t="shared" si="10"/>
        <v>rtdc.l.rtdc.4011:itc</v>
      </c>
      <c r="G273" s="8">
        <f t="shared" si="11"/>
        <v>42576.017511574071</v>
      </c>
    </row>
    <row r="274" spans="1:7" x14ac:dyDescent="0.25">
      <c r="A274" s="8">
        <v>42575.702870370369</v>
      </c>
      <c r="B274" t="s">
        <v>109</v>
      </c>
      <c r="C274" t="s">
        <v>336</v>
      </c>
      <c r="D274">
        <v>1230000</v>
      </c>
      <c r="E274" t="s">
        <v>178</v>
      </c>
      <c r="F274" s="25" t="str">
        <f t="shared" si="10"/>
        <v>rtdc.l.rtdc.4013:itc</v>
      </c>
      <c r="G274" s="8">
        <f t="shared" si="11"/>
        <v>42575.702870370369</v>
      </c>
    </row>
    <row r="275" spans="1:7" x14ac:dyDescent="0.25">
      <c r="A275" s="8">
        <v>42575.830324074072</v>
      </c>
      <c r="B275" t="s">
        <v>108</v>
      </c>
      <c r="C275" t="s">
        <v>321</v>
      </c>
      <c r="D275">
        <v>1820000</v>
      </c>
      <c r="E275" t="s">
        <v>268</v>
      </c>
      <c r="F275" s="25" t="str">
        <f t="shared" si="10"/>
        <v>rtdc.l.rtdc.4026:itc</v>
      </c>
      <c r="G275" s="8">
        <f t="shared" si="11"/>
        <v>42575.830324074072</v>
      </c>
    </row>
    <row r="276" spans="1:7" x14ac:dyDescent="0.25">
      <c r="A276" s="8">
        <v>42575.719074074077</v>
      </c>
      <c r="B276" t="s">
        <v>125</v>
      </c>
      <c r="C276" t="s">
        <v>340</v>
      </c>
      <c r="D276">
        <v>1280000</v>
      </c>
      <c r="E276" t="s">
        <v>376</v>
      </c>
      <c r="F276" s="25" t="str">
        <f t="shared" si="10"/>
        <v>rtdc.l.rtdc.4039:itc</v>
      </c>
      <c r="G276" s="8">
        <f t="shared" si="11"/>
        <v>42575.719074074077</v>
      </c>
    </row>
    <row r="277" spans="1:7" x14ac:dyDescent="0.25">
      <c r="A277" s="8">
        <v>42575.764166666668</v>
      </c>
      <c r="B277" t="s">
        <v>110</v>
      </c>
      <c r="C277" t="s">
        <v>316</v>
      </c>
      <c r="D277">
        <v>1820000</v>
      </c>
      <c r="E277" t="s">
        <v>268</v>
      </c>
      <c r="F277" s="25" t="str">
        <f t="shared" si="10"/>
        <v>rtdc.l.rtdc.4025:itc</v>
      </c>
      <c r="G277" s="8">
        <f t="shared" si="11"/>
        <v>42575.764166666668</v>
      </c>
    </row>
    <row r="278" spans="1:7" x14ac:dyDescent="0.25">
      <c r="A278" s="8">
        <v>42575.720543981479</v>
      </c>
      <c r="B278" t="s">
        <v>110</v>
      </c>
      <c r="C278" t="s">
        <v>363</v>
      </c>
      <c r="D278">
        <v>1820000</v>
      </c>
      <c r="E278" t="s">
        <v>268</v>
      </c>
      <c r="F278" s="25" t="str">
        <f t="shared" si="10"/>
        <v>rtdc.l.rtdc.4025:itc</v>
      </c>
      <c r="G278" s="8">
        <f t="shared" si="11"/>
        <v>42575.720543981479</v>
      </c>
    </row>
    <row r="279" spans="1:7" x14ac:dyDescent="0.25">
      <c r="A279" s="8">
        <v>42575.743425925924</v>
      </c>
      <c r="B279" t="s">
        <v>72</v>
      </c>
      <c r="C279" t="s">
        <v>344</v>
      </c>
      <c r="D279">
        <v>2040000</v>
      </c>
      <c r="E279" t="s">
        <v>266</v>
      </c>
      <c r="F279" s="25" t="str">
        <f t="shared" si="10"/>
        <v>rtdc.l.rtdc.4017:itc</v>
      </c>
      <c r="G279" s="8">
        <f t="shared" si="11"/>
        <v>42575.743425925924</v>
      </c>
    </row>
    <row r="280" spans="1:7" x14ac:dyDescent="0.25">
      <c r="A280" s="8">
        <v>42575.733287037037</v>
      </c>
      <c r="B280" t="s">
        <v>179</v>
      </c>
      <c r="C280" t="s">
        <v>342</v>
      </c>
      <c r="D280">
        <v>1770000</v>
      </c>
      <c r="E280" t="s">
        <v>372</v>
      </c>
      <c r="F280" s="25" t="str">
        <f t="shared" si="10"/>
        <v>rtdc.l.rtdc.4012:itc</v>
      </c>
      <c r="G280" s="8">
        <f t="shared" si="11"/>
        <v>42575.733287037037</v>
      </c>
    </row>
    <row r="281" spans="1:7" x14ac:dyDescent="0.25">
      <c r="A281" s="8">
        <v>42575.713356481479</v>
      </c>
      <c r="B281" t="s">
        <v>118</v>
      </c>
      <c r="C281" t="s">
        <v>338</v>
      </c>
      <c r="D281">
        <v>880000</v>
      </c>
      <c r="E281" t="s">
        <v>374</v>
      </c>
      <c r="F281" s="25" t="str">
        <f t="shared" si="10"/>
        <v>rtdc.l.rtdc.4008:itc</v>
      </c>
      <c r="G281" s="8">
        <f t="shared" si="11"/>
        <v>42575.713356481479</v>
      </c>
    </row>
    <row r="282" spans="1:7" x14ac:dyDescent="0.25">
      <c r="A282" s="8">
        <v>42575.760520833333</v>
      </c>
      <c r="B282" t="s">
        <v>145</v>
      </c>
      <c r="C282" t="s">
        <v>347</v>
      </c>
      <c r="D282">
        <v>1140000</v>
      </c>
      <c r="E282" t="s">
        <v>370</v>
      </c>
      <c r="F282" s="25" t="str">
        <f t="shared" ref="F282:F345" si="12">B282</f>
        <v>rtdc.l.rtdc.4015:itc</v>
      </c>
      <c r="G282" s="8">
        <f t="shared" ref="G282:G345" si="13">A282</f>
        <v>42575.760520833333</v>
      </c>
    </row>
    <row r="283" spans="1:7" x14ac:dyDescent="0.25">
      <c r="A283" s="8">
        <v>42575.632962962962</v>
      </c>
      <c r="B283" t="s">
        <v>71</v>
      </c>
      <c r="C283" t="s">
        <v>331</v>
      </c>
      <c r="D283">
        <v>2040000</v>
      </c>
      <c r="E283" t="s">
        <v>266</v>
      </c>
      <c r="F283" s="25" t="str">
        <f t="shared" si="12"/>
        <v>rtdc.l.rtdc.4018:itc</v>
      </c>
      <c r="G283" s="8">
        <f t="shared" si="13"/>
        <v>42575.632962962962</v>
      </c>
    </row>
    <row r="284" spans="1:7" x14ac:dyDescent="0.25">
      <c r="A284" s="8">
        <v>42575.764456018522</v>
      </c>
      <c r="B284" t="s">
        <v>119</v>
      </c>
      <c r="C284" t="s">
        <v>315</v>
      </c>
      <c r="D284">
        <v>1740000</v>
      </c>
      <c r="E284" t="s">
        <v>371</v>
      </c>
      <c r="F284" s="25" t="str">
        <f t="shared" si="12"/>
        <v>rtdc.l.rtdc.4043:itc</v>
      </c>
      <c r="G284" s="8">
        <f t="shared" si="13"/>
        <v>42575.764456018522</v>
      </c>
    </row>
    <row r="285" spans="1:7" x14ac:dyDescent="0.25">
      <c r="A285" s="8">
        <v>42575.610995370371</v>
      </c>
      <c r="B285" t="s">
        <v>265</v>
      </c>
      <c r="C285" t="s">
        <v>328</v>
      </c>
      <c r="D285">
        <v>1280000</v>
      </c>
      <c r="E285" t="s">
        <v>376</v>
      </c>
      <c r="F285" s="25" t="str">
        <f t="shared" si="12"/>
        <v>rtdc.l.rtdc.4040:itc</v>
      </c>
      <c r="G285" s="8">
        <f t="shared" si="13"/>
        <v>42575.610995370371</v>
      </c>
    </row>
    <row r="286" spans="1:7" x14ac:dyDescent="0.25">
      <c r="A286" s="8">
        <v>42575.791724537034</v>
      </c>
      <c r="B286" t="s">
        <v>117</v>
      </c>
      <c r="C286" t="s">
        <v>319</v>
      </c>
      <c r="D286">
        <v>1740000</v>
      </c>
      <c r="E286" t="s">
        <v>371</v>
      </c>
      <c r="F286" s="25" t="str">
        <f t="shared" si="12"/>
        <v>rtdc.l.rtdc.4044:itc</v>
      </c>
      <c r="G286" s="8">
        <f t="shared" si="13"/>
        <v>42575.791724537034</v>
      </c>
    </row>
    <row r="287" spans="1:7" x14ac:dyDescent="0.25">
      <c r="A287" s="8">
        <v>42575.557233796295</v>
      </c>
      <c r="B287" t="s">
        <v>109</v>
      </c>
      <c r="C287" t="s">
        <v>310</v>
      </c>
      <c r="D287">
        <v>1230000</v>
      </c>
      <c r="E287" t="s">
        <v>178</v>
      </c>
      <c r="F287" s="25" t="str">
        <f t="shared" si="12"/>
        <v>rtdc.l.rtdc.4013:itc</v>
      </c>
      <c r="G287" s="8">
        <f t="shared" si="13"/>
        <v>42575.557233796295</v>
      </c>
    </row>
    <row r="288" spans="1:7" x14ac:dyDescent="0.25">
      <c r="A288" s="8">
        <v>42575.808807870373</v>
      </c>
      <c r="B288" t="s">
        <v>179</v>
      </c>
      <c r="C288" t="s">
        <v>350</v>
      </c>
      <c r="D288">
        <v>1800000</v>
      </c>
      <c r="E288" t="s">
        <v>375</v>
      </c>
      <c r="F288" s="25" t="str">
        <f t="shared" si="12"/>
        <v>rtdc.l.rtdc.4012:itc</v>
      </c>
      <c r="G288" s="8">
        <f t="shared" si="13"/>
        <v>42575.808807870373</v>
      </c>
    </row>
    <row r="289" spans="1:7" x14ac:dyDescent="0.25">
      <c r="A289" s="8">
        <v>42575.539317129631</v>
      </c>
      <c r="B289" t="s">
        <v>265</v>
      </c>
      <c r="C289" t="s">
        <v>311</v>
      </c>
      <c r="D289">
        <v>1280000</v>
      </c>
      <c r="E289" t="s">
        <v>376</v>
      </c>
      <c r="F289" s="25" t="str">
        <f t="shared" si="12"/>
        <v>rtdc.l.rtdc.4040:itc</v>
      </c>
      <c r="G289" s="8">
        <f t="shared" si="13"/>
        <v>42575.539317129631</v>
      </c>
    </row>
    <row r="290" spans="1:7" x14ac:dyDescent="0.25">
      <c r="A290" s="8">
        <v>42575.820509259262</v>
      </c>
      <c r="B290" t="s">
        <v>366</v>
      </c>
      <c r="C290" t="s">
        <v>322</v>
      </c>
      <c r="D290">
        <v>1540000</v>
      </c>
      <c r="E290" t="s">
        <v>384</v>
      </c>
      <c r="F290" s="25" t="str">
        <f t="shared" si="12"/>
        <v>rtdc.l.rtdc.4031:itc</v>
      </c>
      <c r="G290" s="8">
        <f t="shared" si="13"/>
        <v>42575.820509259262</v>
      </c>
    </row>
    <row r="291" spans="1:7" x14ac:dyDescent="0.25">
      <c r="A291" s="8">
        <v>42575.468518518515</v>
      </c>
      <c r="B291" t="s">
        <v>145</v>
      </c>
      <c r="C291" t="s">
        <v>304</v>
      </c>
      <c r="D291">
        <v>1520000</v>
      </c>
      <c r="E291" t="s">
        <v>369</v>
      </c>
      <c r="F291" s="25" t="str">
        <f t="shared" si="12"/>
        <v>rtdc.l.rtdc.4015:itc</v>
      </c>
      <c r="G291" s="8">
        <f t="shared" si="13"/>
        <v>42575.468518518515</v>
      </c>
    </row>
    <row r="292" spans="1:7" x14ac:dyDescent="0.25">
      <c r="A292" s="8">
        <v>42575.831585648149</v>
      </c>
      <c r="B292" t="s">
        <v>117</v>
      </c>
      <c r="C292" t="s">
        <v>323</v>
      </c>
      <c r="D292">
        <v>1740000</v>
      </c>
      <c r="E292" t="s">
        <v>371</v>
      </c>
      <c r="F292" s="25" t="str">
        <f t="shared" si="12"/>
        <v>rtdc.l.rtdc.4044:itc</v>
      </c>
      <c r="G292" s="8">
        <f t="shared" si="13"/>
        <v>42575.831585648149</v>
      </c>
    </row>
    <row r="293" spans="1:7" x14ac:dyDescent="0.25">
      <c r="A293" s="8">
        <v>42575.434305555558</v>
      </c>
      <c r="B293" t="s">
        <v>146</v>
      </c>
      <c r="C293" t="s">
        <v>303</v>
      </c>
      <c r="D293">
        <v>1520000</v>
      </c>
      <c r="E293" t="s">
        <v>369</v>
      </c>
      <c r="F293" s="25" t="str">
        <f t="shared" si="12"/>
        <v>rtdc.l.rtdc.4016:itc</v>
      </c>
      <c r="G293" s="8">
        <f t="shared" si="13"/>
        <v>42575.434305555558</v>
      </c>
    </row>
    <row r="294" spans="1:7" x14ac:dyDescent="0.25">
      <c r="A294" s="8">
        <v>42575.869398148148</v>
      </c>
      <c r="B294" t="s">
        <v>125</v>
      </c>
      <c r="C294" t="s">
        <v>354</v>
      </c>
      <c r="D294">
        <v>1810000</v>
      </c>
      <c r="E294" t="s">
        <v>373</v>
      </c>
      <c r="F294" s="25" t="str">
        <f t="shared" si="12"/>
        <v>rtdc.l.rtdc.4039:itc</v>
      </c>
      <c r="G294" s="8">
        <f t="shared" si="13"/>
        <v>42575.869398148148</v>
      </c>
    </row>
    <row r="295" spans="1:7" x14ac:dyDescent="0.25">
      <c r="A295" s="8">
        <v>42575.418298611112</v>
      </c>
      <c r="B295" t="s">
        <v>118</v>
      </c>
      <c r="C295" t="s">
        <v>298</v>
      </c>
      <c r="D295">
        <v>1260000</v>
      </c>
      <c r="E295" t="s">
        <v>381</v>
      </c>
      <c r="F295" s="25" t="str">
        <f t="shared" si="12"/>
        <v>rtdc.l.rtdc.4008:itc</v>
      </c>
      <c r="G295" s="8">
        <f t="shared" si="13"/>
        <v>42575.418298611112</v>
      </c>
    </row>
    <row r="296" spans="1:7" x14ac:dyDescent="0.25">
      <c r="A296" s="8">
        <v>42575.900393518517</v>
      </c>
      <c r="B296" t="s">
        <v>366</v>
      </c>
      <c r="C296" t="s">
        <v>325</v>
      </c>
      <c r="D296">
        <v>1750000</v>
      </c>
      <c r="E296" t="s">
        <v>383</v>
      </c>
      <c r="F296" s="25" t="str">
        <f t="shared" si="12"/>
        <v>rtdc.l.rtdc.4031:itc</v>
      </c>
      <c r="G296" s="8">
        <f t="shared" si="13"/>
        <v>42575.900393518517</v>
      </c>
    </row>
    <row r="297" spans="1:7" x14ac:dyDescent="0.25">
      <c r="A297" s="8">
        <v>42575.883391203701</v>
      </c>
      <c r="B297" t="s">
        <v>367</v>
      </c>
      <c r="C297" t="s">
        <v>324</v>
      </c>
      <c r="D297">
        <v>1750000</v>
      </c>
      <c r="E297" t="s">
        <v>383</v>
      </c>
      <c r="F297" s="25" t="str">
        <f t="shared" si="12"/>
        <v>rtdc.l.rtdc.4032:itc</v>
      </c>
      <c r="G297" s="8">
        <f t="shared" si="13"/>
        <v>42575.883391203701</v>
      </c>
    </row>
    <row r="298" spans="1:7" x14ac:dyDescent="0.25">
      <c r="A298" s="8">
        <v>42575.988217592596</v>
      </c>
      <c r="B298" t="s">
        <v>265</v>
      </c>
      <c r="C298" t="s">
        <v>356</v>
      </c>
      <c r="D298">
        <v>1810000</v>
      </c>
      <c r="E298" t="s">
        <v>373</v>
      </c>
      <c r="F298" s="25" t="str">
        <f t="shared" si="12"/>
        <v>rtdc.l.rtdc.4040:itc</v>
      </c>
      <c r="G298" s="8">
        <f t="shared" si="13"/>
        <v>42575.988217592596</v>
      </c>
    </row>
    <row r="299" spans="1:7" x14ac:dyDescent="0.25">
      <c r="A299" s="8">
        <v>42575.847673611112</v>
      </c>
      <c r="B299" t="s">
        <v>109</v>
      </c>
      <c r="C299" t="s">
        <v>353</v>
      </c>
      <c r="D299">
        <v>1290000</v>
      </c>
      <c r="E299" t="s">
        <v>173</v>
      </c>
      <c r="F299" s="25" t="str">
        <f t="shared" si="12"/>
        <v>rtdc.l.rtdc.4013:itc</v>
      </c>
      <c r="G299" s="8">
        <f t="shared" si="13"/>
        <v>42575.847673611112</v>
      </c>
    </row>
    <row r="300" spans="1:7" x14ac:dyDescent="0.25">
      <c r="A300" s="8">
        <v>42575.496886574074</v>
      </c>
      <c r="B300" t="s">
        <v>114</v>
      </c>
      <c r="C300" t="s">
        <v>307</v>
      </c>
      <c r="D300">
        <v>1140000</v>
      </c>
      <c r="E300" t="s">
        <v>370</v>
      </c>
      <c r="F300" s="25" t="str">
        <f t="shared" si="12"/>
        <v>rtdc.l.rtdc.4027:itc</v>
      </c>
      <c r="G300" s="8">
        <f t="shared" si="13"/>
        <v>42575.496886574074</v>
      </c>
    </row>
    <row r="301" spans="1:7" x14ac:dyDescent="0.25">
      <c r="A301" s="8">
        <v>42575.735752314817</v>
      </c>
      <c r="B301" t="s">
        <v>270</v>
      </c>
      <c r="C301" t="s">
        <v>348</v>
      </c>
      <c r="D301">
        <v>1290000</v>
      </c>
      <c r="E301" t="s">
        <v>173</v>
      </c>
      <c r="F301" s="25" t="str">
        <f t="shared" si="12"/>
        <v>rtdc.l.rtdc.4014:itc</v>
      </c>
      <c r="G301" s="8">
        <f t="shared" si="13"/>
        <v>42575.735752314817</v>
      </c>
    </row>
    <row r="302" spans="1:7" x14ac:dyDescent="0.25">
      <c r="A302" s="8">
        <v>42575.506481481483</v>
      </c>
      <c r="B302" t="s">
        <v>146</v>
      </c>
      <c r="C302" t="s">
        <v>308</v>
      </c>
      <c r="D302">
        <v>1520000</v>
      </c>
      <c r="E302" t="s">
        <v>369</v>
      </c>
      <c r="F302" s="25" t="str">
        <f t="shared" si="12"/>
        <v>rtdc.l.rtdc.4016:itc</v>
      </c>
      <c r="G302" s="8">
        <f t="shared" si="13"/>
        <v>42575.506481481483</v>
      </c>
    </row>
    <row r="303" spans="1:7" x14ac:dyDescent="0.25">
      <c r="A303" s="8">
        <v>42575.68613425926</v>
      </c>
      <c r="B303" t="s">
        <v>265</v>
      </c>
      <c r="C303" t="s">
        <v>339</v>
      </c>
      <c r="D303">
        <v>1280000</v>
      </c>
      <c r="E303" t="s">
        <v>376</v>
      </c>
      <c r="F303" s="25" t="str">
        <f t="shared" si="12"/>
        <v>rtdc.l.rtdc.4040:itc</v>
      </c>
      <c r="G303" s="8">
        <f t="shared" si="13"/>
        <v>42575.68613425926</v>
      </c>
    </row>
    <row r="304" spans="1:7" x14ac:dyDescent="0.25">
      <c r="A304" s="8">
        <v>42575.519444444442</v>
      </c>
      <c r="B304" t="s">
        <v>270</v>
      </c>
      <c r="C304" t="s">
        <v>309</v>
      </c>
      <c r="D304">
        <v>1230000</v>
      </c>
      <c r="E304" t="s">
        <v>178</v>
      </c>
      <c r="F304" s="25" t="str">
        <f t="shared" si="12"/>
        <v>rtdc.l.rtdc.4014:itc</v>
      </c>
      <c r="G304" s="8">
        <f t="shared" si="13"/>
        <v>42575.519444444442</v>
      </c>
    </row>
    <row r="305" spans="1:7" x14ac:dyDescent="0.25">
      <c r="A305" s="8">
        <v>42575.67150462963</v>
      </c>
      <c r="B305" t="s">
        <v>72</v>
      </c>
      <c r="C305" t="s">
        <v>332</v>
      </c>
      <c r="D305">
        <v>2040000</v>
      </c>
      <c r="E305" t="s">
        <v>266</v>
      </c>
      <c r="F305" s="25" t="str">
        <f t="shared" si="12"/>
        <v>rtdc.l.rtdc.4017:itc</v>
      </c>
      <c r="G305" s="8">
        <f t="shared" si="13"/>
        <v>42575.67150462963</v>
      </c>
    </row>
    <row r="306" spans="1:7" x14ac:dyDescent="0.25">
      <c r="A306" s="8">
        <v>42575.622615740744</v>
      </c>
      <c r="B306" t="s">
        <v>177</v>
      </c>
      <c r="C306" t="s">
        <v>330</v>
      </c>
      <c r="D306">
        <v>1770000</v>
      </c>
      <c r="E306" t="s">
        <v>372</v>
      </c>
      <c r="F306" s="25" t="str">
        <f t="shared" si="12"/>
        <v>rtdc.l.rtdc.4011:itc</v>
      </c>
      <c r="G306" s="8">
        <f t="shared" si="13"/>
        <v>42575.622615740744</v>
      </c>
    </row>
    <row r="307" spans="1:7" x14ac:dyDescent="0.25">
      <c r="A307" s="8">
        <v>42575.442824074074</v>
      </c>
      <c r="B307" t="s">
        <v>179</v>
      </c>
      <c r="C307" t="s">
        <v>301</v>
      </c>
      <c r="D307">
        <v>1100000</v>
      </c>
      <c r="E307" t="s">
        <v>267</v>
      </c>
      <c r="F307" s="25" t="str">
        <f t="shared" si="12"/>
        <v>rtdc.l.rtdc.4012:itc</v>
      </c>
      <c r="G307" s="8">
        <f t="shared" si="13"/>
        <v>42575.442824074074</v>
      </c>
    </row>
    <row r="308" spans="1:7" x14ac:dyDescent="0.25">
      <c r="A308" s="8">
        <v>42575.700428240743</v>
      </c>
      <c r="B308" t="s">
        <v>117</v>
      </c>
      <c r="C308" t="s">
        <v>362</v>
      </c>
      <c r="D308">
        <v>1740000</v>
      </c>
      <c r="E308" t="s">
        <v>371</v>
      </c>
      <c r="F308" s="25" t="str">
        <f t="shared" si="12"/>
        <v>rtdc.l.rtdc.4044:itc</v>
      </c>
      <c r="G308" s="8">
        <f t="shared" si="13"/>
        <v>42575.700428240743</v>
      </c>
    </row>
    <row r="309" spans="1:7" x14ac:dyDescent="0.25">
      <c r="A309" s="8">
        <v>42575.387199074074</v>
      </c>
      <c r="B309" t="s">
        <v>111</v>
      </c>
      <c r="C309" t="s">
        <v>294</v>
      </c>
      <c r="D309">
        <v>1780000</v>
      </c>
      <c r="E309" t="s">
        <v>122</v>
      </c>
      <c r="F309" s="25" t="str">
        <f t="shared" si="12"/>
        <v>rtdc.l.rtdc.4028:itc</v>
      </c>
      <c r="G309" s="8">
        <f t="shared" si="13"/>
        <v>42575.387199074074</v>
      </c>
    </row>
    <row r="310" spans="1:7" x14ac:dyDescent="0.25">
      <c r="A310" s="8">
        <v>42575.708726851852</v>
      </c>
      <c r="B310" t="s">
        <v>367</v>
      </c>
      <c r="C310" t="s">
        <v>361</v>
      </c>
      <c r="D310">
        <v>1750000</v>
      </c>
      <c r="E310" t="s">
        <v>383</v>
      </c>
      <c r="F310" s="25" t="str">
        <f t="shared" si="12"/>
        <v>rtdc.l.rtdc.4032:itc</v>
      </c>
      <c r="G310" s="8">
        <f t="shared" si="13"/>
        <v>42575.708726851852</v>
      </c>
    </row>
    <row r="311" spans="1:7" x14ac:dyDescent="0.25">
      <c r="A311" s="8">
        <v>42575.297638888886</v>
      </c>
      <c r="B311" t="s">
        <v>179</v>
      </c>
      <c r="C311" t="s">
        <v>285</v>
      </c>
      <c r="D311">
        <v>1100000</v>
      </c>
      <c r="E311" t="s">
        <v>267</v>
      </c>
      <c r="F311" s="25" t="str">
        <f t="shared" si="12"/>
        <v>rtdc.l.rtdc.4012:itc</v>
      </c>
      <c r="G311" s="8">
        <f t="shared" si="13"/>
        <v>42575.297638888886</v>
      </c>
    </row>
    <row r="312" spans="1:7" x14ac:dyDescent="0.25">
      <c r="A312" s="8">
        <v>42575.73364583333</v>
      </c>
      <c r="B312" t="s">
        <v>366</v>
      </c>
      <c r="C312" t="s">
        <v>364</v>
      </c>
      <c r="D312">
        <v>1750000</v>
      </c>
      <c r="E312" t="s">
        <v>383</v>
      </c>
      <c r="F312" s="25" t="str">
        <f t="shared" si="12"/>
        <v>rtdc.l.rtdc.4031:itc</v>
      </c>
      <c r="G312" s="8">
        <f t="shared" si="13"/>
        <v>42575.73364583333</v>
      </c>
    </row>
    <row r="313" spans="1:7" x14ac:dyDescent="0.25">
      <c r="A313" s="8">
        <v>42575.249398148146</v>
      </c>
      <c r="B313" t="s">
        <v>145</v>
      </c>
      <c r="C313" t="s">
        <v>282</v>
      </c>
      <c r="D313">
        <v>1360000</v>
      </c>
      <c r="E313" t="s">
        <v>377</v>
      </c>
      <c r="F313" s="25" t="str">
        <f t="shared" si="12"/>
        <v>rtdc.l.rtdc.4015:itc</v>
      </c>
      <c r="G313" s="8">
        <f t="shared" si="13"/>
        <v>42575.249398148146</v>
      </c>
    </row>
    <row r="314" spans="1:7" x14ac:dyDescent="0.25">
      <c r="A314" s="8">
        <v>42575.750289351854</v>
      </c>
      <c r="B314" t="s">
        <v>367</v>
      </c>
      <c r="C314" t="s">
        <v>314</v>
      </c>
      <c r="D314">
        <v>1750000</v>
      </c>
      <c r="E314" t="s">
        <v>383</v>
      </c>
      <c r="F314" s="25" t="str">
        <f t="shared" si="12"/>
        <v>rtdc.l.rtdc.4032:itc</v>
      </c>
      <c r="G314" s="8">
        <f t="shared" si="13"/>
        <v>42575.750289351854</v>
      </c>
    </row>
    <row r="315" spans="1:7" x14ac:dyDescent="0.25">
      <c r="A315" s="8">
        <v>42575.011006944442</v>
      </c>
      <c r="B315" t="s">
        <v>112</v>
      </c>
      <c r="C315" t="s">
        <v>382</v>
      </c>
      <c r="D315">
        <v>1300000</v>
      </c>
      <c r="E315" t="s">
        <v>167</v>
      </c>
      <c r="F315" s="25" t="str">
        <f t="shared" si="12"/>
        <v>rtdc.l.rtdc.4029:itc</v>
      </c>
      <c r="G315" s="8">
        <f t="shared" si="13"/>
        <v>42575.011006944442</v>
      </c>
    </row>
    <row r="316" spans="1:7" x14ac:dyDescent="0.25">
      <c r="A316" s="8">
        <v>42575.775462962964</v>
      </c>
      <c r="B316" t="s">
        <v>366</v>
      </c>
      <c r="C316" t="s">
        <v>317</v>
      </c>
      <c r="D316">
        <v>1750000</v>
      </c>
      <c r="E316" t="s">
        <v>383</v>
      </c>
      <c r="F316" s="25" t="str">
        <f t="shared" si="12"/>
        <v>rtdc.l.rtdc.4031:itc</v>
      </c>
      <c r="G316" s="8">
        <f t="shared" si="13"/>
        <v>42575.775462962964</v>
      </c>
    </row>
    <row r="317" spans="1:7" x14ac:dyDescent="0.25">
      <c r="A317" s="8">
        <v>42574.949224537035</v>
      </c>
      <c r="B317" t="s">
        <v>161</v>
      </c>
      <c r="C317" t="s">
        <v>398</v>
      </c>
      <c r="D317">
        <v>1810000</v>
      </c>
      <c r="E317" t="s">
        <v>373</v>
      </c>
      <c r="F317" s="25" t="str">
        <f t="shared" si="12"/>
        <v>rtdc.l.rtdc.4010:itc</v>
      </c>
      <c r="G317" s="8">
        <f t="shared" si="13"/>
        <v>42574.949224537035</v>
      </c>
    </row>
    <row r="318" spans="1:7" x14ac:dyDescent="0.25">
      <c r="A318" s="8">
        <v>42575.802094907405</v>
      </c>
      <c r="B318" t="s">
        <v>367</v>
      </c>
      <c r="C318" t="s">
        <v>318</v>
      </c>
      <c r="D318">
        <v>1750000</v>
      </c>
      <c r="E318" t="s">
        <v>383</v>
      </c>
      <c r="F318" s="25" t="str">
        <f t="shared" si="12"/>
        <v>rtdc.l.rtdc.4032:itc</v>
      </c>
      <c r="G318" s="8">
        <f t="shared" si="13"/>
        <v>42575.802094907405</v>
      </c>
    </row>
    <row r="319" spans="1:7" x14ac:dyDescent="0.25">
      <c r="A319" s="8">
        <v>42574.946377314816</v>
      </c>
      <c r="B319" t="s">
        <v>70</v>
      </c>
      <c r="C319" t="s">
        <v>399</v>
      </c>
      <c r="D319">
        <v>1480000</v>
      </c>
      <c r="E319" t="s">
        <v>107</v>
      </c>
      <c r="F319" s="25" t="str">
        <f t="shared" si="12"/>
        <v>rtdc.l.rtdc.4020:itc</v>
      </c>
      <c r="G319" s="8">
        <f t="shared" si="13"/>
        <v>42574.946377314816</v>
      </c>
    </row>
    <row r="320" spans="1:7" x14ac:dyDescent="0.25">
      <c r="A320" s="8">
        <v>42576.15053240741</v>
      </c>
      <c r="B320" t="s">
        <v>121</v>
      </c>
      <c r="C320" t="s">
        <v>400</v>
      </c>
      <c r="D320">
        <v>1260000</v>
      </c>
      <c r="E320" t="s">
        <v>381</v>
      </c>
      <c r="F320" s="25" t="str">
        <f t="shared" si="12"/>
        <v>rtdc.l.rtdc.4007:itc</v>
      </c>
      <c r="G320" s="8">
        <f t="shared" si="13"/>
        <v>42576.15053240741</v>
      </c>
    </row>
    <row r="321" spans="1:7" x14ac:dyDescent="0.25">
      <c r="A321" s="8">
        <v>42574.93273148148</v>
      </c>
      <c r="B321" t="s">
        <v>119</v>
      </c>
      <c r="C321" t="s">
        <v>401</v>
      </c>
      <c r="D321">
        <v>1800000</v>
      </c>
      <c r="E321" t="s">
        <v>375</v>
      </c>
      <c r="F321" s="25" t="str">
        <f t="shared" si="12"/>
        <v>rtdc.l.rtdc.4043:itc</v>
      </c>
      <c r="G321" s="8">
        <f t="shared" si="13"/>
        <v>42574.93273148148</v>
      </c>
    </row>
    <row r="322" spans="1:7" x14ac:dyDescent="0.25">
      <c r="A322" s="8">
        <v>42576.172442129631</v>
      </c>
      <c r="B322" t="s">
        <v>161</v>
      </c>
      <c r="C322" t="s">
        <v>395</v>
      </c>
      <c r="D322">
        <v>1480000</v>
      </c>
      <c r="E322" t="s">
        <v>107</v>
      </c>
      <c r="F322" s="25" t="str">
        <f t="shared" si="12"/>
        <v>rtdc.l.rtdc.4010:itc</v>
      </c>
      <c r="G322" s="8">
        <f t="shared" si="13"/>
        <v>42576.172442129631</v>
      </c>
    </row>
    <row r="323" spans="1:7" x14ac:dyDescent="0.25">
      <c r="A323" s="8">
        <v>42575.416307870371</v>
      </c>
      <c r="B323" t="s">
        <v>71</v>
      </c>
      <c r="C323" t="s">
        <v>302</v>
      </c>
      <c r="D323">
        <v>1310000</v>
      </c>
      <c r="E323" t="s">
        <v>105</v>
      </c>
      <c r="F323" s="25" t="str">
        <f t="shared" si="12"/>
        <v>rtdc.l.rtdc.4018:itc</v>
      </c>
      <c r="G323" s="8">
        <f t="shared" si="13"/>
        <v>42575.416307870371</v>
      </c>
    </row>
    <row r="324" spans="1:7" x14ac:dyDescent="0.25">
      <c r="A324" s="8">
        <v>42576.184108796297</v>
      </c>
      <c r="B324" t="s">
        <v>114</v>
      </c>
      <c r="C324" t="s">
        <v>402</v>
      </c>
      <c r="D324">
        <v>1090000</v>
      </c>
      <c r="E324" t="s">
        <v>116</v>
      </c>
      <c r="F324" s="25" t="str">
        <f t="shared" si="12"/>
        <v>rtdc.l.rtdc.4027:itc</v>
      </c>
      <c r="G324" s="8">
        <f t="shared" si="13"/>
        <v>42576.184108796297</v>
      </c>
    </row>
    <row r="325" spans="1:7" x14ac:dyDescent="0.25">
      <c r="A325" s="8">
        <v>42575.381180555552</v>
      </c>
      <c r="B325" t="s">
        <v>72</v>
      </c>
      <c r="C325" t="s">
        <v>293</v>
      </c>
      <c r="D325">
        <v>1310000</v>
      </c>
      <c r="E325" t="s">
        <v>105</v>
      </c>
      <c r="F325" s="25" t="str">
        <f t="shared" si="12"/>
        <v>rtdc.l.rtdc.4017:itc</v>
      </c>
      <c r="G325" s="8">
        <f t="shared" si="13"/>
        <v>42575.381180555552</v>
      </c>
    </row>
    <row r="326" spans="1:7" x14ac:dyDescent="0.25">
      <c r="A326" s="8">
        <v>42576.187685185185</v>
      </c>
      <c r="B326" t="s">
        <v>72</v>
      </c>
      <c r="C326" t="s">
        <v>403</v>
      </c>
      <c r="D326">
        <v>1260000</v>
      </c>
      <c r="E326" t="s">
        <v>381</v>
      </c>
      <c r="F326" s="25" t="str">
        <f t="shared" si="12"/>
        <v>rtdc.l.rtdc.4017:itc</v>
      </c>
      <c r="G326" s="8">
        <f t="shared" si="13"/>
        <v>42576.187685185185</v>
      </c>
    </row>
    <row r="327" spans="1:7" x14ac:dyDescent="0.25">
      <c r="A327" s="8">
        <v>42575.251296296294</v>
      </c>
      <c r="B327" t="s">
        <v>111</v>
      </c>
      <c r="C327" t="s">
        <v>278</v>
      </c>
      <c r="D327">
        <v>1780000</v>
      </c>
      <c r="E327" t="s">
        <v>122</v>
      </c>
      <c r="F327" s="25" t="str">
        <f t="shared" si="12"/>
        <v>rtdc.l.rtdc.4028:itc</v>
      </c>
      <c r="G327" s="8">
        <f t="shared" si="13"/>
        <v>42575.251296296294</v>
      </c>
    </row>
    <row r="328" spans="1:7" x14ac:dyDescent="0.25">
      <c r="A328" s="8">
        <v>42576.224629629629</v>
      </c>
      <c r="B328" t="s">
        <v>109</v>
      </c>
      <c r="C328" t="s">
        <v>404</v>
      </c>
      <c r="D328">
        <v>1830000</v>
      </c>
      <c r="E328" t="s">
        <v>269</v>
      </c>
      <c r="F328" s="25" t="str">
        <f t="shared" si="12"/>
        <v>rtdc.l.rtdc.4013:itc</v>
      </c>
      <c r="G328" s="8">
        <f t="shared" si="13"/>
        <v>42576.224629629629</v>
      </c>
    </row>
    <row r="329" spans="1:7" x14ac:dyDescent="0.25">
      <c r="A329" s="8">
        <v>42575.036782407406</v>
      </c>
      <c r="B329" t="s">
        <v>70</v>
      </c>
      <c r="C329" t="s">
        <v>405</v>
      </c>
      <c r="D329">
        <v>1480000</v>
      </c>
      <c r="E329" t="s">
        <v>107</v>
      </c>
      <c r="F329" s="25" t="str">
        <f t="shared" si="12"/>
        <v>rtdc.l.rtdc.4020:itc</v>
      </c>
      <c r="G329" s="8">
        <f t="shared" si="13"/>
        <v>42575.036782407406</v>
      </c>
    </row>
    <row r="330" spans="1:7" x14ac:dyDescent="0.25">
      <c r="A330" s="8">
        <v>42576.228206018517</v>
      </c>
      <c r="B330" t="s">
        <v>121</v>
      </c>
      <c r="C330" t="s">
        <v>406</v>
      </c>
      <c r="D330">
        <v>1310000</v>
      </c>
      <c r="E330" t="s">
        <v>105</v>
      </c>
      <c r="F330" s="25" t="str">
        <f t="shared" si="12"/>
        <v>rtdc.l.rtdc.4007:itc</v>
      </c>
      <c r="G330" s="8">
        <f t="shared" si="13"/>
        <v>42576.228206018517</v>
      </c>
    </row>
    <row r="331" spans="1:7" x14ac:dyDescent="0.25">
      <c r="A331" s="8">
        <v>42574.828761574077</v>
      </c>
      <c r="B331" t="s">
        <v>69</v>
      </c>
      <c r="C331" t="s">
        <v>407</v>
      </c>
      <c r="D331">
        <v>1480000</v>
      </c>
      <c r="E331" t="s">
        <v>107</v>
      </c>
      <c r="F331" s="25" t="str">
        <f t="shared" si="12"/>
        <v>rtdc.l.rtdc.4019:itc</v>
      </c>
      <c r="G331" s="8">
        <f t="shared" si="13"/>
        <v>42574.828761574077</v>
      </c>
    </row>
    <row r="332" spans="1:7" x14ac:dyDescent="0.25">
      <c r="A332" s="8">
        <v>42576.26226851852</v>
      </c>
      <c r="B332" t="s">
        <v>114</v>
      </c>
      <c r="C332" t="s">
        <v>408</v>
      </c>
      <c r="D332">
        <v>1090000</v>
      </c>
      <c r="E332" t="s">
        <v>116</v>
      </c>
      <c r="F332" s="25" t="str">
        <f t="shared" si="12"/>
        <v>rtdc.l.rtdc.4027:itc</v>
      </c>
      <c r="G332" s="8">
        <f t="shared" si="13"/>
        <v>42576.26226851852</v>
      </c>
    </row>
    <row r="333" spans="1:7" x14ac:dyDescent="0.25">
      <c r="A333" s="8">
        <v>42575.402928240743</v>
      </c>
      <c r="B333" t="s">
        <v>109</v>
      </c>
      <c r="C333" t="s">
        <v>297</v>
      </c>
      <c r="D333">
        <v>1830000</v>
      </c>
      <c r="E333" t="s">
        <v>269</v>
      </c>
      <c r="F333" s="25" t="str">
        <f t="shared" si="12"/>
        <v>rtdc.l.rtdc.4013:itc</v>
      </c>
      <c r="G333" s="8">
        <f t="shared" si="13"/>
        <v>42575.402928240743</v>
      </c>
    </row>
    <row r="334" spans="1:7" x14ac:dyDescent="0.25">
      <c r="A334" s="8">
        <v>42576.263993055552</v>
      </c>
      <c r="B334" t="s">
        <v>164</v>
      </c>
      <c r="C334" t="s">
        <v>378</v>
      </c>
      <c r="D334">
        <v>890000</v>
      </c>
      <c r="E334" t="s">
        <v>379</v>
      </c>
      <c r="F334" s="25" t="str">
        <f t="shared" si="12"/>
        <v>rtdc.l.rtdc.4041:itc</v>
      </c>
      <c r="G334" s="8">
        <f t="shared" si="13"/>
        <v>42576.263993055552</v>
      </c>
    </row>
    <row r="335" spans="1:7" x14ac:dyDescent="0.25">
      <c r="A335" s="8">
        <v>42575.403182870374</v>
      </c>
      <c r="B335" t="s">
        <v>177</v>
      </c>
      <c r="C335" t="s">
        <v>300</v>
      </c>
      <c r="D335">
        <v>1100000</v>
      </c>
      <c r="E335" t="s">
        <v>267</v>
      </c>
      <c r="F335" s="25" t="str">
        <f t="shared" si="12"/>
        <v>rtdc.l.rtdc.4011:itc</v>
      </c>
      <c r="G335" s="8">
        <f t="shared" si="13"/>
        <v>42575.403182870374</v>
      </c>
    </row>
    <row r="336" spans="1:7" x14ac:dyDescent="0.25">
      <c r="A336" s="8">
        <v>42576.272013888891</v>
      </c>
      <c r="B336" t="s">
        <v>72</v>
      </c>
      <c r="C336" t="s">
        <v>409</v>
      </c>
      <c r="D336">
        <v>1260000</v>
      </c>
      <c r="E336" t="s">
        <v>381</v>
      </c>
      <c r="F336" s="25" t="str">
        <f t="shared" si="12"/>
        <v>rtdc.l.rtdc.4017:itc</v>
      </c>
      <c r="G336" s="8">
        <f t="shared" si="13"/>
        <v>42576.272013888891</v>
      </c>
    </row>
    <row r="337" spans="1:7" x14ac:dyDescent="0.25">
      <c r="A337" s="8">
        <v>42575.718842592592</v>
      </c>
      <c r="B337" t="s">
        <v>114</v>
      </c>
      <c r="C337" t="s">
        <v>346</v>
      </c>
      <c r="D337">
        <v>2030000</v>
      </c>
      <c r="E337" t="s">
        <v>127</v>
      </c>
      <c r="F337" s="25" t="str">
        <f t="shared" si="12"/>
        <v>rtdc.l.rtdc.4027:itc</v>
      </c>
      <c r="G337" s="8">
        <f t="shared" si="13"/>
        <v>42575.718842592592</v>
      </c>
    </row>
    <row r="338" spans="1:7" x14ac:dyDescent="0.25">
      <c r="F338" s="25">
        <f t="shared" si="12"/>
        <v>0</v>
      </c>
      <c r="G338" s="8">
        <f t="shared" si="13"/>
        <v>0</v>
      </c>
    </row>
    <row r="339" spans="1:7" x14ac:dyDescent="0.25">
      <c r="F339" s="25">
        <f t="shared" si="12"/>
        <v>0</v>
      </c>
      <c r="G339" s="8">
        <f t="shared" si="13"/>
        <v>0</v>
      </c>
    </row>
    <row r="340" spans="1:7" x14ac:dyDescent="0.25">
      <c r="F340" s="25">
        <f t="shared" si="12"/>
        <v>0</v>
      </c>
      <c r="G340" s="8">
        <f t="shared" si="13"/>
        <v>0</v>
      </c>
    </row>
    <row r="341" spans="1:7" x14ac:dyDescent="0.25">
      <c r="F341" s="25">
        <f t="shared" si="12"/>
        <v>0</v>
      </c>
      <c r="G341" s="8">
        <f t="shared" si="13"/>
        <v>0</v>
      </c>
    </row>
    <row r="342" spans="1:7" x14ac:dyDescent="0.25">
      <c r="F342" s="25">
        <f t="shared" si="12"/>
        <v>0</v>
      </c>
      <c r="G342" s="8">
        <f t="shared" si="13"/>
        <v>0</v>
      </c>
    </row>
    <row r="343" spans="1:7" x14ac:dyDescent="0.25">
      <c r="F343" s="25">
        <f t="shared" si="12"/>
        <v>0</v>
      </c>
      <c r="G343" s="8">
        <f t="shared" si="13"/>
        <v>0</v>
      </c>
    </row>
    <row r="344" spans="1:7" x14ac:dyDescent="0.25">
      <c r="F344" s="25">
        <f t="shared" si="12"/>
        <v>0</v>
      </c>
      <c r="G344" s="8">
        <f t="shared" si="13"/>
        <v>0</v>
      </c>
    </row>
    <row r="345" spans="1:7" x14ac:dyDescent="0.25">
      <c r="F345" s="25">
        <f t="shared" si="12"/>
        <v>0</v>
      </c>
      <c r="G345" s="8">
        <f t="shared" si="13"/>
        <v>0</v>
      </c>
    </row>
    <row r="346" spans="1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1:7" x14ac:dyDescent="0.25">
      <c r="F347" s="25">
        <f t="shared" si="14"/>
        <v>0</v>
      </c>
      <c r="G347" s="8">
        <f t="shared" si="15"/>
        <v>0</v>
      </c>
    </row>
    <row r="348" spans="1:7" x14ac:dyDescent="0.25">
      <c r="F348" s="25">
        <f t="shared" si="14"/>
        <v>0</v>
      </c>
      <c r="G348" s="8">
        <f t="shared" si="15"/>
        <v>0</v>
      </c>
    </row>
    <row r="349" spans="1:7" x14ac:dyDescent="0.25">
      <c r="F349" s="25">
        <f t="shared" si="14"/>
        <v>0</v>
      </c>
      <c r="G349" s="8">
        <f t="shared" si="15"/>
        <v>0</v>
      </c>
    </row>
    <row r="350" spans="1:7" x14ac:dyDescent="0.25">
      <c r="F350" s="25">
        <f t="shared" si="14"/>
        <v>0</v>
      </c>
      <c r="G350" s="8">
        <f t="shared" si="15"/>
        <v>0</v>
      </c>
    </row>
    <row r="351" spans="1:7" x14ac:dyDescent="0.25">
      <c r="F351" s="25">
        <f t="shared" si="14"/>
        <v>0</v>
      </c>
      <c r="G351" s="8">
        <f t="shared" si="15"/>
        <v>0</v>
      </c>
    </row>
    <row r="352" spans="1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/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84</v>
      </c>
      <c r="K1" s="42" t="s">
        <v>85</v>
      </c>
      <c r="L1" s="42" t="s">
        <v>86</v>
      </c>
    </row>
    <row r="2" spans="1:13" ht="15.75" thickBot="1" x14ac:dyDescent="0.3">
      <c r="A2" s="15">
        <v>42575</v>
      </c>
      <c r="B2" s="4"/>
      <c r="C2" s="102">
        <v>50</v>
      </c>
      <c r="F2" t="s">
        <v>62</v>
      </c>
      <c r="J2" s="42" t="s">
        <v>84</v>
      </c>
      <c r="K2" s="42" t="s">
        <v>85</v>
      </c>
      <c r="L2" s="42" t="s">
        <v>86</v>
      </c>
    </row>
    <row r="3" spans="1:13" x14ac:dyDescent="0.25">
      <c r="F3" t="s">
        <v>63</v>
      </c>
      <c r="J3" s="43" t="s">
        <v>87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88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89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90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91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92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93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94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95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96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97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98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133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134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135</v>
      </c>
      <c r="M20" s="94" t="s">
        <v>136</v>
      </c>
    </row>
    <row r="21" spans="10:13" x14ac:dyDescent="0.25">
      <c r="J21" s="25" t="s">
        <v>139</v>
      </c>
      <c r="K21" s="25" t="s">
        <v>140</v>
      </c>
      <c r="M21" s="94" t="s">
        <v>140</v>
      </c>
    </row>
    <row r="22" spans="10:13" x14ac:dyDescent="0.25">
      <c r="J22" s="25" t="s">
        <v>141</v>
      </c>
      <c r="K22" s="25" t="s">
        <v>142</v>
      </c>
      <c r="M22" s="94" t="s">
        <v>142</v>
      </c>
    </row>
    <row r="23" spans="10:13" x14ac:dyDescent="0.25">
      <c r="J23" s="39" t="s">
        <v>144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2016-07-25T18:15:51Z</dcterms:modified>
</cp:coreProperties>
</file>