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activeTab="2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Enforcements!$A$6:$V$75</definedName>
    <definedName name="_xlnm._FilterDatabase" localSheetId="2" hidden="1">'Missing Trips'!$A$2:$G$2</definedName>
    <definedName name="_xlnm._FilterDatabase" localSheetId="0" hidden="1">'Train Runs'!$A$12:$AG$228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Runs'!$A$12:$J$41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X32" i="1"/>
  <c r="X33" i="1"/>
  <c r="X34" i="1"/>
  <c r="X35" i="1"/>
  <c r="K31" i="1" l="1"/>
  <c r="L31" i="1"/>
  <c r="M31" i="1"/>
  <c r="P31" i="1" s="1"/>
  <c r="T31" i="1"/>
  <c r="V31" i="1"/>
  <c r="Y31" i="1"/>
  <c r="U31" i="1" s="1"/>
  <c r="S31" i="1" s="1"/>
  <c r="AB31" i="1"/>
  <c r="AC31" i="1"/>
  <c r="AD31" i="1"/>
  <c r="AG31" i="1" s="1"/>
  <c r="AE31" i="1"/>
  <c r="AF31" i="1"/>
  <c r="X105" i="1"/>
  <c r="X106" i="1"/>
  <c r="X107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13" i="1"/>
  <c r="AA31" i="1" l="1"/>
  <c r="W31" i="1" s="1"/>
  <c r="K15" i="1"/>
  <c r="L15" i="1"/>
  <c r="M15" i="1"/>
  <c r="N15" i="1" s="1"/>
  <c r="T15" i="1"/>
  <c r="X15" i="1"/>
  <c r="Y15" i="1"/>
  <c r="U15" i="1" s="1"/>
  <c r="S15" i="1" s="1"/>
  <c r="Z15" i="1"/>
  <c r="AB15" i="1"/>
  <c r="AC15" i="1"/>
  <c r="AD15" i="1"/>
  <c r="AG15" i="1" s="1"/>
  <c r="AE15" i="1"/>
  <c r="AF15" i="1"/>
  <c r="K16" i="1"/>
  <c r="L16" i="1"/>
  <c r="M16" i="1"/>
  <c r="N16" i="1" s="1"/>
  <c r="T16" i="1"/>
  <c r="X16" i="1"/>
  <c r="Y16" i="1"/>
  <c r="Z16" i="1"/>
  <c r="AB16" i="1"/>
  <c r="AC16" i="1"/>
  <c r="AD16" i="1"/>
  <c r="AG16" i="1" s="1"/>
  <c r="AE16" i="1"/>
  <c r="AF16" i="1"/>
  <c r="K17" i="1"/>
  <c r="L17" i="1"/>
  <c r="M17" i="1"/>
  <c r="N17" i="1" s="1"/>
  <c r="T17" i="1"/>
  <c r="X17" i="1"/>
  <c r="Y17" i="1"/>
  <c r="Z17" i="1"/>
  <c r="AB17" i="1"/>
  <c r="AC17" i="1"/>
  <c r="AD17" i="1"/>
  <c r="AG17" i="1" s="1"/>
  <c r="AE17" i="1"/>
  <c r="AF17" i="1"/>
  <c r="K18" i="1"/>
  <c r="L18" i="1"/>
  <c r="M18" i="1"/>
  <c r="P18" i="1" s="1"/>
  <c r="T18" i="1"/>
  <c r="X18" i="1"/>
  <c r="Y18" i="1"/>
  <c r="Z18" i="1"/>
  <c r="AB18" i="1"/>
  <c r="AC18" i="1"/>
  <c r="AD18" i="1"/>
  <c r="AG18" i="1" s="1"/>
  <c r="AE18" i="1"/>
  <c r="AF18" i="1"/>
  <c r="K19" i="1"/>
  <c r="L19" i="1"/>
  <c r="M19" i="1"/>
  <c r="N19" i="1" s="1"/>
  <c r="T19" i="1"/>
  <c r="X19" i="1"/>
  <c r="Y19" i="1"/>
  <c r="Z19" i="1"/>
  <c r="AB19" i="1"/>
  <c r="AC19" i="1"/>
  <c r="AD19" i="1"/>
  <c r="AG19" i="1" s="1"/>
  <c r="AE19" i="1"/>
  <c r="AF19" i="1"/>
  <c r="K20" i="1"/>
  <c r="L20" i="1"/>
  <c r="M20" i="1"/>
  <c r="N20" i="1" s="1"/>
  <c r="T20" i="1"/>
  <c r="X20" i="1"/>
  <c r="Y20" i="1"/>
  <c r="Z20" i="1"/>
  <c r="AB20" i="1"/>
  <c r="AC20" i="1"/>
  <c r="AD20" i="1"/>
  <c r="AG20" i="1" s="1"/>
  <c r="AE20" i="1"/>
  <c r="AF20" i="1"/>
  <c r="K21" i="1"/>
  <c r="L21" i="1"/>
  <c r="M21" i="1"/>
  <c r="N21" i="1" s="1"/>
  <c r="T21" i="1"/>
  <c r="X21" i="1"/>
  <c r="Y21" i="1"/>
  <c r="Z21" i="1"/>
  <c r="AB21" i="1"/>
  <c r="AC21" i="1"/>
  <c r="AD21" i="1"/>
  <c r="AG21" i="1" s="1"/>
  <c r="AE21" i="1"/>
  <c r="AF21" i="1"/>
  <c r="K22" i="1"/>
  <c r="L22" i="1"/>
  <c r="M22" i="1"/>
  <c r="N22" i="1" s="1"/>
  <c r="T22" i="1"/>
  <c r="X22" i="1"/>
  <c r="Y22" i="1"/>
  <c r="Z22" i="1"/>
  <c r="AB22" i="1"/>
  <c r="AC22" i="1"/>
  <c r="AD22" i="1"/>
  <c r="AG22" i="1" s="1"/>
  <c r="AE22" i="1"/>
  <c r="AF22" i="1"/>
  <c r="K23" i="1"/>
  <c r="L23" i="1"/>
  <c r="M23" i="1"/>
  <c r="N23" i="1" s="1"/>
  <c r="T23" i="1"/>
  <c r="X23" i="1"/>
  <c r="Y23" i="1"/>
  <c r="Z23" i="1"/>
  <c r="AB23" i="1"/>
  <c r="AC23" i="1"/>
  <c r="AD23" i="1"/>
  <c r="AG23" i="1" s="1"/>
  <c r="AE23" i="1"/>
  <c r="AF23" i="1"/>
  <c r="K24" i="1"/>
  <c r="L24" i="1"/>
  <c r="M24" i="1"/>
  <c r="N24" i="1" s="1"/>
  <c r="T24" i="1"/>
  <c r="X24" i="1"/>
  <c r="Y24" i="1"/>
  <c r="Z24" i="1"/>
  <c r="AB24" i="1"/>
  <c r="AC24" i="1"/>
  <c r="AD24" i="1"/>
  <c r="AG24" i="1" s="1"/>
  <c r="AE24" i="1"/>
  <c r="AF24" i="1"/>
  <c r="K25" i="1"/>
  <c r="L25" i="1"/>
  <c r="M25" i="1"/>
  <c r="N25" i="1" s="1"/>
  <c r="T25" i="1"/>
  <c r="X25" i="1"/>
  <c r="Y25" i="1"/>
  <c r="Z25" i="1"/>
  <c r="AB25" i="1"/>
  <c r="AC25" i="1"/>
  <c r="AD25" i="1"/>
  <c r="AG25" i="1" s="1"/>
  <c r="AE25" i="1"/>
  <c r="AF25" i="1"/>
  <c r="K26" i="1"/>
  <c r="L26" i="1"/>
  <c r="M26" i="1"/>
  <c r="N26" i="1" s="1"/>
  <c r="T26" i="1"/>
  <c r="X26" i="1"/>
  <c r="Y26" i="1"/>
  <c r="Z26" i="1"/>
  <c r="AB26" i="1"/>
  <c r="AC26" i="1"/>
  <c r="AD26" i="1"/>
  <c r="AG26" i="1" s="1"/>
  <c r="AE26" i="1"/>
  <c r="AF26" i="1"/>
  <c r="K27" i="1"/>
  <c r="L27" i="1"/>
  <c r="M27" i="1"/>
  <c r="N27" i="1" s="1"/>
  <c r="T27" i="1"/>
  <c r="X27" i="1"/>
  <c r="Y27" i="1"/>
  <c r="Z27" i="1"/>
  <c r="AB27" i="1"/>
  <c r="AC27" i="1"/>
  <c r="AD27" i="1"/>
  <c r="AG27" i="1" s="1"/>
  <c r="AE27" i="1"/>
  <c r="AF27" i="1"/>
  <c r="K28" i="1"/>
  <c r="L28" i="1"/>
  <c r="M28" i="1"/>
  <c r="N28" i="1" s="1"/>
  <c r="T28" i="1"/>
  <c r="X28" i="1"/>
  <c r="Y28" i="1"/>
  <c r="Z28" i="1"/>
  <c r="AB28" i="1"/>
  <c r="AC28" i="1"/>
  <c r="AD28" i="1"/>
  <c r="AG28" i="1" s="1"/>
  <c r="AE28" i="1"/>
  <c r="AF28" i="1"/>
  <c r="K29" i="1"/>
  <c r="L29" i="1"/>
  <c r="M29" i="1"/>
  <c r="N29" i="1" s="1"/>
  <c r="T29" i="1"/>
  <c r="X29" i="1"/>
  <c r="Y29" i="1"/>
  <c r="Z29" i="1"/>
  <c r="AB29" i="1"/>
  <c r="AC29" i="1"/>
  <c r="AD29" i="1"/>
  <c r="AG29" i="1" s="1"/>
  <c r="AE29" i="1"/>
  <c r="AF29" i="1"/>
  <c r="K30" i="1"/>
  <c r="L30" i="1"/>
  <c r="M30" i="1"/>
  <c r="N30" i="1" s="1"/>
  <c r="T30" i="1"/>
  <c r="X30" i="1"/>
  <c r="Y30" i="1"/>
  <c r="Z30" i="1"/>
  <c r="AB30" i="1"/>
  <c r="AC30" i="1"/>
  <c r="AD30" i="1"/>
  <c r="AG30" i="1" s="1"/>
  <c r="AE30" i="1"/>
  <c r="AF30" i="1"/>
  <c r="K32" i="1"/>
  <c r="L32" i="1"/>
  <c r="M32" i="1"/>
  <c r="N32" i="1" s="1"/>
  <c r="T32" i="1"/>
  <c r="Y32" i="1"/>
  <c r="Z32" i="1"/>
  <c r="AB32" i="1"/>
  <c r="AC32" i="1"/>
  <c r="AD32" i="1"/>
  <c r="AG32" i="1" s="1"/>
  <c r="AE32" i="1"/>
  <c r="AF32" i="1"/>
  <c r="K33" i="1"/>
  <c r="L33" i="1"/>
  <c r="M33" i="1"/>
  <c r="N33" i="1" s="1"/>
  <c r="T33" i="1"/>
  <c r="Y33" i="1"/>
  <c r="Z33" i="1"/>
  <c r="AB33" i="1"/>
  <c r="AC33" i="1"/>
  <c r="AD33" i="1"/>
  <c r="AG33" i="1" s="1"/>
  <c r="AE33" i="1"/>
  <c r="AF33" i="1"/>
  <c r="K34" i="1"/>
  <c r="L34" i="1"/>
  <c r="M34" i="1"/>
  <c r="N34" i="1" s="1"/>
  <c r="T34" i="1"/>
  <c r="Y34" i="1"/>
  <c r="Z34" i="1"/>
  <c r="AB34" i="1"/>
  <c r="AC34" i="1"/>
  <c r="AD34" i="1"/>
  <c r="AG34" i="1" s="1"/>
  <c r="AE34" i="1"/>
  <c r="AF34" i="1"/>
  <c r="K35" i="1"/>
  <c r="L35" i="1"/>
  <c r="M35" i="1"/>
  <c r="N35" i="1" s="1"/>
  <c r="T35" i="1"/>
  <c r="Y35" i="1"/>
  <c r="Z35" i="1"/>
  <c r="AB35" i="1"/>
  <c r="AC35" i="1"/>
  <c r="AD35" i="1"/>
  <c r="AG35" i="1" s="1"/>
  <c r="AE35" i="1"/>
  <c r="AF35" i="1"/>
  <c r="K36" i="1"/>
  <c r="L36" i="1"/>
  <c r="M36" i="1"/>
  <c r="N36" i="1" s="1"/>
  <c r="T36" i="1"/>
  <c r="X36" i="1"/>
  <c r="Y36" i="1"/>
  <c r="Z36" i="1"/>
  <c r="AB36" i="1"/>
  <c r="AC36" i="1"/>
  <c r="AD36" i="1"/>
  <c r="AG36" i="1" s="1"/>
  <c r="AE36" i="1"/>
  <c r="AF36" i="1"/>
  <c r="K37" i="1"/>
  <c r="L37" i="1"/>
  <c r="M37" i="1"/>
  <c r="N37" i="1" s="1"/>
  <c r="T37" i="1"/>
  <c r="X37" i="1"/>
  <c r="Y37" i="1"/>
  <c r="Z37" i="1"/>
  <c r="AB37" i="1"/>
  <c r="AC37" i="1"/>
  <c r="AD37" i="1"/>
  <c r="AG37" i="1" s="1"/>
  <c r="AE37" i="1"/>
  <c r="AF37" i="1"/>
  <c r="K38" i="1"/>
  <c r="L38" i="1"/>
  <c r="M38" i="1"/>
  <c r="N38" i="1" s="1"/>
  <c r="T38" i="1"/>
  <c r="X38" i="1"/>
  <c r="Y38" i="1"/>
  <c r="Z38" i="1"/>
  <c r="AB38" i="1"/>
  <c r="AC38" i="1"/>
  <c r="AD38" i="1"/>
  <c r="AG38" i="1" s="1"/>
  <c r="AE38" i="1"/>
  <c r="AF38" i="1"/>
  <c r="K39" i="1"/>
  <c r="L39" i="1"/>
  <c r="M39" i="1"/>
  <c r="N39" i="1" s="1"/>
  <c r="T39" i="1"/>
  <c r="X39" i="1"/>
  <c r="Y39" i="1"/>
  <c r="Z39" i="1"/>
  <c r="AB39" i="1"/>
  <c r="AC39" i="1"/>
  <c r="AD39" i="1"/>
  <c r="AG39" i="1" s="1"/>
  <c r="AE39" i="1"/>
  <c r="AF39" i="1"/>
  <c r="K40" i="1"/>
  <c r="L40" i="1"/>
  <c r="M40" i="1"/>
  <c r="N40" i="1" s="1"/>
  <c r="T40" i="1"/>
  <c r="X40" i="1"/>
  <c r="Y40" i="1"/>
  <c r="Z40" i="1"/>
  <c r="AB40" i="1"/>
  <c r="AC40" i="1"/>
  <c r="AD40" i="1"/>
  <c r="AG40" i="1" s="1"/>
  <c r="AE40" i="1"/>
  <c r="AF40" i="1"/>
  <c r="K41" i="1"/>
  <c r="L41" i="1"/>
  <c r="M41" i="1"/>
  <c r="N41" i="1" s="1"/>
  <c r="T41" i="1"/>
  <c r="X41" i="1"/>
  <c r="Y41" i="1"/>
  <c r="Z41" i="1"/>
  <c r="AB41" i="1"/>
  <c r="AC41" i="1"/>
  <c r="AD41" i="1"/>
  <c r="AG41" i="1" s="1"/>
  <c r="AE41" i="1"/>
  <c r="AF41" i="1"/>
  <c r="K42" i="1"/>
  <c r="L42" i="1"/>
  <c r="M42" i="1"/>
  <c r="N42" i="1" s="1"/>
  <c r="T42" i="1"/>
  <c r="X42" i="1"/>
  <c r="Y42" i="1"/>
  <c r="Z42" i="1"/>
  <c r="AB42" i="1"/>
  <c r="AC42" i="1"/>
  <c r="AD42" i="1"/>
  <c r="AG42" i="1" s="1"/>
  <c r="AE42" i="1"/>
  <c r="AF42" i="1"/>
  <c r="K43" i="1"/>
  <c r="L43" i="1"/>
  <c r="M43" i="1"/>
  <c r="N43" i="1" s="1"/>
  <c r="T43" i="1"/>
  <c r="X43" i="1"/>
  <c r="Y43" i="1"/>
  <c r="Z43" i="1"/>
  <c r="AB43" i="1"/>
  <c r="AC43" i="1"/>
  <c r="AD43" i="1"/>
  <c r="AG43" i="1" s="1"/>
  <c r="AE43" i="1"/>
  <c r="AF43" i="1"/>
  <c r="K44" i="1"/>
  <c r="L44" i="1"/>
  <c r="M44" i="1"/>
  <c r="N44" i="1" s="1"/>
  <c r="T44" i="1"/>
  <c r="X44" i="1"/>
  <c r="Y44" i="1"/>
  <c r="U44" i="1" s="1"/>
  <c r="S44" i="1" s="1"/>
  <c r="Z44" i="1"/>
  <c r="AB44" i="1"/>
  <c r="AC44" i="1"/>
  <c r="AD44" i="1"/>
  <c r="AG44" i="1" s="1"/>
  <c r="AE44" i="1"/>
  <c r="AF44" i="1"/>
  <c r="K45" i="1"/>
  <c r="L45" i="1"/>
  <c r="M45" i="1"/>
  <c r="N45" i="1" s="1"/>
  <c r="T45" i="1"/>
  <c r="X45" i="1"/>
  <c r="Y45" i="1"/>
  <c r="Z45" i="1"/>
  <c r="AB45" i="1"/>
  <c r="AC45" i="1"/>
  <c r="AD45" i="1"/>
  <c r="AG45" i="1" s="1"/>
  <c r="AE45" i="1"/>
  <c r="AF45" i="1"/>
  <c r="K46" i="1"/>
  <c r="L46" i="1"/>
  <c r="M46" i="1"/>
  <c r="N46" i="1" s="1"/>
  <c r="T46" i="1"/>
  <c r="X46" i="1"/>
  <c r="Y46" i="1"/>
  <c r="Z46" i="1"/>
  <c r="AB46" i="1"/>
  <c r="AC46" i="1"/>
  <c r="AD46" i="1"/>
  <c r="AG46" i="1" s="1"/>
  <c r="AE46" i="1"/>
  <c r="AF46" i="1"/>
  <c r="K47" i="1"/>
  <c r="L47" i="1"/>
  <c r="M47" i="1"/>
  <c r="N47" i="1" s="1"/>
  <c r="T47" i="1"/>
  <c r="X47" i="1"/>
  <c r="Y47" i="1"/>
  <c r="Z47" i="1"/>
  <c r="AB47" i="1"/>
  <c r="AC47" i="1"/>
  <c r="AD47" i="1"/>
  <c r="AG47" i="1" s="1"/>
  <c r="AE47" i="1"/>
  <c r="AF47" i="1"/>
  <c r="K48" i="1"/>
  <c r="L48" i="1"/>
  <c r="M48" i="1"/>
  <c r="N48" i="1" s="1"/>
  <c r="T48" i="1"/>
  <c r="X48" i="1"/>
  <c r="Y48" i="1"/>
  <c r="Z48" i="1"/>
  <c r="AB48" i="1"/>
  <c r="AC48" i="1"/>
  <c r="AD48" i="1"/>
  <c r="AG48" i="1" s="1"/>
  <c r="AE48" i="1"/>
  <c r="AF48" i="1"/>
  <c r="K49" i="1"/>
  <c r="L49" i="1"/>
  <c r="M49" i="1"/>
  <c r="N49" i="1" s="1"/>
  <c r="T49" i="1"/>
  <c r="X49" i="1"/>
  <c r="Y49" i="1"/>
  <c r="Z49" i="1"/>
  <c r="AB49" i="1"/>
  <c r="AC49" i="1"/>
  <c r="AD49" i="1"/>
  <c r="AG49" i="1" s="1"/>
  <c r="AE49" i="1"/>
  <c r="AF49" i="1"/>
  <c r="K50" i="1"/>
  <c r="L50" i="1"/>
  <c r="M50" i="1"/>
  <c r="N50" i="1" s="1"/>
  <c r="T50" i="1"/>
  <c r="X50" i="1"/>
  <c r="Y50" i="1"/>
  <c r="Z50" i="1"/>
  <c r="AB50" i="1"/>
  <c r="AC50" i="1"/>
  <c r="AD50" i="1"/>
  <c r="AG50" i="1" s="1"/>
  <c r="AE50" i="1"/>
  <c r="AF50" i="1"/>
  <c r="K51" i="1"/>
  <c r="L51" i="1"/>
  <c r="M51" i="1"/>
  <c r="N51" i="1" s="1"/>
  <c r="T51" i="1"/>
  <c r="X51" i="1"/>
  <c r="Y51" i="1"/>
  <c r="Z51" i="1"/>
  <c r="AB51" i="1"/>
  <c r="AC51" i="1"/>
  <c r="AD51" i="1"/>
  <c r="AG51" i="1" s="1"/>
  <c r="AE51" i="1"/>
  <c r="AF51" i="1"/>
  <c r="K52" i="1"/>
  <c r="L52" i="1"/>
  <c r="M52" i="1"/>
  <c r="P52" i="1" s="1"/>
  <c r="T52" i="1"/>
  <c r="X52" i="1"/>
  <c r="Y52" i="1"/>
  <c r="Z52" i="1"/>
  <c r="AB52" i="1"/>
  <c r="AC52" i="1"/>
  <c r="AD52" i="1"/>
  <c r="AG52" i="1" s="1"/>
  <c r="AE52" i="1"/>
  <c r="AF52" i="1"/>
  <c r="K53" i="1"/>
  <c r="L53" i="1"/>
  <c r="M53" i="1"/>
  <c r="N53" i="1" s="1"/>
  <c r="T53" i="1"/>
  <c r="X53" i="1"/>
  <c r="Y53" i="1"/>
  <c r="Z53" i="1"/>
  <c r="AB53" i="1"/>
  <c r="AC53" i="1"/>
  <c r="AD53" i="1"/>
  <c r="AG53" i="1" s="1"/>
  <c r="AE53" i="1"/>
  <c r="AF53" i="1"/>
  <c r="K54" i="1"/>
  <c r="L54" i="1"/>
  <c r="M54" i="1"/>
  <c r="N54" i="1" s="1"/>
  <c r="T54" i="1"/>
  <c r="X54" i="1"/>
  <c r="Y54" i="1"/>
  <c r="Z54" i="1"/>
  <c r="AB54" i="1"/>
  <c r="AC54" i="1"/>
  <c r="AD54" i="1"/>
  <c r="AG54" i="1" s="1"/>
  <c r="AE54" i="1"/>
  <c r="AF54" i="1"/>
  <c r="K55" i="1"/>
  <c r="L55" i="1"/>
  <c r="M55" i="1"/>
  <c r="N55" i="1" s="1"/>
  <c r="T55" i="1"/>
  <c r="X55" i="1"/>
  <c r="Y55" i="1"/>
  <c r="Z55" i="1"/>
  <c r="AB55" i="1"/>
  <c r="AC55" i="1"/>
  <c r="AD55" i="1"/>
  <c r="AG55" i="1" s="1"/>
  <c r="AE55" i="1"/>
  <c r="AF55" i="1"/>
  <c r="K56" i="1"/>
  <c r="L56" i="1"/>
  <c r="M56" i="1"/>
  <c r="N56" i="1" s="1"/>
  <c r="T56" i="1"/>
  <c r="X56" i="1"/>
  <c r="Y56" i="1"/>
  <c r="Z56" i="1"/>
  <c r="AB56" i="1"/>
  <c r="AC56" i="1"/>
  <c r="AD56" i="1"/>
  <c r="AG56" i="1" s="1"/>
  <c r="AE56" i="1"/>
  <c r="AF56" i="1"/>
  <c r="K57" i="1"/>
  <c r="L57" i="1"/>
  <c r="M57" i="1"/>
  <c r="N57" i="1" s="1"/>
  <c r="T57" i="1"/>
  <c r="X57" i="1"/>
  <c r="Y57" i="1"/>
  <c r="Z57" i="1"/>
  <c r="AB57" i="1"/>
  <c r="AC57" i="1"/>
  <c r="AD57" i="1"/>
  <c r="AG57" i="1" s="1"/>
  <c r="AE57" i="1"/>
  <c r="AF57" i="1"/>
  <c r="K58" i="1"/>
  <c r="L58" i="1"/>
  <c r="M58" i="1"/>
  <c r="N58" i="1" s="1"/>
  <c r="T58" i="1"/>
  <c r="X58" i="1"/>
  <c r="Y58" i="1"/>
  <c r="AA58" i="1" s="1"/>
  <c r="W58" i="1" s="1"/>
  <c r="Z58" i="1"/>
  <c r="AB58" i="1"/>
  <c r="AC58" i="1"/>
  <c r="AD58" i="1"/>
  <c r="AG58" i="1" s="1"/>
  <c r="AE58" i="1"/>
  <c r="AF58" i="1"/>
  <c r="K59" i="1"/>
  <c r="L59" i="1"/>
  <c r="M59" i="1"/>
  <c r="N59" i="1" s="1"/>
  <c r="T59" i="1"/>
  <c r="X59" i="1"/>
  <c r="Y59" i="1"/>
  <c r="Z59" i="1"/>
  <c r="AB59" i="1"/>
  <c r="AC59" i="1"/>
  <c r="AD59" i="1"/>
  <c r="AG59" i="1" s="1"/>
  <c r="AE59" i="1"/>
  <c r="AF59" i="1"/>
  <c r="K60" i="1"/>
  <c r="L60" i="1"/>
  <c r="M60" i="1"/>
  <c r="N60" i="1" s="1"/>
  <c r="T60" i="1"/>
  <c r="X60" i="1"/>
  <c r="Y60" i="1"/>
  <c r="Z60" i="1"/>
  <c r="AB60" i="1"/>
  <c r="AC60" i="1"/>
  <c r="AD60" i="1"/>
  <c r="AG60" i="1" s="1"/>
  <c r="AE60" i="1"/>
  <c r="AF60" i="1"/>
  <c r="K61" i="1"/>
  <c r="L61" i="1"/>
  <c r="M61" i="1"/>
  <c r="N61" i="1" s="1"/>
  <c r="T61" i="1"/>
  <c r="X61" i="1"/>
  <c r="Y61" i="1"/>
  <c r="Z61" i="1"/>
  <c r="AB61" i="1"/>
  <c r="AC61" i="1"/>
  <c r="AD61" i="1"/>
  <c r="AG61" i="1" s="1"/>
  <c r="AE61" i="1"/>
  <c r="AF61" i="1"/>
  <c r="K62" i="1"/>
  <c r="L62" i="1"/>
  <c r="M62" i="1"/>
  <c r="N62" i="1" s="1"/>
  <c r="T62" i="1"/>
  <c r="X62" i="1"/>
  <c r="Y62" i="1"/>
  <c r="Z62" i="1"/>
  <c r="AB62" i="1"/>
  <c r="AC62" i="1"/>
  <c r="AD62" i="1"/>
  <c r="AG62" i="1" s="1"/>
  <c r="AE62" i="1"/>
  <c r="AF62" i="1"/>
  <c r="K63" i="1"/>
  <c r="L63" i="1"/>
  <c r="M63" i="1"/>
  <c r="N63" i="1" s="1"/>
  <c r="T63" i="1"/>
  <c r="X63" i="1"/>
  <c r="Y63" i="1"/>
  <c r="Z63" i="1"/>
  <c r="AB63" i="1"/>
  <c r="AC63" i="1"/>
  <c r="AD63" i="1"/>
  <c r="AG63" i="1" s="1"/>
  <c r="AE63" i="1"/>
  <c r="AF63" i="1"/>
  <c r="K64" i="1"/>
  <c r="L64" i="1"/>
  <c r="M64" i="1"/>
  <c r="N64" i="1" s="1"/>
  <c r="T64" i="1"/>
  <c r="X64" i="1"/>
  <c r="Y64" i="1"/>
  <c r="Z64" i="1"/>
  <c r="AB64" i="1"/>
  <c r="AC64" i="1"/>
  <c r="AD64" i="1"/>
  <c r="AG64" i="1" s="1"/>
  <c r="AE64" i="1"/>
  <c r="AF64" i="1"/>
  <c r="K65" i="1"/>
  <c r="L65" i="1"/>
  <c r="M65" i="1"/>
  <c r="N65" i="1" s="1"/>
  <c r="T65" i="1"/>
  <c r="X65" i="1"/>
  <c r="Y65" i="1"/>
  <c r="Z65" i="1"/>
  <c r="AB65" i="1"/>
  <c r="AC65" i="1"/>
  <c r="AD65" i="1"/>
  <c r="AG65" i="1" s="1"/>
  <c r="AE65" i="1"/>
  <c r="AF65" i="1"/>
  <c r="K66" i="1"/>
  <c r="L66" i="1"/>
  <c r="M66" i="1"/>
  <c r="N66" i="1" s="1"/>
  <c r="T66" i="1"/>
  <c r="X66" i="1"/>
  <c r="Y66" i="1"/>
  <c r="Z66" i="1"/>
  <c r="AB66" i="1"/>
  <c r="AC66" i="1"/>
  <c r="AD66" i="1"/>
  <c r="AG66" i="1" s="1"/>
  <c r="AE66" i="1"/>
  <c r="AF66" i="1"/>
  <c r="K67" i="1"/>
  <c r="L67" i="1"/>
  <c r="M67" i="1"/>
  <c r="N67" i="1" s="1"/>
  <c r="T67" i="1"/>
  <c r="X67" i="1"/>
  <c r="Y67" i="1"/>
  <c r="Z67" i="1"/>
  <c r="AB67" i="1"/>
  <c r="AC67" i="1"/>
  <c r="AD67" i="1"/>
  <c r="AG67" i="1" s="1"/>
  <c r="AE67" i="1"/>
  <c r="AF67" i="1"/>
  <c r="K68" i="1"/>
  <c r="L68" i="1"/>
  <c r="M68" i="1"/>
  <c r="N68" i="1" s="1"/>
  <c r="T68" i="1"/>
  <c r="X68" i="1"/>
  <c r="Y68" i="1"/>
  <c r="Z68" i="1"/>
  <c r="AB68" i="1"/>
  <c r="AC68" i="1"/>
  <c r="AD68" i="1"/>
  <c r="AG68" i="1" s="1"/>
  <c r="AE68" i="1"/>
  <c r="AF68" i="1"/>
  <c r="K69" i="1"/>
  <c r="L69" i="1"/>
  <c r="M69" i="1"/>
  <c r="N69" i="1" s="1"/>
  <c r="T69" i="1"/>
  <c r="X69" i="1"/>
  <c r="Y69" i="1"/>
  <c r="Z69" i="1"/>
  <c r="AB69" i="1"/>
  <c r="AC69" i="1"/>
  <c r="AD69" i="1"/>
  <c r="AG69" i="1" s="1"/>
  <c r="AE69" i="1"/>
  <c r="AF69" i="1"/>
  <c r="K70" i="1"/>
  <c r="L70" i="1"/>
  <c r="M70" i="1"/>
  <c r="N70" i="1" s="1"/>
  <c r="T70" i="1"/>
  <c r="X70" i="1"/>
  <c r="Y70" i="1"/>
  <c r="Z70" i="1"/>
  <c r="AB70" i="1"/>
  <c r="AC70" i="1"/>
  <c r="AD70" i="1"/>
  <c r="AG70" i="1" s="1"/>
  <c r="AE70" i="1"/>
  <c r="AF70" i="1"/>
  <c r="K71" i="1"/>
  <c r="L71" i="1"/>
  <c r="M71" i="1"/>
  <c r="N71" i="1" s="1"/>
  <c r="T71" i="1"/>
  <c r="X71" i="1"/>
  <c r="Y71" i="1"/>
  <c r="Z71" i="1"/>
  <c r="AB71" i="1"/>
  <c r="AC71" i="1"/>
  <c r="AD71" i="1"/>
  <c r="AG71" i="1" s="1"/>
  <c r="AE71" i="1"/>
  <c r="AF71" i="1"/>
  <c r="K72" i="1"/>
  <c r="L72" i="1"/>
  <c r="M72" i="1"/>
  <c r="N72" i="1" s="1"/>
  <c r="T72" i="1"/>
  <c r="X72" i="1"/>
  <c r="Y72" i="1"/>
  <c r="Z72" i="1"/>
  <c r="AB72" i="1"/>
  <c r="AC72" i="1"/>
  <c r="AD72" i="1"/>
  <c r="AG72" i="1" s="1"/>
  <c r="AE72" i="1"/>
  <c r="AF72" i="1"/>
  <c r="K73" i="1"/>
  <c r="L73" i="1"/>
  <c r="M73" i="1"/>
  <c r="N73" i="1" s="1"/>
  <c r="T73" i="1"/>
  <c r="X73" i="1"/>
  <c r="Y73" i="1"/>
  <c r="Z73" i="1"/>
  <c r="AB73" i="1"/>
  <c r="AC73" i="1"/>
  <c r="AD73" i="1"/>
  <c r="AG73" i="1" s="1"/>
  <c r="AE73" i="1"/>
  <c r="AF73" i="1"/>
  <c r="K74" i="1"/>
  <c r="L74" i="1"/>
  <c r="M74" i="1"/>
  <c r="T74" i="1"/>
  <c r="X74" i="1"/>
  <c r="Y74" i="1"/>
  <c r="Z74" i="1"/>
  <c r="AB74" i="1"/>
  <c r="AC74" i="1"/>
  <c r="AD74" i="1"/>
  <c r="AG74" i="1" s="1"/>
  <c r="AE74" i="1"/>
  <c r="AF74" i="1"/>
  <c r="K75" i="1"/>
  <c r="L75" i="1"/>
  <c r="M75" i="1"/>
  <c r="T75" i="1"/>
  <c r="Z75" i="1"/>
  <c r="AA75" i="1" s="1"/>
  <c r="W75" i="1" s="1"/>
  <c r="AB75" i="1"/>
  <c r="AC75" i="1"/>
  <c r="AD75" i="1"/>
  <c r="AG75" i="1" s="1"/>
  <c r="AE75" i="1"/>
  <c r="AF75" i="1"/>
  <c r="K76" i="1"/>
  <c r="L76" i="1"/>
  <c r="M76" i="1"/>
  <c r="N76" i="1" s="1"/>
  <c r="T76" i="1"/>
  <c r="Z76" i="1"/>
  <c r="AA76" i="1" s="1"/>
  <c r="W76" i="1" s="1"/>
  <c r="AB76" i="1"/>
  <c r="AC76" i="1"/>
  <c r="AD76" i="1"/>
  <c r="AG76" i="1" s="1"/>
  <c r="AE76" i="1"/>
  <c r="AF76" i="1"/>
  <c r="K77" i="1"/>
  <c r="L77" i="1"/>
  <c r="M77" i="1"/>
  <c r="N77" i="1" s="1"/>
  <c r="T77" i="1"/>
  <c r="Z77" i="1"/>
  <c r="AA77" i="1" s="1"/>
  <c r="W77" i="1" s="1"/>
  <c r="AB77" i="1"/>
  <c r="AC77" i="1"/>
  <c r="AD77" i="1"/>
  <c r="AG77" i="1" s="1"/>
  <c r="AE77" i="1"/>
  <c r="AF77" i="1"/>
  <c r="K78" i="1"/>
  <c r="L78" i="1"/>
  <c r="M78" i="1"/>
  <c r="N78" i="1" s="1"/>
  <c r="T78" i="1"/>
  <c r="Z78" i="1"/>
  <c r="AA78" i="1" s="1"/>
  <c r="W78" i="1" s="1"/>
  <c r="AB78" i="1"/>
  <c r="AC78" i="1"/>
  <c r="AD78" i="1"/>
  <c r="AG78" i="1" s="1"/>
  <c r="AE78" i="1"/>
  <c r="AF78" i="1"/>
  <c r="K79" i="1"/>
  <c r="L79" i="1"/>
  <c r="M79" i="1"/>
  <c r="N79" i="1" s="1"/>
  <c r="T79" i="1"/>
  <c r="Z79" i="1"/>
  <c r="AB79" i="1"/>
  <c r="AC79" i="1"/>
  <c r="AD79" i="1"/>
  <c r="AG79" i="1" s="1"/>
  <c r="AE79" i="1"/>
  <c r="AF79" i="1"/>
  <c r="K80" i="1"/>
  <c r="L80" i="1"/>
  <c r="M80" i="1"/>
  <c r="N80" i="1" s="1"/>
  <c r="T80" i="1"/>
  <c r="Z80" i="1"/>
  <c r="AA80" i="1" s="1"/>
  <c r="W80" i="1" s="1"/>
  <c r="AB80" i="1"/>
  <c r="AC80" i="1"/>
  <c r="AD80" i="1"/>
  <c r="AG80" i="1" s="1"/>
  <c r="AE80" i="1"/>
  <c r="AF80" i="1"/>
  <c r="K81" i="1"/>
  <c r="L81" i="1"/>
  <c r="M81" i="1"/>
  <c r="N81" i="1" s="1"/>
  <c r="T81" i="1"/>
  <c r="Z81" i="1"/>
  <c r="AA81" i="1" s="1"/>
  <c r="W81" i="1" s="1"/>
  <c r="AB81" i="1"/>
  <c r="AC81" i="1"/>
  <c r="AD81" i="1"/>
  <c r="AG81" i="1" s="1"/>
  <c r="AE81" i="1"/>
  <c r="AF81" i="1"/>
  <c r="K82" i="1"/>
  <c r="L82" i="1"/>
  <c r="M82" i="1"/>
  <c r="N82" i="1" s="1"/>
  <c r="T82" i="1"/>
  <c r="X82" i="1"/>
  <c r="Y82" i="1"/>
  <c r="Z82" i="1"/>
  <c r="AB82" i="1"/>
  <c r="AC82" i="1"/>
  <c r="AD82" i="1"/>
  <c r="AG82" i="1" s="1"/>
  <c r="AE82" i="1"/>
  <c r="AF82" i="1"/>
  <c r="K83" i="1"/>
  <c r="L83" i="1"/>
  <c r="M83" i="1"/>
  <c r="N83" i="1" s="1"/>
  <c r="T83" i="1"/>
  <c r="X83" i="1"/>
  <c r="Y83" i="1"/>
  <c r="Z83" i="1"/>
  <c r="AB83" i="1"/>
  <c r="AC83" i="1"/>
  <c r="AD83" i="1"/>
  <c r="AG83" i="1" s="1"/>
  <c r="AE83" i="1"/>
  <c r="AF83" i="1"/>
  <c r="K84" i="1"/>
  <c r="L84" i="1"/>
  <c r="M84" i="1"/>
  <c r="N84" i="1" s="1"/>
  <c r="T84" i="1"/>
  <c r="X84" i="1"/>
  <c r="Y84" i="1"/>
  <c r="Z84" i="1"/>
  <c r="AB84" i="1"/>
  <c r="AC84" i="1"/>
  <c r="AD84" i="1"/>
  <c r="AG84" i="1" s="1"/>
  <c r="AE84" i="1"/>
  <c r="AF84" i="1"/>
  <c r="K85" i="1"/>
  <c r="L85" i="1"/>
  <c r="M85" i="1"/>
  <c r="N85" i="1" s="1"/>
  <c r="T85" i="1"/>
  <c r="X85" i="1"/>
  <c r="Y85" i="1"/>
  <c r="Z85" i="1"/>
  <c r="AB85" i="1"/>
  <c r="AC85" i="1"/>
  <c r="AD85" i="1"/>
  <c r="AG85" i="1" s="1"/>
  <c r="AE85" i="1"/>
  <c r="AF85" i="1"/>
  <c r="K86" i="1"/>
  <c r="L86" i="1"/>
  <c r="M86" i="1"/>
  <c r="N86" i="1" s="1"/>
  <c r="T86" i="1"/>
  <c r="X86" i="1"/>
  <c r="Y86" i="1"/>
  <c r="Z86" i="1"/>
  <c r="AB86" i="1"/>
  <c r="AC86" i="1"/>
  <c r="AD86" i="1"/>
  <c r="AG86" i="1" s="1"/>
  <c r="AE86" i="1"/>
  <c r="AF86" i="1"/>
  <c r="K87" i="1"/>
  <c r="L87" i="1"/>
  <c r="M87" i="1"/>
  <c r="N87" i="1" s="1"/>
  <c r="T87" i="1"/>
  <c r="X87" i="1"/>
  <c r="Y87" i="1"/>
  <c r="Z87" i="1"/>
  <c r="AB87" i="1"/>
  <c r="AC87" i="1"/>
  <c r="AD87" i="1"/>
  <c r="AG87" i="1" s="1"/>
  <c r="AE87" i="1"/>
  <c r="AF87" i="1"/>
  <c r="K88" i="1"/>
  <c r="L88" i="1"/>
  <c r="M88" i="1"/>
  <c r="P88" i="1" s="1"/>
  <c r="T88" i="1"/>
  <c r="X88" i="1"/>
  <c r="Y88" i="1"/>
  <c r="Z88" i="1"/>
  <c r="AB88" i="1"/>
  <c r="AC88" i="1"/>
  <c r="AD88" i="1"/>
  <c r="AG88" i="1" s="1"/>
  <c r="AE88" i="1"/>
  <c r="AF88" i="1"/>
  <c r="K89" i="1"/>
  <c r="L89" i="1"/>
  <c r="M89" i="1"/>
  <c r="N89" i="1" s="1"/>
  <c r="T89" i="1"/>
  <c r="X89" i="1"/>
  <c r="Y89" i="1"/>
  <c r="Z89" i="1"/>
  <c r="AB89" i="1"/>
  <c r="AC89" i="1"/>
  <c r="AD89" i="1"/>
  <c r="AG89" i="1" s="1"/>
  <c r="AE89" i="1"/>
  <c r="AF89" i="1"/>
  <c r="K90" i="1"/>
  <c r="L90" i="1"/>
  <c r="M90" i="1"/>
  <c r="N90" i="1" s="1"/>
  <c r="T90" i="1"/>
  <c r="X90" i="1"/>
  <c r="Y90" i="1"/>
  <c r="Z90" i="1"/>
  <c r="AB90" i="1"/>
  <c r="AC90" i="1"/>
  <c r="AD90" i="1"/>
  <c r="AG90" i="1" s="1"/>
  <c r="AE90" i="1"/>
  <c r="AF90" i="1"/>
  <c r="K91" i="1"/>
  <c r="L91" i="1"/>
  <c r="M91" i="1"/>
  <c r="N91" i="1" s="1"/>
  <c r="T91" i="1"/>
  <c r="X91" i="1"/>
  <c r="Y91" i="1"/>
  <c r="Z91" i="1"/>
  <c r="AB91" i="1"/>
  <c r="AC91" i="1"/>
  <c r="AD91" i="1"/>
  <c r="AG91" i="1" s="1"/>
  <c r="AE91" i="1"/>
  <c r="AF91" i="1"/>
  <c r="K92" i="1"/>
  <c r="L92" i="1"/>
  <c r="M92" i="1"/>
  <c r="N92" i="1" s="1"/>
  <c r="T92" i="1"/>
  <c r="X92" i="1"/>
  <c r="Y92" i="1"/>
  <c r="Z92" i="1"/>
  <c r="AB92" i="1"/>
  <c r="AC92" i="1"/>
  <c r="AD92" i="1"/>
  <c r="AG92" i="1" s="1"/>
  <c r="AE92" i="1"/>
  <c r="AF92" i="1"/>
  <c r="K93" i="1"/>
  <c r="L93" i="1"/>
  <c r="M93" i="1"/>
  <c r="N93" i="1" s="1"/>
  <c r="T93" i="1"/>
  <c r="X93" i="1"/>
  <c r="Y93" i="1"/>
  <c r="Z93" i="1"/>
  <c r="AB93" i="1"/>
  <c r="AC93" i="1"/>
  <c r="AD93" i="1"/>
  <c r="AG93" i="1" s="1"/>
  <c r="AE93" i="1"/>
  <c r="AF93" i="1"/>
  <c r="K94" i="1"/>
  <c r="L94" i="1"/>
  <c r="M94" i="1"/>
  <c r="N94" i="1" s="1"/>
  <c r="T94" i="1"/>
  <c r="X94" i="1"/>
  <c r="Y94" i="1"/>
  <c r="Z94" i="1"/>
  <c r="AB94" i="1"/>
  <c r="AC94" i="1"/>
  <c r="AD94" i="1"/>
  <c r="AG94" i="1" s="1"/>
  <c r="AE94" i="1"/>
  <c r="AF94" i="1"/>
  <c r="K95" i="1"/>
  <c r="L95" i="1"/>
  <c r="M95" i="1"/>
  <c r="N95" i="1" s="1"/>
  <c r="T95" i="1"/>
  <c r="X95" i="1"/>
  <c r="Y95" i="1"/>
  <c r="Z95" i="1"/>
  <c r="AB95" i="1"/>
  <c r="AC95" i="1"/>
  <c r="AD95" i="1"/>
  <c r="AG95" i="1" s="1"/>
  <c r="AE95" i="1"/>
  <c r="AF95" i="1"/>
  <c r="K96" i="1"/>
  <c r="L96" i="1"/>
  <c r="M96" i="1"/>
  <c r="N96" i="1" s="1"/>
  <c r="T96" i="1"/>
  <c r="X96" i="1"/>
  <c r="Y96" i="1"/>
  <c r="Z96" i="1"/>
  <c r="AB96" i="1"/>
  <c r="AC96" i="1"/>
  <c r="AD96" i="1"/>
  <c r="AG96" i="1" s="1"/>
  <c r="AE96" i="1"/>
  <c r="AF96" i="1"/>
  <c r="K97" i="1"/>
  <c r="L97" i="1"/>
  <c r="M97" i="1"/>
  <c r="N97" i="1" s="1"/>
  <c r="T97" i="1"/>
  <c r="X97" i="1"/>
  <c r="Y97" i="1"/>
  <c r="Z97" i="1"/>
  <c r="AB97" i="1"/>
  <c r="AC97" i="1"/>
  <c r="AD97" i="1"/>
  <c r="AG97" i="1" s="1"/>
  <c r="AE97" i="1"/>
  <c r="AF97" i="1"/>
  <c r="K98" i="1"/>
  <c r="L98" i="1"/>
  <c r="M98" i="1"/>
  <c r="N98" i="1" s="1"/>
  <c r="T98" i="1"/>
  <c r="X98" i="1"/>
  <c r="Y98" i="1"/>
  <c r="Z98" i="1"/>
  <c r="AB98" i="1"/>
  <c r="AC98" i="1"/>
  <c r="AD98" i="1"/>
  <c r="AG98" i="1" s="1"/>
  <c r="AE98" i="1"/>
  <c r="AF98" i="1"/>
  <c r="K99" i="1"/>
  <c r="L99" i="1"/>
  <c r="M99" i="1"/>
  <c r="N99" i="1" s="1"/>
  <c r="T99" i="1"/>
  <c r="X99" i="1"/>
  <c r="Y99" i="1"/>
  <c r="Z99" i="1"/>
  <c r="AB99" i="1"/>
  <c r="AC99" i="1"/>
  <c r="AD99" i="1"/>
  <c r="AG99" i="1" s="1"/>
  <c r="AE99" i="1"/>
  <c r="AF99" i="1"/>
  <c r="K100" i="1"/>
  <c r="L100" i="1"/>
  <c r="M100" i="1"/>
  <c r="N100" i="1" s="1"/>
  <c r="T100" i="1"/>
  <c r="X100" i="1"/>
  <c r="Y100" i="1"/>
  <c r="Z100" i="1"/>
  <c r="AB100" i="1"/>
  <c r="AC100" i="1"/>
  <c r="AD100" i="1"/>
  <c r="AG100" i="1" s="1"/>
  <c r="AE100" i="1"/>
  <c r="AF100" i="1"/>
  <c r="K101" i="1"/>
  <c r="L101" i="1"/>
  <c r="M101" i="1"/>
  <c r="N101" i="1" s="1"/>
  <c r="T101" i="1"/>
  <c r="X101" i="1"/>
  <c r="Y101" i="1"/>
  <c r="Z101" i="1"/>
  <c r="AB101" i="1"/>
  <c r="AC101" i="1"/>
  <c r="AD101" i="1"/>
  <c r="AG101" i="1" s="1"/>
  <c r="AE101" i="1"/>
  <c r="AF101" i="1"/>
  <c r="K102" i="1"/>
  <c r="L102" i="1"/>
  <c r="M102" i="1"/>
  <c r="N102" i="1" s="1"/>
  <c r="T102" i="1"/>
  <c r="X102" i="1"/>
  <c r="Y102" i="1"/>
  <c r="Z102" i="1"/>
  <c r="AB102" i="1"/>
  <c r="AC102" i="1"/>
  <c r="AD102" i="1"/>
  <c r="AG102" i="1" s="1"/>
  <c r="AE102" i="1"/>
  <c r="AF102" i="1"/>
  <c r="K103" i="1"/>
  <c r="L103" i="1"/>
  <c r="M103" i="1"/>
  <c r="N103" i="1" s="1"/>
  <c r="T103" i="1"/>
  <c r="X103" i="1"/>
  <c r="Y103" i="1"/>
  <c r="Z103" i="1"/>
  <c r="AB103" i="1"/>
  <c r="AC103" i="1"/>
  <c r="AD103" i="1"/>
  <c r="AG103" i="1" s="1"/>
  <c r="AE103" i="1"/>
  <c r="AF103" i="1"/>
  <c r="K104" i="1"/>
  <c r="L104" i="1"/>
  <c r="M104" i="1"/>
  <c r="N104" i="1" s="1"/>
  <c r="T104" i="1"/>
  <c r="X104" i="1"/>
  <c r="Y104" i="1"/>
  <c r="AB104" i="1"/>
  <c r="AC104" i="1"/>
  <c r="AD104" i="1"/>
  <c r="AG104" i="1" s="1"/>
  <c r="AE104" i="1"/>
  <c r="AF104" i="1"/>
  <c r="K105" i="1"/>
  <c r="L105" i="1"/>
  <c r="M105" i="1"/>
  <c r="N105" i="1" s="1"/>
  <c r="T105" i="1"/>
  <c r="Y105" i="1"/>
  <c r="Z105" i="1"/>
  <c r="AB105" i="1"/>
  <c r="AC105" i="1"/>
  <c r="AD105" i="1"/>
  <c r="AG105" i="1" s="1"/>
  <c r="AE105" i="1"/>
  <c r="AF105" i="1"/>
  <c r="K106" i="1"/>
  <c r="L106" i="1"/>
  <c r="M106" i="1"/>
  <c r="N106" i="1" s="1"/>
  <c r="T106" i="1"/>
  <c r="Y106" i="1"/>
  <c r="Z106" i="1"/>
  <c r="AB106" i="1"/>
  <c r="AC106" i="1"/>
  <c r="AD106" i="1"/>
  <c r="AG106" i="1" s="1"/>
  <c r="AE106" i="1"/>
  <c r="AF106" i="1"/>
  <c r="K107" i="1"/>
  <c r="L107" i="1"/>
  <c r="M107" i="1"/>
  <c r="N107" i="1" s="1"/>
  <c r="T107" i="1"/>
  <c r="Y107" i="1"/>
  <c r="Z107" i="1"/>
  <c r="AB107" i="1"/>
  <c r="AC107" i="1"/>
  <c r="AD107" i="1"/>
  <c r="AG107" i="1" s="1"/>
  <c r="AE107" i="1"/>
  <c r="AF107" i="1"/>
  <c r="K108" i="1"/>
  <c r="L108" i="1"/>
  <c r="M108" i="1"/>
  <c r="N108" i="1" s="1"/>
  <c r="T108" i="1"/>
  <c r="X108" i="1"/>
  <c r="Y108" i="1"/>
  <c r="Z108" i="1"/>
  <c r="AB108" i="1"/>
  <c r="AC108" i="1"/>
  <c r="AD108" i="1"/>
  <c r="AG108" i="1" s="1"/>
  <c r="AE108" i="1"/>
  <c r="AF108" i="1"/>
  <c r="K109" i="1"/>
  <c r="L109" i="1"/>
  <c r="M109" i="1"/>
  <c r="N109" i="1" s="1"/>
  <c r="T109" i="1"/>
  <c r="X109" i="1"/>
  <c r="Y109" i="1"/>
  <c r="Z109" i="1"/>
  <c r="AB109" i="1"/>
  <c r="AC109" i="1"/>
  <c r="AD109" i="1"/>
  <c r="AG109" i="1" s="1"/>
  <c r="AE109" i="1"/>
  <c r="AF109" i="1"/>
  <c r="K110" i="1"/>
  <c r="L110" i="1"/>
  <c r="M110" i="1"/>
  <c r="N110" i="1" s="1"/>
  <c r="T110" i="1"/>
  <c r="X110" i="1"/>
  <c r="Y110" i="1"/>
  <c r="Z110" i="1"/>
  <c r="AB110" i="1"/>
  <c r="AC110" i="1"/>
  <c r="AD110" i="1"/>
  <c r="AG110" i="1" s="1"/>
  <c r="AE110" i="1"/>
  <c r="AF110" i="1"/>
  <c r="K111" i="1"/>
  <c r="L111" i="1"/>
  <c r="M111" i="1"/>
  <c r="N111" i="1" s="1"/>
  <c r="T111" i="1"/>
  <c r="X111" i="1"/>
  <c r="Y111" i="1"/>
  <c r="Z111" i="1"/>
  <c r="AB111" i="1"/>
  <c r="AC111" i="1"/>
  <c r="AD111" i="1"/>
  <c r="AG111" i="1" s="1"/>
  <c r="AE111" i="1"/>
  <c r="AF111" i="1"/>
  <c r="K112" i="1"/>
  <c r="L112" i="1"/>
  <c r="M112" i="1"/>
  <c r="N112" i="1" s="1"/>
  <c r="T112" i="1"/>
  <c r="X112" i="1"/>
  <c r="Y112" i="1"/>
  <c r="Z112" i="1"/>
  <c r="AB112" i="1"/>
  <c r="AC112" i="1"/>
  <c r="AD112" i="1"/>
  <c r="AG112" i="1" s="1"/>
  <c r="AE112" i="1"/>
  <c r="AF112" i="1"/>
  <c r="K113" i="1"/>
  <c r="L113" i="1"/>
  <c r="M113" i="1"/>
  <c r="N113" i="1" s="1"/>
  <c r="T113" i="1"/>
  <c r="X113" i="1"/>
  <c r="Y113" i="1"/>
  <c r="Z113" i="1"/>
  <c r="AB113" i="1"/>
  <c r="AC113" i="1"/>
  <c r="AD113" i="1"/>
  <c r="AG113" i="1" s="1"/>
  <c r="AE113" i="1"/>
  <c r="AF113" i="1"/>
  <c r="K114" i="1"/>
  <c r="L114" i="1"/>
  <c r="M114" i="1"/>
  <c r="N114" i="1" s="1"/>
  <c r="T114" i="1"/>
  <c r="X114" i="1"/>
  <c r="Y114" i="1"/>
  <c r="Z114" i="1"/>
  <c r="AB114" i="1"/>
  <c r="AC114" i="1"/>
  <c r="AD114" i="1"/>
  <c r="AG114" i="1" s="1"/>
  <c r="AE114" i="1"/>
  <c r="AF114" i="1"/>
  <c r="K115" i="1"/>
  <c r="L115" i="1"/>
  <c r="M115" i="1"/>
  <c r="N115" i="1" s="1"/>
  <c r="T115" i="1"/>
  <c r="X115" i="1"/>
  <c r="Y115" i="1"/>
  <c r="Z115" i="1"/>
  <c r="AB115" i="1"/>
  <c r="AC115" i="1"/>
  <c r="AD115" i="1"/>
  <c r="AG115" i="1" s="1"/>
  <c r="AE115" i="1"/>
  <c r="AF115" i="1"/>
  <c r="K116" i="1"/>
  <c r="L116" i="1"/>
  <c r="M116" i="1"/>
  <c r="N116" i="1" s="1"/>
  <c r="T116" i="1"/>
  <c r="X116" i="1"/>
  <c r="Y116" i="1"/>
  <c r="Z116" i="1"/>
  <c r="AB116" i="1"/>
  <c r="AC116" i="1"/>
  <c r="AD116" i="1"/>
  <c r="AG116" i="1" s="1"/>
  <c r="AE116" i="1"/>
  <c r="AF116" i="1"/>
  <c r="K117" i="1"/>
  <c r="L117" i="1"/>
  <c r="M117" i="1"/>
  <c r="N117" i="1" s="1"/>
  <c r="T117" i="1"/>
  <c r="X117" i="1"/>
  <c r="Y117" i="1"/>
  <c r="Z117" i="1"/>
  <c r="AB117" i="1"/>
  <c r="AC117" i="1"/>
  <c r="AD117" i="1"/>
  <c r="AG117" i="1" s="1"/>
  <c r="AE117" i="1"/>
  <c r="AF117" i="1"/>
  <c r="K118" i="1"/>
  <c r="L118" i="1"/>
  <c r="M118" i="1"/>
  <c r="N118" i="1" s="1"/>
  <c r="T118" i="1"/>
  <c r="X118" i="1"/>
  <c r="Y118" i="1"/>
  <c r="Z118" i="1"/>
  <c r="AB118" i="1"/>
  <c r="AC118" i="1"/>
  <c r="AD118" i="1"/>
  <c r="AG118" i="1" s="1"/>
  <c r="AE118" i="1"/>
  <c r="AF118" i="1"/>
  <c r="K119" i="1"/>
  <c r="L119" i="1"/>
  <c r="M119" i="1"/>
  <c r="N119" i="1" s="1"/>
  <c r="T119" i="1"/>
  <c r="X119" i="1"/>
  <c r="Y119" i="1"/>
  <c r="Z119" i="1"/>
  <c r="AB119" i="1"/>
  <c r="AC119" i="1"/>
  <c r="AD119" i="1"/>
  <c r="AG119" i="1" s="1"/>
  <c r="AE119" i="1"/>
  <c r="AF119" i="1"/>
  <c r="K120" i="1"/>
  <c r="L120" i="1"/>
  <c r="M120" i="1"/>
  <c r="N120" i="1" s="1"/>
  <c r="T120" i="1"/>
  <c r="X120" i="1"/>
  <c r="Y120" i="1"/>
  <c r="Z120" i="1"/>
  <c r="AB120" i="1"/>
  <c r="AC120" i="1"/>
  <c r="AD120" i="1"/>
  <c r="AG120" i="1" s="1"/>
  <c r="AE120" i="1"/>
  <c r="AF120" i="1"/>
  <c r="K121" i="1"/>
  <c r="L121" i="1"/>
  <c r="M121" i="1"/>
  <c r="N121" i="1" s="1"/>
  <c r="T121" i="1"/>
  <c r="X121" i="1"/>
  <c r="Y121" i="1"/>
  <c r="Z121" i="1"/>
  <c r="AB121" i="1"/>
  <c r="AC121" i="1"/>
  <c r="AD121" i="1"/>
  <c r="AG121" i="1" s="1"/>
  <c r="AE121" i="1"/>
  <c r="AF121" i="1"/>
  <c r="K122" i="1"/>
  <c r="L122" i="1"/>
  <c r="M122" i="1"/>
  <c r="N122" i="1" s="1"/>
  <c r="T122" i="1"/>
  <c r="X122" i="1"/>
  <c r="Y122" i="1"/>
  <c r="Z122" i="1"/>
  <c r="AB122" i="1"/>
  <c r="AC122" i="1"/>
  <c r="AD122" i="1"/>
  <c r="AG122" i="1" s="1"/>
  <c r="AE122" i="1"/>
  <c r="AF122" i="1"/>
  <c r="K123" i="1"/>
  <c r="L123" i="1"/>
  <c r="M123" i="1"/>
  <c r="P123" i="1" s="1"/>
  <c r="T123" i="1"/>
  <c r="X123" i="1"/>
  <c r="Y123" i="1"/>
  <c r="Z123" i="1"/>
  <c r="AB123" i="1"/>
  <c r="AC123" i="1"/>
  <c r="AD123" i="1"/>
  <c r="AG123" i="1" s="1"/>
  <c r="AE123" i="1"/>
  <c r="AF123" i="1"/>
  <c r="K124" i="1"/>
  <c r="L124" i="1"/>
  <c r="M124" i="1"/>
  <c r="N124" i="1" s="1"/>
  <c r="T124" i="1"/>
  <c r="X124" i="1"/>
  <c r="Y124" i="1"/>
  <c r="Z124" i="1"/>
  <c r="AB124" i="1"/>
  <c r="AC124" i="1"/>
  <c r="AD124" i="1"/>
  <c r="AG124" i="1" s="1"/>
  <c r="AE124" i="1"/>
  <c r="AF124" i="1"/>
  <c r="K125" i="1"/>
  <c r="L125" i="1"/>
  <c r="M125" i="1"/>
  <c r="N125" i="1" s="1"/>
  <c r="T125" i="1"/>
  <c r="X125" i="1"/>
  <c r="Y125" i="1"/>
  <c r="Z125" i="1"/>
  <c r="AB125" i="1"/>
  <c r="AC125" i="1"/>
  <c r="AD125" i="1"/>
  <c r="AG125" i="1" s="1"/>
  <c r="AE125" i="1"/>
  <c r="AF125" i="1"/>
  <c r="K126" i="1"/>
  <c r="L126" i="1"/>
  <c r="M126" i="1"/>
  <c r="N126" i="1" s="1"/>
  <c r="T126" i="1"/>
  <c r="X126" i="1"/>
  <c r="Y126" i="1"/>
  <c r="Z126" i="1"/>
  <c r="AB126" i="1"/>
  <c r="AC126" i="1"/>
  <c r="AD126" i="1"/>
  <c r="AG126" i="1" s="1"/>
  <c r="AE126" i="1"/>
  <c r="AF126" i="1"/>
  <c r="K127" i="1"/>
  <c r="L127" i="1"/>
  <c r="M127" i="1"/>
  <c r="N127" i="1" s="1"/>
  <c r="T127" i="1"/>
  <c r="X127" i="1"/>
  <c r="Y127" i="1"/>
  <c r="Z127" i="1"/>
  <c r="AB127" i="1"/>
  <c r="AC127" i="1"/>
  <c r="AD127" i="1"/>
  <c r="AG127" i="1" s="1"/>
  <c r="AE127" i="1"/>
  <c r="AF127" i="1"/>
  <c r="K128" i="1"/>
  <c r="L128" i="1"/>
  <c r="M128" i="1"/>
  <c r="N128" i="1" s="1"/>
  <c r="T128" i="1"/>
  <c r="X128" i="1"/>
  <c r="Y128" i="1"/>
  <c r="Z128" i="1"/>
  <c r="AB128" i="1"/>
  <c r="AC128" i="1"/>
  <c r="AD128" i="1"/>
  <c r="AG128" i="1" s="1"/>
  <c r="AE128" i="1"/>
  <c r="AF128" i="1"/>
  <c r="K129" i="1"/>
  <c r="L129" i="1"/>
  <c r="M129" i="1"/>
  <c r="N129" i="1" s="1"/>
  <c r="T129" i="1"/>
  <c r="X129" i="1"/>
  <c r="Y129" i="1"/>
  <c r="Z129" i="1"/>
  <c r="AB129" i="1"/>
  <c r="AC129" i="1"/>
  <c r="AD129" i="1"/>
  <c r="AG129" i="1" s="1"/>
  <c r="AE129" i="1"/>
  <c r="AF129" i="1"/>
  <c r="K130" i="1"/>
  <c r="L130" i="1"/>
  <c r="M130" i="1"/>
  <c r="N130" i="1" s="1"/>
  <c r="T130" i="1"/>
  <c r="X130" i="1"/>
  <c r="Y130" i="1"/>
  <c r="Z130" i="1"/>
  <c r="AB130" i="1"/>
  <c r="AC130" i="1"/>
  <c r="AD130" i="1"/>
  <c r="AG130" i="1" s="1"/>
  <c r="AE130" i="1"/>
  <c r="AF130" i="1"/>
  <c r="K131" i="1"/>
  <c r="L131" i="1"/>
  <c r="M131" i="1"/>
  <c r="N131" i="1" s="1"/>
  <c r="T131" i="1"/>
  <c r="X131" i="1"/>
  <c r="Y131" i="1"/>
  <c r="Z131" i="1"/>
  <c r="AB131" i="1"/>
  <c r="AC131" i="1"/>
  <c r="AD131" i="1"/>
  <c r="AG131" i="1" s="1"/>
  <c r="AE131" i="1"/>
  <c r="AF131" i="1"/>
  <c r="K132" i="1"/>
  <c r="L132" i="1"/>
  <c r="M132" i="1"/>
  <c r="N132" i="1" s="1"/>
  <c r="T132" i="1"/>
  <c r="X132" i="1"/>
  <c r="Y132" i="1"/>
  <c r="Z132" i="1"/>
  <c r="AB132" i="1"/>
  <c r="AC132" i="1"/>
  <c r="AD132" i="1"/>
  <c r="AG132" i="1" s="1"/>
  <c r="AE132" i="1"/>
  <c r="AF132" i="1"/>
  <c r="K133" i="1"/>
  <c r="L133" i="1"/>
  <c r="M133" i="1"/>
  <c r="N133" i="1" s="1"/>
  <c r="T133" i="1"/>
  <c r="X133" i="1"/>
  <c r="Y133" i="1"/>
  <c r="Z133" i="1"/>
  <c r="AB133" i="1"/>
  <c r="AC133" i="1"/>
  <c r="AD133" i="1"/>
  <c r="AG133" i="1" s="1"/>
  <c r="AE133" i="1"/>
  <c r="AF133" i="1"/>
  <c r="K134" i="1"/>
  <c r="L134" i="1"/>
  <c r="M134" i="1"/>
  <c r="N134" i="1" s="1"/>
  <c r="T134" i="1"/>
  <c r="X134" i="1"/>
  <c r="Y134" i="1"/>
  <c r="Z134" i="1"/>
  <c r="AB134" i="1"/>
  <c r="AC134" i="1"/>
  <c r="AD134" i="1"/>
  <c r="AG134" i="1" s="1"/>
  <c r="AE134" i="1"/>
  <c r="AF134" i="1"/>
  <c r="K135" i="1"/>
  <c r="L135" i="1"/>
  <c r="M135" i="1"/>
  <c r="N135" i="1" s="1"/>
  <c r="T135" i="1"/>
  <c r="X135" i="1"/>
  <c r="Y135" i="1"/>
  <c r="Z135" i="1"/>
  <c r="AB135" i="1"/>
  <c r="AC135" i="1"/>
  <c r="AD135" i="1"/>
  <c r="AG135" i="1" s="1"/>
  <c r="AE135" i="1"/>
  <c r="AF135" i="1"/>
  <c r="K136" i="1"/>
  <c r="L136" i="1"/>
  <c r="M136" i="1"/>
  <c r="N136" i="1" s="1"/>
  <c r="T136" i="1"/>
  <c r="X136" i="1"/>
  <c r="Y136" i="1"/>
  <c r="Z136" i="1"/>
  <c r="AB136" i="1"/>
  <c r="AC136" i="1"/>
  <c r="AD136" i="1"/>
  <c r="AG136" i="1" s="1"/>
  <c r="AE136" i="1"/>
  <c r="AF136" i="1"/>
  <c r="K137" i="1"/>
  <c r="L137" i="1"/>
  <c r="M137" i="1"/>
  <c r="N137" i="1" s="1"/>
  <c r="T137" i="1"/>
  <c r="X137" i="1"/>
  <c r="Y137" i="1"/>
  <c r="Z137" i="1"/>
  <c r="AB137" i="1"/>
  <c r="AC137" i="1"/>
  <c r="AD137" i="1"/>
  <c r="AG137" i="1" s="1"/>
  <c r="AE137" i="1"/>
  <c r="AF137" i="1"/>
  <c r="K138" i="1"/>
  <c r="L138" i="1"/>
  <c r="M138" i="1"/>
  <c r="N138" i="1" s="1"/>
  <c r="T138" i="1"/>
  <c r="X138" i="1"/>
  <c r="Y138" i="1"/>
  <c r="Z138" i="1"/>
  <c r="AB138" i="1"/>
  <c r="AC138" i="1"/>
  <c r="AD138" i="1"/>
  <c r="AG138" i="1" s="1"/>
  <c r="AE138" i="1"/>
  <c r="AF138" i="1"/>
  <c r="K139" i="1"/>
  <c r="L139" i="1"/>
  <c r="M139" i="1"/>
  <c r="N139" i="1" s="1"/>
  <c r="T139" i="1"/>
  <c r="X139" i="1"/>
  <c r="Y139" i="1"/>
  <c r="Z139" i="1"/>
  <c r="AB139" i="1"/>
  <c r="AC139" i="1"/>
  <c r="AD139" i="1"/>
  <c r="AG139" i="1" s="1"/>
  <c r="AE139" i="1"/>
  <c r="AF139" i="1"/>
  <c r="K140" i="1"/>
  <c r="L140" i="1"/>
  <c r="M140" i="1"/>
  <c r="N140" i="1" s="1"/>
  <c r="T140" i="1"/>
  <c r="X140" i="1"/>
  <c r="Y140" i="1"/>
  <c r="Z140" i="1"/>
  <c r="AB140" i="1"/>
  <c r="AC140" i="1"/>
  <c r="AD140" i="1"/>
  <c r="AG140" i="1" s="1"/>
  <c r="AE140" i="1"/>
  <c r="AF140" i="1"/>
  <c r="K141" i="1"/>
  <c r="L141" i="1"/>
  <c r="M141" i="1"/>
  <c r="N141" i="1" s="1"/>
  <c r="T141" i="1"/>
  <c r="X141" i="1"/>
  <c r="Y141" i="1"/>
  <c r="Z141" i="1"/>
  <c r="AB141" i="1"/>
  <c r="AC141" i="1"/>
  <c r="AD141" i="1"/>
  <c r="AG141" i="1" s="1"/>
  <c r="AE141" i="1"/>
  <c r="AF141" i="1"/>
  <c r="K142" i="1"/>
  <c r="L142" i="1"/>
  <c r="M142" i="1"/>
  <c r="N142" i="1" s="1"/>
  <c r="T142" i="1"/>
  <c r="X142" i="1"/>
  <c r="Y142" i="1"/>
  <c r="Z142" i="1"/>
  <c r="AB142" i="1"/>
  <c r="AC142" i="1"/>
  <c r="AD142" i="1"/>
  <c r="AG142" i="1" s="1"/>
  <c r="AE142" i="1"/>
  <c r="AF142" i="1"/>
  <c r="K143" i="1"/>
  <c r="L143" i="1"/>
  <c r="M143" i="1"/>
  <c r="N143" i="1" s="1"/>
  <c r="T143" i="1"/>
  <c r="X143" i="1"/>
  <c r="Y143" i="1"/>
  <c r="Z143" i="1"/>
  <c r="AB143" i="1"/>
  <c r="AC143" i="1"/>
  <c r="AD143" i="1"/>
  <c r="AG143" i="1" s="1"/>
  <c r="AE143" i="1"/>
  <c r="AF143" i="1"/>
  <c r="K144" i="1"/>
  <c r="L144" i="1"/>
  <c r="M144" i="1"/>
  <c r="N144" i="1" s="1"/>
  <c r="T144" i="1"/>
  <c r="X144" i="1"/>
  <c r="Y144" i="1"/>
  <c r="Z144" i="1"/>
  <c r="AB144" i="1"/>
  <c r="AC144" i="1"/>
  <c r="AD144" i="1"/>
  <c r="AG144" i="1" s="1"/>
  <c r="AE144" i="1"/>
  <c r="AF144" i="1"/>
  <c r="K145" i="1"/>
  <c r="L145" i="1"/>
  <c r="M145" i="1"/>
  <c r="N145" i="1" s="1"/>
  <c r="T145" i="1"/>
  <c r="X145" i="1"/>
  <c r="Y145" i="1"/>
  <c r="Z145" i="1"/>
  <c r="AB145" i="1"/>
  <c r="AC145" i="1"/>
  <c r="AD145" i="1"/>
  <c r="AG145" i="1" s="1"/>
  <c r="AE145" i="1"/>
  <c r="AF145" i="1"/>
  <c r="K146" i="1"/>
  <c r="L146" i="1"/>
  <c r="M146" i="1"/>
  <c r="N146" i="1" s="1"/>
  <c r="T146" i="1"/>
  <c r="X146" i="1"/>
  <c r="Y146" i="1"/>
  <c r="Z146" i="1"/>
  <c r="AB146" i="1"/>
  <c r="AC146" i="1"/>
  <c r="AD146" i="1"/>
  <c r="AG146" i="1" s="1"/>
  <c r="AE146" i="1"/>
  <c r="AF146" i="1"/>
  <c r="K147" i="1"/>
  <c r="L147" i="1"/>
  <c r="M147" i="1"/>
  <c r="N147" i="1" s="1"/>
  <c r="T147" i="1"/>
  <c r="X147" i="1"/>
  <c r="Y147" i="1"/>
  <c r="Z147" i="1"/>
  <c r="AB147" i="1"/>
  <c r="AC147" i="1"/>
  <c r="AD147" i="1"/>
  <c r="AG147" i="1" s="1"/>
  <c r="AE147" i="1"/>
  <c r="AF147" i="1"/>
  <c r="K148" i="1"/>
  <c r="L148" i="1"/>
  <c r="M148" i="1"/>
  <c r="N148" i="1" s="1"/>
  <c r="T148" i="1"/>
  <c r="X148" i="1"/>
  <c r="Y148" i="1"/>
  <c r="Z148" i="1"/>
  <c r="AB148" i="1"/>
  <c r="AC148" i="1"/>
  <c r="AD148" i="1"/>
  <c r="AG148" i="1" s="1"/>
  <c r="AE148" i="1"/>
  <c r="AF148" i="1"/>
  <c r="K149" i="1"/>
  <c r="L149" i="1"/>
  <c r="M149" i="1"/>
  <c r="N149" i="1" s="1"/>
  <c r="T149" i="1"/>
  <c r="X149" i="1"/>
  <c r="Y149" i="1"/>
  <c r="Z149" i="1"/>
  <c r="AB149" i="1"/>
  <c r="AC149" i="1"/>
  <c r="AD149" i="1"/>
  <c r="AG149" i="1" s="1"/>
  <c r="AE149" i="1"/>
  <c r="AF149" i="1"/>
  <c r="K150" i="1"/>
  <c r="L150" i="1"/>
  <c r="M150" i="1"/>
  <c r="N150" i="1" s="1"/>
  <c r="T150" i="1"/>
  <c r="X150" i="1"/>
  <c r="Y150" i="1"/>
  <c r="Z150" i="1"/>
  <c r="AB150" i="1"/>
  <c r="AC150" i="1"/>
  <c r="AD150" i="1"/>
  <c r="AG150" i="1" s="1"/>
  <c r="AE150" i="1"/>
  <c r="AF150" i="1"/>
  <c r="K151" i="1"/>
  <c r="L151" i="1"/>
  <c r="M151" i="1"/>
  <c r="N151" i="1" s="1"/>
  <c r="T151" i="1"/>
  <c r="X151" i="1"/>
  <c r="Y151" i="1"/>
  <c r="Z151" i="1"/>
  <c r="AB151" i="1"/>
  <c r="AC151" i="1"/>
  <c r="AD151" i="1"/>
  <c r="AG151" i="1" s="1"/>
  <c r="AE151" i="1"/>
  <c r="AF151" i="1"/>
  <c r="L75" i="3"/>
  <c r="Q75" i="3"/>
  <c r="S75" i="3"/>
  <c r="R75" i="3" s="1"/>
  <c r="T75" i="3"/>
  <c r="U75" i="3"/>
  <c r="V75" i="3"/>
  <c r="L63" i="3"/>
  <c r="S63" i="3"/>
  <c r="R63" i="3" s="1"/>
  <c r="T63" i="3"/>
  <c r="U63" i="3"/>
  <c r="V63" i="3"/>
  <c r="L18" i="3"/>
  <c r="S18" i="3"/>
  <c r="R18" i="3" s="1"/>
  <c r="T18" i="3"/>
  <c r="U18" i="3"/>
  <c r="V18" i="3"/>
  <c r="L13" i="3"/>
  <c r="S13" i="3"/>
  <c r="R13" i="3" s="1"/>
  <c r="T13" i="3"/>
  <c r="U13" i="3"/>
  <c r="V13" i="3"/>
  <c r="L64" i="3"/>
  <c r="S64" i="3"/>
  <c r="R64" i="3" s="1"/>
  <c r="T64" i="3"/>
  <c r="U64" i="3"/>
  <c r="V64" i="3"/>
  <c r="L65" i="3"/>
  <c r="S65" i="3"/>
  <c r="R65" i="3" s="1"/>
  <c r="T65" i="3"/>
  <c r="U65" i="3"/>
  <c r="V65" i="3"/>
  <c r="L27" i="3"/>
  <c r="S27" i="3"/>
  <c r="R27" i="3" s="1"/>
  <c r="T27" i="3"/>
  <c r="U27" i="3"/>
  <c r="V27" i="3"/>
  <c r="L15" i="3"/>
  <c r="S15" i="3"/>
  <c r="R15" i="3" s="1"/>
  <c r="T15" i="3"/>
  <c r="U15" i="3"/>
  <c r="V15" i="3"/>
  <c r="L28" i="3"/>
  <c r="S28" i="3"/>
  <c r="R28" i="3" s="1"/>
  <c r="T28" i="3"/>
  <c r="U28" i="3"/>
  <c r="V28" i="3"/>
  <c r="K192" i="1"/>
  <c r="L192" i="1"/>
  <c r="M192" i="1"/>
  <c r="Y192" i="1"/>
  <c r="Z192" i="1"/>
  <c r="AB192" i="1"/>
  <c r="AC192" i="1"/>
  <c r="AD192" i="1"/>
  <c r="AG192" i="1" s="1"/>
  <c r="AE192" i="1"/>
  <c r="AF192" i="1"/>
  <c r="K193" i="1"/>
  <c r="L193" i="1"/>
  <c r="M193" i="1"/>
  <c r="Y193" i="1"/>
  <c r="Z193" i="1"/>
  <c r="AB193" i="1"/>
  <c r="AC193" i="1"/>
  <c r="AD193" i="1"/>
  <c r="AG193" i="1" s="1"/>
  <c r="AE193" i="1"/>
  <c r="AF193" i="1"/>
  <c r="K194" i="1"/>
  <c r="L194" i="1"/>
  <c r="M194" i="1"/>
  <c r="Y194" i="1"/>
  <c r="Z194" i="1"/>
  <c r="AB194" i="1"/>
  <c r="AC194" i="1"/>
  <c r="AD194" i="1"/>
  <c r="AG194" i="1" s="1"/>
  <c r="AE194" i="1"/>
  <c r="AF194" i="1"/>
  <c r="K195" i="1"/>
  <c r="L195" i="1"/>
  <c r="M195" i="1"/>
  <c r="Y195" i="1"/>
  <c r="Z195" i="1"/>
  <c r="AB195" i="1"/>
  <c r="AC195" i="1"/>
  <c r="AD195" i="1"/>
  <c r="AG195" i="1" s="1"/>
  <c r="AE195" i="1"/>
  <c r="AF195" i="1"/>
  <c r="K196" i="1"/>
  <c r="L196" i="1"/>
  <c r="M196" i="1"/>
  <c r="Y196" i="1"/>
  <c r="Z196" i="1"/>
  <c r="AB196" i="1"/>
  <c r="AC196" i="1"/>
  <c r="AD196" i="1"/>
  <c r="AG196" i="1" s="1"/>
  <c r="AE196" i="1"/>
  <c r="AF196" i="1"/>
  <c r="K197" i="1"/>
  <c r="L197" i="1"/>
  <c r="M197" i="1"/>
  <c r="Y197" i="1"/>
  <c r="Z197" i="1"/>
  <c r="AB197" i="1"/>
  <c r="AC197" i="1"/>
  <c r="AD197" i="1"/>
  <c r="AG197" i="1" s="1"/>
  <c r="AE197" i="1"/>
  <c r="AF197" i="1"/>
  <c r="K198" i="1"/>
  <c r="L198" i="1"/>
  <c r="M198" i="1"/>
  <c r="Y198" i="1"/>
  <c r="Z198" i="1"/>
  <c r="AB198" i="1"/>
  <c r="AC198" i="1"/>
  <c r="AD198" i="1"/>
  <c r="AG198" i="1" s="1"/>
  <c r="AE198" i="1"/>
  <c r="AF198" i="1"/>
  <c r="K199" i="1"/>
  <c r="L199" i="1"/>
  <c r="M199" i="1"/>
  <c r="Y199" i="1"/>
  <c r="Z199" i="1"/>
  <c r="AB199" i="1"/>
  <c r="AC199" i="1"/>
  <c r="AD199" i="1"/>
  <c r="AG199" i="1" s="1"/>
  <c r="AE199" i="1"/>
  <c r="AF199" i="1"/>
  <c r="K200" i="1"/>
  <c r="L200" i="1"/>
  <c r="M200" i="1"/>
  <c r="Y200" i="1"/>
  <c r="Z200" i="1"/>
  <c r="AB200" i="1"/>
  <c r="AC200" i="1"/>
  <c r="AD200" i="1"/>
  <c r="AG200" i="1" s="1"/>
  <c r="AE200" i="1"/>
  <c r="AF200" i="1"/>
  <c r="K201" i="1"/>
  <c r="L201" i="1"/>
  <c r="M201" i="1"/>
  <c r="Y201" i="1"/>
  <c r="Z201" i="1"/>
  <c r="AB201" i="1"/>
  <c r="AC201" i="1"/>
  <c r="AD201" i="1"/>
  <c r="AG201" i="1" s="1"/>
  <c r="AE201" i="1"/>
  <c r="AF201" i="1"/>
  <c r="K202" i="1"/>
  <c r="L202" i="1"/>
  <c r="M202" i="1"/>
  <c r="Y202" i="1"/>
  <c r="Z202" i="1"/>
  <c r="AB202" i="1"/>
  <c r="AC202" i="1"/>
  <c r="AD202" i="1"/>
  <c r="AG202" i="1" s="1"/>
  <c r="AE202" i="1"/>
  <c r="AF202" i="1"/>
  <c r="K203" i="1"/>
  <c r="L203" i="1"/>
  <c r="M203" i="1"/>
  <c r="Y203" i="1"/>
  <c r="Z203" i="1"/>
  <c r="AB203" i="1"/>
  <c r="AC203" i="1"/>
  <c r="AD203" i="1"/>
  <c r="AG203" i="1" s="1"/>
  <c r="AE203" i="1"/>
  <c r="AF203" i="1"/>
  <c r="K204" i="1"/>
  <c r="L204" i="1"/>
  <c r="M204" i="1"/>
  <c r="Y204" i="1"/>
  <c r="Z204" i="1"/>
  <c r="AB204" i="1"/>
  <c r="AC204" i="1"/>
  <c r="AD204" i="1"/>
  <c r="AG204" i="1" s="1"/>
  <c r="AE204" i="1"/>
  <c r="AF204" i="1"/>
  <c r="K205" i="1"/>
  <c r="L205" i="1"/>
  <c r="M205" i="1"/>
  <c r="Y205" i="1"/>
  <c r="Z205" i="1"/>
  <c r="AB205" i="1"/>
  <c r="AC205" i="1"/>
  <c r="AD205" i="1"/>
  <c r="AG205" i="1" s="1"/>
  <c r="AE205" i="1"/>
  <c r="AF205" i="1"/>
  <c r="K206" i="1"/>
  <c r="L206" i="1"/>
  <c r="M206" i="1"/>
  <c r="Y206" i="1"/>
  <c r="Z206" i="1"/>
  <c r="AB206" i="1"/>
  <c r="AC206" i="1"/>
  <c r="AD206" i="1"/>
  <c r="AG206" i="1" s="1"/>
  <c r="AE206" i="1"/>
  <c r="AF206" i="1"/>
  <c r="K207" i="1"/>
  <c r="L207" i="1"/>
  <c r="M207" i="1"/>
  <c r="Y207" i="1"/>
  <c r="Z207" i="1"/>
  <c r="AB207" i="1"/>
  <c r="AC207" i="1"/>
  <c r="AD207" i="1"/>
  <c r="AG207" i="1" s="1"/>
  <c r="AE207" i="1"/>
  <c r="AF207" i="1"/>
  <c r="K208" i="1"/>
  <c r="L208" i="1"/>
  <c r="M208" i="1"/>
  <c r="Y208" i="1"/>
  <c r="Z208" i="1"/>
  <c r="AB208" i="1"/>
  <c r="AC208" i="1"/>
  <c r="AD208" i="1"/>
  <c r="AG208" i="1" s="1"/>
  <c r="AE208" i="1"/>
  <c r="AF208" i="1"/>
  <c r="K209" i="1"/>
  <c r="L209" i="1"/>
  <c r="M209" i="1"/>
  <c r="Y209" i="1"/>
  <c r="Z209" i="1"/>
  <c r="AB209" i="1"/>
  <c r="AC209" i="1"/>
  <c r="AD209" i="1"/>
  <c r="AG209" i="1" s="1"/>
  <c r="AE209" i="1"/>
  <c r="AF209" i="1"/>
  <c r="K210" i="1"/>
  <c r="L210" i="1"/>
  <c r="M210" i="1"/>
  <c r="Y210" i="1"/>
  <c r="Z210" i="1"/>
  <c r="AB210" i="1"/>
  <c r="AC210" i="1"/>
  <c r="AD210" i="1"/>
  <c r="AG210" i="1" s="1"/>
  <c r="AE210" i="1"/>
  <c r="AF210" i="1"/>
  <c r="K211" i="1"/>
  <c r="L211" i="1"/>
  <c r="M211" i="1"/>
  <c r="Y211" i="1"/>
  <c r="Z211" i="1"/>
  <c r="AB211" i="1"/>
  <c r="AC211" i="1"/>
  <c r="AD211" i="1"/>
  <c r="AG211" i="1" s="1"/>
  <c r="AE211" i="1"/>
  <c r="AF211" i="1"/>
  <c r="K212" i="1"/>
  <c r="L212" i="1"/>
  <c r="M212" i="1"/>
  <c r="Y212" i="1"/>
  <c r="Z212" i="1"/>
  <c r="AB212" i="1"/>
  <c r="AC212" i="1"/>
  <c r="AD212" i="1"/>
  <c r="AG212" i="1" s="1"/>
  <c r="AE212" i="1"/>
  <c r="AF212" i="1"/>
  <c r="K213" i="1"/>
  <c r="L213" i="1"/>
  <c r="M213" i="1"/>
  <c r="Y213" i="1"/>
  <c r="Z213" i="1"/>
  <c r="AB213" i="1"/>
  <c r="AC213" i="1"/>
  <c r="AD213" i="1"/>
  <c r="AG213" i="1" s="1"/>
  <c r="AE213" i="1"/>
  <c r="AF213" i="1"/>
  <c r="K214" i="1"/>
  <c r="L214" i="1"/>
  <c r="M214" i="1"/>
  <c r="Y214" i="1"/>
  <c r="Z214" i="1"/>
  <c r="AB214" i="1"/>
  <c r="AC214" i="1"/>
  <c r="AD214" i="1"/>
  <c r="AG214" i="1" s="1"/>
  <c r="AE214" i="1"/>
  <c r="AF214" i="1"/>
  <c r="K215" i="1"/>
  <c r="L215" i="1"/>
  <c r="M215" i="1"/>
  <c r="Y215" i="1"/>
  <c r="Z215" i="1"/>
  <c r="AB215" i="1"/>
  <c r="AC215" i="1"/>
  <c r="AD215" i="1"/>
  <c r="AG215" i="1" s="1"/>
  <c r="AE215" i="1"/>
  <c r="AF215" i="1"/>
  <c r="K216" i="1"/>
  <c r="L216" i="1"/>
  <c r="M216" i="1"/>
  <c r="Y216" i="1"/>
  <c r="Z216" i="1"/>
  <c r="AB216" i="1"/>
  <c r="AC216" i="1"/>
  <c r="AD216" i="1"/>
  <c r="AG216" i="1" s="1"/>
  <c r="AE216" i="1"/>
  <c r="AF216" i="1"/>
  <c r="K217" i="1"/>
  <c r="L217" i="1"/>
  <c r="M217" i="1"/>
  <c r="Y217" i="1"/>
  <c r="Z217" i="1"/>
  <c r="AB217" i="1"/>
  <c r="AC217" i="1"/>
  <c r="AD217" i="1"/>
  <c r="AG217" i="1" s="1"/>
  <c r="AE217" i="1"/>
  <c r="AF217" i="1"/>
  <c r="K218" i="1"/>
  <c r="L218" i="1"/>
  <c r="M218" i="1"/>
  <c r="Y218" i="1"/>
  <c r="Z218" i="1"/>
  <c r="AB218" i="1"/>
  <c r="AC218" i="1"/>
  <c r="AD218" i="1"/>
  <c r="AG218" i="1" s="1"/>
  <c r="AE218" i="1"/>
  <c r="P75" i="3" s="1"/>
  <c r="AF218" i="1"/>
  <c r="K219" i="1"/>
  <c r="L219" i="1"/>
  <c r="M219" i="1"/>
  <c r="Y219" i="1"/>
  <c r="Z219" i="1"/>
  <c r="AB219" i="1"/>
  <c r="AC219" i="1"/>
  <c r="AD219" i="1"/>
  <c r="AG219" i="1" s="1"/>
  <c r="AE219" i="1"/>
  <c r="AF219" i="1"/>
  <c r="K220" i="1"/>
  <c r="L220" i="1"/>
  <c r="M220" i="1"/>
  <c r="Q63" i="3"/>
  <c r="Y220" i="1"/>
  <c r="Z220" i="1"/>
  <c r="AB220" i="1"/>
  <c r="AC220" i="1"/>
  <c r="AD220" i="1"/>
  <c r="AG220" i="1" s="1"/>
  <c r="AE220" i="1"/>
  <c r="P63" i="3" s="1"/>
  <c r="AF220" i="1"/>
  <c r="K221" i="1"/>
  <c r="L221" i="1"/>
  <c r="M221" i="1"/>
  <c r="Y221" i="1"/>
  <c r="Z221" i="1"/>
  <c r="AB221" i="1"/>
  <c r="AC221" i="1"/>
  <c r="AD221" i="1"/>
  <c r="AG221" i="1" s="1"/>
  <c r="AE221" i="1"/>
  <c r="AF221" i="1"/>
  <c r="K222" i="1"/>
  <c r="L222" i="1"/>
  <c r="M222" i="1"/>
  <c r="Y222" i="1"/>
  <c r="Z222" i="1"/>
  <c r="AB222" i="1"/>
  <c r="AC222" i="1"/>
  <c r="AD222" i="1"/>
  <c r="AG222" i="1" s="1"/>
  <c r="AE222" i="1"/>
  <c r="AF222" i="1"/>
  <c r="K223" i="1"/>
  <c r="L223" i="1"/>
  <c r="M223" i="1"/>
  <c r="Y223" i="1"/>
  <c r="Z223" i="1"/>
  <c r="AA223" i="1" s="1"/>
  <c r="AB223" i="1"/>
  <c r="AC223" i="1"/>
  <c r="AD223" i="1"/>
  <c r="AG223" i="1" s="1"/>
  <c r="AE223" i="1"/>
  <c r="AF223" i="1"/>
  <c r="K224" i="1"/>
  <c r="L224" i="1"/>
  <c r="M224" i="1"/>
  <c r="Q65" i="3"/>
  <c r="Y224" i="1"/>
  <c r="AA224" i="1" s="1"/>
  <c r="Z224" i="1"/>
  <c r="AB224" i="1"/>
  <c r="AC224" i="1"/>
  <c r="AD224" i="1"/>
  <c r="AG224" i="1" s="1"/>
  <c r="AE224" i="1"/>
  <c r="P65" i="3" s="1"/>
  <c r="AF224" i="1"/>
  <c r="K225" i="1"/>
  <c r="L225" i="1"/>
  <c r="M225" i="1"/>
  <c r="Y225" i="1"/>
  <c r="Z225" i="1"/>
  <c r="AB225" i="1"/>
  <c r="AC225" i="1"/>
  <c r="AD225" i="1"/>
  <c r="AG225" i="1" s="1"/>
  <c r="AE225" i="1"/>
  <c r="AF225" i="1"/>
  <c r="K226" i="1"/>
  <c r="L226" i="1"/>
  <c r="M226" i="1"/>
  <c r="Y226" i="1"/>
  <c r="Z226" i="1"/>
  <c r="AB226" i="1"/>
  <c r="AC226" i="1"/>
  <c r="AD226" i="1"/>
  <c r="AG226" i="1" s="1"/>
  <c r="AE226" i="1"/>
  <c r="AF226" i="1"/>
  <c r="K227" i="1"/>
  <c r="L227" i="1"/>
  <c r="M227" i="1"/>
  <c r="Y227" i="1"/>
  <c r="Z227" i="1"/>
  <c r="AB227" i="1"/>
  <c r="AC227" i="1"/>
  <c r="AD227" i="1"/>
  <c r="AG227" i="1" s="1"/>
  <c r="AE227" i="1"/>
  <c r="AF227" i="1"/>
  <c r="K228" i="1"/>
  <c r="L228" i="1"/>
  <c r="M228" i="1"/>
  <c r="Y228" i="1"/>
  <c r="Z228" i="1"/>
  <c r="AB228" i="1"/>
  <c r="AC228" i="1"/>
  <c r="AD228" i="1"/>
  <c r="AG228" i="1" s="1"/>
  <c r="AE228" i="1"/>
  <c r="AF228" i="1"/>
  <c r="AA26" i="1" l="1"/>
  <c r="W26" i="1" s="1"/>
  <c r="AA25" i="1"/>
  <c r="W25" i="1" s="1"/>
  <c r="AA21" i="1"/>
  <c r="W21" i="1" s="1"/>
  <c r="AA220" i="1"/>
  <c r="AA218" i="1"/>
  <c r="AA208" i="1"/>
  <c r="AA151" i="1"/>
  <c r="W151" i="1" s="1"/>
  <c r="AA150" i="1"/>
  <c r="W150" i="1" s="1"/>
  <c r="AA117" i="1"/>
  <c r="W117" i="1" s="1"/>
  <c r="AA90" i="1"/>
  <c r="W90" i="1" s="1"/>
  <c r="AA74" i="1"/>
  <c r="W74" i="1" s="1"/>
  <c r="U60" i="1"/>
  <c r="S60" i="1" s="1"/>
  <c r="AA204" i="1"/>
  <c r="AA127" i="1"/>
  <c r="W127" i="1" s="1"/>
  <c r="AA113" i="1"/>
  <c r="W113" i="1" s="1"/>
  <c r="AA112" i="1"/>
  <c r="W112" i="1" s="1"/>
  <c r="U103" i="1"/>
  <c r="S103" i="1" s="1"/>
  <c r="AA201" i="1"/>
  <c r="AA193" i="1"/>
  <c r="AA143" i="1"/>
  <c r="W143" i="1" s="1"/>
  <c r="AA48" i="1"/>
  <c r="W48" i="1" s="1"/>
  <c r="AA47" i="1"/>
  <c r="W47" i="1" s="1"/>
  <c r="AA216" i="1"/>
  <c r="AA131" i="1"/>
  <c r="W131" i="1" s="1"/>
  <c r="AA130" i="1"/>
  <c r="W130" i="1" s="1"/>
  <c r="AA94" i="1"/>
  <c r="W94" i="1" s="1"/>
  <c r="U126" i="1"/>
  <c r="S126" i="1" s="1"/>
  <c r="U106" i="1"/>
  <c r="S106" i="1" s="1"/>
  <c r="U90" i="1"/>
  <c r="S90" i="1" s="1"/>
  <c r="AA50" i="1"/>
  <c r="W50" i="1" s="1"/>
  <c r="U36" i="1"/>
  <c r="S36" i="1" s="1"/>
  <c r="AA139" i="1"/>
  <c r="W139" i="1" s="1"/>
  <c r="AA138" i="1"/>
  <c r="W138" i="1" s="1"/>
  <c r="AA123" i="1"/>
  <c r="W123" i="1" s="1"/>
  <c r="AA121" i="1"/>
  <c r="W121" i="1" s="1"/>
  <c r="AA105" i="1"/>
  <c r="W105" i="1" s="1"/>
  <c r="AA102" i="1"/>
  <c r="W102" i="1" s="1"/>
  <c r="AA97" i="1"/>
  <c r="W97" i="1" s="1"/>
  <c r="AA88" i="1"/>
  <c r="W88" i="1" s="1"/>
  <c r="AA71" i="1"/>
  <c r="W71" i="1" s="1"/>
  <c r="AA70" i="1"/>
  <c r="W70" i="1" s="1"/>
  <c r="AA69" i="1"/>
  <c r="W69" i="1" s="1"/>
  <c r="AA56" i="1"/>
  <c r="W56" i="1" s="1"/>
  <c r="U51" i="1"/>
  <c r="S51" i="1" s="1"/>
  <c r="AA42" i="1"/>
  <c r="W42" i="1" s="1"/>
  <c r="AA41" i="1"/>
  <c r="W41" i="1" s="1"/>
  <c r="U132" i="1"/>
  <c r="S132" i="1" s="1"/>
  <c r="U117" i="1"/>
  <c r="S117" i="1" s="1"/>
  <c r="AA109" i="1"/>
  <c r="W109" i="1" s="1"/>
  <c r="U95" i="1"/>
  <c r="S95" i="1" s="1"/>
  <c r="AA65" i="1"/>
  <c r="W65" i="1" s="1"/>
  <c r="AA55" i="1"/>
  <c r="W55" i="1" s="1"/>
  <c r="AA54" i="1"/>
  <c r="W54" i="1" s="1"/>
  <c r="U27" i="1"/>
  <c r="S27" i="1" s="1"/>
  <c r="AA16" i="1"/>
  <c r="W16" i="1" s="1"/>
  <c r="AA192" i="1"/>
  <c r="U147" i="1"/>
  <c r="S147" i="1" s="1"/>
  <c r="AA136" i="1"/>
  <c r="W136" i="1" s="1"/>
  <c r="U110" i="1"/>
  <c r="S110" i="1" s="1"/>
  <c r="AA96" i="1"/>
  <c r="W96" i="1" s="1"/>
  <c r="AA85" i="1"/>
  <c r="W85" i="1" s="1"/>
  <c r="AA84" i="1"/>
  <c r="W84" i="1" s="1"/>
  <c r="AA68" i="1"/>
  <c r="W68" i="1" s="1"/>
  <c r="AA63" i="1"/>
  <c r="W63" i="1" s="1"/>
  <c r="AA62" i="1"/>
  <c r="W62" i="1" s="1"/>
  <c r="U56" i="1"/>
  <c r="S56" i="1" s="1"/>
  <c r="U48" i="1"/>
  <c r="S48" i="1" s="1"/>
  <c r="U42" i="1"/>
  <c r="S42" i="1" s="1"/>
  <c r="AA39" i="1"/>
  <c r="W39" i="1" s="1"/>
  <c r="AA38" i="1"/>
  <c r="W38" i="1" s="1"/>
  <c r="AA35" i="1"/>
  <c r="W35" i="1" s="1"/>
  <c r="AA34" i="1"/>
  <c r="W34" i="1" s="1"/>
  <c r="AA23" i="1"/>
  <c r="W23" i="1" s="1"/>
  <c r="AA19" i="1"/>
  <c r="W19" i="1" s="1"/>
  <c r="U143" i="1"/>
  <c r="S143" i="1" s="1"/>
  <c r="AA141" i="1"/>
  <c r="W141" i="1" s="1"/>
  <c r="AA98" i="1"/>
  <c r="W98" i="1" s="1"/>
  <c r="U87" i="1"/>
  <c r="S87" i="1" s="1"/>
  <c r="U79" i="1"/>
  <c r="S79" i="1" s="1"/>
  <c r="AA66" i="1"/>
  <c r="W66" i="1" s="1"/>
  <c r="U64" i="1"/>
  <c r="S64" i="1" s="1"/>
  <c r="U58" i="1"/>
  <c r="S58" i="1" s="1"/>
  <c r="AA46" i="1"/>
  <c r="W46" i="1" s="1"/>
  <c r="U40" i="1"/>
  <c r="S40" i="1" s="1"/>
  <c r="AA24" i="1"/>
  <c r="W24" i="1" s="1"/>
  <c r="AA20" i="1"/>
  <c r="W20" i="1" s="1"/>
  <c r="AA17" i="1"/>
  <c r="W17" i="1" s="1"/>
  <c r="AA149" i="1"/>
  <c r="W149" i="1" s="1"/>
  <c r="AA147" i="1"/>
  <c r="W147" i="1" s="1"/>
  <c r="AA144" i="1"/>
  <c r="W144" i="1" s="1"/>
  <c r="U135" i="1"/>
  <c r="S135" i="1" s="1"/>
  <c r="AA133" i="1"/>
  <c r="W133" i="1" s="1"/>
  <c r="AA125" i="1"/>
  <c r="W125" i="1" s="1"/>
  <c r="AA122" i="1"/>
  <c r="W122" i="1" s="1"/>
  <c r="AA116" i="1"/>
  <c r="W116" i="1" s="1"/>
  <c r="U115" i="1"/>
  <c r="S115" i="1" s="1"/>
  <c r="U113" i="1"/>
  <c r="S113" i="1" s="1"/>
  <c r="AA111" i="1"/>
  <c r="W111" i="1" s="1"/>
  <c r="AA106" i="1"/>
  <c r="W106" i="1" s="1"/>
  <c r="AA103" i="1"/>
  <c r="W103" i="1" s="1"/>
  <c r="AA101" i="1"/>
  <c r="W101" i="1" s="1"/>
  <c r="AA92" i="1"/>
  <c r="W92" i="1" s="1"/>
  <c r="AA86" i="1"/>
  <c r="W86" i="1" s="1"/>
  <c r="AA82" i="1"/>
  <c r="W82" i="1" s="1"/>
  <c r="U72" i="1"/>
  <c r="S72" i="1" s="1"/>
  <c r="U68" i="1"/>
  <c r="S68" i="1" s="1"/>
  <c r="U67" i="1"/>
  <c r="S67" i="1" s="1"/>
  <c r="AA64" i="1"/>
  <c r="W64" i="1" s="1"/>
  <c r="AA57" i="1"/>
  <c r="W57" i="1" s="1"/>
  <c r="U52" i="1"/>
  <c r="S52" i="1" s="1"/>
  <c r="AA49" i="1"/>
  <c r="W49" i="1" s="1"/>
  <c r="AA40" i="1"/>
  <c r="W40" i="1" s="1"/>
  <c r="U30" i="1"/>
  <c r="S30" i="1" s="1"/>
  <c r="U23" i="1"/>
  <c r="S23" i="1" s="1"/>
  <c r="U18" i="1"/>
  <c r="S18" i="1" s="1"/>
  <c r="AA219" i="1"/>
  <c r="AA206" i="1"/>
  <c r="AA145" i="1"/>
  <c r="W145" i="1" s="1"/>
  <c r="AA135" i="1"/>
  <c r="W135" i="1" s="1"/>
  <c r="U134" i="1"/>
  <c r="S134" i="1" s="1"/>
  <c r="AA222" i="1"/>
  <c r="AA217" i="1"/>
  <c r="AA202" i="1"/>
  <c r="AA200" i="1"/>
  <c r="U151" i="1"/>
  <c r="S151" i="1" s="1"/>
  <c r="U148" i="1"/>
  <c r="S148" i="1" s="1"/>
  <c r="AA146" i="1"/>
  <c r="W146" i="1" s="1"/>
  <c r="U140" i="1"/>
  <c r="S140" i="1" s="1"/>
  <c r="U139" i="1"/>
  <c r="S139" i="1" s="1"/>
  <c r="U136" i="1"/>
  <c r="S136" i="1" s="1"/>
  <c r="AA134" i="1"/>
  <c r="W134" i="1" s="1"/>
  <c r="U89" i="1"/>
  <c r="S89" i="1" s="1"/>
  <c r="AA89" i="1"/>
  <c r="W89" i="1" s="1"/>
  <c r="U29" i="1"/>
  <c r="S29" i="1" s="1"/>
  <c r="AA29" i="1"/>
  <c r="W29" i="1" s="1"/>
  <c r="AA207" i="1"/>
  <c r="AA203" i="1"/>
  <c r="AA148" i="1"/>
  <c r="W148" i="1" s="1"/>
  <c r="U144" i="1"/>
  <c r="S144" i="1" s="1"/>
  <c r="AA142" i="1"/>
  <c r="W142" i="1" s="1"/>
  <c r="AA140" i="1"/>
  <c r="W140" i="1" s="1"/>
  <c r="U120" i="1"/>
  <c r="S120" i="1" s="1"/>
  <c r="AA120" i="1"/>
  <c r="W120" i="1" s="1"/>
  <c r="U19" i="1"/>
  <c r="S19" i="1" s="1"/>
  <c r="AA137" i="1"/>
  <c r="W137" i="1" s="1"/>
  <c r="AA132" i="1"/>
  <c r="W132" i="1" s="1"/>
  <c r="U131" i="1"/>
  <c r="S131" i="1" s="1"/>
  <c r="U128" i="1"/>
  <c r="S128" i="1" s="1"/>
  <c r="AA126" i="1"/>
  <c r="W126" i="1" s="1"/>
  <c r="U123" i="1"/>
  <c r="S123" i="1" s="1"/>
  <c r="AA118" i="1"/>
  <c r="W118" i="1" s="1"/>
  <c r="AA114" i="1"/>
  <c r="W114" i="1" s="1"/>
  <c r="U112" i="1"/>
  <c r="S112" i="1" s="1"/>
  <c r="AA110" i="1"/>
  <c r="W110" i="1" s="1"/>
  <c r="U109" i="1"/>
  <c r="S109" i="1" s="1"/>
  <c r="U107" i="1"/>
  <c r="S107" i="1" s="1"/>
  <c r="U105" i="1"/>
  <c r="S105" i="1" s="1"/>
  <c r="U99" i="1"/>
  <c r="S99" i="1" s="1"/>
  <c r="AA93" i="1"/>
  <c r="W93" i="1" s="1"/>
  <c r="AA91" i="1"/>
  <c r="W91" i="1" s="1"/>
  <c r="U88" i="1"/>
  <c r="S88" i="1" s="1"/>
  <c r="AA79" i="1"/>
  <c r="W79" i="1" s="1"/>
  <c r="U78" i="1"/>
  <c r="S78" i="1" s="1"/>
  <c r="U77" i="1"/>
  <c r="S77" i="1" s="1"/>
  <c r="P74" i="1"/>
  <c r="AA67" i="1"/>
  <c r="W67" i="1" s="1"/>
  <c r="U62" i="1"/>
  <c r="S62" i="1" s="1"/>
  <c r="AA60" i="1"/>
  <c r="W60" i="1" s="1"/>
  <c r="U55" i="1"/>
  <c r="S55" i="1" s="1"/>
  <c r="AA53" i="1"/>
  <c r="W53" i="1" s="1"/>
  <c r="AA51" i="1"/>
  <c r="W51" i="1" s="1"/>
  <c r="U46" i="1"/>
  <c r="S46" i="1" s="1"/>
  <c r="AA44" i="1"/>
  <c r="W44" i="1" s="1"/>
  <c r="U39" i="1"/>
  <c r="S39" i="1" s="1"/>
  <c r="AA37" i="1"/>
  <c r="W37" i="1" s="1"/>
  <c r="U34" i="1"/>
  <c r="S34" i="1" s="1"/>
  <c r="AA30" i="1"/>
  <c r="W30" i="1" s="1"/>
  <c r="AA27" i="1"/>
  <c r="W27" i="1" s="1"/>
  <c r="U26" i="1"/>
  <c r="S26" i="1" s="1"/>
  <c r="U25" i="1"/>
  <c r="S25" i="1" s="1"/>
  <c r="AA18" i="1"/>
  <c r="W18" i="1" s="1"/>
  <c r="AA128" i="1"/>
  <c r="W128" i="1" s="1"/>
  <c r="U127" i="1"/>
  <c r="S127" i="1" s="1"/>
  <c r="U124" i="1"/>
  <c r="S124" i="1" s="1"/>
  <c r="U122" i="1"/>
  <c r="S122" i="1" s="1"/>
  <c r="U119" i="1"/>
  <c r="S119" i="1" s="1"/>
  <c r="U102" i="1"/>
  <c r="S102" i="1" s="1"/>
  <c r="U100" i="1"/>
  <c r="S100" i="1" s="1"/>
  <c r="U98" i="1"/>
  <c r="S98" i="1" s="1"/>
  <c r="U82" i="1"/>
  <c r="S82" i="1" s="1"/>
  <c r="U81" i="1"/>
  <c r="S81" i="1" s="1"/>
  <c r="U74" i="1"/>
  <c r="S74" i="1" s="1"/>
  <c r="U66" i="1"/>
  <c r="S66" i="1" s="1"/>
  <c r="U59" i="1"/>
  <c r="S59" i="1" s="1"/>
  <c r="U50" i="1"/>
  <c r="S50" i="1" s="1"/>
  <c r="U43" i="1"/>
  <c r="S43" i="1" s="1"/>
  <c r="U32" i="1"/>
  <c r="S32" i="1" s="1"/>
  <c r="U22" i="1"/>
  <c r="S22" i="1" s="1"/>
  <c r="U21" i="1"/>
  <c r="S21" i="1" s="1"/>
  <c r="U17" i="1"/>
  <c r="S17" i="1" s="1"/>
  <c r="U130" i="1"/>
  <c r="S130" i="1" s="1"/>
  <c r="AA129" i="1"/>
  <c r="W129" i="1" s="1"/>
  <c r="AA124" i="1"/>
  <c r="W124" i="1" s="1"/>
  <c r="U121" i="1"/>
  <c r="S121" i="1" s="1"/>
  <c r="U118" i="1"/>
  <c r="S118" i="1" s="1"/>
  <c r="U114" i="1"/>
  <c r="S114" i="1" s="1"/>
  <c r="AA108" i="1"/>
  <c r="W108" i="1" s="1"/>
  <c r="AA104" i="1"/>
  <c r="W104" i="1" s="1"/>
  <c r="AA99" i="1"/>
  <c r="W99" i="1" s="1"/>
  <c r="U97" i="1"/>
  <c r="S97" i="1" s="1"/>
  <c r="AA95" i="1"/>
  <c r="W95" i="1" s="1"/>
  <c r="U94" i="1"/>
  <c r="S94" i="1" s="1"/>
  <c r="AA87" i="1"/>
  <c r="W87" i="1" s="1"/>
  <c r="U86" i="1"/>
  <c r="S86" i="1" s="1"/>
  <c r="U85" i="1"/>
  <c r="S85" i="1" s="1"/>
  <c r="AA83" i="1"/>
  <c r="W83" i="1" s="1"/>
  <c r="U80" i="1"/>
  <c r="S80" i="1" s="1"/>
  <c r="U75" i="1"/>
  <c r="S75" i="1" s="1"/>
  <c r="AA72" i="1"/>
  <c r="W72" i="1" s="1"/>
  <c r="U71" i="1"/>
  <c r="S71" i="1" s="1"/>
  <c r="U70" i="1"/>
  <c r="S70" i="1" s="1"/>
  <c r="U63" i="1"/>
  <c r="S63" i="1" s="1"/>
  <c r="AA61" i="1"/>
  <c r="W61" i="1" s="1"/>
  <c r="AA59" i="1"/>
  <c r="W59" i="1" s="1"/>
  <c r="U54" i="1"/>
  <c r="S54" i="1" s="1"/>
  <c r="AA52" i="1"/>
  <c r="W52" i="1" s="1"/>
  <c r="U47" i="1"/>
  <c r="S47" i="1" s="1"/>
  <c r="AA45" i="1"/>
  <c r="W45" i="1" s="1"/>
  <c r="AA43" i="1"/>
  <c r="W43" i="1" s="1"/>
  <c r="U38" i="1"/>
  <c r="S38" i="1" s="1"/>
  <c r="AA36" i="1"/>
  <c r="W36" i="1" s="1"/>
  <c r="U35" i="1"/>
  <c r="S35" i="1" s="1"/>
  <c r="AA33" i="1"/>
  <c r="W33" i="1" s="1"/>
  <c r="AA28" i="1"/>
  <c r="W28" i="1" s="1"/>
  <c r="AA22" i="1"/>
  <c r="W22" i="1" s="1"/>
  <c r="U146" i="1"/>
  <c r="S146" i="1" s="1"/>
  <c r="U138" i="1"/>
  <c r="S138" i="1" s="1"/>
  <c r="U149" i="1"/>
  <c r="S149" i="1" s="1"/>
  <c r="U145" i="1"/>
  <c r="S145" i="1" s="1"/>
  <c r="U141" i="1"/>
  <c r="S141" i="1" s="1"/>
  <c r="U137" i="1"/>
  <c r="S137" i="1" s="1"/>
  <c r="U150" i="1"/>
  <c r="S150" i="1" s="1"/>
  <c r="U142" i="1"/>
  <c r="S142" i="1" s="1"/>
  <c r="U129" i="1"/>
  <c r="S129" i="1" s="1"/>
  <c r="U125" i="1"/>
  <c r="S125" i="1" s="1"/>
  <c r="U116" i="1"/>
  <c r="S116" i="1" s="1"/>
  <c r="U104" i="1"/>
  <c r="S104" i="1" s="1"/>
  <c r="U16" i="1"/>
  <c r="S16" i="1" s="1"/>
  <c r="AA119" i="1"/>
  <c r="W119" i="1" s="1"/>
  <c r="U108" i="1"/>
  <c r="S108" i="1" s="1"/>
  <c r="AA107" i="1"/>
  <c r="W107" i="1" s="1"/>
  <c r="U93" i="1"/>
  <c r="S93" i="1" s="1"/>
  <c r="U92" i="1"/>
  <c r="S92" i="1" s="1"/>
  <c r="U83" i="1"/>
  <c r="S83" i="1" s="1"/>
  <c r="U133" i="1"/>
  <c r="S133" i="1" s="1"/>
  <c r="AA115" i="1"/>
  <c r="W115" i="1" s="1"/>
  <c r="U101" i="1"/>
  <c r="S101" i="1" s="1"/>
  <c r="AA100" i="1"/>
  <c r="W100" i="1" s="1"/>
  <c r="U91" i="1"/>
  <c r="S91" i="1" s="1"/>
  <c r="U84" i="1"/>
  <c r="S84" i="1" s="1"/>
  <c r="U76" i="1"/>
  <c r="S76" i="1" s="1"/>
  <c r="U111" i="1"/>
  <c r="S111" i="1" s="1"/>
  <c r="U96" i="1"/>
  <c r="S96" i="1" s="1"/>
  <c r="U33" i="1"/>
  <c r="S33" i="1" s="1"/>
  <c r="U65" i="1"/>
  <c r="S65" i="1" s="1"/>
  <c r="U61" i="1"/>
  <c r="S61" i="1" s="1"/>
  <c r="U57" i="1"/>
  <c r="S57" i="1" s="1"/>
  <c r="U53" i="1"/>
  <c r="S53" i="1" s="1"/>
  <c r="U49" i="1"/>
  <c r="S49" i="1" s="1"/>
  <c r="U45" i="1"/>
  <c r="S45" i="1" s="1"/>
  <c r="U41" i="1"/>
  <c r="S41" i="1" s="1"/>
  <c r="U37" i="1"/>
  <c r="S37" i="1" s="1"/>
  <c r="U20" i="1"/>
  <c r="S20" i="1" s="1"/>
  <c r="U69" i="1"/>
  <c r="S69" i="1" s="1"/>
  <c r="U24" i="1"/>
  <c r="S24" i="1" s="1"/>
  <c r="AA73" i="1"/>
  <c r="W73" i="1" s="1"/>
  <c r="U73" i="1"/>
  <c r="S73" i="1" s="1"/>
  <c r="AA32" i="1"/>
  <c r="W32" i="1" s="1"/>
  <c r="U28" i="1"/>
  <c r="S28" i="1" s="1"/>
  <c r="AA15" i="1"/>
  <c r="W15" i="1" s="1"/>
  <c r="AA212" i="1"/>
  <c r="AA227" i="1"/>
  <c r="AA226" i="1"/>
  <c r="AA215" i="1"/>
  <c r="AA211" i="1"/>
  <c r="AA210" i="1"/>
  <c r="AA199" i="1"/>
  <c r="AA195" i="1"/>
  <c r="Q64" i="3"/>
  <c r="AA228" i="1"/>
  <c r="AA196" i="1"/>
  <c r="P64" i="3"/>
  <c r="AA225" i="1"/>
  <c r="AA214" i="1"/>
  <c r="AA209" i="1"/>
  <c r="AA198" i="1"/>
  <c r="AA221" i="1"/>
  <c r="AA213" i="1"/>
  <c r="AA205" i="1"/>
  <c r="AA197" i="1"/>
  <c r="AA194" i="1"/>
  <c r="U9" i="3" l="1"/>
  <c r="U17" i="3"/>
  <c r="U10" i="3"/>
  <c r="U22" i="3"/>
  <c r="U11" i="3"/>
  <c r="U39" i="3"/>
  <c r="U36" i="3"/>
  <c r="U52" i="3"/>
  <c r="U26" i="3"/>
  <c r="U45" i="3"/>
  <c r="U53" i="3"/>
  <c r="U42" i="3"/>
  <c r="U25" i="3"/>
  <c r="U66" i="3"/>
  <c r="U49" i="3"/>
  <c r="U71" i="3"/>
  <c r="U54" i="3"/>
  <c r="U32" i="3"/>
  <c r="U43" i="3"/>
  <c r="U29" i="3"/>
  <c r="U21" i="3"/>
  <c r="U12" i="3"/>
  <c r="U7" i="3"/>
  <c r="U55" i="3"/>
  <c r="U47" i="3"/>
  <c r="U48" i="3"/>
  <c r="U34" i="3"/>
  <c r="U35" i="3"/>
  <c r="U31" i="3"/>
  <c r="U50" i="3"/>
  <c r="U51" i="3"/>
  <c r="U44" i="3"/>
  <c r="U16" i="3"/>
  <c r="U37" i="3"/>
  <c r="U23" i="3"/>
  <c r="U67" i="3"/>
  <c r="U40" i="3"/>
  <c r="U68" i="3"/>
  <c r="U69" i="3"/>
  <c r="U56" i="3"/>
  <c r="U72" i="3"/>
  <c r="U57" i="3"/>
  <c r="U20" i="3"/>
  <c r="U58" i="3"/>
  <c r="U33" i="3"/>
  <c r="U59" i="3"/>
  <c r="U73" i="3"/>
  <c r="U61" i="3"/>
  <c r="U19" i="3"/>
  <c r="U60" i="3"/>
  <c r="U62" i="3"/>
  <c r="U74" i="3"/>
  <c r="U46" i="3"/>
  <c r="U41" i="3"/>
  <c r="U70" i="3"/>
  <c r="U14" i="3"/>
  <c r="U8" i="3"/>
  <c r="U30" i="3"/>
  <c r="U38" i="3"/>
  <c r="U24" i="3"/>
  <c r="Q15" i="3"/>
  <c r="P15" i="3"/>
  <c r="Q28" i="3"/>
  <c r="P28" i="3"/>
  <c r="K152" i="1"/>
  <c r="L152" i="1"/>
  <c r="M152" i="1"/>
  <c r="Y152" i="1"/>
  <c r="Z152" i="1"/>
  <c r="AB152" i="1"/>
  <c r="AC152" i="1"/>
  <c r="AD152" i="1"/>
  <c r="AG152" i="1" s="1"/>
  <c r="AE152" i="1"/>
  <c r="AF152" i="1"/>
  <c r="K153" i="1"/>
  <c r="L153" i="1"/>
  <c r="M153" i="1"/>
  <c r="Y153" i="1"/>
  <c r="Z153" i="1"/>
  <c r="AB153" i="1"/>
  <c r="AC153" i="1"/>
  <c r="AD153" i="1"/>
  <c r="AG153" i="1" s="1"/>
  <c r="AE153" i="1"/>
  <c r="AF153" i="1"/>
  <c r="K154" i="1"/>
  <c r="L154" i="1"/>
  <c r="M154" i="1"/>
  <c r="Y154" i="1"/>
  <c r="Z154" i="1"/>
  <c r="AB154" i="1"/>
  <c r="AC154" i="1"/>
  <c r="AD154" i="1"/>
  <c r="AG154" i="1" s="1"/>
  <c r="AE154" i="1"/>
  <c r="AF154" i="1"/>
  <c r="K155" i="1"/>
  <c r="L155" i="1"/>
  <c r="M155" i="1"/>
  <c r="Y155" i="1"/>
  <c r="Z155" i="1"/>
  <c r="AB155" i="1"/>
  <c r="AC155" i="1"/>
  <c r="AD155" i="1"/>
  <c r="AG155" i="1" s="1"/>
  <c r="AE155" i="1"/>
  <c r="AF155" i="1"/>
  <c r="K156" i="1"/>
  <c r="L156" i="1"/>
  <c r="M156" i="1"/>
  <c r="Y156" i="1"/>
  <c r="Z156" i="1"/>
  <c r="AB156" i="1"/>
  <c r="AC156" i="1"/>
  <c r="AD156" i="1"/>
  <c r="AG156" i="1" s="1"/>
  <c r="AE156" i="1"/>
  <c r="AF156" i="1"/>
  <c r="K157" i="1"/>
  <c r="L157" i="1"/>
  <c r="M157" i="1"/>
  <c r="Y157" i="1"/>
  <c r="Z157" i="1"/>
  <c r="AB157" i="1"/>
  <c r="AC157" i="1"/>
  <c r="AD157" i="1"/>
  <c r="AG157" i="1" s="1"/>
  <c r="AE157" i="1"/>
  <c r="AF157" i="1"/>
  <c r="K158" i="1"/>
  <c r="L158" i="1"/>
  <c r="M158" i="1"/>
  <c r="Y158" i="1"/>
  <c r="Z158" i="1"/>
  <c r="AB158" i="1"/>
  <c r="AC158" i="1"/>
  <c r="AD158" i="1"/>
  <c r="AG158" i="1" s="1"/>
  <c r="AE158" i="1"/>
  <c r="AF158" i="1"/>
  <c r="K159" i="1"/>
  <c r="L159" i="1"/>
  <c r="M159" i="1"/>
  <c r="Y159" i="1"/>
  <c r="Z159" i="1"/>
  <c r="AB159" i="1"/>
  <c r="AC159" i="1"/>
  <c r="AD159" i="1"/>
  <c r="AG159" i="1" s="1"/>
  <c r="AE159" i="1"/>
  <c r="AF159" i="1"/>
  <c r="K160" i="1"/>
  <c r="L160" i="1"/>
  <c r="M160" i="1"/>
  <c r="Y160" i="1"/>
  <c r="Z160" i="1"/>
  <c r="AB160" i="1"/>
  <c r="AC160" i="1"/>
  <c r="AD160" i="1"/>
  <c r="AG160" i="1" s="1"/>
  <c r="AE160" i="1"/>
  <c r="AF160" i="1"/>
  <c r="K161" i="1"/>
  <c r="L161" i="1"/>
  <c r="M161" i="1"/>
  <c r="Y161" i="1"/>
  <c r="Z161" i="1"/>
  <c r="AB161" i="1"/>
  <c r="AC161" i="1"/>
  <c r="AD161" i="1"/>
  <c r="AG161" i="1" s="1"/>
  <c r="AE161" i="1"/>
  <c r="AF161" i="1"/>
  <c r="K162" i="1"/>
  <c r="L162" i="1"/>
  <c r="M162" i="1"/>
  <c r="Y162" i="1"/>
  <c r="Z162" i="1"/>
  <c r="AB162" i="1"/>
  <c r="AC162" i="1"/>
  <c r="AD162" i="1"/>
  <c r="AG162" i="1" s="1"/>
  <c r="AE162" i="1"/>
  <c r="AF162" i="1"/>
  <c r="K163" i="1"/>
  <c r="L163" i="1"/>
  <c r="M163" i="1"/>
  <c r="Y163" i="1"/>
  <c r="Z163" i="1"/>
  <c r="AB163" i="1"/>
  <c r="AC163" i="1"/>
  <c r="AD163" i="1"/>
  <c r="AG163" i="1" s="1"/>
  <c r="AE163" i="1"/>
  <c r="AF163" i="1"/>
  <c r="K164" i="1"/>
  <c r="L164" i="1"/>
  <c r="M164" i="1"/>
  <c r="Y164" i="1"/>
  <c r="Z164" i="1"/>
  <c r="AB164" i="1"/>
  <c r="AC164" i="1"/>
  <c r="AD164" i="1"/>
  <c r="AG164" i="1" s="1"/>
  <c r="AE164" i="1"/>
  <c r="AF164" i="1"/>
  <c r="K165" i="1"/>
  <c r="L165" i="1"/>
  <c r="M165" i="1"/>
  <c r="Y165" i="1"/>
  <c r="Z165" i="1"/>
  <c r="AB165" i="1"/>
  <c r="AC165" i="1"/>
  <c r="AD165" i="1"/>
  <c r="AG165" i="1" s="1"/>
  <c r="AE165" i="1"/>
  <c r="AF165" i="1"/>
  <c r="K166" i="1"/>
  <c r="L166" i="1"/>
  <c r="M166" i="1"/>
  <c r="Y166" i="1"/>
  <c r="Z166" i="1"/>
  <c r="AB166" i="1"/>
  <c r="AC166" i="1"/>
  <c r="AD166" i="1"/>
  <c r="AG166" i="1" s="1"/>
  <c r="AE166" i="1"/>
  <c r="AF166" i="1"/>
  <c r="Q18" i="3" l="1"/>
  <c r="Q27" i="3"/>
  <c r="Q13" i="3"/>
  <c r="P13" i="3"/>
  <c r="P18" i="3"/>
  <c r="P27" i="3"/>
  <c r="AA152" i="1"/>
  <c r="AA156" i="1"/>
  <c r="AA153" i="1"/>
  <c r="AA155" i="1"/>
  <c r="AA158" i="1"/>
  <c r="AA157" i="1"/>
  <c r="AA163" i="1"/>
  <c r="AA159" i="1"/>
  <c r="AA154" i="1"/>
  <c r="AA166" i="1"/>
  <c r="AA165" i="1"/>
  <c r="AA164" i="1"/>
  <c r="AA162" i="1"/>
  <c r="AA161" i="1"/>
  <c r="AA160" i="1"/>
  <c r="Q47" i="3"/>
  <c r="E7" i="6"/>
  <c r="F7" i="6"/>
  <c r="G7" i="6"/>
  <c r="E8" i="6"/>
  <c r="F8" i="6"/>
  <c r="G8" i="6"/>
  <c r="E5" i="6"/>
  <c r="F5" i="6"/>
  <c r="G5" i="6"/>
  <c r="E6" i="6"/>
  <c r="F6" i="6"/>
  <c r="G6" i="6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K191" i="1"/>
  <c r="L191" i="1"/>
  <c r="M191" i="1"/>
  <c r="Q72" i="3"/>
  <c r="Y191" i="1"/>
  <c r="Z191" i="1"/>
  <c r="AB191" i="1"/>
  <c r="AC191" i="1"/>
  <c r="AD191" i="1"/>
  <c r="AG191" i="1" s="1"/>
  <c r="AE191" i="1"/>
  <c r="P52" i="3" s="1"/>
  <c r="AF191" i="1"/>
  <c r="L60" i="3"/>
  <c r="S60" i="3"/>
  <c r="R60" i="3" s="1"/>
  <c r="T60" i="3"/>
  <c r="V60" i="3"/>
  <c r="L16" i="3"/>
  <c r="S16" i="3"/>
  <c r="R16" i="3" s="1"/>
  <c r="T16" i="3"/>
  <c r="V16" i="3"/>
  <c r="L48" i="3"/>
  <c r="S48" i="3"/>
  <c r="R48" i="3" s="1"/>
  <c r="T48" i="3"/>
  <c r="V48" i="3"/>
  <c r="L43" i="3"/>
  <c r="S43" i="3"/>
  <c r="R43" i="3" s="1"/>
  <c r="T43" i="3"/>
  <c r="V43" i="3"/>
  <c r="L25" i="3"/>
  <c r="S25" i="3"/>
  <c r="R25" i="3" s="1"/>
  <c r="T25" i="3"/>
  <c r="V25" i="3"/>
  <c r="L21" i="3"/>
  <c r="S21" i="3"/>
  <c r="R21" i="3" s="1"/>
  <c r="T21" i="3"/>
  <c r="V21" i="3"/>
  <c r="L56" i="3"/>
  <c r="S56" i="3"/>
  <c r="R56" i="3" s="1"/>
  <c r="T56" i="3"/>
  <c r="V56" i="3"/>
  <c r="L37" i="3"/>
  <c r="S37" i="3"/>
  <c r="R37" i="3" s="1"/>
  <c r="T37" i="3"/>
  <c r="V37" i="3"/>
  <c r="L36" i="3"/>
  <c r="S36" i="3"/>
  <c r="R36" i="3" s="1"/>
  <c r="T36" i="3"/>
  <c r="V36" i="3"/>
  <c r="L59" i="3"/>
  <c r="S59" i="3"/>
  <c r="R59" i="3" s="1"/>
  <c r="T59" i="3"/>
  <c r="V59" i="3"/>
  <c r="L73" i="3"/>
  <c r="S73" i="3"/>
  <c r="R73" i="3" s="1"/>
  <c r="T73" i="3"/>
  <c r="V73" i="3"/>
  <c r="L26" i="3"/>
  <c r="S26" i="3"/>
  <c r="R26" i="3" s="1"/>
  <c r="T26" i="3"/>
  <c r="V26" i="3"/>
  <c r="L61" i="3"/>
  <c r="S61" i="3"/>
  <c r="R61" i="3" s="1"/>
  <c r="T61" i="3"/>
  <c r="V61" i="3"/>
  <c r="L23" i="3"/>
  <c r="S23" i="3"/>
  <c r="R23" i="3" s="1"/>
  <c r="T23" i="3"/>
  <c r="V23" i="3"/>
  <c r="L47" i="3"/>
  <c r="S47" i="3"/>
  <c r="R47" i="3" s="1"/>
  <c r="T47" i="3"/>
  <c r="V47" i="3"/>
  <c r="L34" i="3"/>
  <c r="S34" i="3"/>
  <c r="R34" i="3" s="1"/>
  <c r="T34" i="3"/>
  <c r="V34" i="3"/>
  <c r="L71" i="3"/>
  <c r="S71" i="3"/>
  <c r="R71" i="3" s="1"/>
  <c r="T71" i="3"/>
  <c r="V71" i="3"/>
  <c r="L52" i="3"/>
  <c r="S52" i="3"/>
  <c r="R52" i="3" s="1"/>
  <c r="T52" i="3"/>
  <c r="V52" i="3"/>
  <c r="L50" i="3"/>
  <c r="S50" i="3"/>
  <c r="R50" i="3" s="1"/>
  <c r="T50" i="3"/>
  <c r="V50" i="3"/>
  <c r="L72" i="3"/>
  <c r="S72" i="3"/>
  <c r="R72" i="3" s="1"/>
  <c r="T72" i="3"/>
  <c r="V72" i="3"/>
  <c r="L51" i="3"/>
  <c r="S51" i="3"/>
  <c r="R51" i="3" s="1"/>
  <c r="T51" i="3"/>
  <c r="V51" i="3"/>
  <c r="L32" i="3"/>
  <c r="S32" i="3"/>
  <c r="R32" i="3" s="1"/>
  <c r="T32" i="3"/>
  <c r="V32" i="3"/>
  <c r="L8" i="3"/>
  <c r="S8" i="3"/>
  <c r="R8" i="3" s="1"/>
  <c r="T8" i="3"/>
  <c r="V8" i="3"/>
  <c r="K167" i="1"/>
  <c r="L167" i="1"/>
  <c r="M167" i="1"/>
  <c r="Y167" i="1"/>
  <c r="Z167" i="1"/>
  <c r="AB167" i="1"/>
  <c r="AC167" i="1"/>
  <c r="AD167" i="1"/>
  <c r="AG167" i="1" s="1"/>
  <c r="AE167" i="1"/>
  <c r="AF167" i="1"/>
  <c r="K168" i="1"/>
  <c r="L168" i="1"/>
  <c r="M168" i="1"/>
  <c r="Y168" i="1"/>
  <c r="Z168" i="1"/>
  <c r="AB168" i="1"/>
  <c r="AC168" i="1"/>
  <c r="AD168" i="1"/>
  <c r="AG168" i="1" s="1"/>
  <c r="AE168" i="1"/>
  <c r="AF168" i="1"/>
  <c r="K169" i="1"/>
  <c r="L169" i="1"/>
  <c r="M169" i="1"/>
  <c r="Y169" i="1"/>
  <c r="Z169" i="1"/>
  <c r="AB169" i="1"/>
  <c r="AC169" i="1"/>
  <c r="AD169" i="1"/>
  <c r="AG169" i="1" s="1"/>
  <c r="AE169" i="1"/>
  <c r="AF169" i="1"/>
  <c r="K170" i="1"/>
  <c r="L170" i="1"/>
  <c r="M170" i="1"/>
  <c r="Y170" i="1"/>
  <c r="Z170" i="1"/>
  <c r="AB170" i="1"/>
  <c r="AC170" i="1"/>
  <c r="AD170" i="1"/>
  <c r="AG170" i="1" s="1"/>
  <c r="AE170" i="1"/>
  <c r="AF170" i="1"/>
  <c r="K171" i="1"/>
  <c r="L171" i="1"/>
  <c r="M171" i="1"/>
  <c r="Y171" i="1"/>
  <c r="Z171" i="1"/>
  <c r="AB171" i="1"/>
  <c r="AC171" i="1"/>
  <c r="AD171" i="1"/>
  <c r="AG171" i="1" s="1"/>
  <c r="AE171" i="1"/>
  <c r="AF171" i="1"/>
  <c r="K172" i="1"/>
  <c r="L172" i="1"/>
  <c r="M172" i="1"/>
  <c r="AB172" i="1"/>
  <c r="AC172" i="1"/>
  <c r="AD172" i="1"/>
  <c r="AG172" i="1" s="1"/>
  <c r="AE172" i="1"/>
  <c r="AF172" i="1"/>
  <c r="K173" i="1"/>
  <c r="L173" i="1"/>
  <c r="M173" i="1"/>
  <c r="AB173" i="1"/>
  <c r="AC173" i="1"/>
  <c r="AD173" i="1"/>
  <c r="AG173" i="1" s="1"/>
  <c r="AE173" i="1"/>
  <c r="AF173" i="1"/>
  <c r="K174" i="1"/>
  <c r="L174" i="1"/>
  <c r="M174" i="1"/>
  <c r="AB174" i="1"/>
  <c r="AC174" i="1"/>
  <c r="AD174" i="1"/>
  <c r="AG174" i="1" s="1"/>
  <c r="AE174" i="1"/>
  <c r="AF174" i="1"/>
  <c r="K175" i="1"/>
  <c r="L175" i="1"/>
  <c r="M175" i="1"/>
  <c r="Q16" i="3"/>
  <c r="AB175" i="1"/>
  <c r="AC175" i="1"/>
  <c r="AD175" i="1"/>
  <c r="AG175" i="1" s="1"/>
  <c r="AE175" i="1"/>
  <c r="P16" i="3" s="1"/>
  <c r="AF175" i="1"/>
  <c r="K176" i="1"/>
  <c r="L176" i="1"/>
  <c r="M176" i="1"/>
  <c r="AB176" i="1"/>
  <c r="AC176" i="1"/>
  <c r="AD176" i="1"/>
  <c r="AG176" i="1" s="1"/>
  <c r="AE176" i="1"/>
  <c r="AF176" i="1"/>
  <c r="K177" i="1"/>
  <c r="L177" i="1"/>
  <c r="M177" i="1"/>
  <c r="AB177" i="1"/>
  <c r="AC177" i="1"/>
  <c r="AD177" i="1"/>
  <c r="AG177" i="1" s="1"/>
  <c r="AE177" i="1"/>
  <c r="P60" i="3" s="1"/>
  <c r="AF177" i="1"/>
  <c r="K178" i="1"/>
  <c r="L178" i="1"/>
  <c r="M178" i="1"/>
  <c r="AB178" i="1"/>
  <c r="AC178" i="1"/>
  <c r="AD178" i="1"/>
  <c r="AG178" i="1" s="1"/>
  <c r="AE178" i="1"/>
  <c r="AF178" i="1"/>
  <c r="K179" i="1"/>
  <c r="L179" i="1"/>
  <c r="M179" i="1"/>
  <c r="Y179" i="1"/>
  <c r="Z179" i="1"/>
  <c r="AB179" i="1"/>
  <c r="AC179" i="1"/>
  <c r="AD179" i="1"/>
  <c r="AG179" i="1" s="1"/>
  <c r="AE179" i="1"/>
  <c r="AF179" i="1"/>
  <c r="K180" i="1"/>
  <c r="L180" i="1"/>
  <c r="M180" i="1"/>
  <c r="Q48" i="3"/>
  <c r="Y180" i="1"/>
  <c r="Z180" i="1"/>
  <c r="AB180" i="1"/>
  <c r="AC180" i="1"/>
  <c r="AD180" i="1"/>
  <c r="AG180" i="1" s="1"/>
  <c r="AE180" i="1"/>
  <c r="P48" i="3" s="1"/>
  <c r="AF180" i="1"/>
  <c r="K181" i="1"/>
  <c r="L181" i="1"/>
  <c r="M181" i="1"/>
  <c r="Q51" i="3"/>
  <c r="Y181" i="1"/>
  <c r="Z181" i="1"/>
  <c r="AB181" i="1"/>
  <c r="AC181" i="1"/>
  <c r="AD181" i="1"/>
  <c r="AG181" i="1" s="1"/>
  <c r="AE181" i="1"/>
  <c r="P51" i="3" s="1"/>
  <c r="AF181" i="1"/>
  <c r="K182" i="1"/>
  <c r="L182" i="1"/>
  <c r="M182" i="1"/>
  <c r="Q71" i="3"/>
  <c r="Y182" i="1"/>
  <c r="Z182" i="1"/>
  <c r="AB182" i="1"/>
  <c r="AC182" i="1"/>
  <c r="AD182" i="1"/>
  <c r="AG182" i="1" s="1"/>
  <c r="AE182" i="1"/>
  <c r="P71" i="3" s="1"/>
  <c r="AF182" i="1"/>
  <c r="K183" i="1"/>
  <c r="L183" i="1"/>
  <c r="M183" i="1"/>
  <c r="Y183" i="1"/>
  <c r="Z183" i="1"/>
  <c r="AB183" i="1"/>
  <c r="AC183" i="1"/>
  <c r="AD183" i="1"/>
  <c r="AG183" i="1" s="1"/>
  <c r="AE183" i="1"/>
  <c r="AF183" i="1"/>
  <c r="K184" i="1"/>
  <c r="L184" i="1"/>
  <c r="M184" i="1"/>
  <c r="Y184" i="1"/>
  <c r="Z184" i="1"/>
  <c r="AB184" i="1"/>
  <c r="AC184" i="1"/>
  <c r="AD184" i="1"/>
  <c r="AG184" i="1" s="1"/>
  <c r="AE184" i="1"/>
  <c r="AF184" i="1"/>
  <c r="K185" i="1"/>
  <c r="L185" i="1"/>
  <c r="M185" i="1"/>
  <c r="Y185" i="1"/>
  <c r="Z185" i="1"/>
  <c r="AB185" i="1"/>
  <c r="AC185" i="1"/>
  <c r="AD185" i="1"/>
  <c r="AG185" i="1" s="1"/>
  <c r="AE185" i="1"/>
  <c r="AF185" i="1"/>
  <c r="K186" i="1"/>
  <c r="L186" i="1"/>
  <c r="M186" i="1"/>
  <c r="Y186" i="1"/>
  <c r="Z186" i="1"/>
  <c r="AB186" i="1"/>
  <c r="AC186" i="1"/>
  <c r="AD186" i="1"/>
  <c r="AG186" i="1" s="1"/>
  <c r="AE186" i="1"/>
  <c r="AF186" i="1"/>
  <c r="Q25" i="3"/>
  <c r="K187" i="1"/>
  <c r="L187" i="1"/>
  <c r="M187" i="1"/>
  <c r="Y187" i="1"/>
  <c r="Z187" i="1"/>
  <c r="AB187" i="1"/>
  <c r="AC187" i="1"/>
  <c r="AD187" i="1"/>
  <c r="AG187" i="1" s="1"/>
  <c r="AE187" i="1"/>
  <c r="AF187" i="1"/>
  <c r="K188" i="1"/>
  <c r="L188" i="1"/>
  <c r="M188" i="1"/>
  <c r="Q56" i="3"/>
  <c r="Y188" i="1"/>
  <c r="Z188" i="1"/>
  <c r="AB188" i="1"/>
  <c r="AC188" i="1"/>
  <c r="AD188" i="1"/>
  <c r="AG188" i="1" s="1"/>
  <c r="AE188" i="1"/>
  <c r="P56" i="3" s="1"/>
  <c r="AF188" i="1"/>
  <c r="K189" i="1"/>
  <c r="L189" i="1"/>
  <c r="M189" i="1"/>
  <c r="Y189" i="1"/>
  <c r="Z189" i="1"/>
  <c r="AB189" i="1"/>
  <c r="AC189" i="1"/>
  <c r="AD189" i="1"/>
  <c r="AG189" i="1" s="1"/>
  <c r="AE189" i="1"/>
  <c r="AF189" i="1"/>
  <c r="Q37" i="3"/>
  <c r="Q36" i="3"/>
  <c r="P36" i="3"/>
  <c r="Q21" i="3"/>
  <c r="P21" i="3"/>
  <c r="Q23" i="3"/>
  <c r="P23" i="3"/>
  <c r="K190" i="1"/>
  <c r="L190" i="1"/>
  <c r="M190" i="1"/>
  <c r="Y190" i="1"/>
  <c r="Z190" i="1"/>
  <c r="AB190" i="1"/>
  <c r="AC190" i="1"/>
  <c r="AD190" i="1"/>
  <c r="AG190" i="1" s="1"/>
  <c r="AE190" i="1"/>
  <c r="P50" i="3" s="1"/>
  <c r="AF190" i="1"/>
  <c r="Q8" i="3"/>
  <c r="P8" i="3"/>
  <c r="P34" i="3" l="1"/>
  <c r="Q60" i="3"/>
  <c r="AA178" i="1"/>
  <c r="Q50" i="3"/>
  <c r="AA175" i="1"/>
  <c r="AA173" i="1"/>
  <c r="Q52" i="3"/>
  <c r="AA176" i="1"/>
  <c r="AA172" i="1"/>
  <c r="AA177" i="1"/>
  <c r="AA174" i="1"/>
  <c r="Q34" i="3"/>
  <c r="P47" i="3"/>
  <c r="AA190" i="1"/>
  <c r="AA167" i="1"/>
  <c r="AA191" i="1"/>
  <c r="AA186" i="1"/>
  <c r="AA182" i="1"/>
  <c r="AA180" i="1"/>
  <c r="Q32" i="3"/>
  <c r="P32" i="3"/>
  <c r="P72" i="3"/>
  <c r="AA189" i="1"/>
  <c r="AA179" i="1"/>
  <c r="AA171" i="1"/>
  <c r="AA183" i="1"/>
  <c r="P26" i="3"/>
  <c r="P61" i="3"/>
  <c r="Q61" i="3"/>
  <c r="Q26" i="3"/>
  <c r="P37" i="3"/>
  <c r="P73" i="3"/>
  <c r="P59" i="3"/>
  <c r="P43" i="3"/>
  <c r="P25" i="3"/>
  <c r="Q59" i="3"/>
  <c r="AA170" i="1"/>
  <c r="Q73" i="3"/>
  <c r="AA188" i="1"/>
  <c r="AA187" i="1"/>
  <c r="AA185" i="1"/>
  <c r="AA184" i="1"/>
  <c r="AA181" i="1"/>
  <c r="Q43" i="3"/>
  <c r="AA169" i="1"/>
  <c r="AA168" i="1"/>
  <c r="L49" i="3"/>
  <c r="S49" i="3"/>
  <c r="R49" i="3" s="1"/>
  <c r="T49" i="3"/>
  <c r="V49" i="3"/>
  <c r="L55" i="3"/>
  <c r="S55" i="3"/>
  <c r="R55" i="3" s="1"/>
  <c r="T55" i="3"/>
  <c r="V55" i="3"/>
  <c r="L67" i="3"/>
  <c r="S67" i="3"/>
  <c r="R67" i="3" s="1"/>
  <c r="T67" i="3"/>
  <c r="V67" i="3"/>
  <c r="L29" i="3"/>
  <c r="S29" i="3"/>
  <c r="R29" i="3" s="1"/>
  <c r="T29" i="3"/>
  <c r="V29" i="3"/>
  <c r="L62" i="3"/>
  <c r="S62" i="3"/>
  <c r="R62" i="3" s="1"/>
  <c r="T62" i="3"/>
  <c r="V62" i="3"/>
  <c r="L24" i="3"/>
  <c r="S24" i="3"/>
  <c r="R24" i="3" s="1"/>
  <c r="T24" i="3"/>
  <c r="V24" i="3"/>
  <c r="L53" i="3"/>
  <c r="S53" i="3"/>
  <c r="R53" i="3" s="1"/>
  <c r="T53" i="3"/>
  <c r="V53" i="3"/>
  <c r="L70" i="3"/>
  <c r="S70" i="3"/>
  <c r="R70" i="3" s="1"/>
  <c r="T70" i="3"/>
  <c r="V70" i="3"/>
  <c r="L31" i="3"/>
  <c r="S31" i="3"/>
  <c r="R31" i="3" s="1"/>
  <c r="T31" i="3"/>
  <c r="V31" i="3"/>
  <c r="L19" i="3"/>
  <c r="S19" i="3"/>
  <c r="R19" i="3" s="1"/>
  <c r="T19" i="3"/>
  <c r="V19" i="3"/>
  <c r="L35" i="3"/>
  <c r="S35" i="3"/>
  <c r="R35" i="3" s="1"/>
  <c r="T35" i="3"/>
  <c r="V35" i="3"/>
  <c r="L44" i="3"/>
  <c r="S44" i="3"/>
  <c r="R44" i="3" s="1"/>
  <c r="T44" i="3"/>
  <c r="V44" i="3"/>
  <c r="L33" i="3"/>
  <c r="S33" i="3"/>
  <c r="R33" i="3" s="1"/>
  <c r="T33" i="3"/>
  <c r="V33" i="3"/>
  <c r="L57" i="3"/>
  <c r="S57" i="3"/>
  <c r="R57" i="3" s="1"/>
  <c r="T57" i="3"/>
  <c r="V57" i="3"/>
  <c r="L12" i="3"/>
  <c r="S12" i="3"/>
  <c r="R12" i="3" s="1"/>
  <c r="T12" i="3"/>
  <c r="V12" i="3"/>
  <c r="L68" i="3"/>
  <c r="S68" i="3"/>
  <c r="R68" i="3" s="1"/>
  <c r="T68" i="3"/>
  <c r="V68" i="3"/>
  <c r="L39" i="3"/>
  <c r="S39" i="3"/>
  <c r="R39" i="3" s="1"/>
  <c r="T39" i="3"/>
  <c r="V39" i="3"/>
  <c r="L30" i="3"/>
  <c r="S30" i="3"/>
  <c r="R30" i="3" s="1"/>
  <c r="T30" i="3"/>
  <c r="V30" i="3"/>
  <c r="L69" i="3"/>
  <c r="S69" i="3"/>
  <c r="R69" i="3" s="1"/>
  <c r="T69" i="3"/>
  <c r="V69" i="3"/>
  <c r="L45" i="3"/>
  <c r="S45" i="3"/>
  <c r="R45" i="3" s="1"/>
  <c r="T45" i="3"/>
  <c r="V45" i="3"/>
  <c r="L54" i="3"/>
  <c r="S54" i="3"/>
  <c r="R54" i="3" s="1"/>
  <c r="T54" i="3"/>
  <c r="V54" i="3"/>
  <c r="L11" i="3"/>
  <c r="S11" i="3"/>
  <c r="R11" i="3" s="1"/>
  <c r="T11" i="3"/>
  <c r="V11" i="3"/>
  <c r="L58" i="3"/>
  <c r="S58" i="3"/>
  <c r="R58" i="3" s="1"/>
  <c r="T58" i="3"/>
  <c r="V58" i="3"/>
  <c r="L20" i="3"/>
  <c r="S20" i="3"/>
  <c r="R20" i="3" s="1"/>
  <c r="T20" i="3"/>
  <c r="V20" i="3"/>
  <c r="L9" i="3"/>
  <c r="S9" i="3"/>
  <c r="R9" i="3" s="1"/>
  <c r="T9" i="3"/>
  <c r="V9" i="3"/>
  <c r="L66" i="3"/>
  <c r="S66" i="3"/>
  <c r="R66" i="3" s="1"/>
  <c r="T66" i="3"/>
  <c r="V66" i="3"/>
  <c r="L41" i="3"/>
  <c r="S41" i="3"/>
  <c r="R41" i="3" s="1"/>
  <c r="T41" i="3"/>
  <c r="V41" i="3"/>
  <c r="L17" i="3"/>
  <c r="S17" i="3"/>
  <c r="R17" i="3" s="1"/>
  <c r="T17" i="3"/>
  <c r="V17" i="3"/>
  <c r="L14" i="3"/>
  <c r="S14" i="3"/>
  <c r="R14" i="3" s="1"/>
  <c r="T14" i="3"/>
  <c r="V14" i="3"/>
  <c r="L42" i="3"/>
  <c r="S42" i="3"/>
  <c r="R42" i="3" s="1"/>
  <c r="T42" i="3"/>
  <c r="V42" i="3"/>
  <c r="L40" i="3"/>
  <c r="S40" i="3"/>
  <c r="R40" i="3" s="1"/>
  <c r="T40" i="3"/>
  <c r="V40" i="3"/>
  <c r="L74" i="3"/>
  <c r="S74" i="3"/>
  <c r="R74" i="3" s="1"/>
  <c r="T74" i="3"/>
  <c r="V74" i="3"/>
  <c r="L46" i="3"/>
  <c r="S46" i="3"/>
  <c r="R46" i="3" s="1"/>
  <c r="T46" i="3"/>
  <c r="V46" i="3"/>
  <c r="L10" i="3"/>
  <c r="S10" i="3"/>
  <c r="R10" i="3" s="1"/>
  <c r="T10" i="3"/>
  <c r="V10" i="3"/>
  <c r="L7" i="3"/>
  <c r="S7" i="3"/>
  <c r="R7" i="3" s="1"/>
  <c r="T7" i="3"/>
  <c r="V7" i="3"/>
  <c r="L38" i="3"/>
  <c r="S38" i="3"/>
  <c r="R38" i="3" s="1"/>
  <c r="T38" i="3"/>
  <c r="V38" i="3"/>
  <c r="L22" i="3"/>
  <c r="S22" i="3"/>
  <c r="R22" i="3" s="1"/>
  <c r="T22" i="3"/>
  <c r="V22" i="3"/>
  <c r="P57" i="3" l="1"/>
  <c r="Q49" i="3"/>
  <c r="P39" i="3"/>
  <c r="Q24" i="3"/>
  <c r="P24" i="3"/>
  <c r="Q62" i="3"/>
  <c r="Q53" i="3"/>
  <c r="P53" i="3"/>
  <c r="Q31" i="3"/>
  <c r="P31" i="3"/>
  <c r="Q45" i="3"/>
  <c r="P45" i="3"/>
  <c r="Q11" i="3"/>
  <c r="P11" i="3"/>
  <c r="Q58" i="3"/>
  <c r="P58" i="3"/>
  <c r="Q29" i="3"/>
  <c r="P29" i="3"/>
  <c r="Q74" i="3"/>
  <c r="P74" i="3"/>
  <c r="Q20" i="3"/>
  <c r="P20" i="3"/>
  <c r="Q9" i="3"/>
  <c r="P9" i="3"/>
  <c r="Q66" i="3"/>
  <c r="P66" i="3"/>
  <c r="P41" i="3"/>
  <c r="P17" i="3"/>
  <c r="Q17" i="3" l="1"/>
  <c r="P69" i="3"/>
  <c r="Q57" i="3"/>
  <c r="Q14" i="3"/>
  <c r="Q41" i="3"/>
  <c r="P54" i="3"/>
  <c r="P30" i="3"/>
  <c r="Q39" i="3"/>
  <c r="Q68" i="3"/>
  <c r="Q46" i="3"/>
  <c r="Q44" i="3"/>
  <c r="P14" i="3"/>
  <c r="Q54" i="3"/>
  <c r="Q69" i="3"/>
  <c r="Q30" i="3"/>
  <c r="P62" i="3"/>
  <c r="P49" i="3"/>
  <c r="P68" i="3"/>
  <c r="P46" i="3"/>
  <c r="P44" i="3"/>
  <c r="P67" i="3"/>
  <c r="Q70" i="3"/>
  <c r="Q10" i="3"/>
  <c r="Q55" i="3"/>
  <c r="P22" i="3"/>
  <c r="P70" i="3"/>
  <c r="P10" i="3"/>
  <c r="Q22" i="3"/>
  <c r="Q19" i="3"/>
  <c r="Q38" i="3"/>
  <c r="Q7" i="3"/>
  <c r="P40" i="3"/>
  <c r="P42" i="3"/>
  <c r="P55" i="3"/>
  <c r="Q67" i="3"/>
  <c r="Q40" i="3"/>
  <c r="Q42" i="3"/>
  <c r="P19" i="3"/>
  <c r="P38" i="3"/>
  <c r="P7" i="3"/>
  <c r="Q35" i="3" l="1"/>
  <c r="Q33" i="3" l="1"/>
  <c r="Q12" i="3"/>
  <c r="AF14" i="1"/>
  <c r="AF13" i="1"/>
  <c r="AE13" i="1" l="1"/>
  <c r="AE14" i="1"/>
  <c r="P35" i="3" s="1"/>
  <c r="P33" i="3" l="1"/>
  <c r="P12" i="3"/>
  <c r="M19" i="5"/>
  <c r="M18" i="5"/>
  <c r="AD14" i="1" l="1"/>
  <c r="AG14" i="1" s="1"/>
  <c r="AD13" i="1"/>
  <c r="AG13" i="1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4" i="6" l="1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P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<sst xmlns="http://schemas.openxmlformats.org/spreadsheetml/2006/main" count="2553" uniqueCount="836">
  <si>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</si>
  <si>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</si>
  <si>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</si>
  <si>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</si>
  <si>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</si>
  <si>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</si>
  <si>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</si>
  <si>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</si>
  <si>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</si>
  <si>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</si>
  <si>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</si>
  <si>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</si>
  <si>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</si>
  <si>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</si>
  <si>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</si>
  <si>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</si>
  <si>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</si>
  <si>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</si>
  <si>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</si>
  <si>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</si>
  <si>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</si>
  <si>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</si>
  <si>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</si>
  <si>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</si>
  <si>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</si>
  <si>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</si>
  <si>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</si>
  <si>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</si>
  <si>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</si>
  <si>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</si>
  <si>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</si>
  <si>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</si>
  <si>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</si>
  <si>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</si>
  <si>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</si>
  <si>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</si>
  <si>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</si>
  <si>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</si>
  <si>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</si>
  <si>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</si>
  <si>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</si>
  <si>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</si>
  <si>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</si>
  <si>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</si>
  <si>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</si>
  <si>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</si>
  <si>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</si>
  <si>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</si>
  <si>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</si>
  <si>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</si>
  <si>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</si>
  <si>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</si>
  <si>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</si>
  <si>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</si>
  <si>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</si>
  <si>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</si>
  <si>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</si>
  <si>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</si>
  <si>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</si>
  <si>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</si>
  <si>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</si>
  <si>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</si>
  <si>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</si>
  <si>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</si>
  <si>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</si>
  <si>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</si>
  <si>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</si>
  <si>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204:232977</t>
  </si>
  <si>
    <t>Kibana URL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</si>
  <si>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</si>
  <si>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</si>
  <si>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</si>
  <si>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</si>
  <si>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</si>
  <si>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</si>
  <si>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</si>
  <si>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</si>
  <si>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</si>
  <si>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</si>
  <si>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</si>
  <si>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</si>
  <si>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</si>
  <si>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</si>
  <si>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</si>
  <si>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</si>
  <si>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</si>
  <si>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</si>
  <si>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</si>
  <si>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</si>
  <si>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</si>
  <si>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</si>
  <si>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</si>
  <si>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</si>
  <si>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</si>
  <si>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</si>
  <si>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</si>
  <si>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</si>
  <si>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</si>
  <si>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</si>
  <si>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</si>
  <si>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</si>
  <si>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</si>
  <si>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</si>
  <si>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</si>
  <si>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rtdc.l.rtdc.4038:itc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</si>
  <si>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</si>
  <si>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</si>
  <si>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</si>
  <si>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</si>
  <si>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</si>
  <si>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</si>
  <si>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</si>
  <si>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rtdc.l.rtdc.4029:itc</t>
  </si>
  <si>
    <t>rtdc.l.rtdc.4030:itc</t>
  </si>
  <si>
    <t>rtdc.l.rtdc.4027:itc</t>
  </si>
  <si>
    <t>204:156</t>
  </si>
  <si>
    <t>SPECTOR</t>
  </si>
  <si>
    <t>rtdc.l.rtdc.4044:itc</t>
  </si>
  <si>
    <t>rtdc.l.rtdc.4008:itc</t>
  </si>
  <si>
    <t>rtdc.l.rtdc.4043:itc</t>
  </si>
  <si>
    <t>GRASTON</t>
  </si>
  <si>
    <t>rtdc.l.rtdc.4007:itc</t>
  </si>
  <si>
    <t>Trip Number Sortable</t>
  </si>
  <si>
    <t>204:161</t>
  </si>
  <si>
    <t>rtdc.l.rtdc.4039:itc</t>
  </si>
  <si>
    <t>204:458</t>
  </si>
  <si>
    <t>KILLION</t>
  </si>
  <si>
    <t>STARKS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</si>
  <si>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</si>
  <si>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</si>
  <si>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</si>
  <si>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</si>
  <si>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</si>
  <si>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</si>
  <si>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</si>
  <si>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</si>
  <si>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</si>
  <si>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</si>
  <si>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</si>
  <si>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</si>
  <si>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</si>
  <si>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</si>
  <si>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</si>
  <si>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</si>
  <si>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</si>
  <si>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</si>
  <si>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</si>
  <si>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204:233299</t>
  </si>
  <si>
    <t>EC/NWGL</t>
  </si>
  <si>
    <t>204:154</t>
  </si>
  <si>
    <t>204:150</t>
  </si>
  <si>
    <t>204:464</t>
  </si>
  <si>
    <t>204:139</t>
  </si>
  <si>
    <t>204:462</t>
  </si>
  <si>
    <t>204:232982</t>
  </si>
  <si>
    <t>204:138</t>
  </si>
  <si>
    <t>Omit due to TWC &lt; 1</t>
  </si>
  <si>
    <t>Reactive Enforcement (3)</t>
  </si>
  <si>
    <t>204:233312</t>
  </si>
  <si>
    <t>rtdc.l.rtdc.4009:itc</t>
  </si>
  <si>
    <t>rtdc.l.rtdc.4010:itc</t>
  </si>
  <si>
    <t>204:232984</t>
  </si>
  <si>
    <t>BRANNON</t>
  </si>
  <si>
    <t>rtdc.l.rtdc.4041:itc</t>
  </si>
  <si>
    <t>204:141</t>
  </si>
  <si>
    <t>204:233304</t>
  </si>
  <si>
    <t>204:233289</t>
  </si>
  <si>
    <t>LEVIN</t>
  </si>
  <si>
    <t>204:233293</t>
  </si>
  <si>
    <t>204:449</t>
  </si>
  <si>
    <t>204:160</t>
  </si>
  <si>
    <t>204:473</t>
  </si>
  <si>
    <t>204:467</t>
  </si>
  <si>
    <t>COOLAHAN</t>
  </si>
  <si>
    <t>204:163</t>
  </si>
  <si>
    <t>204:233303</t>
  </si>
  <si>
    <t>204:169</t>
  </si>
  <si>
    <t>rtdc.l.rtdc.4011:itc</t>
  </si>
  <si>
    <t>YANAI</t>
  </si>
  <si>
    <t>rtdc.l.rtdc.4012:itc</t>
  </si>
  <si>
    <t>Wi-MAX outage</t>
  </si>
  <si>
    <t>204:233295</t>
  </si>
  <si>
    <t>204:233308</t>
  </si>
  <si>
    <t>204:437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</si>
  <si>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</si>
  <si>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</si>
  <si>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</si>
  <si>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</si>
  <si>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</si>
  <si>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</si>
  <si>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</si>
  <si>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</si>
  <si>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</si>
  <si>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</si>
  <si>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</si>
  <si>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</si>
  <si>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</si>
  <si>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</si>
  <si>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</si>
  <si>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</si>
  <si>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</si>
  <si>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</si>
  <si>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</si>
  <si>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</si>
  <si>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</si>
  <si>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</si>
  <si>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</si>
  <si>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</si>
  <si>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</si>
  <si>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</si>
  <si>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</si>
  <si>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</si>
  <si>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</si>
  <si>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</si>
  <si>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</si>
  <si>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</si>
  <si>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</si>
  <si>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</si>
  <si>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</si>
  <si>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</si>
  <si>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</si>
  <si>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</si>
  <si>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</si>
  <si>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</si>
  <si>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</si>
  <si>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</si>
  <si>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</si>
  <si>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</si>
  <si>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</si>
  <si>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</si>
  <si>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</si>
  <si>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</si>
  <si>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</si>
  <si>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</si>
  <si>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</si>
  <si>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</si>
  <si>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</si>
  <si>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204:232998</t>
  </si>
  <si>
    <t>204:233286</t>
  </si>
  <si>
    <t>204:232975</t>
  </si>
  <si>
    <t>204:233302</t>
  </si>
  <si>
    <t>204:455</t>
  </si>
  <si>
    <t>204:232969</t>
  </si>
  <si>
    <t>204:453</t>
  </si>
  <si>
    <t>204:471</t>
  </si>
  <si>
    <t>204:446</t>
  </si>
  <si>
    <t>204:233315</t>
  </si>
  <si>
    <t>204:475</t>
  </si>
  <si>
    <t>204:232994</t>
  </si>
  <si>
    <t>Overspeed</t>
  </si>
  <si>
    <t>204:232973</t>
  </si>
  <si>
    <t>204:232985</t>
  </si>
  <si>
    <t>204:232971</t>
  </si>
  <si>
    <t>204:489</t>
  </si>
  <si>
    <t>204:149</t>
  </si>
  <si>
    <t>204:158</t>
  </si>
  <si>
    <t>204:232991</t>
  </si>
  <si>
    <t>204:233316</t>
  </si>
  <si>
    <t>204:233288</t>
  </si>
  <si>
    <t>204:233274</t>
  </si>
  <si>
    <t>204:233285</t>
  </si>
  <si>
    <t>204:232978</t>
  </si>
  <si>
    <t>300:58956</t>
  </si>
  <si>
    <t>300:58634</t>
  </si>
  <si>
    <t>rtdc.l.rtdc.4040:itc</t>
  </si>
  <si>
    <t>GEBRETEKLE</t>
  </si>
  <si>
    <t>ADANE</t>
  </si>
  <si>
    <t>YORK</t>
  </si>
  <si>
    <t>rtdc.l.rtdc.4014:itc</t>
  </si>
  <si>
    <t>DE.1.0.7.0</t>
  </si>
  <si>
    <t>204:129</t>
  </si>
  <si>
    <t>204:233347</t>
  </si>
  <si>
    <t>204:457</t>
  </si>
  <si>
    <t>204:447</t>
  </si>
  <si>
    <t>204:176</t>
  </si>
  <si>
    <t>204:715</t>
  </si>
  <si>
    <t>204:233309</t>
  </si>
  <si>
    <t>204:233291</t>
  </si>
  <si>
    <t>204:232992</t>
  </si>
  <si>
    <t>204:232989</t>
  </si>
  <si>
    <t>204:232981</t>
  </si>
  <si>
    <t>204:477</t>
  </si>
  <si>
    <t>204:233283</t>
  </si>
  <si>
    <t>204:232972</t>
  </si>
  <si>
    <t>204:147</t>
  </si>
  <si>
    <t>204:233307</t>
  </si>
  <si>
    <t>1816-24</t>
  </si>
  <si>
    <t>204:904</t>
  </si>
  <si>
    <t>300:58980</t>
  </si>
  <si>
    <t>1818-24</t>
  </si>
  <si>
    <t>300:58651</t>
  </si>
  <si>
    <t>1819-24</t>
  </si>
  <si>
    <t>1820-24</t>
  </si>
  <si>
    <t>300:58677</t>
  </si>
  <si>
    <t>1821-24</t>
  </si>
  <si>
    <t>300:58961</t>
  </si>
  <si>
    <t>1822-24</t>
  </si>
  <si>
    <t>1823-24</t>
  </si>
  <si>
    <t>1824-24</t>
  </si>
  <si>
    <t>300:58675</t>
  </si>
  <si>
    <t>1825-24</t>
  </si>
  <si>
    <t>1826-24</t>
  </si>
  <si>
    <t>300:58600</t>
  </si>
  <si>
    <t>1827-24</t>
  </si>
  <si>
    <t>1828-24</t>
  </si>
  <si>
    <t>204:643</t>
  </si>
  <si>
    <t>1829-24</t>
  </si>
  <si>
    <t>1830-24</t>
  </si>
  <si>
    <t>1833-24</t>
  </si>
  <si>
    <t>300:58965</t>
  </si>
  <si>
    <t>1835-24</t>
  </si>
  <si>
    <t>204:233241</t>
  </si>
  <si>
    <t>204:233336</t>
  </si>
  <si>
    <t>2008-24</t>
  </si>
  <si>
    <t>300:58640</t>
  </si>
  <si>
    <t>2010-24</t>
  </si>
  <si>
    <t>300:58643</t>
  </si>
  <si>
    <t>204:233280</t>
  </si>
  <si>
    <t>204:233004</t>
  </si>
  <si>
    <t>220-24</t>
  </si>
  <si>
    <t>222-24</t>
  </si>
  <si>
    <t>223-24</t>
  </si>
  <si>
    <t>204:233264</t>
  </si>
  <si>
    <t>224-24</t>
  </si>
  <si>
    <t>225-24</t>
  </si>
  <si>
    <t>226-24</t>
  </si>
  <si>
    <t>227-24</t>
  </si>
  <si>
    <t>228-24</t>
  </si>
  <si>
    <t>229-24</t>
  </si>
  <si>
    <t>204:233330</t>
  </si>
  <si>
    <t>230-24</t>
  </si>
  <si>
    <t>231-24</t>
  </si>
  <si>
    <t>232-24</t>
  </si>
  <si>
    <t>233-24</t>
  </si>
  <si>
    <t>234-24</t>
  </si>
  <si>
    <t>204:232990</t>
  </si>
  <si>
    <t>235-24</t>
  </si>
  <si>
    <t>236-24</t>
  </si>
  <si>
    <t>204:167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</si>
  <si>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</si>
  <si>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</si>
  <si>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</si>
  <si>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</si>
  <si>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</si>
  <si>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</si>
  <si>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</si>
  <si>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</si>
  <si>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300:58963</t>
  </si>
  <si>
    <t>300:58958</t>
  </si>
  <si>
    <t>300:57614</t>
  </si>
  <si>
    <t>300:58645</t>
  </si>
  <si>
    <t>204:920</t>
  </si>
  <si>
    <t>TEMPORARY SPEED RESTRICTION</t>
  </si>
  <si>
    <t>rtdc.l.rtdc.4031:itc</t>
  </si>
  <si>
    <t>rtdc.l.rtdc.4032:itc</t>
  </si>
  <si>
    <t>1831-24</t>
  </si>
  <si>
    <t>MAYBERRY</t>
  </si>
  <si>
    <t>YOUNG</t>
  </si>
  <si>
    <t>STORY</t>
  </si>
  <si>
    <t>BRUDER</t>
  </si>
  <si>
    <t>NEWELL</t>
  </si>
  <si>
    <t>STEWART</t>
  </si>
  <si>
    <t>CHANDLER</t>
  </si>
  <si>
    <t>BARTLETT</t>
  </si>
  <si>
    <t>113-25</t>
  </si>
  <si>
    <t>900-25</t>
  </si>
  <si>
    <t>LOZA</t>
  </si>
  <si>
    <t>106-25</t>
  </si>
  <si>
    <t>117-25</t>
  </si>
  <si>
    <t>ACKERMAN</t>
  </si>
  <si>
    <t>114-25</t>
  </si>
  <si>
    <t>129-25</t>
  </si>
  <si>
    <t>127-25</t>
  </si>
  <si>
    <t>125-25</t>
  </si>
  <si>
    <t>108-25</t>
  </si>
  <si>
    <t>REBOLETTI</t>
  </si>
  <si>
    <t>HELVIE</t>
  </si>
  <si>
    <t>109-25</t>
  </si>
  <si>
    <t>116-25</t>
  </si>
  <si>
    <t>120-25</t>
  </si>
  <si>
    <t>122-25</t>
  </si>
  <si>
    <t>124-25</t>
  </si>
  <si>
    <t>123-25</t>
  </si>
  <si>
    <t>119-25</t>
  </si>
  <si>
    <t>111-25</t>
  </si>
  <si>
    <t>102-25</t>
  </si>
  <si>
    <t>105-25</t>
  </si>
  <si>
    <t>101-25</t>
  </si>
  <si>
    <t>103-25</t>
  </si>
  <si>
    <t>107-25</t>
  </si>
  <si>
    <t>104-25</t>
  </si>
  <si>
    <t>110-25</t>
  </si>
  <si>
    <t>115-25</t>
  </si>
  <si>
    <t>121-25</t>
  </si>
  <si>
    <t>118-25</t>
  </si>
  <si>
    <t>Early arrival</t>
  </si>
  <si>
    <t>204:19198</t>
  </si>
  <si>
    <t>204:232627</t>
  </si>
  <si>
    <t>204:232660</t>
  </si>
  <si>
    <t>204:772</t>
  </si>
  <si>
    <t>204:233328</t>
  </si>
  <si>
    <t>204:153925</t>
  </si>
  <si>
    <t>204:233297</t>
  </si>
  <si>
    <t>204:799</t>
  </si>
  <si>
    <t>204:466</t>
  </si>
  <si>
    <t>204:232946</t>
  </si>
  <si>
    <t>204:134</t>
  </si>
  <si>
    <t>204:754</t>
  </si>
  <si>
    <t>204:232964</t>
  </si>
  <si>
    <t>204:233000</t>
  </si>
  <si>
    <t>204:127</t>
  </si>
  <si>
    <t>204:1171</t>
  </si>
  <si>
    <t>204:233317</t>
  </si>
  <si>
    <t>126-25</t>
  </si>
  <si>
    <t>128-25</t>
  </si>
  <si>
    <t>130-25</t>
  </si>
  <si>
    <t>204:1515</t>
  </si>
  <si>
    <t>131-25</t>
  </si>
  <si>
    <t>204:440</t>
  </si>
  <si>
    <t>132-25</t>
  </si>
  <si>
    <t>204:136</t>
  </si>
  <si>
    <t>133-25</t>
  </si>
  <si>
    <t>134-25</t>
  </si>
  <si>
    <t>204:181</t>
  </si>
  <si>
    <t>135-25</t>
  </si>
  <si>
    <t>136-25</t>
  </si>
  <si>
    <t>137-25</t>
  </si>
  <si>
    <t>204:233311</t>
  </si>
  <si>
    <t>139-25</t>
  </si>
  <si>
    <t>204:672</t>
  </si>
  <si>
    <t>140-25</t>
  </si>
  <si>
    <t>141-25</t>
  </si>
  <si>
    <t>142-25</t>
  </si>
  <si>
    <t>204:227564</t>
  </si>
  <si>
    <t>143-25</t>
  </si>
  <si>
    <t>204:1475</t>
  </si>
  <si>
    <t>204:233287</t>
  </si>
  <si>
    <t>145-25</t>
  </si>
  <si>
    <t>204:309</t>
  </si>
  <si>
    <t>146-25</t>
  </si>
  <si>
    <t>147-25</t>
  </si>
  <si>
    <t>148-25</t>
  </si>
  <si>
    <t>204:232950</t>
  </si>
  <si>
    <t>149-25</t>
  </si>
  <si>
    <t>150-25</t>
  </si>
  <si>
    <t>204:132</t>
  </si>
  <si>
    <t>151-25</t>
  </si>
  <si>
    <t>152-25</t>
  </si>
  <si>
    <t>154-25</t>
  </si>
  <si>
    <t>155-25</t>
  </si>
  <si>
    <t>204:233282</t>
  </si>
  <si>
    <t>156-25</t>
  </si>
  <si>
    <t>157-25</t>
  </si>
  <si>
    <t>204:233321</t>
  </si>
  <si>
    <t>158-25</t>
  </si>
  <si>
    <t>159-25</t>
  </si>
  <si>
    <t>160-25</t>
  </si>
  <si>
    <t>161-25</t>
  </si>
  <si>
    <t>204:233219</t>
  </si>
  <si>
    <t>162-25</t>
  </si>
  <si>
    <t>204:232896</t>
  </si>
  <si>
    <t>163-25</t>
  </si>
  <si>
    <t>204:444</t>
  </si>
  <si>
    <t>164-25</t>
  </si>
  <si>
    <t>165-25</t>
  </si>
  <si>
    <t>166-25</t>
  </si>
  <si>
    <t>204:233025</t>
  </si>
  <si>
    <t>204:233034</t>
  </si>
  <si>
    <t>204:233030</t>
  </si>
  <si>
    <t>204:228215</t>
  </si>
  <si>
    <t>167-25</t>
  </si>
  <si>
    <t>204:438</t>
  </si>
  <si>
    <t>168-25</t>
  </si>
  <si>
    <t>169-25</t>
  </si>
  <si>
    <t>204:233323</t>
  </si>
  <si>
    <t>170-25</t>
  </si>
  <si>
    <t>204:174</t>
  </si>
  <si>
    <t>171-25</t>
  </si>
  <si>
    <t>204:233337</t>
  </si>
  <si>
    <t>172-25</t>
  </si>
  <si>
    <t>204:233009</t>
  </si>
  <si>
    <t>173-25</t>
  </si>
  <si>
    <t>204:233380</t>
  </si>
  <si>
    <t>174-25</t>
  </si>
  <si>
    <t>204:233087</t>
  </si>
  <si>
    <t>204:121</t>
  </si>
  <si>
    <t>175-25</t>
  </si>
  <si>
    <t>204:469</t>
  </si>
  <si>
    <t>204:233259</t>
  </si>
  <si>
    <t>176-25</t>
  </si>
  <si>
    <t>177-25</t>
  </si>
  <si>
    <t>204:233276</t>
  </si>
  <si>
    <t>178-25</t>
  </si>
  <si>
    <t>181-25</t>
  </si>
  <si>
    <t>204:19132</t>
  </si>
  <si>
    <t>204:233340</t>
  </si>
  <si>
    <t>182-25</t>
  </si>
  <si>
    <t>204:233036</t>
  </si>
  <si>
    <t>183-25</t>
  </si>
  <si>
    <t>184-25</t>
  </si>
  <si>
    <t>204:180</t>
  </si>
  <si>
    <t>185-25</t>
  </si>
  <si>
    <t>186-25</t>
  </si>
  <si>
    <t>187-25</t>
  </si>
  <si>
    <t>188-25</t>
  </si>
  <si>
    <t>204:233015</t>
  </si>
  <si>
    <t>189-25</t>
  </si>
  <si>
    <t>204:233393</t>
  </si>
  <si>
    <t>190-25</t>
  </si>
  <si>
    <t>204:233064</t>
  </si>
  <si>
    <t>191-25</t>
  </si>
  <si>
    <t>192-25</t>
  </si>
  <si>
    <t>193-25</t>
  </si>
  <si>
    <t>194-25</t>
  </si>
  <si>
    <t>195-25</t>
  </si>
  <si>
    <t>196-25</t>
  </si>
  <si>
    <t>197-25</t>
  </si>
  <si>
    <t>204:64922</t>
  </si>
  <si>
    <t>198-25</t>
  </si>
  <si>
    <t>199-25</t>
  </si>
  <si>
    <t>200-25</t>
  </si>
  <si>
    <t>204:211</t>
  </si>
  <si>
    <t>201-25</t>
  </si>
  <si>
    <t>204:233346</t>
  </si>
  <si>
    <t>202-25</t>
  </si>
  <si>
    <t>203-25</t>
  </si>
  <si>
    <t>204:233387</t>
  </si>
  <si>
    <t>204-25</t>
  </si>
  <si>
    <t>204:233057</t>
  </si>
  <si>
    <t>205-25</t>
  </si>
  <si>
    <t>206-25</t>
  </si>
  <si>
    <t>204:232966</t>
  </si>
  <si>
    <t>207-25</t>
  </si>
  <si>
    <t>208-25</t>
  </si>
  <si>
    <t>209-25</t>
  </si>
  <si>
    <t>204:233314</t>
  </si>
  <si>
    <t>210-25</t>
  </si>
  <si>
    <t>211-25</t>
  </si>
  <si>
    <t>212-25</t>
  </si>
  <si>
    <t>213-25</t>
  </si>
  <si>
    <t>204:529</t>
  </si>
  <si>
    <t>214-25</t>
  </si>
  <si>
    <t>215-25</t>
  </si>
  <si>
    <t>216-25</t>
  </si>
  <si>
    <t>217-25</t>
  </si>
  <si>
    <t>218-25</t>
  </si>
  <si>
    <t>219-25</t>
  </si>
  <si>
    <t>220-25</t>
  </si>
  <si>
    <t>204:232965</t>
  </si>
  <si>
    <t>221-25</t>
  </si>
  <si>
    <t>204:233226</t>
  </si>
  <si>
    <t>222-25</t>
  </si>
  <si>
    <t>204:232936</t>
  </si>
  <si>
    <t>204:194</t>
  </si>
  <si>
    <t>223-25</t>
  </si>
  <si>
    <t>204:424</t>
  </si>
  <si>
    <t>224-25</t>
  </si>
  <si>
    <t>225-25</t>
  </si>
  <si>
    <t>226-25</t>
  </si>
  <si>
    <t>227-25</t>
  </si>
  <si>
    <t>204:442</t>
  </si>
  <si>
    <t>228-25</t>
  </si>
  <si>
    <t>204:232948</t>
  </si>
  <si>
    <t>229-25</t>
  </si>
  <si>
    <t>204:520</t>
  </si>
  <si>
    <t>204:233255</t>
  </si>
  <si>
    <t>230-25</t>
  </si>
  <si>
    <t>204:232929</t>
  </si>
  <si>
    <t>231-25</t>
  </si>
  <si>
    <t>232-25</t>
  </si>
  <si>
    <t>233-25</t>
  </si>
  <si>
    <t>234-25</t>
  </si>
  <si>
    <t>235-25</t>
  </si>
  <si>
    <t>236-25</t>
  </si>
  <si>
    <t>237-25</t>
  </si>
  <si>
    <t>204:233257</t>
  </si>
  <si>
    <t>238-25</t>
  </si>
  <si>
    <t>204:232928</t>
  </si>
  <si>
    <t>239-25</t>
  </si>
  <si>
    <t>240-25</t>
  </si>
  <si>
    <t>241-25</t>
  </si>
  <si>
    <t>242-25</t>
  </si>
  <si>
    <t>243-25</t>
  </si>
  <si>
    <t>244-25</t>
  </si>
  <si>
    <t>800-25</t>
  </si>
  <si>
    <t>300:57318</t>
  </si>
  <si>
    <t>204:633</t>
  </si>
  <si>
    <t>801-25</t>
  </si>
  <si>
    <t>300:57622</t>
  </si>
  <si>
    <t>802-25</t>
  </si>
  <si>
    <t>300:58696</t>
  </si>
  <si>
    <t>204:636</t>
  </si>
  <si>
    <t>803-25</t>
  </si>
  <si>
    <t>204:923</t>
  </si>
  <si>
    <t>300:58922</t>
  </si>
  <si>
    <t>804-25</t>
  </si>
  <si>
    <t>300:58592</t>
  </si>
  <si>
    <t>204:1910</t>
  </si>
  <si>
    <t>805-25</t>
  </si>
  <si>
    <t>204:927</t>
  </si>
  <si>
    <t>300:58952</t>
  </si>
  <si>
    <t>806-25</t>
  </si>
  <si>
    <t>204:675</t>
  </si>
  <si>
    <t>807-25</t>
  </si>
  <si>
    <t>204:899</t>
  </si>
  <si>
    <t>300:57603</t>
  </si>
  <si>
    <t>808-25</t>
  </si>
  <si>
    <t>300:58636</t>
  </si>
  <si>
    <t>204:647</t>
  </si>
  <si>
    <t>809-25</t>
  </si>
  <si>
    <t>204:978</t>
  </si>
  <si>
    <t>300:58948</t>
  </si>
  <si>
    <t>810-25</t>
  </si>
  <si>
    <t>300:23667</t>
  </si>
  <si>
    <t>811-25</t>
  </si>
  <si>
    <t>812-25</t>
  </si>
  <si>
    <t>813-25</t>
  </si>
  <si>
    <t>204:876</t>
  </si>
  <si>
    <t>300:57624</t>
  </si>
  <si>
    <t>814-25</t>
  </si>
  <si>
    <t>204:652</t>
  </si>
  <si>
    <t>815-25</t>
  </si>
  <si>
    <t>204:932</t>
  </si>
  <si>
    <t>816-25</t>
  </si>
  <si>
    <t>204:855</t>
  </si>
  <si>
    <t>817-25</t>
  </si>
  <si>
    <t>204:930</t>
  </si>
  <si>
    <t>818-25</t>
  </si>
  <si>
    <t>819-25</t>
  </si>
  <si>
    <t>204:897</t>
  </si>
  <si>
    <t>820-25</t>
  </si>
  <si>
    <t>821-25</t>
  </si>
  <si>
    <t>204:925</t>
  </si>
  <si>
    <t>300:58950</t>
  </si>
  <si>
    <t>822-25</t>
  </si>
  <si>
    <t>300:58647</t>
  </si>
  <si>
    <t>204:666</t>
  </si>
  <si>
    <t>823-25</t>
  </si>
  <si>
    <t>204:944</t>
  </si>
  <si>
    <t>300:58068</t>
  </si>
  <si>
    <t>824-25</t>
  </si>
  <si>
    <t>300:57341</t>
  </si>
  <si>
    <t>204:631</t>
  </si>
  <si>
    <t>300:58642</t>
  </si>
  <si>
    <t>825-25</t>
  </si>
  <si>
    <t>204:946</t>
  </si>
  <si>
    <t>300:57597</t>
  </si>
  <si>
    <t>826-25</t>
  </si>
  <si>
    <t>827-25</t>
  </si>
  <si>
    <t>300:58960</t>
  </si>
  <si>
    <t>828-25</t>
  </si>
  <si>
    <t>829-25</t>
  </si>
  <si>
    <t>300:58897</t>
  </si>
  <si>
    <t>830-25</t>
  </si>
  <si>
    <t>204:680</t>
  </si>
  <si>
    <t>831-25</t>
  </si>
  <si>
    <t>204:922</t>
  </si>
  <si>
    <t>300:57625</t>
  </si>
  <si>
    <t>832-25</t>
  </si>
  <si>
    <t>300:58687</t>
  </si>
  <si>
    <t>204:780</t>
  </si>
  <si>
    <t>833-25</t>
  </si>
  <si>
    <t>204:965</t>
  </si>
  <si>
    <t>834-25</t>
  </si>
  <si>
    <t>300:58638</t>
  </si>
  <si>
    <t>204:848</t>
  </si>
  <si>
    <t>835-25</t>
  </si>
  <si>
    <t>204:1076</t>
  </si>
  <si>
    <t>300:58997</t>
  </si>
  <si>
    <t>836-25</t>
  </si>
  <si>
    <t>204:671</t>
  </si>
  <si>
    <t>837-25</t>
  </si>
  <si>
    <t>204:869</t>
  </si>
  <si>
    <t>838-25</t>
  </si>
  <si>
    <t>839-25</t>
  </si>
  <si>
    <t>204:967</t>
  </si>
  <si>
    <t>300:58928</t>
  </si>
  <si>
    <t>840-25</t>
  </si>
  <si>
    <t>300:58604</t>
  </si>
  <si>
    <t>204:694</t>
  </si>
  <si>
    <t>841-25</t>
  </si>
  <si>
    <t>300:58931</t>
  </si>
  <si>
    <t>842-25</t>
  </si>
  <si>
    <t>300:58617</t>
  </si>
  <si>
    <t>204:645</t>
  </si>
  <si>
    <t>843-25</t>
  </si>
  <si>
    <t>204:976</t>
  </si>
  <si>
    <t>300:58992</t>
  </si>
  <si>
    <t>844-25</t>
  </si>
  <si>
    <t>300:58611</t>
  </si>
  <si>
    <t>204:628</t>
  </si>
  <si>
    <t>845-25</t>
  </si>
  <si>
    <t>204:955</t>
  </si>
  <si>
    <t>300:58941</t>
  </si>
  <si>
    <t>846-25</t>
  </si>
  <si>
    <t>204:761</t>
  </si>
  <si>
    <t>848-25</t>
  </si>
  <si>
    <t>300:58626</t>
  </si>
  <si>
    <t>849-25</t>
  </si>
  <si>
    <t>204:1058</t>
  </si>
  <si>
    <t>300:58984</t>
  </si>
  <si>
    <t>850-25</t>
  </si>
  <si>
    <t>300:58660</t>
  </si>
  <si>
    <t>851-25</t>
  </si>
  <si>
    <t>300:59001</t>
  </si>
  <si>
    <t>852-25</t>
  </si>
  <si>
    <t>300:58674</t>
  </si>
  <si>
    <t>853-25</t>
  </si>
  <si>
    <t>300:59005</t>
  </si>
  <si>
    <t>854-25</t>
  </si>
  <si>
    <t>300:58681</t>
  </si>
  <si>
    <t>855-25</t>
  </si>
  <si>
    <t>856-25</t>
  </si>
  <si>
    <t>300:58683</t>
  </si>
  <si>
    <t>204:615</t>
  </si>
  <si>
    <t>857-25</t>
  </si>
  <si>
    <t>204:969</t>
  </si>
  <si>
    <t>300:58988</t>
  </si>
  <si>
    <t>858-25</t>
  </si>
  <si>
    <t>300:58664</t>
  </si>
  <si>
    <t>204:1671</t>
  </si>
  <si>
    <t>859-25</t>
  </si>
  <si>
    <t>300:58971</t>
  </si>
  <si>
    <t>860-25</t>
  </si>
  <si>
    <t>300:58672</t>
  </si>
  <si>
    <t>204:656</t>
  </si>
  <si>
    <t>861-25</t>
  </si>
  <si>
    <t>204:918</t>
  </si>
  <si>
    <t>300:58852</t>
  </si>
  <si>
    <t>862-25</t>
  </si>
  <si>
    <t>300:58655</t>
  </si>
  <si>
    <t>204:642</t>
  </si>
  <si>
    <t>863-25</t>
  </si>
  <si>
    <t>204:1794</t>
  </si>
  <si>
    <t>864-25</t>
  </si>
  <si>
    <t>300:58693</t>
  </si>
  <si>
    <t>204:1615</t>
  </si>
  <si>
    <t>865-25</t>
  </si>
  <si>
    <t>204:916</t>
  </si>
  <si>
    <t>866-25</t>
  </si>
  <si>
    <t>204:685</t>
  </si>
  <si>
    <t>867-25</t>
  </si>
  <si>
    <t>204:883</t>
  </si>
  <si>
    <t>300:58967</t>
  </si>
  <si>
    <t>868-25</t>
  </si>
  <si>
    <t>869-25</t>
  </si>
  <si>
    <t>204:953</t>
  </si>
  <si>
    <t>870-25</t>
  </si>
  <si>
    <t>871-25</t>
  </si>
  <si>
    <t>300:58920</t>
  </si>
  <si>
    <t>300:58576</t>
  </si>
  <si>
    <t>204:638</t>
  </si>
  <si>
    <t>204:332</t>
  </si>
  <si>
    <t>300:58903</t>
  </si>
  <si>
    <t>901-25</t>
  </si>
  <si>
    <t>904-25</t>
  </si>
  <si>
    <t>300:21545</t>
  </si>
  <si>
    <t>rtdc.l.rtdc.4037:itc</t>
  </si>
  <si>
    <t>SWITCH UNKNOWN</t>
  </si>
  <si>
    <t>Track device (7)</t>
  </si>
  <si>
    <t>Time Filter</t>
  </si>
  <si>
    <t>Refresh Interval</t>
  </si>
  <si>
    <t>Quick</t>
  </si>
  <si>
    <t>Relative</t>
  </si>
  <si>
    <t>Absolute</t>
  </si>
  <si>
    <t xml:space="preserve">From: July 24th 2016, 19:09:20.508  </t>
  </si>
  <si>
    <t xml:space="preserve">   </t>
  </si>
  <si>
    <t xml:space="preserve"> round to the hour</t>
  </si>
  <si>
    <t xml:space="preserve">To: Now  </t>
  </si>
  <si>
    <t>Now</t>
  </si>
  <si>
    <t xml:space="preserve">  </t>
  </si>
  <si>
    <t>Go</t>
  </si>
  <si>
    <t xml:space="preserve"> </t>
  </si>
  <si>
    <t>Trip IDs  329 hits</t>
  </si>
  <si>
    <t>2016-07-24 19:09:21.115 - 2016-07-26 07:09:21.115</t>
  </si>
  <si>
    <t>ROCHA</t>
  </si>
  <si>
    <t>SHOOK</t>
  </si>
  <si>
    <t>LOCKLEAR</t>
  </si>
  <si>
    <t>LEVERE</t>
  </si>
  <si>
    <t>101-26</t>
  </si>
  <si>
    <t>102-26</t>
  </si>
  <si>
    <t>120-26</t>
  </si>
  <si>
    <t>DAVIS</t>
  </si>
  <si>
    <t>803-26</t>
  </si>
  <si>
    <t>805-26</t>
  </si>
  <si>
    <t>118-26</t>
  </si>
  <si>
    <t>123-26</t>
  </si>
  <si>
    <t>116-26</t>
  </si>
  <si>
    <t>802-26</t>
  </si>
  <si>
    <t>114-26</t>
  </si>
  <si>
    <t>119-26</t>
  </si>
  <si>
    <t>801-26</t>
  </si>
  <si>
    <t>117-26</t>
  </si>
  <si>
    <t>110-26</t>
  </si>
  <si>
    <t>108-26</t>
  </si>
  <si>
    <t>800-26</t>
  </si>
  <si>
    <t>104-26</t>
  </si>
  <si>
    <t>902-25</t>
  </si>
  <si>
    <t>BONDS</t>
  </si>
  <si>
    <t>905-25</t>
  </si>
  <si>
    <t>103-26</t>
  </si>
  <si>
    <t>109-26</t>
  </si>
  <si>
    <t>111-26</t>
  </si>
  <si>
    <t>115-26</t>
  </si>
  <si>
    <t>112-26</t>
  </si>
  <si>
    <t>121-26</t>
  </si>
  <si>
    <t>122-26</t>
  </si>
  <si>
    <t>133-26</t>
  </si>
  <si>
    <t>804-26</t>
  </si>
  <si>
    <t>LYNN</t>
  </si>
  <si>
    <t>105-26</t>
  </si>
  <si>
    <t>107-26</t>
  </si>
  <si>
    <t>106-26</t>
  </si>
  <si>
    <t>113-26</t>
  </si>
  <si>
    <t>125-26</t>
  </si>
  <si>
    <t>127-26</t>
  </si>
  <si>
    <t>Updated software at DUS, initialized at 38th</t>
  </si>
  <si>
    <t>Updated software at DIA, initialized at 61st</t>
  </si>
  <si>
    <t>Onboard in-route failure</t>
  </si>
  <si>
    <t>Crew canceled init at DUS, initialized at 38th</t>
  </si>
  <si>
    <t>Re-initialized half-way thru at Central Park Station</t>
  </si>
  <si>
    <t>Form C</t>
  </si>
  <si>
    <t>Comm outage caused by comparator issue</t>
  </si>
  <si>
    <t>40th 4S was STOP</t>
  </si>
  <si>
    <t>Pena 4S was STOP</t>
  </si>
  <si>
    <t>112-25</t>
  </si>
  <si>
    <t>138-25</t>
  </si>
  <si>
    <t>144-25</t>
  </si>
  <si>
    <t>153-25</t>
  </si>
  <si>
    <t>179-25</t>
  </si>
  <si>
    <t>180-25</t>
  </si>
  <si>
    <t>Dispatcher error, ran in cut out</t>
  </si>
  <si>
    <t>Annulled? Need to confirm.</t>
  </si>
  <si>
    <t>Trip ran according to reports, but PTC data shows that it was offered, but a different trip number was chosen</t>
  </si>
  <si>
    <t>?</t>
  </si>
  <si>
    <t>Trip did not run according to reports, PTC data confirms - shows that it was offered, but a different trip number was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</si>
</sst>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4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left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5" xfId="0" applyNumberFormat="1" applyBorder="1" applyAlignment="1">
      <alignment horizontal="left"/>
    </xf>
    <xf numFmtId="169" fontId="0" fillId="0" borderId="5" xfId="0" applyBorder="1" applyAlignment="1">
      <alignment horizontal="left"/>
    </xf>
    <xf numFmtId="167" fontId="0" fillId="0" borderId="5" xfId="0" applyNumberFormat="1" applyBorder="1" applyAlignment="1">
      <alignment horizontal="left"/>
    </xf>
    <xf numFmtId="169" fontId="0" fillId="0" borderId="17" xfId="0" applyFill="1" applyBorder="1" applyAlignment="1">
      <alignment horizontal="left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wrapText="1"/>
    </xf>
    <xf numFmtId="0" fontId="0" fillId="0" borderId="5" xfId="0" applyNumberFormat="1" applyBorder="1"/>
    <xf numFmtId="0" fontId="0" fillId="0" borderId="0" xfId="0" applyNumberFormat="1" applyAlignment="1">
      <alignment horizontal="center"/>
    </xf>
    <xf numFmtId="0" fontId="1" fillId="0" borderId="0" xfId="0" applyNumberFormat="1" applyFont="1" applyBorder="1" applyAlignment="1">
      <alignment horizontal="left" wrapText="1"/>
    </xf>
    <xf numFmtId="0" fontId="0" fillId="0" borderId="0" xfId="0" applyNumberFormat="1" applyAlignment="1">
      <alignment horizontal="left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28"/>
  <sheetViews>
    <sheetView zoomScale="85" zoomScaleNormal="85" workbookViewId="0">
      <selection activeCell="L65" sqref="L65"/>
    </sheetView>
  </sheetViews>
  <sheetFormatPr defaultRowHeight="15" x14ac:dyDescent="0.25"/>
  <cols>
    <col min="1" max="1" width="10.5703125" style="51" customWidth="1"/>
    <col min="2" max="2" width="10.7109375" style="53" customWidth="1"/>
    <col min="3" max="3" width="13.5703125" style="35" hidden="1" customWidth="1"/>
    <col min="4" max="4" width="16.140625" style="35" hidden="1" customWidth="1"/>
    <col min="5" max="5" width="19.5703125" style="47" hidden="1" customWidth="1"/>
    <col min="6" max="6" width="20.140625" style="47" customWidth="1"/>
    <col min="7" max="7" width="4.85546875" style="53" hidden="1" customWidth="1"/>
    <col min="8" max="8" width="22.140625" style="47" hidden="1" customWidth="1"/>
    <col min="9" max="9" width="19.7109375" style="47" customWidth="1"/>
    <col min="10" max="10" width="9.42578125" style="53" customWidth="1"/>
    <col min="11" max="12" width="13.28515625" style="35" customWidth="1"/>
    <col min="13" max="13" width="9.5703125" style="52" customWidth="1"/>
    <col min="14" max="14" width="4.140625" style="53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1" customWidth="1"/>
    <col min="22" max="22" width="5.7109375" style="24" customWidth="1"/>
    <col min="23" max="23" width="3.85546875" style="24" customWidth="1"/>
    <col min="24" max="24" width="4.140625" style="87" customWidth="1"/>
    <col min="25" max="27" width="9.140625" style="84"/>
    <col min="28" max="28" width="10.7109375" style="81" bestFit="1" customWidth="1"/>
    <col min="29" max="29" width="17.42578125" style="75" customWidth="1"/>
    <col min="30" max="30" width="9.140625" style="76"/>
  </cols>
  <sheetData>
    <row r="1" spans="1:91" s="25" customFormat="1" ht="15.75" thickBot="1" x14ac:dyDescent="0.3">
      <c r="A1" s="51"/>
      <c r="B1" s="53"/>
      <c r="C1" s="35"/>
      <c r="D1" s="35"/>
      <c r="E1" s="47"/>
      <c r="F1" s="47"/>
      <c r="G1" s="53"/>
      <c r="H1" s="47"/>
      <c r="I1" s="47"/>
      <c r="J1" s="53"/>
      <c r="K1" s="35"/>
      <c r="L1" s="35"/>
      <c r="M1" s="52"/>
      <c r="N1" s="53"/>
      <c r="O1" s="2"/>
      <c r="P1" s="2"/>
      <c r="U1" s="91"/>
      <c r="V1" s="24"/>
      <c r="W1" s="24"/>
      <c r="X1" s="87"/>
      <c r="Y1" s="84"/>
      <c r="Z1" s="84"/>
      <c r="AA1" s="84"/>
      <c r="AB1" s="81"/>
      <c r="AC1" s="75"/>
      <c r="AD1" s="76"/>
    </row>
    <row r="2" spans="1:91" s="25" customFormat="1" ht="15.75" thickBot="1" x14ac:dyDescent="0.3">
      <c r="A2" s="51"/>
      <c r="B2" s="53"/>
      <c r="C2" s="35"/>
      <c r="D2" s="35"/>
      <c r="E2" s="47"/>
      <c r="F2" s="47"/>
      <c r="G2" s="53"/>
      <c r="H2" s="47"/>
      <c r="I2" s="111">
        <f>Variables!A2</f>
        <v>42576</v>
      </c>
      <c r="J2" s="112"/>
      <c r="K2" s="54"/>
      <c r="L2" s="54"/>
      <c r="M2" s="113" t="s">
        <v>8</v>
      </c>
      <c r="N2" s="114"/>
      <c r="O2" s="115"/>
      <c r="P2" s="2"/>
      <c r="U2" s="91"/>
      <c r="V2" s="24"/>
      <c r="W2" s="24"/>
      <c r="X2" s="87"/>
      <c r="Y2" s="84"/>
      <c r="Z2" s="84"/>
      <c r="AA2" s="84"/>
      <c r="AB2" s="81"/>
      <c r="AC2" s="75"/>
      <c r="AD2" s="76"/>
    </row>
    <row r="3" spans="1:91" s="25" customFormat="1" ht="15.75" thickBot="1" x14ac:dyDescent="0.3">
      <c r="A3" s="51"/>
      <c r="B3" s="53"/>
      <c r="C3" s="35"/>
      <c r="D3" s="35"/>
      <c r="E3" s="47"/>
      <c r="F3" s="47"/>
      <c r="G3" s="53"/>
      <c r="H3" s="47"/>
      <c r="I3" s="116" t="s">
        <v>10</v>
      </c>
      <c r="J3" s="117"/>
      <c r="K3" s="55"/>
      <c r="L3" s="55"/>
      <c r="M3" s="56" t="s">
        <v>11</v>
      </c>
      <c r="N3" s="57" t="s">
        <v>12</v>
      </c>
      <c r="O3" s="3" t="s">
        <v>13</v>
      </c>
      <c r="P3" s="2"/>
      <c r="U3" s="91"/>
      <c r="V3" s="24"/>
      <c r="W3" s="24"/>
      <c r="X3" s="87"/>
      <c r="Y3" s="84"/>
      <c r="Z3" s="84"/>
      <c r="AA3" s="84"/>
      <c r="AB3" s="81"/>
      <c r="AC3" s="75"/>
      <c r="AD3" s="76"/>
    </row>
    <row r="4" spans="1:91" s="25" customFormat="1" ht="15.75" thickBot="1" x14ac:dyDescent="0.3">
      <c r="A4" s="51"/>
      <c r="B4" s="53"/>
      <c r="C4" s="35"/>
      <c r="D4" s="35"/>
      <c r="E4" s="47"/>
      <c r="F4" s="47"/>
      <c r="G4" s="53"/>
      <c r="H4" s="47"/>
      <c r="I4" s="48" t="s">
        <v>14</v>
      </c>
      <c r="J4" s="74">
        <f>COUNT($N$13:$P$1699)</f>
        <v>138</v>
      </c>
      <c r="K4" s="58"/>
      <c r="L4" s="58"/>
      <c r="M4" s="59" t="s">
        <v>15</v>
      </c>
      <c r="N4" s="57" t="s">
        <v>15</v>
      </c>
      <c r="O4" s="3" t="s">
        <v>15</v>
      </c>
      <c r="P4" s="2"/>
      <c r="U4" s="91"/>
      <c r="V4" s="24"/>
      <c r="W4" s="24"/>
      <c r="X4" s="87"/>
      <c r="Y4" s="84"/>
      <c r="Z4" s="84"/>
      <c r="AA4" s="84"/>
      <c r="AB4" s="81"/>
      <c r="AC4" s="75"/>
      <c r="AD4" s="76"/>
    </row>
    <row r="5" spans="1:91" s="25" customFormat="1" ht="15.75" thickBot="1" x14ac:dyDescent="0.3">
      <c r="A5" s="51"/>
      <c r="B5" s="53"/>
      <c r="C5" s="35"/>
      <c r="D5" s="35"/>
      <c r="E5" s="47"/>
      <c r="F5" s="47"/>
      <c r="G5" s="53"/>
      <c r="H5" s="47"/>
      <c r="I5" s="48" t="s">
        <v>17</v>
      </c>
      <c r="J5" s="74">
        <f>COUNT($N$13:$N$1699)</f>
        <v>131</v>
      </c>
      <c r="K5" s="58"/>
      <c r="L5" s="58"/>
      <c r="M5" s="59">
        <f>AVERAGE($N$13:$N$699)</f>
        <v>44.978371500455282</v>
      </c>
      <c r="N5" s="57">
        <f>MIN($N$13:$N$699)</f>
        <v>36.083333323476836</v>
      </c>
      <c r="O5" s="3">
        <f>MAX($N$13:$N$699)</f>
        <v>64.74999999627471</v>
      </c>
      <c r="P5" s="2"/>
      <c r="U5" s="91"/>
      <c r="V5" s="24"/>
      <c r="W5" s="24"/>
      <c r="X5" s="87"/>
      <c r="Y5" s="84"/>
      <c r="Z5" s="84"/>
      <c r="AA5" s="84"/>
      <c r="AB5" s="81"/>
      <c r="AC5" s="75"/>
      <c r="AD5" s="76"/>
    </row>
    <row r="6" spans="1:91" s="25" customFormat="1" ht="15.75" thickBot="1" x14ac:dyDescent="0.3">
      <c r="A6" s="51"/>
      <c r="B6" s="53"/>
      <c r="C6" s="35"/>
      <c r="D6" s="35"/>
      <c r="E6" s="47"/>
      <c r="F6" s="47"/>
      <c r="G6" s="53"/>
      <c r="H6" s="47"/>
      <c r="I6" s="49" t="s">
        <v>43</v>
      </c>
      <c r="J6" s="74">
        <f>COUNT($O$13:$O$699)</f>
        <v>0</v>
      </c>
      <c r="K6" s="58"/>
      <c r="L6" s="58"/>
      <c r="M6" s="59">
        <f>IFERROR(AVERAGE($O$13:$O$699),0)</f>
        <v>0</v>
      </c>
      <c r="N6" s="57">
        <f>MIN($O$13:$O$699)</f>
        <v>0</v>
      </c>
      <c r="O6" s="3">
        <f>MAX($O$13:$O$699)</f>
        <v>0</v>
      </c>
      <c r="P6" s="2"/>
      <c r="U6" s="91"/>
      <c r="V6" s="24"/>
      <c r="W6" s="24"/>
      <c r="X6" s="87"/>
      <c r="Y6" s="84"/>
      <c r="Z6" s="84"/>
      <c r="AA6" s="84"/>
      <c r="AB6" s="81"/>
      <c r="AC6" s="75"/>
      <c r="AD6" s="76"/>
    </row>
    <row r="7" spans="1:91" s="25" customFormat="1" ht="15.75" thickBot="1" x14ac:dyDescent="0.3">
      <c r="A7" s="51"/>
      <c r="B7" s="53"/>
      <c r="C7" s="35"/>
      <c r="D7" s="35"/>
      <c r="E7" s="47"/>
      <c r="F7" s="47"/>
      <c r="G7" s="53"/>
      <c r="H7" s="47"/>
      <c r="I7" s="50" t="s">
        <v>9</v>
      </c>
      <c r="J7" s="74">
        <f>COUNT($P$13:$P$699)</f>
        <v>7</v>
      </c>
      <c r="K7" s="58"/>
      <c r="L7" s="58"/>
      <c r="M7" s="59" t="s">
        <v>15</v>
      </c>
      <c r="N7" s="57" t="s">
        <v>15</v>
      </c>
      <c r="O7" s="3" t="s">
        <v>15</v>
      </c>
      <c r="P7" s="2"/>
      <c r="U7" s="91"/>
      <c r="V7" s="24"/>
      <c r="W7" s="24"/>
      <c r="X7" s="87"/>
      <c r="Y7" s="84"/>
      <c r="Z7" s="84"/>
      <c r="AA7" s="84"/>
      <c r="AB7" s="81"/>
      <c r="AC7" s="75"/>
      <c r="AD7" s="76"/>
    </row>
    <row r="8" spans="1:91" s="25" customFormat="1" ht="30.75" thickBot="1" x14ac:dyDescent="0.3">
      <c r="A8" s="51"/>
      <c r="B8" s="53"/>
      <c r="C8" s="35"/>
      <c r="D8" s="35"/>
      <c r="E8" s="47"/>
      <c r="F8" s="47"/>
      <c r="G8" s="53"/>
      <c r="H8" s="47"/>
      <c r="I8" s="48" t="s">
        <v>16</v>
      </c>
      <c r="J8" s="74">
        <f>COUNT($N$13:$O$699)</f>
        <v>131</v>
      </c>
      <c r="K8" s="58"/>
      <c r="L8" s="58"/>
      <c r="M8" s="59">
        <f>AVERAGE($N$13:$P$699)</f>
        <v>43.726207728791252</v>
      </c>
      <c r="N8" s="57">
        <f>MIN($N$13:$O$699)</f>
        <v>36.083333323476836</v>
      </c>
      <c r="O8" s="3">
        <f>MAX($N$13:$O$699)</f>
        <v>64.74999999627471</v>
      </c>
      <c r="P8" s="2"/>
      <c r="U8" s="91"/>
      <c r="V8" s="24"/>
      <c r="W8" s="24"/>
      <c r="X8" s="87"/>
      <c r="Y8" s="84"/>
      <c r="Z8" s="84"/>
      <c r="AA8" s="84"/>
      <c r="AB8" s="81"/>
      <c r="AC8" s="75"/>
      <c r="AD8" s="76"/>
    </row>
    <row r="9" spans="1:91" s="25" customFormat="1" ht="30.75" thickBot="1" x14ac:dyDescent="0.3">
      <c r="A9" s="51"/>
      <c r="B9" s="53"/>
      <c r="C9" s="35"/>
      <c r="D9" s="35"/>
      <c r="E9" s="47"/>
      <c r="F9" s="47"/>
      <c r="G9" s="53"/>
      <c r="H9" s="47"/>
      <c r="I9" s="48" t="s">
        <v>19</v>
      </c>
      <c r="J9" s="94">
        <f>J8/J4</f>
        <v>0.94927536231884058</v>
      </c>
      <c r="K9" s="60"/>
      <c r="L9" s="60"/>
      <c r="M9" s="52"/>
      <c r="N9" s="53"/>
      <c r="O9" s="2"/>
      <c r="P9" s="2"/>
      <c r="U9" s="91"/>
      <c r="V9" s="24"/>
      <c r="W9" s="24"/>
      <c r="X9" s="87"/>
      <c r="Y9" s="84"/>
      <c r="Z9" s="84"/>
      <c r="AA9" s="84"/>
      <c r="AB9" s="81"/>
      <c r="AC9" s="75"/>
      <c r="AD9" s="76"/>
    </row>
    <row r="10" spans="1:91" s="25" customFormat="1" x14ac:dyDescent="0.25">
      <c r="A10" s="51"/>
      <c r="B10" s="53"/>
      <c r="C10" s="35"/>
      <c r="D10" s="35"/>
      <c r="E10" s="47"/>
      <c r="F10" s="47"/>
      <c r="G10" s="53"/>
      <c r="H10" s="47"/>
      <c r="I10" s="47"/>
      <c r="J10" s="53"/>
      <c r="K10" s="35"/>
      <c r="L10" s="35"/>
      <c r="M10" s="52"/>
      <c r="N10" s="53"/>
      <c r="O10" s="2"/>
      <c r="P10" s="2"/>
      <c r="U10" s="91"/>
      <c r="V10" s="24"/>
      <c r="W10" s="24"/>
      <c r="X10" s="87"/>
      <c r="Y10" s="84"/>
      <c r="Z10" s="84"/>
      <c r="AA10" s="84"/>
      <c r="AB10" s="81"/>
      <c r="AC10" s="75"/>
      <c r="AD10" s="76"/>
    </row>
    <row r="11" spans="1:91" ht="57.75" customHeight="1" thickBot="1" x14ac:dyDescent="0.3">
      <c r="A11" s="110" t="str">
        <f>"Eagle P3 System Performance - "&amp;TEXT(Variables!A2,"yyyy-mm-dd")</f>
        <v>Eagle P3 System Performance - 2016-07-25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S11" s="105">
        <f>AVERAGE(S13:S165)</f>
        <v>0.97122302158273377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81</v>
      </c>
      <c r="T12" s="73" t="s">
        <v>82</v>
      </c>
      <c r="U12" s="92" t="s">
        <v>83</v>
      </c>
      <c r="V12" s="70" t="s">
        <v>45</v>
      </c>
      <c r="W12" s="70" t="s">
        <v>23</v>
      </c>
      <c r="X12" s="88" t="s">
        <v>49</v>
      </c>
      <c r="Y12" s="85" t="s">
        <v>20</v>
      </c>
      <c r="Z12" s="85" t="s">
        <v>21</v>
      </c>
      <c r="AA12" s="85" t="s">
        <v>22</v>
      </c>
      <c r="AB12" s="82" t="s">
        <v>39</v>
      </c>
      <c r="AC12" s="78" t="s">
        <v>40</v>
      </c>
      <c r="AD12" s="77" t="s">
        <v>122</v>
      </c>
      <c r="AE12" s="70" t="s">
        <v>135</v>
      </c>
      <c r="AF12" s="70" t="s">
        <v>140</v>
      </c>
      <c r="AG12" s="4" t="s">
        <v>148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6" t="s">
        <v>387</v>
      </c>
      <c r="B13" s="7">
        <v>4038</v>
      </c>
      <c r="C13" s="26" t="s">
        <v>269</v>
      </c>
      <c r="D13" s="26" t="s">
        <v>396</v>
      </c>
      <c r="E13" s="16">
        <v>42576.139745370368</v>
      </c>
      <c r="F13" s="16">
        <v>42576.141296296293</v>
      </c>
      <c r="G13" s="7">
        <v>2</v>
      </c>
      <c r="H13" s="16" t="s">
        <v>259</v>
      </c>
      <c r="I13" s="16">
        <v>42576.164849537039</v>
      </c>
      <c r="J13" s="7">
        <v>0</v>
      </c>
      <c r="K13" s="26" t="str">
        <f>IF(ISEVEN(B13),(B13-1)&amp;"/"&amp;B13,B13&amp;"/"&amp;(B13+1))</f>
        <v>4037/4038</v>
      </c>
      <c r="L13" s="26" t="str">
        <f>VLOOKUP(A13,'Trips&amp;Operators'!$C$1:$E$10000,3,FALSE)</f>
        <v>STURGEON</v>
      </c>
      <c r="M13" s="6">
        <f>I13-F13</f>
        <v>2.3553240745968651E-2</v>
      </c>
      <c r="N13" s="7"/>
      <c r="O13" s="7"/>
      <c r="P13" s="7">
        <f>24*60*SUM($M13:$M13)</f>
        <v>33.916666674194857</v>
      </c>
      <c r="Q13" s="7"/>
      <c r="R13" s="7" t="s">
        <v>816</v>
      </c>
      <c r="S13" s="42">
        <f>SUM(U13:U13)/12</f>
        <v>1</v>
      </c>
      <c r="T13" s="66" t="str">
        <f>IF(ISEVEN(LEFT(A13,3)),"Southbound","NorthBound")</f>
        <v>NorthBound</v>
      </c>
      <c r="U13" s="93">
        <f>COUNTIFS(Variables!$M$2:$M$19,IF(T13="NorthBound","&gt;=","&lt;=")&amp;Y13,Variables!$M$2:$M$19,IF(T13="NorthBound","&lt;=","&gt;=")&amp;Z13)</f>
        <v>12</v>
      </c>
      <c r="V13" s="71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https://search-rtdc-monitor-bjffxe2xuh6vdkpspy63sjmuny.us-east-1.es.amazonaws.com/_plugin/kibana/#/discover/Steve-Slow-Train-Analysis-(2080s-and-2083s)?_g=(refreshInterval:(display:Off,section:0,value:0),time:(from:'2016-07-25 02:21:14-0600',mode:absolute,to:'2016-07-25 04:57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3" s="71" t="str">
        <f>IF(AA13&lt;23,"Y","N")</f>
        <v>Y</v>
      </c>
      <c r="X13" s="89" t="e">
        <f>VALUE(LEFT(A13,3))-VALUE(LEFT(#REF!,3))</f>
        <v>#REF!</v>
      </c>
      <c r="Y13" s="86">
        <f>RIGHT(D13,LEN(D13)-4)/10000</f>
        <v>1.9198</v>
      </c>
      <c r="Z13" s="86">
        <f>RIGHT(H13,LEN(H13)-4)/10000</f>
        <v>23.327400000000001</v>
      </c>
      <c r="AA13" s="86">
        <f>ABS(Z13-Y13)</f>
        <v>21.407600000000002</v>
      </c>
      <c r="AB13" s="83" t="e">
        <f>VLOOKUP(A13,Enforcements!$C$7:$J$24,8,0)</f>
        <v>#N/A</v>
      </c>
      <c r="AC13" s="79" t="e">
        <f>VLOOKUP(A13,Enforcements!$C$7:$E$24,3,0)</f>
        <v>#N/A</v>
      </c>
      <c r="AD13" s="80" t="str">
        <f>IF(LEN(A13)=6,"0"&amp;A13,A13)</f>
        <v>0101-25</v>
      </c>
      <c r="AE13" s="72" t="str">
        <f t="shared" ref="AE13:AE1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3" s="72" t="str">
        <f t="shared" ref="AF13:AF14" si="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/stypes="*4038*20160725*" /stext=" 09:.+((prompt.+disp)|(slice.+state.+chan)|(ment ac)|(system.+state.+chan)|(\|lc)|(penalty)|(\[timeout))" /e /r /s</v>
      </c>
      <c r="AG13" s="1" t="str">
        <f>IF(VALUE(LEFT(AD13,4))&lt;300,"EC","NWGL")</f>
        <v>EC</v>
      </c>
    </row>
    <row r="14" spans="1:91" s="1" customFormat="1" x14ac:dyDescent="0.25">
      <c r="A14" s="46" t="s">
        <v>385</v>
      </c>
      <c r="B14" s="7">
        <v>4010</v>
      </c>
      <c r="C14" s="26" t="s">
        <v>269</v>
      </c>
      <c r="D14" s="26" t="s">
        <v>397</v>
      </c>
      <c r="E14" s="16">
        <v>42576.173125000001</v>
      </c>
      <c r="F14" s="16">
        <v>42576.175127314818</v>
      </c>
      <c r="G14" s="7">
        <v>2</v>
      </c>
      <c r="H14" s="16" t="s">
        <v>176</v>
      </c>
      <c r="I14" s="16">
        <v>42576.20584490741</v>
      </c>
      <c r="J14" s="7">
        <v>0</v>
      </c>
      <c r="K14" s="26" t="str">
        <f>IF(ISEVEN(B14),(B14-1)&amp;"/"&amp;B14,B14&amp;"/"&amp;(B14+1))</f>
        <v>4009/4010</v>
      </c>
      <c r="L14" s="26" t="str">
        <f>VLOOKUP(A14,'Trips&amp;Operators'!$C$1:$E$10000,3,FALSE)</f>
        <v>STURGEON</v>
      </c>
      <c r="M14" s="6">
        <f>I14-F14</f>
        <v>3.071759259182727E-2</v>
      </c>
      <c r="N14" s="7">
        <f>24*60*SUM($M14:$M14)</f>
        <v>44.233333332231268</v>
      </c>
      <c r="O14" s="7"/>
      <c r="P14" s="7"/>
      <c r="Q14" s="27"/>
      <c r="R14" s="27"/>
      <c r="S14" s="42">
        <f>SUM(U14:U14)/12</f>
        <v>1</v>
      </c>
      <c r="T14" s="66" t="str">
        <f>IF(ISEVEN(LEFT(A14,3)),"Southbound","NorthBound")</f>
        <v>Southbound</v>
      </c>
      <c r="U14" s="93">
        <f>COUNTIFS(Variables!$M$2:$M$19,IF(T14="NorthBound","&gt;=","&lt;=")&amp;Y14,Variables!$M$2:$M$19,IF(T14="NorthBound","&lt;=","&gt;=")&amp;Z14)</f>
        <v>12</v>
      </c>
      <c r="V14" s="71" t="str">
        <f t="shared" ref="V14:V77" si="2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https://search-rtdc-monitor-bjffxe2xuh6vdkpspy63sjmuny.us-east-1.es.amazonaws.com/_plugin/kibana/#/discover/Steve-Slow-Train-Analysis-(2080s-and-2083s)?_g=(refreshInterval:(display:Off,section:0,value:0),time:(from:'2016-07-25 03:09:18-0600',mode:absolute,to:'2016-07-25 05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14" s="71" t="str">
        <f>IF(AA14&lt;23,"Y","N")</f>
        <v>N</v>
      </c>
      <c r="X14" s="89">
        <f>VALUE(LEFT(A14,3))-VALUE(LEFT(A13,3))</f>
        <v>1</v>
      </c>
      <c r="Y14" s="86">
        <f>RIGHT(D14,LEN(D14)-4)/10000</f>
        <v>23.262699999999999</v>
      </c>
      <c r="Z14" s="86">
        <f>RIGHT(H14,LEN(H14)-4)/10000</f>
        <v>1.6899999999999998E-2</v>
      </c>
      <c r="AA14" s="86">
        <f>ABS(Z14-Y14)</f>
        <v>23.245799999999999</v>
      </c>
      <c r="AB14" s="83" t="e">
        <f>VLOOKUP(A14,Enforcements!$C$7:$J$24,8,0)</f>
        <v>#N/A</v>
      </c>
      <c r="AC14" s="79" t="e">
        <f>VLOOKUP(A14,Enforcements!$C$7:$E$24,3,0)</f>
        <v>#N/A</v>
      </c>
      <c r="AD14" s="80" t="str">
        <f>IF(LEN(A14)=6,"0"&amp;A14,A14)</f>
        <v>0102-25</v>
      </c>
      <c r="AE14" s="72" t="str">
        <f t="shared" si="0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14" s="72" t="str">
        <f t="shared" si="1"/>
        <v>"C:\Program Files (x86)\AstroGrep\AstroGrep.exe" /spath="C:\Users\stu\Documents\Analysis\2016-02-23 RTDC Observations" /stypes="*4010*20160725*" /stext=" 10:.+((prompt.+disp)|(slice.+state.+chan)|(ment ac)|(system.+state.+chan)|(\|lc)|(penalty)|(\[timeout))" /e /r /s</v>
      </c>
      <c r="AG14" s="1" t="str">
        <f t="shared" ref="AG14" si="3">IF(VALUE(LEFT(AD14,4))&lt;300,"EC","NWGL")</f>
        <v>EC</v>
      </c>
    </row>
    <row r="15" spans="1:91" s="1" customFormat="1" x14ac:dyDescent="0.25">
      <c r="A15" s="46" t="s">
        <v>388</v>
      </c>
      <c r="B15" s="7">
        <v>4007</v>
      </c>
      <c r="C15" s="26" t="s">
        <v>269</v>
      </c>
      <c r="D15" s="26" t="s">
        <v>275</v>
      </c>
      <c r="E15" s="16">
        <v>42576.149953703702</v>
      </c>
      <c r="F15" s="16">
        <v>42576.151053240741</v>
      </c>
      <c r="G15" s="7">
        <v>1</v>
      </c>
      <c r="H15" s="16" t="s">
        <v>168</v>
      </c>
      <c r="I15" s="16">
        <v>42576.182210648149</v>
      </c>
      <c r="J15" s="7">
        <v>0</v>
      </c>
      <c r="K15" s="26" t="str">
        <f t="shared" ref="K15:K78" si="4">IF(ISEVEN(B15),(B15-1)&amp;"/"&amp;B15,B15&amp;"/"&amp;(B15+1))</f>
        <v>4007/4008</v>
      </c>
      <c r="L15" s="26" t="str">
        <f>VLOOKUP(A15,'Trips&amp;Operators'!$C$1:$E$10000,3,FALSE)</f>
        <v>ACKERMAN</v>
      </c>
      <c r="M15" s="6">
        <f t="shared" ref="M15:M78" si="5">I15-F15</f>
        <v>3.1157407407590654E-2</v>
      </c>
      <c r="N15" s="7">
        <f t="shared" ref="N15:P78" si="6">24*60*SUM($M15:$M15)</f>
        <v>44.866666666930541</v>
      </c>
      <c r="O15" s="7"/>
      <c r="P15" s="7"/>
      <c r="Q15" s="27"/>
      <c r="R15" s="27"/>
      <c r="S15" s="42">
        <f t="shared" ref="S15:S78" si="7">SUM(U15:U15)/12</f>
        <v>1</v>
      </c>
      <c r="T15" s="66" t="str">
        <f t="shared" ref="T15:T78" si="8">IF(ISEVEN(LEFT(A15,3)),"Southbound","NorthBound")</f>
        <v>NorthBound</v>
      </c>
      <c r="U15" s="93">
        <f>COUNTIFS(Variables!$M$2:$M$19,IF(T15="NorthBound","&gt;=","&lt;=")&amp;Y15,Variables!$M$2:$M$19,IF(T15="NorthBound","&lt;=","&gt;=")&amp;Z15)</f>
        <v>12</v>
      </c>
      <c r="V1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02:35:56-0600',mode:absolute,to:'2016-07-25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5" s="71" t="str">
        <f t="shared" ref="W15:W74" si="9">IF(AA15&lt;23,"Y","N")</f>
        <v>N</v>
      </c>
      <c r="X15" s="89">
        <f t="shared" ref="X15:X74" si="10">VALUE(LEFT(A15,3))-VALUE(LEFT(A14,3))</f>
        <v>1</v>
      </c>
      <c r="Y15" s="86">
        <f t="shared" ref="Y15:Y74" si="11">RIGHT(D15,LEN(D15)-4)/10000</f>
        <v>7.1499999999999994E-2</v>
      </c>
      <c r="Z15" s="86">
        <f t="shared" ref="Z15:Z78" si="12">RIGHT(H15,LEN(H15)-4)/10000</f>
        <v>23.3293</v>
      </c>
      <c r="AA15" s="86">
        <f t="shared" ref="AA15:AA78" si="13">ABS(Z15-Y15)</f>
        <v>23.2578</v>
      </c>
      <c r="AB15" s="83" t="e">
        <f>VLOOKUP(A15,Enforcements!$C$7:$J$24,8,0)</f>
        <v>#N/A</v>
      </c>
      <c r="AC15" s="79" t="e">
        <f>VLOOKUP(A15,Enforcements!$C$7:$E$24,3,0)</f>
        <v>#N/A</v>
      </c>
      <c r="AD15" s="80" t="str">
        <f t="shared" ref="AD15:AD78" si="14">IF(LEN(A15)=6,"0"&amp;A15,A15)</f>
        <v>0103-25</v>
      </c>
      <c r="AE15" s="72" t="str">
        <f t="shared" ref="AE15:AE78" si="1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15" s="72" t="str">
        <f t="shared" ref="AF15:AF78" si="1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/stypes="*4007*20160725*" /stext=" 10:.+((prompt.+disp)|(slice.+state.+chan)|(ment ac)|(system.+state.+chan)|(\|lc)|(penalty)|(\[timeout))" /e /r /s</v>
      </c>
      <c r="AG15" s="1" t="str">
        <f t="shared" ref="AG15:AG78" si="17">IF(VALUE(LEFT(AD15,4))&lt;300,"EC","NWGL")</f>
        <v>EC</v>
      </c>
    </row>
    <row r="16" spans="1:91" s="1" customFormat="1" x14ac:dyDescent="0.25">
      <c r="A16" s="46" t="s">
        <v>390</v>
      </c>
      <c r="B16" s="7">
        <v>4017</v>
      </c>
      <c r="C16" s="26" t="s">
        <v>269</v>
      </c>
      <c r="D16" s="26" t="s">
        <v>398</v>
      </c>
      <c r="E16" s="16">
        <v>42576.187002314815</v>
      </c>
      <c r="F16" s="16">
        <v>42576.188043981485</v>
      </c>
      <c r="G16" s="7">
        <v>1</v>
      </c>
      <c r="H16" s="16" t="s">
        <v>150</v>
      </c>
      <c r="I16" s="16">
        <v>42576.223726851851</v>
      </c>
      <c r="J16" s="7">
        <v>0</v>
      </c>
      <c r="K16" s="26" t="str">
        <f t="shared" si="4"/>
        <v>4017/4018</v>
      </c>
      <c r="L16" s="26" t="str">
        <f>VLOOKUP(A16,'Trips&amp;Operators'!$C$1:$E$10000,3,FALSE)</f>
        <v>ACKERMAN</v>
      </c>
      <c r="M16" s="6">
        <f t="shared" si="5"/>
        <v>3.5682870366144925E-2</v>
      </c>
      <c r="N16" s="7">
        <f t="shared" si="6"/>
        <v>51.383333327248693</v>
      </c>
      <c r="O16" s="7"/>
      <c r="P16" s="7"/>
      <c r="Q16" s="27"/>
      <c r="R16" s="27"/>
      <c r="S16" s="42">
        <f t="shared" si="7"/>
        <v>1</v>
      </c>
      <c r="T16" s="66" t="str">
        <f t="shared" si="8"/>
        <v>Southbound</v>
      </c>
      <c r="U16" s="93">
        <f>COUNTIFS(Variables!$M$2:$M$19,IF(T16="NorthBound","&gt;=","&lt;=")&amp;Y16,Variables!$M$2:$M$19,IF(T16="NorthBound","&lt;=","&gt;=")&amp;Z16)</f>
        <v>12</v>
      </c>
      <c r="V1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03:29:17-0600',mode:absolute,to:'2016-07-25 06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16" s="71" t="str">
        <f t="shared" si="9"/>
        <v>N</v>
      </c>
      <c r="X16" s="89">
        <f t="shared" si="10"/>
        <v>1</v>
      </c>
      <c r="Y16" s="86">
        <f t="shared" si="11"/>
        <v>23.265999999999998</v>
      </c>
      <c r="Z16" s="86">
        <f t="shared" si="12"/>
        <v>1.4999999999999999E-2</v>
      </c>
      <c r="AA16" s="86">
        <f t="shared" si="13"/>
        <v>23.250999999999998</v>
      </c>
      <c r="AB16" s="83" t="e">
        <f>VLOOKUP(A16,Enforcements!$C$7:$J$24,8,0)</f>
        <v>#N/A</v>
      </c>
      <c r="AC16" s="79" t="e">
        <f>VLOOKUP(A16,Enforcements!$C$7:$E$24,3,0)</f>
        <v>#N/A</v>
      </c>
      <c r="AD16" s="80" t="str">
        <f t="shared" si="14"/>
        <v>0104-25</v>
      </c>
      <c r="AE16" s="72" t="str">
        <f t="shared" si="15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16" s="72" t="str">
        <f t="shared" si="16"/>
        <v>"C:\Program Files (x86)\AstroGrep\AstroGrep.exe" /spath="C:\Users\stu\Documents\Analysis\2016-02-23 RTDC Observations" /stypes="*4017*20160725*" /stext=" 11:.+((prompt.+disp)|(slice.+state.+chan)|(ment ac)|(system.+state.+chan)|(\|lc)|(penalty)|(\[timeout))" /e /r /s</v>
      </c>
      <c r="AG16" s="1" t="str">
        <f t="shared" si="17"/>
        <v>EC</v>
      </c>
    </row>
    <row r="17" spans="1:33" s="1" customFormat="1" x14ac:dyDescent="0.25">
      <c r="A17" s="46" t="s">
        <v>386</v>
      </c>
      <c r="B17" s="7">
        <v>4016</v>
      </c>
      <c r="C17" s="26" t="s">
        <v>269</v>
      </c>
      <c r="D17" s="26" t="s">
        <v>399</v>
      </c>
      <c r="E17" s="16">
        <v>42576.171087962961</v>
      </c>
      <c r="F17" s="16">
        <v>42576.172002314815</v>
      </c>
      <c r="G17" s="7">
        <v>1</v>
      </c>
      <c r="H17" s="16" t="s">
        <v>400</v>
      </c>
      <c r="I17" s="16">
        <v>42576.204224537039</v>
      </c>
      <c r="J17" s="7">
        <v>0</v>
      </c>
      <c r="K17" s="26" t="str">
        <f t="shared" si="4"/>
        <v>4015/4016</v>
      </c>
      <c r="L17" s="26" t="str">
        <f>VLOOKUP(A17,'Trips&amp;Operators'!$C$1:$E$10000,3,FALSE)</f>
        <v>BRANNON</v>
      </c>
      <c r="M17" s="6">
        <f t="shared" si="5"/>
        <v>3.2222222223936114E-2</v>
      </c>
      <c r="N17" s="7">
        <f t="shared" si="6"/>
        <v>46.400000002468005</v>
      </c>
      <c r="O17" s="7"/>
      <c r="P17" s="7"/>
      <c r="Q17" s="27"/>
      <c r="R17" s="27"/>
      <c r="S17" s="42">
        <f t="shared" si="7"/>
        <v>1</v>
      </c>
      <c r="T17" s="66" t="str">
        <f t="shared" si="8"/>
        <v>NorthBound</v>
      </c>
      <c r="U17" s="93">
        <f>COUNTIFS(Variables!$M$2:$M$19,IF(T17="NorthBound","&gt;=","&lt;=")&amp;Y17,Variables!$M$2:$M$19,IF(T17="NorthBound","&lt;=","&gt;=")&amp;Z17)</f>
        <v>12</v>
      </c>
      <c r="V1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03:06:22-0600',mode:absolute,to:'2016-07-25 05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7" s="71" t="str">
        <f t="shared" si="9"/>
        <v>N</v>
      </c>
      <c r="X17" s="89">
        <f t="shared" si="10"/>
        <v>1</v>
      </c>
      <c r="Y17" s="86">
        <f t="shared" si="11"/>
        <v>7.7200000000000005E-2</v>
      </c>
      <c r="Z17" s="86">
        <f t="shared" si="12"/>
        <v>23.332799999999999</v>
      </c>
      <c r="AA17" s="86">
        <f t="shared" si="13"/>
        <v>23.255599999999998</v>
      </c>
      <c r="AB17" s="83" t="e">
        <f>VLOOKUP(A17,Enforcements!$C$7:$J$24,8,0)</f>
        <v>#N/A</v>
      </c>
      <c r="AC17" s="79" t="e">
        <f>VLOOKUP(A17,Enforcements!$C$7:$E$24,3,0)</f>
        <v>#N/A</v>
      </c>
      <c r="AD17" s="80" t="str">
        <f t="shared" si="14"/>
        <v>0105-25</v>
      </c>
      <c r="AE17" s="72" t="str">
        <f t="shared" si="15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7" s="72" t="str">
        <f t="shared" si="16"/>
        <v>"C:\Program Files (x86)\AstroGrep\AstroGrep.exe" /spath="C:\Users\stu\Documents\Analysis\2016-02-23 RTDC Observations" /stypes="*4016*20160725*" /stext=" 10:.+((prompt.+disp)|(slice.+state.+chan)|(ment ac)|(system.+state.+chan)|(\|lc)|(penalty)|(\[timeout))" /e /r /s</v>
      </c>
      <c r="AG17" s="1" t="str">
        <f t="shared" si="17"/>
        <v>EC</v>
      </c>
    </row>
    <row r="18" spans="1:33" s="1" customFormat="1" ht="16.5" customHeight="1" x14ac:dyDescent="0.25">
      <c r="A18" s="46" t="s">
        <v>367</v>
      </c>
      <c r="B18" s="7">
        <v>4030</v>
      </c>
      <c r="C18" s="26" t="s">
        <v>269</v>
      </c>
      <c r="D18" s="26" t="s">
        <v>401</v>
      </c>
      <c r="E18" s="16">
        <v>42576.228090277778</v>
      </c>
      <c r="F18" s="16">
        <v>42576.229074074072</v>
      </c>
      <c r="G18" s="7">
        <v>1</v>
      </c>
      <c r="H18" s="16" t="s">
        <v>274</v>
      </c>
      <c r="I18" s="16">
        <v>42576.255706018521</v>
      </c>
      <c r="J18" s="7">
        <v>1</v>
      </c>
      <c r="K18" s="26" t="str">
        <f t="shared" si="4"/>
        <v>4029/4030</v>
      </c>
      <c r="L18" s="26" t="str">
        <f>VLOOKUP(A18,'Trips&amp;Operators'!$C$1:$E$10000,3,FALSE)</f>
        <v>BRANNON</v>
      </c>
      <c r="M18" s="6">
        <f t="shared" si="5"/>
        <v>2.6631944449036382E-2</v>
      </c>
      <c r="N18" s="7"/>
      <c r="O18" s="7"/>
      <c r="P18" s="7">
        <f t="shared" si="6"/>
        <v>38.35000000661239</v>
      </c>
      <c r="Q18" s="27"/>
      <c r="R18" s="27" t="s">
        <v>817</v>
      </c>
      <c r="S18" s="42">
        <f t="shared" si="7"/>
        <v>1</v>
      </c>
      <c r="T18" s="66" t="str">
        <f t="shared" si="8"/>
        <v>Southbound</v>
      </c>
      <c r="U18" s="93">
        <f>COUNTIFS(Variables!$M$2:$M$19,IF(T18="NorthBound","&gt;=","&lt;=")&amp;Y18,Variables!$M$2:$M$19,IF(T18="NorthBound","&lt;=","&gt;=")&amp;Z18)</f>
        <v>12</v>
      </c>
      <c r="V1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04:28:27-0600',mode:absolute,to:'2016-07-25 07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4030%22')),sort:!(Time,asc))</v>
      </c>
      <c r="W18" s="71" t="str">
        <f t="shared" si="9"/>
        <v>Y</v>
      </c>
      <c r="X18" s="89">
        <f t="shared" si="10"/>
        <v>1</v>
      </c>
      <c r="Y18" s="86">
        <f t="shared" si="11"/>
        <v>15.3925</v>
      </c>
      <c r="Z18" s="86">
        <f t="shared" si="12"/>
        <v>1.7600000000000001E-2</v>
      </c>
      <c r="AA18" s="86">
        <f t="shared" si="13"/>
        <v>15.3749</v>
      </c>
      <c r="AB18" s="83">
        <f>VLOOKUP(A18,Enforcements!$C$7:$J$24,8,0)</f>
        <v>157300</v>
      </c>
      <c r="AC18" s="79" t="str">
        <f>VLOOKUP(A18,Enforcements!$C$7:$E$24,3,0)</f>
        <v>SIGNAL</v>
      </c>
      <c r="AD18" s="80" t="str">
        <f t="shared" si="14"/>
        <v>0106-25</v>
      </c>
      <c r="AE18" s="72" t="str">
        <f t="shared" si="15"/>
        <v>aws s3 cp s3://rtdc.mdm.uploadarchive/RTDC4030/2016-07-25/ "C:\Users\stu\Documents\Analysis\2016-02-23 RTDC Observations"\RTDC4030\2016-07-25 --recursive &amp; "C:\Users\stu\Documents\GitHub\mrs-test-scripts\Headless Mode &amp; Sideloading\WalkAndUnGZ.bat" "C:\Users\stu\Documents\Analysis\2016-02-23 RTDC Observations"\RTDC4030\2016-07-25 &amp; aws s3 cp s3://rtdc.mdm.uploadarchive/RTDC4030/2016-07-26/ "C:\Users\stu\Documents\Analysis\2016-02-23 RTDC Observations"\RTDC4030\2016-07-26 --recursive &amp; "C:\Users\stu\Documents\GitHub\mrs-test-scripts\Headless Mode &amp; Sideloading\WalkAndUnGZ.bat" "C:\Users\stu\Documents\Analysis\2016-02-23 RTDC Observations"\RTDC4030\2016-07-26</v>
      </c>
      <c r="AF18" s="72" t="str">
        <f t="shared" si="16"/>
        <v>"C:\Program Files (x86)\AstroGrep\AstroGrep.exe" /spath="C:\Users\stu\Documents\Analysis\2016-02-23 RTDC Observations" /stypes="*4030*20160725*" /stext=" 12:.+((prompt.+disp)|(slice.+state.+chan)|(ment ac)|(system.+state.+chan)|(\|lc)|(penalty)|(\[timeout))" /e /r /s</v>
      </c>
      <c r="AG18" s="1" t="str">
        <f t="shared" si="17"/>
        <v>EC</v>
      </c>
    </row>
    <row r="19" spans="1:33" s="1" customFormat="1" x14ac:dyDescent="0.25">
      <c r="A19" s="46" t="s">
        <v>389</v>
      </c>
      <c r="B19" s="7">
        <v>4027</v>
      </c>
      <c r="C19" s="26" t="s">
        <v>269</v>
      </c>
      <c r="D19" s="26" t="s">
        <v>125</v>
      </c>
      <c r="E19" s="16">
        <v>42576.183576388888</v>
      </c>
      <c r="F19" s="16">
        <v>42576.184525462966</v>
      </c>
      <c r="G19" s="7">
        <v>1</v>
      </c>
      <c r="H19" s="16" t="s">
        <v>246</v>
      </c>
      <c r="I19" s="16">
        <v>42576.213703703703</v>
      </c>
      <c r="J19" s="7">
        <v>0</v>
      </c>
      <c r="K19" s="26" t="str">
        <f t="shared" si="4"/>
        <v>4027/4028</v>
      </c>
      <c r="L19" s="26" t="str">
        <f>VLOOKUP(A19,'Trips&amp;Operators'!$C$1:$E$10000,3,FALSE)</f>
        <v>SPECTOR</v>
      </c>
      <c r="M19" s="6">
        <f t="shared" si="5"/>
        <v>2.9178240736655425E-2</v>
      </c>
      <c r="N19" s="7">
        <f t="shared" si="6"/>
        <v>42.016666660783812</v>
      </c>
      <c r="O19" s="7"/>
      <c r="P19" s="7"/>
      <c r="Q19" s="27"/>
      <c r="R19" s="27"/>
      <c r="S19" s="42">
        <f t="shared" si="7"/>
        <v>1</v>
      </c>
      <c r="T19" s="66" t="str">
        <f t="shared" si="8"/>
        <v>NorthBound</v>
      </c>
      <c r="U19" s="93">
        <f>COUNTIFS(Variables!$M$2:$M$19,IF(T19="NorthBound","&gt;=","&lt;=")&amp;Y19,Variables!$M$2:$M$19,IF(T19="NorthBound","&lt;=","&gt;=")&amp;Z19)</f>
        <v>12</v>
      </c>
      <c r="V1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03:24:21-0600',mode:absolute,to:'2016-07-25 06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19" s="71" t="str">
        <f t="shared" si="9"/>
        <v>N</v>
      </c>
      <c r="X19" s="89">
        <f t="shared" si="10"/>
        <v>1</v>
      </c>
      <c r="Y19" s="86">
        <f t="shared" si="11"/>
        <v>4.58E-2</v>
      </c>
      <c r="Z19" s="86">
        <f t="shared" si="12"/>
        <v>23.331499999999998</v>
      </c>
      <c r="AA19" s="86">
        <f t="shared" si="13"/>
        <v>23.285699999999999</v>
      </c>
      <c r="AB19" s="83" t="e">
        <f>VLOOKUP(A19,Enforcements!$C$7:$J$24,8,0)</f>
        <v>#N/A</v>
      </c>
      <c r="AC19" s="79" t="e">
        <f>VLOOKUP(A19,Enforcements!$C$7:$E$24,3,0)</f>
        <v>#N/A</v>
      </c>
      <c r="AD19" s="80" t="str">
        <f t="shared" si="14"/>
        <v>0107-25</v>
      </c>
      <c r="AE19" s="72" t="str">
        <f t="shared" si="15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19" s="72" t="str">
        <f t="shared" si="16"/>
        <v>"C:\Program Files (x86)\AstroGrep\AstroGrep.exe" /spath="C:\Users\stu\Documents\Analysis\2016-02-23 RTDC Observations" /stypes="*4027*20160725*" /stext=" 11:.+((prompt.+disp)|(slice.+state.+chan)|(ment ac)|(system.+state.+chan)|(\|lc)|(penalty)|(\[timeout))" /e /r /s</v>
      </c>
      <c r="AG19" s="1" t="str">
        <f t="shared" si="17"/>
        <v>EC</v>
      </c>
    </row>
    <row r="20" spans="1:33" s="1" customFormat="1" x14ac:dyDescent="0.25">
      <c r="A20" s="46" t="s">
        <v>374</v>
      </c>
      <c r="B20" s="7">
        <v>4028</v>
      </c>
      <c r="C20" s="26" t="s">
        <v>269</v>
      </c>
      <c r="D20" s="26" t="s">
        <v>318</v>
      </c>
      <c r="E20" s="16">
        <v>42576.220902777779</v>
      </c>
      <c r="F20" s="16">
        <v>42576.221932870372</v>
      </c>
      <c r="G20" s="7">
        <v>1</v>
      </c>
      <c r="H20" s="16" t="s">
        <v>254</v>
      </c>
      <c r="I20" s="16">
        <v>42576.260324074072</v>
      </c>
      <c r="J20" s="7">
        <v>0</v>
      </c>
      <c r="K20" s="26" t="str">
        <f t="shared" si="4"/>
        <v>4027/4028</v>
      </c>
      <c r="L20" s="26" t="str">
        <f>VLOOKUP(A20,'Trips&amp;Operators'!$C$1:$E$10000,3,FALSE)</f>
        <v>SPECTOR</v>
      </c>
      <c r="M20" s="6">
        <f t="shared" si="5"/>
        <v>3.8391203699575271E-2</v>
      </c>
      <c r="N20" s="7">
        <f t="shared" si="6"/>
        <v>55.283333327388391</v>
      </c>
      <c r="O20" s="7"/>
      <c r="P20" s="7"/>
      <c r="Q20" s="27"/>
      <c r="R20" s="27"/>
      <c r="S20" s="42">
        <f t="shared" si="7"/>
        <v>1</v>
      </c>
      <c r="T20" s="66" t="str">
        <f t="shared" si="8"/>
        <v>Southbound</v>
      </c>
      <c r="U20" s="93">
        <f>COUNTIFS(Variables!$M$2:$M$19,IF(T20="NorthBound","&gt;=","&lt;=")&amp;Y20,Variables!$M$2:$M$19,IF(T20="NorthBound","&lt;=","&gt;=")&amp;Z20)</f>
        <v>12</v>
      </c>
      <c r="V2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04:18:06-0600',mode:absolute,to:'2016-07-25 07:14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20" s="71" t="str">
        <f t="shared" si="9"/>
        <v>N</v>
      </c>
      <c r="X20" s="89">
        <f t="shared" si="10"/>
        <v>1</v>
      </c>
      <c r="Y20" s="86">
        <f t="shared" si="11"/>
        <v>23.3004</v>
      </c>
      <c r="Z20" s="86">
        <f t="shared" si="12"/>
        <v>1.49E-2</v>
      </c>
      <c r="AA20" s="86">
        <f t="shared" si="13"/>
        <v>23.285499999999999</v>
      </c>
      <c r="AB20" s="83" t="e">
        <f>VLOOKUP(A20,Enforcements!$C$7:$J$24,8,0)</f>
        <v>#N/A</v>
      </c>
      <c r="AC20" s="79" t="e">
        <f>VLOOKUP(A20,Enforcements!$C$7:$E$24,3,0)</f>
        <v>#N/A</v>
      </c>
      <c r="AD20" s="80" t="str">
        <f t="shared" si="14"/>
        <v>0108-25</v>
      </c>
      <c r="AE20" s="72" t="str">
        <f t="shared" si="15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20" s="72" t="str">
        <f t="shared" si="16"/>
        <v>"C:\Program Files (x86)\AstroGrep\AstroGrep.exe" /spath="C:\Users\stu\Documents\Analysis\2016-02-23 RTDC Observations" /stypes="*4028*20160725*" /stext=" 12:.+((prompt.+disp)|(slice.+state.+chan)|(ment ac)|(system.+state.+chan)|(\|lc)|(penalty)|(\[timeout))" /e /r /s</v>
      </c>
      <c r="AG20" s="1" t="str">
        <f t="shared" si="17"/>
        <v>EC</v>
      </c>
    </row>
    <row r="21" spans="1:33" s="1" customFormat="1" x14ac:dyDescent="0.25">
      <c r="A21" s="46" t="s">
        <v>377</v>
      </c>
      <c r="B21" s="7">
        <v>4014</v>
      </c>
      <c r="C21" s="26" t="s">
        <v>269</v>
      </c>
      <c r="D21" s="26" t="s">
        <v>243</v>
      </c>
      <c r="E21" s="16">
        <v>42576.192013888889</v>
      </c>
      <c r="F21" s="16">
        <v>42576.192881944444</v>
      </c>
      <c r="G21" s="7">
        <v>1</v>
      </c>
      <c r="H21" s="16" t="s">
        <v>402</v>
      </c>
      <c r="I21" s="16">
        <v>42576.22278935185</v>
      </c>
      <c r="J21" s="7">
        <v>0</v>
      </c>
      <c r="K21" s="26" t="str">
        <f t="shared" si="4"/>
        <v>4013/4014</v>
      </c>
      <c r="L21" s="26" t="str">
        <f>VLOOKUP(A21,'Trips&amp;Operators'!$C$1:$E$10000,3,FALSE)</f>
        <v>YORK</v>
      </c>
      <c r="M21" s="6">
        <f t="shared" si="5"/>
        <v>2.9907407406426501E-2</v>
      </c>
      <c r="N21" s="7">
        <f t="shared" si="6"/>
        <v>43.066666665254161</v>
      </c>
      <c r="O21" s="7"/>
      <c r="P21" s="7"/>
      <c r="Q21" s="27"/>
      <c r="R21" s="27"/>
      <c r="S21" s="42">
        <f t="shared" si="7"/>
        <v>1</v>
      </c>
      <c r="T21" s="66" t="str">
        <f t="shared" si="8"/>
        <v>NorthBound</v>
      </c>
      <c r="U21" s="93">
        <f>COUNTIFS(Variables!$M$2:$M$19,IF(T21="NorthBound","&gt;=","&lt;=")&amp;Y21,Variables!$M$2:$M$19,IF(T21="NorthBound","&lt;=","&gt;=")&amp;Z21)</f>
        <v>12</v>
      </c>
      <c r="V21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03:36:30-0600',mode:absolute,to:'2016-07-25 06:20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21" s="71" t="str">
        <f t="shared" si="9"/>
        <v>N</v>
      </c>
      <c r="X21" s="89">
        <f t="shared" si="10"/>
        <v>1</v>
      </c>
      <c r="Y21" s="86">
        <f t="shared" si="11"/>
        <v>4.53E-2</v>
      </c>
      <c r="Z21" s="86">
        <f t="shared" si="12"/>
        <v>23.329699999999999</v>
      </c>
      <c r="AA21" s="86">
        <f t="shared" si="13"/>
        <v>23.284399999999998</v>
      </c>
      <c r="AB21" s="83" t="e">
        <f>VLOOKUP(A21,Enforcements!$C$7:$J$24,8,0)</f>
        <v>#N/A</v>
      </c>
      <c r="AC21" s="79" t="e">
        <f>VLOOKUP(A21,Enforcements!$C$7:$E$24,3,0)</f>
        <v>#N/A</v>
      </c>
      <c r="AD21" s="80" t="str">
        <f t="shared" si="14"/>
        <v>0109-25</v>
      </c>
      <c r="AE21" s="72" t="str">
        <f t="shared" si="15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21" s="72" t="str">
        <f t="shared" si="16"/>
        <v>"C:\Program Files (x86)\AstroGrep\AstroGrep.exe" /spath="C:\Users\stu\Documents\Analysis\2016-02-23 RTDC Observations" /stypes="*4014*20160725*" /stext=" 11:.+((prompt.+disp)|(slice.+state.+chan)|(ment ac)|(system.+state.+chan)|(\|lc)|(penalty)|(\[timeout))" /e /r /s</v>
      </c>
      <c r="AG21" s="1" t="str">
        <f t="shared" si="17"/>
        <v>EC</v>
      </c>
    </row>
    <row r="22" spans="1:33" s="36" customFormat="1" x14ac:dyDescent="0.25">
      <c r="A22" s="46" t="s">
        <v>391</v>
      </c>
      <c r="B22" s="7">
        <v>4013</v>
      </c>
      <c r="C22" s="26" t="s">
        <v>269</v>
      </c>
      <c r="D22" s="26" t="s">
        <v>250</v>
      </c>
      <c r="E22" s="16">
        <v>42576.22415509259</v>
      </c>
      <c r="F22" s="16">
        <v>42576.224988425929</v>
      </c>
      <c r="G22" s="7">
        <v>1</v>
      </c>
      <c r="H22" s="16" t="s">
        <v>255</v>
      </c>
      <c r="I22" s="16">
        <v>42576.268368055556</v>
      </c>
      <c r="J22" s="7">
        <v>0</v>
      </c>
      <c r="K22" s="26" t="str">
        <f t="shared" si="4"/>
        <v>4013/4014</v>
      </c>
      <c r="L22" s="26" t="str">
        <f>VLOOKUP(A22,'Trips&amp;Operators'!$C$1:$E$10000,3,FALSE)</f>
        <v>YORK</v>
      </c>
      <c r="M22" s="6">
        <f t="shared" si="5"/>
        <v>4.3379629627452232E-2</v>
      </c>
      <c r="N22" s="7">
        <f t="shared" si="6"/>
        <v>62.466666663531214</v>
      </c>
      <c r="O22" s="7"/>
      <c r="P22" s="7"/>
      <c r="Q22" s="27"/>
      <c r="R22" s="27"/>
      <c r="S22" s="42">
        <f t="shared" si="7"/>
        <v>1</v>
      </c>
      <c r="T22" s="66" t="str">
        <f t="shared" si="8"/>
        <v>Southbound</v>
      </c>
      <c r="U22" s="93">
        <f>COUNTIFS(Variables!$M$2:$M$19,IF(T22="NorthBound","&gt;=","&lt;=")&amp;Y22,Variables!$M$2:$M$19,IF(T22="NorthBound","&lt;=","&gt;=")&amp;Z22)</f>
        <v>12</v>
      </c>
      <c r="V2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04:22:47-0600',mode:absolute,to:'2016-07-25 07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22" s="71" t="str">
        <f t="shared" si="9"/>
        <v>N</v>
      </c>
      <c r="X22" s="89">
        <f t="shared" si="10"/>
        <v>1</v>
      </c>
      <c r="Y22" s="86">
        <f t="shared" si="11"/>
        <v>23.2973</v>
      </c>
      <c r="Z22" s="86">
        <f t="shared" si="12"/>
        <v>1.5800000000000002E-2</v>
      </c>
      <c r="AA22" s="86">
        <f t="shared" si="13"/>
        <v>23.281500000000001</v>
      </c>
      <c r="AB22" s="83" t="e">
        <f>VLOOKUP(A22,Enforcements!$C$7:$J$24,8,0)</f>
        <v>#N/A</v>
      </c>
      <c r="AC22" s="79" t="e">
        <f>VLOOKUP(A22,Enforcements!$C$7:$E$24,3,0)</f>
        <v>#N/A</v>
      </c>
      <c r="AD22" s="80" t="str">
        <f t="shared" si="14"/>
        <v>0110-25</v>
      </c>
      <c r="AE22" s="72" t="str">
        <f t="shared" si="15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22" s="72" t="str">
        <f t="shared" si="16"/>
        <v>"C:\Program Files (x86)\AstroGrep\AstroGrep.exe" /spath="C:\Users\stu\Documents\Analysis\2016-02-23 RTDC Observations" /stypes="*4013*20160725*" /stext=" 12:.+((prompt.+disp)|(slice.+state.+chan)|(ment ac)|(system.+state.+chan)|(\|lc)|(penalty)|(\[timeout))" /e /r /s</v>
      </c>
      <c r="AG22" s="1" t="str">
        <f t="shared" si="17"/>
        <v>EC</v>
      </c>
    </row>
    <row r="23" spans="1:33" s="1" customFormat="1" x14ac:dyDescent="0.25">
      <c r="A23" s="46" t="s">
        <v>384</v>
      </c>
      <c r="B23" s="7">
        <v>4038</v>
      </c>
      <c r="C23" s="26" t="s">
        <v>269</v>
      </c>
      <c r="D23" s="26" t="s">
        <v>403</v>
      </c>
      <c r="E23" s="16">
        <v>42576.209618055553</v>
      </c>
      <c r="F23" s="16">
        <v>42576.210613425923</v>
      </c>
      <c r="G23" s="7">
        <v>1</v>
      </c>
      <c r="H23" s="16" t="s">
        <v>240</v>
      </c>
      <c r="I23" s="16">
        <v>42576.236747685187</v>
      </c>
      <c r="J23" s="7">
        <v>0</v>
      </c>
      <c r="K23" s="26" t="str">
        <f t="shared" si="4"/>
        <v>4037/4038</v>
      </c>
      <c r="L23" s="26" t="str">
        <f>VLOOKUP(A23,'Trips&amp;Operators'!$C$1:$E$10000,3,FALSE)</f>
        <v>STARKS</v>
      </c>
      <c r="M23" s="6">
        <f t="shared" si="5"/>
        <v>2.6134259263926651E-2</v>
      </c>
      <c r="N23" s="7">
        <f t="shared" si="6"/>
        <v>37.633333340054378</v>
      </c>
      <c r="O23" s="7"/>
      <c r="P23" s="7"/>
      <c r="Q23" s="27"/>
      <c r="R23" s="27"/>
      <c r="S23" s="42">
        <f t="shared" si="7"/>
        <v>1</v>
      </c>
      <c r="T23" s="66" t="str">
        <f t="shared" si="8"/>
        <v>NorthBound</v>
      </c>
      <c r="U23" s="93">
        <f>COUNTIFS(Variables!$M$2:$M$19,IF(T23="NorthBound","&gt;=","&lt;=")&amp;Y23,Variables!$M$2:$M$19,IF(T23="NorthBound","&lt;=","&gt;=")&amp;Z23)</f>
        <v>12</v>
      </c>
      <c r="V2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04:01:51-0600',mode:absolute,to:'2016-07-25 06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23" s="71" t="str">
        <f t="shared" si="9"/>
        <v>N</v>
      </c>
      <c r="X23" s="89">
        <f t="shared" si="10"/>
        <v>1</v>
      </c>
      <c r="Y23" s="86">
        <f t="shared" si="11"/>
        <v>7.9899999999999999E-2</v>
      </c>
      <c r="Z23" s="86">
        <f t="shared" si="12"/>
        <v>23.330200000000001</v>
      </c>
      <c r="AA23" s="86">
        <f t="shared" si="13"/>
        <v>23.250300000000003</v>
      </c>
      <c r="AB23" s="83" t="e">
        <f>VLOOKUP(A23,Enforcements!$C$7:$J$24,8,0)</f>
        <v>#N/A</v>
      </c>
      <c r="AC23" s="79" t="e">
        <f>VLOOKUP(A23,Enforcements!$C$7:$E$24,3,0)</f>
        <v>#N/A</v>
      </c>
      <c r="AD23" s="80" t="str">
        <f t="shared" si="14"/>
        <v>0111-25</v>
      </c>
      <c r="AE23" s="72" t="str">
        <f t="shared" si="15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23" s="72" t="str">
        <f t="shared" si="16"/>
        <v>"C:\Program Files (x86)\AstroGrep\AstroGrep.exe" /spath="C:\Users\stu\Documents\Analysis\2016-02-23 RTDC Observations" /stypes="*4038*20160725*" /stext=" 11:.+((prompt.+disp)|(slice.+state.+chan)|(ment ac)|(system.+state.+chan)|(\|lc)|(penalty)|(\[timeout))" /e /r /s</v>
      </c>
      <c r="AG23" s="1" t="str">
        <f t="shared" si="17"/>
        <v>EC</v>
      </c>
    </row>
    <row r="24" spans="1:33" s="1" customFormat="1" ht="14.25" customHeight="1" x14ac:dyDescent="0.25">
      <c r="A24" s="46" t="s">
        <v>364</v>
      </c>
      <c r="B24" s="7">
        <v>4009</v>
      </c>
      <c r="C24" s="26" t="s">
        <v>269</v>
      </c>
      <c r="D24" s="26" t="s">
        <v>404</v>
      </c>
      <c r="E24" s="16">
        <v>42576.214699074073</v>
      </c>
      <c r="F24" s="16">
        <v>42576.217175925929</v>
      </c>
      <c r="G24" s="7">
        <v>3</v>
      </c>
      <c r="H24" s="16" t="s">
        <v>311</v>
      </c>
      <c r="I24" s="16">
        <v>42576.250891203701</v>
      </c>
      <c r="J24" s="7">
        <v>0</v>
      </c>
      <c r="K24" s="26" t="str">
        <f t="shared" si="4"/>
        <v>4009/4010</v>
      </c>
      <c r="L24" s="26" t="str">
        <f>VLOOKUP(A24,'Trips&amp;Operators'!$C$1:$E$10000,3,FALSE)</f>
        <v>STURGEON</v>
      </c>
      <c r="M24" s="6">
        <f t="shared" si="5"/>
        <v>3.3715277771989349E-2</v>
      </c>
      <c r="N24" s="7">
        <f t="shared" si="6"/>
        <v>48.549999991664663</v>
      </c>
      <c r="O24" s="7"/>
      <c r="P24" s="7"/>
      <c r="Q24" s="27"/>
      <c r="R24" s="27"/>
      <c r="S24" s="42">
        <f t="shared" si="7"/>
        <v>1</v>
      </c>
      <c r="T24" s="66" t="str">
        <f t="shared" si="8"/>
        <v>NorthBound</v>
      </c>
      <c r="U24" s="93">
        <f>COUNTIFS(Variables!$M$2:$M$19,IF(T24="NorthBound","&gt;=","&lt;=")&amp;Y24,Variables!$M$2:$M$19,IF(T24="NorthBound","&lt;=","&gt;=")&amp;Z24)</f>
        <v>12</v>
      </c>
      <c r="V2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04:09:10-0600',mode:absolute,to:'2016-07-25 07:01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24" s="71" t="str">
        <f t="shared" si="9"/>
        <v>N</v>
      </c>
      <c r="X24" s="89">
        <f t="shared" si="10"/>
        <v>2</v>
      </c>
      <c r="Y24" s="86">
        <f t="shared" si="11"/>
        <v>4.6600000000000003E-2</v>
      </c>
      <c r="Z24" s="86">
        <f t="shared" si="12"/>
        <v>23.324100000000001</v>
      </c>
      <c r="AA24" s="86">
        <f t="shared" si="13"/>
        <v>23.2775</v>
      </c>
      <c r="AB24" s="83" t="e">
        <f>VLOOKUP(A24,Enforcements!$C$7:$J$24,8,0)</f>
        <v>#N/A</v>
      </c>
      <c r="AC24" s="79" t="e">
        <f>VLOOKUP(A24,Enforcements!$C$7:$E$24,3,0)</f>
        <v>#N/A</v>
      </c>
      <c r="AD24" s="80" t="str">
        <f t="shared" si="14"/>
        <v>0113-25</v>
      </c>
      <c r="AE24" s="72" t="str">
        <f t="shared" si="15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24" s="72" t="str">
        <f t="shared" si="16"/>
        <v>"C:\Program Files (x86)\AstroGrep\AstroGrep.exe" /spath="C:\Users\stu\Documents\Analysis\2016-02-23 RTDC Observations" /stypes="*4009*20160725*" /stext=" 12:.+((prompt.+disp)|(slice.+state.+chan)|(ment ac)|(system.+state.+chan)|(\|lc)|(penalty)|(\[timeout))" /e /r /s</v>
      </c>
      <c r="AG24" s="1" t="str">
        <f t="shared" si="17"/>
        <v>EC</v>
      </c>
    </row>
    <row r="25" spans="1:33" s="1" customFormat="1" x14ac:dyDescent="0.25">
      <c r="A25" s="46" t="s">
        <v>370</v>
      </c>
      <c r="B25" s="7">
        <v>4010</v>
      </c>
      <c r="C25" s="26" t="s">
        <v>269</v>
      </c>
      <c r="D25" s="26" t="s">
        <v>405</v>
      </c>
      <c r="E25" s="16">
        <v>42576.254016203704</v>
      </c>
      <c r="F25" s="16">
        <v>42576.255115740743</v>
      </c>
      <c r="G25" s="7">
        <v>1</v>
      </c>
      <c r="H25" s="16" t="s">
        <v>406</v>
      </c>
      <c r="I25" s="16">
        <v>42576.286678240744</v>
      </c>
      <c r="J25" s="7">
        <v>0</v>
      </c>
      <c r="K25" s="26" t="str">
        <f t="shared" si="4"/>
        <v>4009/4010</v>
      </c>
      <c r="L25" s="26" t="str">
        <f>VLOOKUP(A25,'Trips&amp;Operators'!$C$1:$E$10000,3,FALSE)</f>
        <v>STURGEON</v>
      </c>
      <c r="M25" s="6">
        <f t="shared" si="5"/>
        <v>3.1562500000291038E-2</v>
      </c>
      <c r="N25" s="7">
        <f t="shared" si="6"/>
        <v>45.450000000419095</v>
      </c>
      <c r="O25" s="7"/>
      <c r="P25" s="7"/>
      <c r="Q25" s="27"/>
      <c r="R25" s="27"/>
      <c r="S25" s="42">
        <f t="shared" si="7"/>
        <v>1</v>
      </c>
      <c r="T25" s="66" t="str">
        <f t="shared" si="8"/>
        <v>Southbound</v>
      </c>
      <c r="U25" s="93">
        <f>COUNTIFS(Variables!$M$2:$M$19,IF(T25="NorthBound","&gt;=","&lt;=")&amp;Y25,Variables!$M$2:$M$19,IF(T25="NorthBound","&lt;=","&gt;=")&amp;Z25)</f>
        <v>12</v>
      </c>
      <c r="V2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05:05:47-0600',mode:absolute,to:'2016-07-25 07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25" s="71" t="str">
        <f t="shared" si="9"/>
        <v>N</v>
      </c>
      <c r="X25" s="89">
        <f t="shared" si="10"/>
        <v>1</v>
      </c>
      <c r="Y25" s="86">
        <f t="shared" si="11"/>
        <v>23.294599999999999</v>
      </c>
      <c r="Z25" s="86">
        <f t="shared" si="12"/>
        <v>1.34E-2</v>
      </c>
      <c r="AA25" s="86">
        <f t="shared" si="13"/>
        <v>23.281199999999998</v>
      </c>
      <c r="AB25" s="83" t="e">
        <f>VLOOKUP(A25,Enforcements!$C$7:$J$24,8,0)</f>
        <v>#N/A</v>
      </c>
      <c r="AC25" s="79" t="e">
        <f>VLOOKUP(A25,Enforcements!$C$7:$E$24,3,0)</f>
        <v>#N/A</v>
      </c>
      <c r="AD25" s="80" t="str">
        <f t="shared" si="14"/>
        <v>0114-25</v>
      </c>
      <c r="AE25" s="72" t="str">
        <f t="shared" si="15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25" s="72" t="str">
        <f t="shared" si="16"/>
        <v>"C:\Program Files (x86)\AstroGrep\AstroGrep.exe" /spath="C:\Users\stu\Documents\Analysis\2016-02-23 RTDC Observations" /stypes="*4010*20160725*" /stext=" 12:.+((prompt.+disp)|(slice.+state.+chan)|(ment ac)|(system.+state.+chan)|(\|lc)|(penalty)|(\[timeout))" /e /r /s</v>
      </c>
      <c r="AG25" s="1" t="str">
        <f t="shared" si="17"/>
        <v>EC</v>
      </c>
    </row>
    <row r="26" spans="1:33" s="1" customFormat="1" x14ac:dyDescent="0.25">
      <c r="A26" s="46" t="s">
        <v>392</v>
      </c>
      <c r="B26" s="7">
        <v>4007</v>
      </c>
      <c r="C26" s="26" t="s">
        <v>269</v>
      </c>
      <c r="D26" s="26" t="s">
        <v>407</v>
      </c>
      <c r="E26" s="16">
        <v>42576.225937499999</v>
      </c>
      <c r="F26" s="16">
        <v>42576.22896990741</v>
      </c>
      <c r="G26" s="7">
        <v>4</v>
      </c>
      <c r="H26" s="16" t="s">
        <v>402</v>
      </c>
      <c r="I26" s="16">
        <v>42576.255023148151</v>
      </c>
      <c r="J26" s="7">
        <v>1</v>
      </c>
      <c r="K26" s="26" t="str">
        <f t="shared" si="4"/>
        <v>4007/4008</v>
      </c>
      <c r="L26" s="26" t="str">
        <f>VLOOKUP(A26,'Trips&amp;Operators'!$C$1:$E$10000,3,FALSE)</f>
        <v>MALAVE</v>
      </c>
      <c r="M26" s="6">
        <f t="shared" si="5"/>
        <v>2.6053240741021E-2</v>
      </c>
      <c r="N26" s="7">
        <f t="shared" si="6"/>
        <v>37.51666666707024</v>
      </c>
      <c r="O26" s="7"/>
      <c r="P26" s="7"/>
      <c r="Q26" s="27"/>
      <c r="R26" s="27"/>
      <c r="S26" s="42">
        <f t="shared" si="7"/>
        <v>1</v>
      </c>
      <c r="T26" s="66" t="str">
        <f t="shared" si="8"/>
        <v>NorthBound</v>
      </c>
      <c r="U26" s="93">
        <f>COUNTIFS(Variables!$M$2:$M$19,IF(T26="NorthBound","&gt;=","&lt;=")&amp;Y26,Variables!$M$2:$M$19,IF(T26="NorthBound","&lt;=","&gt;=")&amp;Z26)</f>
        <v>12</v>
      </c>
      <c r="V2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04:25:21-0600',mode:absolute,to:'2016-07-25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26" s="71" t="str">
        <f t="shared" si="9"/>
        <v>N</v>
      </c>
      <c r="X26" s="89">
        <f t="shared" si="10"/>
        <v>1</v>
      </c>
      <c r="Y26" s="86">
        <f t="shared" si="11"/>
        <v>7.5399999999999995E-2</v>
      </c>
      <c r="Z26" s="86">
        <f t="shared" si="12"/>
        <v>23.329699999999999</v>
      </c>
      <c r="AA26" s="86">
        <f t="shared" si="13"/>
        <v>23.254300000000001</v>
      </c>
      <c r="AB26" s="83">
        <f>VLOOKUP(A26,Enforcements!$C$7:$J$24,8,0)</f>
        <v>36642</v>
      </c>
      <c r="AC26" s="79" t="str">
        <f>VLOOKUP(A26,Enforcements!$C$7:$E$24,3,0)</f>
        <v>GRADE CROSSING</v>
      </c>
      <c r="AD26" s="80" t="str">
        <f t="shared" si="14"/>
        <v>0115-25</v>
      </c>
      <c r="AE26" s="72" t="str">
        <f t="shared" si="15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26" s="72" t="str">
        <f t="shared" si="16"/>
        <v>"C:\Program Files (x86)\AstroGrep\AstroGrep.exe" /spath="C:\Users\stu\Documents\Analysis\2016-02-23 RTDC Observations" /stypes="*4007*20160725*" /stext=" 12:.+((prompt.+disp)|(slice.+state.+chan)|(ment ac)|(system.+state.+chan)|(\|lc)|(penalty)|(\[timeout))" /e /r /s</v>
      </c>
      <c r="AG26" s="1" t="str">
        <f t="shared" si="17"/>
        <v>EC</v>
      </c>
    </row>
    <row r="27" spans="1:33" s="1" customFormat="1" x14ac:dyDescent="0.25">
      <c r="A27" s="46" t="s">
        <v>378</v>
      </c>
      <c r="B27" s="7">
        <v>4008</v>
      </c>
      <c r="C27" s="26" t="s">
        <v>269</v>
      </c>
      <c r="D27" s="26" t="s">
        <v>408</v>
      </c>
      <c r="E27" s="16">
        <v>42576.266006944446</v>
      </c>
      <c r="F27" s="16">
        <v>42576.266898148147</v>
      </c>
      <c r="G27" s="7">
        <v>1</v>
      </c>
      <c r="H27" s="16" t="s">
        <v>115</v>
      </c>
      <c r="I27" s="16">
        <v>42576.294664351852</v>
      </c>
      <c r="J27" s="7">
        <v>0</v>
      </c>
      <c r="K27" s="26" t="str">
        <f t="shared" si="4"/>
        <v>4007/4008</v>
      </c>
      <c r="L27" s="26" t="str">
        <f>VLOOKUP(A27,'Trips&amp;Operators'!$C$1:$E$10000,3,FALSE)</f>
        <v>MALAVE</v>
      </c>
      <c r="M27" s="6">
        <f t="shared" si="5"/>
        <v>2.7766203704231884E-2</v>
      </c>
      <c r="N27" s="7">
        <f t="shared" si="6"/>
        <v>39.983333334093913</v>
      </c>
      <c r="O27" s="7"/>
      <c r="P27" s="7"/>
      <c r="Q27" s="27"/>
      <c r="R27" s="27"/>
      <c r="S27" s="42">
        <f t="shared" si="7"/>
        <v>1</v>
      </c>
      <c r="T27" s="66" t="str">
        <f t="shared" si="8"/>
        <v>Southbound</v>
      </c>
      <c r="U27" s="93">
        <f>COUNTIFS(Variables!$M$2:$M$19,IF(T27="NorthBound","&gt;=","&lt;=")&amp;Y27,Variables!$M$2:$M$19,IF(T27="NorthBound","&lt;=","&gt;=")&amp;Z27)</f>
        <v>12</v>
      </c>
      <c r="V2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05:23:03-0600',mode:absolute,to:'2016-07-25 08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27" s="71" t="str">
        <f t="shared" si="9"/>
        <v>N</v>
      </c>
      <c r="X27" s="89">
        <f t="shared" si="10"/>
        <v>1</v>
      </c>
      <c r="Y27" s="86">
        <f t="shared" si="11"/>
        <v>23.296399999999998</v>
      </c>
      <c r="Z27" s="86">
        <f t="shared" si="12"/>
        <v>1.5599999999999999E-2</v>
      </c>
      <c r="AA27" s="86">
        <f t="shared" si="13"/>
        <v>23.280799999999999</v>
      </c>
      <c r="AB27" s="83" t="e">
        <f>VLOOKUP(A27,Enforcements!$C$7:$J$24,8,0)</f>
        <v>#N/A</v>
      </c>
      <c r="AC27" s="79" t="e">
        <f>VLOOKUP(A27,Enforcements!$C$7:$E$24,3,0)</f>
        <v>#N/A</v>
      </c>
      <c r="AD27" s="80" t="str">
        <f t="shared" si="14"/>
        <v>0116-25</v>
      </c>
      <c r="AE27" s="72" t="str">
        <f t="shared" si="15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27" s="72" t="str">
        <f t="shared" si="16"/>
        <v>"C:\Program Files (x86)\AstroGrep\AstroGrep.exe" /spath="C:\Users\stu\Documents\Analysis\2016-02-23 RTDC Observations" /stypes="*4008*20160725*" /stext=" 13:.+((prompt.+disp)|(slice.+state.+chan)|(ment ac)|(system.+state.+chan)|(\|lc)|(penalty)|(\[timeout))" /e /r /s</v>
      </c>
      <c r="AG27" s="1" t="str">
        <f t="shared" si="17"/>
        <v>EC</v>
      </c>
    </row>
    <row r="28" spans="1:33" s="1" customFormat="1" x14ac:dyDescent="0.25">
      <c r="A28" s="46" t="s">
        <v>368</v>
      </c>
      <c r="B28" s="7">
        <v>4018</v>
      </c>
      <c r="C28" s="26" t="s">
        <v>269</v>
      </c>
      <c r="D28" s="26" t="s">
        <v>183</v>
      </c>
      <c r="E28" s="16">
        <v>42576.232685185183</v>
      </c>
      <c r="F28" s="16">
        <v>42576.233865740738</v>
      </c>
      <c r="G28" s="7">
        <v>1</v>
      </c>
      <c r="H28" s="16" t="s">
        <v>158</v>
      </c>
      <c r="I28" s="16">
        <v>42576.264502314814</v>
      </c>
      <c r="J28" s="7">
        <v>0</v>
      </c>
      <c r="K28" s="26" t="str">
        <f t="shared" si="4"/>
        <v>4017/4018</v>
      </c>
      <c r="L28" s="26" t="str">
        <f>VLOOKUP(A28,'Trips&amp;Operators'!$C$1:$E$10000,3,FALSE)</f>
        <v>ACKERMAN</v>
      </c>
      <c r="M28" s="6">
        <f t="shared" si="5"/>
        <v>3.0636574076197576E-2</v>
      </c>
      <c r="N28" s="7">
        <f t="shared" si="6"/>
        <v>44.116666669724509</v>
      </c>
      <c r="O28" s="7"/>
      <c r="P28" s="7"/>
      <c r="Q28" s="27"/>
      <c r="R28" s="27"/>
      <c r="S28" s="42">
        <f t="shared" si="7"/>
        <v>1</v>
      </c>
      <c r="T28" s="66" t="str">
        <f t="shared" si="8"/>
        <v>NorthBound</v>
      </c>
      <c r="U28" s="93">
        <f>COUNTIFS(Variables!$M$2:$M$19,IF(T28="NorthBound","&gt;=","&lt;=")&amp;Y28,Variables!$M$2:$M$19,IF(T28="NorthBound","&lt;=","&gt;=")&amp;Z28)</f>
        <v>12</v>
      </c>
      <c r="V2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04:35:04-0600',mode:absolute,to:'2016-07-25 07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28" s="71" t="str">
        <f t="shared" si="9"/>
        <v>N</v>
      </c>
      <c r="X28" s="89">
        <f t="shared" si="10"/>
        <v>1</v>
      </c>
      <c r="Y28" s="86">
        <f t="shared" si="11"/>
        <v>4.3700000000000003E-2</v>
      </c>
      <c r="Z28" s="86">
        <f t="shared" si="12"/>
        <v>23.331199999999999</v>
      </c>
      <c r="AA28" s="86">
        <f t="shared" si="13"/>
        <v>23.287499999999998</v>
      </c>
      <c r="AB28" s="83" t="e">
        <f>VLOOKUP(A28,Enforcements!$C$7:$J$24,8,0)</f>
        <v>#N/A</v>
      </c>
      <c r="AC28" s="79" t="e">
        <f>VLOOKUP(A28,Enforcements!$C$7:$E$24,3,0)</f>
        <v>#N/A</v>
      </c>
      <c r="AD28" s="80" t="str">
        <f t="shared" si="14"/>
        <v>0117-25</v>
      </c>
      <c r="AE28" s="72" t="str">
        <f t="shared" si="15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28" s="72" t="str">
        <f t="shared" si="16"/>
        <v>"C:\Program Files (x86)\AstroGrep\AstroGrep.exe" /spath="C:\Users\stu\Documents\Analysis\2016-02-23 RTDC Observations" /stypes="*4018*20160725*" /stext=" 12:.+((prompt.+disp)|(slice.+state.+chan)|(ment ac)|(system.+state.+chan)|(\|lc)|(penalty)|(\[timeout))" /e /r /s</v>
      </c>
      <c r="AG28" s="1" t="str">
        <f t="shared" si="17"/>
        <v>EC</v>
      </c>
    </row>
    <row r="29" spans="1:33" s="1" customFormat="1" x14ac:dyDescent="0.25">
      <c r="A29" s="46" t="s">
        <v>394</v>
      </c>
      <c r="B29" s="7">
        <v>4017</v>
      </c>
      <c r="C29" s="26" t="s">
        <v>269</v>
      </c>
      <c r="D29" s="26" t="s">
        <v>409</v>
      </c>
      <c r="E29" s="16">
        <v>42576.271608796298</v>
      </c>
      <c r="F29" s="16">
        <v>42576.272465277776</v>
      </c>
      <c r="G29" s="7">
        <v>1</v>
      </c>
      <c r="H29" s="16" t="s">
        <v>410</v>
      </c>
      <c r="I29" s="16">
        <v>42576.305601851855</v>
      </c>
      <c r="J29" s="7">
        <v>0</v>
      </c>
      <c r="K29" s="26" t="str">
        <f t="shared" si="4"/>
        <v>4017/4018</v>
      </c>
      <c r="L29" s="26" t="str">
        <f>VLOOKUP(A29,'Trips&amp;Operators'!$C$1:$E$10000,3,FALSE)</f>
        <v>ACKERMAN</v>
      </c>
      <c r="M29" s="6">
        <f t="shared" si="5"/>
        <v>3.3136574078525882E-2</v>
      </c>
      <c r="N29" s="7">
        <f t="shared" si="6"/>
        <v>47.71666667307727</v>
      </c>
      <c r="O29" s="7"/>
      <c r="P29" s="7"/>
      <c r="Q29" s="27"/>
      <c r="R29" s="27"/>
      <c r="S29" s="42">
        <f t="shared" si="7"/>
        <v>1</v>
      </c>
      <c r="T29" s="66" t="str">
        <f t="shared" si="8"/>
        <v>Southbound</v>
      </c>
      <c r="U29" s="93">
        <f>COUNTIFS(Variables!$M$2:$M$19,IF(T29="NorthBound","&gt;=","&lt;=")&amp;Y29,Variables!$M$2:$M$19,IF(T29="NorthBound","&lt;=","&gt;=")&amp;Z29)</f>
        <v>12</v>
      </c>
      <c r="V2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05:31:07-0600',mode:absolute,to:'2016-07-25 08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29" s="71" t="str">
        <f t="shared" si="9"/>
        <v>N</v>
      </c>
      <c r="X29" s="89">
        <f t="shared" si="10"/>
        <v>1</v>
      </c>
      <c r="Y29" s="86">
        <f t="shared" si="11"/>
        <v>23.3</v>
      </c>
      <c r="Z29" s="86">
        <f t="shared" si="12"/>
        <v>1.2699999999999999E-2</v>
      </c>
      <c r="AA29" s="86">
        <f t="shared" si="13"/>
        <v>23.287300000000002</v>
      </c>
      <c r="AB29" s="83" t="e">
        <f>VLOOKUP(A29,Enforcements!$C$7:$J$24,8,0)</f>
        <v>#N/A</v>
      </c>
      <c r="AC29" s="79" t="e">
        <f>VLOOKUP(A29,Enforcements!$C$7:$E$24,3,0)</f>
        <v>#N/A</v>
      </c>
      <c r="AD29" s="80" t="str">
        <f t="shared" si="14"/>
        <v>0118-25</v>
      </c>
      <c r="AE29" s="72" t="str">
        <f t="shared" si="15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29" s="72" t="str">
        <f t="shared" si="16"/>
        <v>"C:\Program Files (x86)\AstroGrep\AstroGrep.exe" /spath="C:\Users\stu\Documents\Analysis\2016-02-23 RTDC Observations" /stypes="*4017*20160725*" /stext=" 13:.+((prompt.+disp)|(slice.+state.+chan)|(ment ac)|(system.+state.+chan)|(\|lc)|(penalty)|(\[timeout))" /e /r /s</v>
      </c>
      <c r="AG29" s="1" t="str">
        <f t="shared" si="17"/>
        <v>EC</v>
      </c>
    </row>
    <row r="30" spans="1:33" s="1" customFormat="1" x14ac:dyDescent="0.25">
      <c r="A30" s="46" t="s">
        <v>383</v>
      </c>
      <c r="B30" s="7">
        <v>4020</v>
      </c>
      <c r="C30" s="26" t="s">
        <v>269</v>
      </c>
      <c r="D30" s="26" t="s">
        <v>411</v>
      </c>
      <c r="E30" s="16">
        <v>42576.251180555555</v>
      </c>
      <c r="F30" s="16">
        <v>42576.252534722225</v>
      </c>
      <c r="G30" s="7">
        <v>1</v>
      </c>
      <c r="H30" s="16" t="s">
        <v>412</v>
      </c>
      <c r="I30" s="16">
        <v>42576.283043981479</v>
      </c>
      <c r="J30" s="7">
        <v>0</v>
      </c>
      <c r="K30" s="26" t="str">
        <f t="shared" si="4"/>
        <v>4019/4020</v>
      </c>
      <c r="L30" s="26" t="str">
        <f>VLOOKUP(A30,'Trips&amp;Operators'!$C$1:$E$10000,3,FALSE)</f>
        <v>GRASTON</v>
      </c>
      <c r="M30" s="6">
        <f t="shared" si="5"/>
        <v>3.0509259253449272E-2</v>
      </c>
      <c r="N30" s="7">
        <f t="shared" si="6"/>
        <v>43.933333324966952</v>
      </c>
      <c r="O30" s="7"/>
      <c r="P30" s="7"/>
      <c r="Q30" s="27"/>
      <c r="R30" s="27"/>
      <c r="S30" s="42">
        <f t="shared" si="7"/>
        <v>1</v>
      </c>
      <c r="T30" s="66" t="str">
        <f t="shared" si="8"/>
        <v>NorthBound</v>
      </c>
      <c r="U30" s="93">
        <f>COUNTIFS(Variables!$M$2:$M$19,IF(T30="NorthBound","&gt;=","&lt;=")&amp;Y30,Variables!$M$2:$M$19,IF(T30="NorthBound","&lt;=","&gt;=")&amp;Z30)</f>
        <v>12</v>
      </c>
      <c r="V3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05:01:42-0600',mode:absolute,to:'2016-07-25 07:47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4020%22')),sort:!(Time,asc))</v>
      </c>
      <c r="W30" s="71" t="str">
        <f t="shared" si="9"/>
        <v>N</v>
      </c>
      <c r="X30" s="89">
        <f t="shared" si="10"/>
        <v>1</v>
      </c>
      <c r="Y30" s="86">
        <f t="shared" si="11"/>
        <v>0.1171</v>
      </c>
      <c r="Z30" s="86">
        <f t="shared" si="12"/>
        <v>23.331700000000001</v>
      </c>
      <c r="AA30" s="86">
        <f t="shared" si="13"/>
        <v>23.214600000000001</v>
      </c>
      <c r="AB30" s="83" t="e">
        <f>VLOOKUP(A30,Enforcements!$C$7:$J$24,8,0)</f>
        <v>#N/A</v>
      </c>
      <c r="AC30" s="79" t="e">
        <f>VLOOKUP(A30,Enforcements!$C$7:$E$24,3,0)</f>
        <v>#N/A</v>
      </c>
      <c r="AD30" s="80" t="str">
        <f t="shared" si="14"/>
        <v>0119-25</v>
      </c>
      <c r="AE30" s="72" t="str">
        <f t="shared" si="15"/>
        <v>aws s3 cp s3://rtdc.mdm.uploadarchive/RTDC4020/2016-07-25/ "C:\Users\stu\Documents\Analysis\2016-02-23 RTDC Observations"\RTDC4020\2016-07-25 --recursive &amp; "C:\Users\stu\Documents\GitHub\mrs-test-scripts\Headless Mode &amp; Sideloading\WalkAndUnGZ.bat" "C:\Users\stu\Documents\Analysis\2016-02-23 RTDC Observations"\RTDC4020\2016-07-25 &amp; aws s3 cp s3://rtdc.mdm.uploadarchive/RTDC4020/2016-07-26/ "C:\Users\stu\Documents\Analysis\2016-02-23 RTDC Observations"\RTDC4020\2016-07-26 --recursive &amp; "C:\Users\stu\Documents\GitHub\mrs-test-scripts\Headless Mode &amp; Sideloading\WalkAndUnGZ.bat" "C:\Users\stu\Documents\Analysis\2016-02-23 RTDC Observations"\RTDC4020\2016-07-26</v>
      </c>
      <c r="AF30" s="72" t="str">
        <f t="shared" si="16"/>
        <v>"C:\Program Files (x86)\AstroGrep\AstroGrep.exe" /spath="C:\Users\stu\Documents\Analysis\2016-02-23 RTDC Observations" /stypes="*4020*20160725*" /stext=" 12:.+((prompt.+disp)|(slice.+state.+chan)|(ment ac)|(system.+state.+chan)|(\|lc)|(penalty)|(\[timeout))" /e /r /s</v>
      </c>
      <c r="AG30" s="1" t="str">
        <f t="shared" si="17"/>
        <v>EC</v>
      </c>
    </row>
    <row r="31" spans="1:33" s="1" customFormat="1" x14ac:dyDescent="0.25">
      <c r="A31" s="46" t="s">
        <v>379</v>
      </c>
      <c r="B31" s="7">
        <v>4019</v>
      </c>
      <c r="C31" s="26" t="s">
        <v>269</v>
      </c>
      <c r="D31" s="26" t="s">
        <v>411</v>
      </c>
      <c r="E31" s="16">
        <v>42576.251180555555</v>
      </c>
      <c r="F31" s="16">
        <v>42576.28460648148</v>
      </c>
      <c r="G31" s="7">
        <v>1</v>
      </c>
      <c r="H31" s="16" t="s">
        <v>412</v>
      </c>
      <c r="I31" s="16">
        <v>42576.296249999999</v>
      </c>
      <c r="J31" s="7">
        <v>0</v>
      </c>
      <c r="K31" s="26" t="str">
        <f t="shared" ref="K31" si="18">IF(ISEVEN(B31),(B31-1)&amp;"/"&amp;B31,B31&amp;"/"&amp;(B31+1))</f>
        <v>4019/4020</v>
      </c>
      <c r="L31" s="26" t="str">
        <f>VLOOKUP(A31,'Trips&amp;Operators'!$C$1:$E$10000,3,FALSE)</f>
        <v>GRASTON</v>
      </c>
      <c r="M31" s="6">
        <f t="shared" ref="M31" si="19">I31-F31</f>
        <v>1.1643518519122154E-2</v>
      </c>
      <c r="N31" s="7"/>
      <c r="O31" s="7"/>
      <c r="P31" s="7">
        <f t="shared" si="6"/>
        <v>16.766666667535901</v>
      </c>
      <c r="Q31" s="27"/>
      <c r="R31" s="27" t="s">
        <v>831</v>
      </c>
      <c r="S31" s="42">
        <f t="shared" ref="S31" si="20">SUM(U31:U31)/12</f>
        <v>0</v>
      </c>
      <c r="T31" s="66" t="str">
        <f t="shared" ref="T31" si="21">IF(ISEVEN(LEFT(A31,3)),"Southbound","NorthBound")</f>
        <v>Southbound</v>
      </c>
      <c r="U31" s="93">
        <f>COUNTIFS(Variables!$M$2:$M$19,IF(T31="NorthBound","&gt;=","&lt;=")&amp;Y31,Variables!$M$2:$M$19,IF(T31="NorthBound","&lt;=","&gt;=")&amp;Z31)</f>
        <v>0</v>
      </c>
      <c r="V31" s="71" t="str">
        <f t="shared" ref="V31" si="22">"https://search-rtdc-monitor-bjffxe2xuh6vdkpspy63sjmuny.us-east-1.es.amazonaws.com/_plugin/kibana/#/discover/Steve-Slow-Train-Analysis-(2080s-and-2083s)?_g=(refreshInterval:(display:Off,section:0,value:0),time:(from:'"&amp;TEXT(E31-1/24,"yyyy-MM-DD hh:mm:ss")&amp;"-0600',mode:absolute,to:'"&amp;TEXT(I31+1/24,"yyyy-MM-DD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https://search-rtdc-monitor-bjffxe2xuh6vdkpspy63sjmuny.us-east-1.es.amazonaws.com/_plugin/kibana/#/discover/Steve-Slow-Train-Analysis-(2080s-and-2083s)?_g=(refreshInterval:(display:Off,section:0,value:0),time:(from:'2016-07-25 05:01:42-0600',mode:absolute,to:'2016-07-25 08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4019%22')),sort:!(Time,asc))</v>
      </c>
      <c r="W31" s="71" t="str">
        <f t="shared" ref="W31" si="23">IF(AA31&lt;23,"Y","N")</f>
        <v>Y</v>
      </c>
      <c r="X31" s="89">
        <f t="shared" si="10"/>
        <v>1</v>
      </c>
      <c r="Y31" s="86">
        <f t="shared" ref="Y31" si="24">RIGHT(D31,LEN(D31)-4)/10000</f>
        <v>0.1171</v>
      </c>
      <c r="Z31" s="86">
        <v>0.2</v>
      </c>
      <c r="AA31" s="86">
        <f t="shared" ref="AA31" si="25">ABS(Z31-Y31)</f>
        <v>8.2900000000000015E-2</v>
      </c>
      <c r="AB31" s="83" t="e">
        <f>VLOOKUP(A31,Enforcements!$C$7:$J$24,8,0)</f>
        <v>#N/A</v>
      </c>
      <c r="AC31" s="79" t="e">
        <f>VLOOKUP(A31,Enforcements!$C$7:$E$24,3,0)</f>
        <v>#N/A</v>
      </c>
      <c r="AD31" s="80" t="str">
        <f t="shared" ref="AD31" si="26">IF(LEN(A31)=6,"0"&amp;A31,A31)</f>
        <v>0120-25</v>
      </c>
      <c r="AE31" s="72" t="str">
        <f t="shared" ref="AE31" si="27">"aws s3 cp "&amp;s3_bucket&amp;"/RTDC"&amp;B31&amp;"/"&amp;TEXT(F31,"YYYY-MM-DD")&amp;"/ "&amp;search_path&amp;"\RTDC"&amp;B31&amp;"\"&amp;TEXT(F31,"YYYY-MM-DD")&amp;" --recursive &amp; """&amp;walkandungz&amp;""" "&amp;search_path&amp;"\RTDC"&amp;B31&amp;"\"&amp;TEXT(F31,"YYYY-MM-DD")
&amp;" &amp; "&amp;"aws s3 cp "&amp;s3_bucket&amp;"/RTDC"&amp;B31&amp;"/"&amp;TEXT(F31+1,"YYYY-MM-DD")&amp;"/ "&amp;search_path&amp;"\RTDC"&amp;B31&amp;"\"&amp;TEXT(F31+1,"YYYY-MM-DD")&amp;" --recursive &amp; """&amp;walkandungz&amp;""" "&amp;search_path&amp;"\RTDC"&amp;B31&amp;"\"&amp;TEXT(F31+1,"YYYY-MM-DD")</f>
        <v>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 &amp; aws s3 cp s3://rtdc.mdm.uploadarchive/RTDC4019/2016-07-26/ "C:\Users\stu\Documents\Analysis\2016-02-23 RTDC Observations"\RTDC4019\2016-07-26 --recursive &amp; "C:\Users\stu\Documents\GitHub\mrs-test-scripts\Headless Mode &amp; Sideloading\WalkAndUnGZ.bat" "C:\Users\stu\Documents\Analysis\2016-02-23 RTDC Observations"\RTDC4019\2016-07-26</v>
      </c>
      <c r="AF31" s="72" t="str">
        <f t="shared" ref="AF31" si="28">astrogrep_path&amp;" /spath="&amp;search_path&amp;" /stypes=""*"&amp;B31&amp;"*"&amp;TEXT(I31-utc_offset/24,"YYYYMMDD")&amp;"*"" /stext="" "&amp;TEXT(I31-utc_offset/24,"HH")&amp;search_regexp&amp;""" /e /r /s"</f>
        <v>"C:\Program Files (x86)\AstroGrep\AstroGrep.exe" /spath="C:\Users\stu\Documents\Analysis\2016-02-23 RTDC Observations" /stypes="*4019*20160725*" /stext=" 13:.+((prompt.+disp)|(slice.+state.+chan)|(ment ac)|(system.+state.+chan)|(\|lc)|(penalty)|(\[timeout))" /e /r /s</v>
      </c>
      <c r="AG31" s="1" t="str">
        <f t="shared" ref="AG31" si="29">IF(VALUE(LEFT(AD31,4))&lt;300,"EC","NWGL")</f>
        <v>EC</v>
      </c>
    </row>
    <row r="32" spans="1:33" s="1" customFormat="1" x14ac:dyDescent="0.25">
      <c r="A32" s="46" t="s">
        <v>393</v>
      </c>
      <c r="B32" s="7">
        <v>4027</v>
      </c>
      <c r="C32" s="26" t="s">
        <v>269</v>
      </c>
      <c r="D32" s="26" t="s">
        <v>125</v>
      </c>
      <c r="E32" s="16">
        <v>42576.261793981481</v>
      </c>
      <c r="F32" s="16">
        <v>42576.262766203705</v>
      </c>
      <c r="G32" s="7">
        <v>1</v>
      </c>
      <c r="H32" s="16" t="s">
        <v>402</v>
      </c>
      <c r="I32" s="16">
        <v>42576.292268518519</v>
      </c>
      <c r="J32" s="7">
        <v>0</v>
      </c>
      <c r="K32" s="26" t="str">
        <f t="shared" si="4"/>
        <v>4027/4028</v>
      </c>
      <c r="L32" s="26" t="str">
        <f>VLOOKUP(A32,'Trips&amp;Operators'!$C$1:$E$10000,3,FALSE)</f>
        <v>SPECTOR</v>
      </c>
      <c r="M32" s="6">
        <f t="shared" si="5"/>
        <v>2.9502314813726116E-2</v>
      </c>
      <c r="N32" s="7">
        <f t="shared" si="6"/>
        <v>42.483333331765607</v>
      </c>
      <c r="O32" s="7"/>
      <c r="P32" s="7"/>
      <c r="Q32" s="27"/>
      <c r="R32" s="27"/>
      <c r="S32" s="42">
        <f t="shared" si="7"/>
        <v>1</v>
      </c>
      <c r="T32" s="66" t="str">
        <f t="shared" si="8"/>
        <v>NorthBound</v>
      </c>
      <c r="U32" s="93">
        <f>COUNTIFS(Variables!$M$2:$M$19,IF(T32="NorthBound","&gt;=","&lt;=")&amp;Y32,Variables!$M$2:$M$19,IF(T32="NorthBound","&lt;=","&gt;=")&amp;Z32)</f>
        <v>12</v>
      </c>
      <c r="V3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05:16:59-0600',mode:absolute,to:'2016-07-25 08:00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32" s="71" t="str">
        <f t="shared" si="9"/>
        <v>N</v>
      </c>
      <c r="X32" s="89">
        <f t="shared" si="10"/>
        <v>1</v>
      </c>
      <c r="Y32" s="86">
        <f t="shared" si="11"/>
        <v>4.58E-2</v>
      </c>
      <c r="Z32" s="86">
        <f t="shared" si="12"/>
        <v>23.329699999999999</v>
      </c>
      <c r="AA32" s="86">
        <f t="shared" si="13"/>
        <v>23.283899999999999</v>
      </c>
      <c r="AB32" s="83" t="e">
        <f>VLOOKUP(A32,Enforcements!$C$7:$J$24,8,0)</f>
        <v>#N/A</v>
      </c>
      <c r="AC32" s="79" t="e">
        <f>VLOOKUP(A32,Enforcements!$C$7:$E$24,3,0)</f>
        <v>#N/A</v>
      </c>
      <c r="AD32" s="80" t="str">
        <f t="shared" si="14"/>
        <v>0121-25</v>
      </c>
      <c r="AE32" s="72" t="str">
        <f t="shared" si="15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32" s="72" t="str">
        <f t="shared" si="16"/>
        <v>"C:\Program Files (x86)\AstroGrep\AstroGrep.exe" /spath="C:\Users\stu\Documents\Analysis\2016-02-23 RTDC Observations" /stypes="*4027*20160725*" /stext=" 13:.+((prompt.+disp)|(slice.+state.+chan)|(ment ac)|(system.+state.+chan)|(\|lc)|(penalty)|(\[timeout))" /e /r /s</v>
      </c>
      <c r="AG32" s="1" t="str">
        <f t="shared" si="17"/>
        <v>EC</v>
      </c>
    </row>
    <row r="33" spans="1:33" s="1" customFormat="1" x14ac:dyDescent="0.25">
      <c r="A33" s="46" t="s">
        <v>380</v>
      </c>
      <c r="B33" s="7">
        <v>4028</v>
      </c>
      <c r="C33" s="26" t="s">
        <v>269</v>
      </c>
      <c r="D33" s="26" t="s">
        <v>278</v>
      </c>
      <c r="E33" s="16">
        <v>42576.296377314815</v>
      </c>
      <c r="F33" s="16">
        <v>42576.297523148147</v>
      </c>
      <c r="G33" s="7">
        <v>1</v>
      </c>
      <c r="H33" s="16" t="s">
        <v>60</v>
      </c>
      <c r="I33" s="16">
        <v>42576.327928240738</v>
      </c>
      <c r="J33" s="7">
        <v>0</v>
      </c>
      <c r="K33" s="26" t="str">
        <f t="shared" si="4"/>
        <v>4027/4028</v>
      </c>
      <c r="L33" s="26" t="str">
        <f>VLOOKUP(A33,'Trips&amp;Operators'!$C$1:$E$10000,3,FALSE)</f>
        <v>SPECTOR</v>
      </c>
      <c r="M33" s="6">
        <f t="shared" si="5"/>
        <v>3.0405092591536231E-2</v>
      </c>
      <c r="N33" s="7">
        <f t="shared" si="6"/>
        <v>43.783333331812173</v>
      </c>
      <c r="O33" s="7"/>
      <c r="P33" s="7"/>
      <c r="Q33" s="27"/>
      <c r="R33" s="27"/>
      <c r="S33" s="42">
        <f t="shared" si="7"/>
        <v>1</v>
      </c>
      <c r="T33" s="66" t="str">
        <f t="shared" si="8"/>
        <v>Southbound</v>
      </c>
      <c r="U33" s="93">
        <f>COUNTIFS(Variables!$M$2:$M$19,IF(T33="NorthBound","&gt;=","&lt;=")&amp;Y33,Variables!$M$2:$M$19,IF(T33="NorthBound","&lt;=","&gt;=")&amp;Z33)</f>
        <v>12</v>
      </c>
      <c r="V3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06:06:47-0600',mode:absolute,to:'2016-07-25 08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33" s="71" t="str">
        <f t="shared" si="9"/>
        <v>N</v>
      </c>
      <c r="X33" s="89">
        <f t="shared" si="10"/>
        <v>1</v>
      </c>
      <c r="Y33" s="86">
        <f t="shared" si="11"/>
        <v>23.299199999999999</v>
      </c>
      <c r="Z33" s="86">
        <f t="shared" si="12"/>
        <v>1.4500000000000001E-2</v>
      </c>
      <c r="AA33" s="86">
        <f t="shared" si="13"/>
        <v>23.284699999999997</v>
      </c>
      <c r="AB33" s="83" t="e">
        <f>VLOOKUP(A33,Enforcements!$C$7:$J$24,8,0)</f>
        <v>#N/A</v>
      </c>
      <c r="AC33" s="79" t="e">
        <f>VLOOKUP(A33,Enforcements!$C$7:$E$24,3,0)</f>
        <v>#N/A</v>
      </c>
      <c r="AD33" s="80" t="str">
        <f t="shared" si="14"/>
        <v>0122-25</v>
      </c>
      <c r="AE33" s="72" t="str">
        <f t="shared" si="15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33" s="72" t="str">
        <f t="shared" si="16"/>
        <v>"C:\Program Files (x86)\AstroGrep\AstroGrep.exe" /spath="C:\Users\stu\Documents\Analysis\2016-02-23 RTDC Observations" /stypes="*4028*20160725*" /stext=" 13:.+((prompt.+disp)|(slice.+state.+chan)|(ment ac)|(system.+state.+chan)|(\|lc)|(penalty)|(\[timeout))" /e /r /s</v>
      </c>
      <c r="AG33" s="1" t="str">
        <f t="shared" si="17"/>
        <v>EC</v>
      </c>
    </row>
    <row r="34" spans="1:33" s="1" customFormat="1" x14ac:dyDescent="0.25">
      <c r="A34" s="46" t="s">
        <v>382</v>
      </c>
      <c r="B34" s="7">
        <v>4014</v>
      </c>
      <c r="C34" s="26" t="s">
        <v>269</v>
      </c>
      <c r="D34" s="26" t="s">
        <v>243</v>
      </c>
      <c r="E34" s="16">
        <v>42576.269629629627</v>
      </c>
      <c r="F34" s="16">
        <v>42576.270601851851</v>
      </c>
      <c r="G34" s="7">
        <v>1</v>
      </c>
      <c r="H34" s="16" t="s">
        <v>402</v>
      </c>
      <c r="I34" s="16">
        <v>42576.295682870368</v>
      </c>
      <c r="J34" s="7">
        <v>0</v>
      </c>
      <c r="K34" s="26" t="str">
        <f t="shared" si="4"/>
        <v>4013/4014</v>
      </c>
      <c r="L34" s="26" t="str">
        <f>VLOOKUP(A34,'Trips&amp;Operators'!$C$1:$E$10000,3,FALSE)</f>
        <v>YORK</v>
      </c>
      <c r="M34" s="6">
        <f t="shared" si="5"/>
        <v>2.5081018517084885E-2</v>
      </c>
      <c r="N34" s="7">
        <f t="shared" si="6"/>
        <v>36.116666664602235</v>
      </c>
      <c r="O34" s="7"/>
      <c r="P34" s="7"/>
      <c r="Q34" s="27"/>
      <c r="R34" s="27"/>
      <c r="S34" s="42">
        <f t="shared" si="7"/>
        <v>1</v>
      </c>
      <c r="T34" s="66" t="str">
        <f t="shared" si="8"/>
        <v>NorthBound</v>
      </c>
      <c r="U34" s="93">
        <f>COUNTIFS(Variables!$M$2:$M$19,IF(T34="NorthBound","&gt;=","&lt;=")&amp;Y34,Variables!$M$2:$M$19,IF(T34="NorthBound","&lt;=","&gt;=")&amp;Z34)</f>
        <v>12</v>
      </c>
      <c r="V3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05:28:16-0600',mode:absolute,to:'2016-07-25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34" s="71" t="str">
        <f t="shared" si="9"/>
        <v>N</v>
      </c>
      <c r="X34" s="89">
        <f t="shared" si="10"/>
        <v>1</v>
      </c>
      <c r="Y34" s="86">
        <f t="shared" si="11"/>
        <v>4.53E-2</v>
      </c>
      <c r="Z34" s="86">
        <f t="shared" si="12"/>
        <v>23.329699999999999</v>
      </c>
      <c r="AA34" s="86">
        <f t="shared" si="13"/>
        <v>23.284399999999998</v>
      </c>
      <c r="AB34" s="83" t="e">
        <f>VLOOKUP(A34,Enforcements!$C$7:$J$24,8,0)</f>
        <v>#N/A</v>
      </c>
      <c r="AC34" s="79" t="e">
        <f>VLOOKUP(A34,Enforcements!$C$7:$E$24,3,0)</f>
        <v>#N/A</v>
      </c>
      <c r="AD34" s="80" t="str">
        <f t="shared" si="14"/>
        <v>0123-25</v>
      </c>
      <c r="AE34" s="72" t="str">
        <f t="shared" si="15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34" s="72" t="str">
        <f t="shared" si="16"/>
        <v>"C:\Program Files (x86)\AstroGrep\AstroGrep.exe" /spath="C:\Users\stu\Documents\Analysis\2016-02-23 RTDC Observations" /stypes="*4014*20160725*" /stext=" 13:.+((prompt.+disp)|(slice.+state.+chan)|(ment ac)|(system.+state.+chan)|(\|lc)|(penalty)|(\[timeout))" /e /r /s</v>
      </c>
      <c r="AG34" s="1" t="str">
        <f t="shared" si="17"/>
        <v>EC</v>
      </c>
    </row>
    <row r="35" spans="1:33" s="1" customFormat="1" x14ac:dyDescent="0.25">
      <c r="A35" s="46" t="s">
        <v>381</v>
      </c>
      <c r="B35" s="7">
        <v>4013</v>
      </c>
      <c r="C35" s="26" t="s">
        <v>269</v>
      </c>
      <c r="D35" s="26" t="s">
        <v>67</v>
      </c>
      <c r="E35" s="16">
        <v>42576.297256944446</v>
      </c>
      <c r="F35" s="16">
        <v>42576.298020833332</v>
      </c>
      <c r="G35" s="7">
        <v>1</v>
      </c>
      <c r="H35" s="16" t="s">
        <v>170</v>
      </c>
      <c r="I35" s="16">
        <v>42576.337546296294</v>
      </c>
      <c r="J35" s="7">
        <v>0</v>
      </c>
      <c r="K35" s="26" t="str">
        <f t="shared" si="4"/>
        <v>4013/4014</v>
      </c>
      <c r="L35" s="26" t="str">
        <f>VLOOKUP(A35,'Trips&amp;Operators'!$C$1:$E$10000,3,FALSE)</f>
        <v>YORK</v>
      </c>
      <c r="M35" s="6">
        <f t="shared" si="5"/>
        <v>3.9525462962046731E-2</v>
      </c>
      <c r="N35" s="7">
        <f t="shared" si="6"/>
        <v>56.916666665347293</v>
      </c>
      <c r="O35" s="7"/>
      <c r="P35" s="7"/>
      <c r="Q35" s="27"/>
      <c r="R35" s="27"/>
      <c r="S35" s="42">
        <f t="shared" si="7"/>
        <v>1</v>
      </c>
      <c r="T35" s="66" t="str">
        <f t="shared" si="8"/>
        <v>Southbound</v>
      </c>
      <c r="U35" s="93">
        <f>COUNTIFS(Variables!$M$2:$M$19,IF(T35="NorthBound","&gt;=","&lt;=")&amp;Y35,Variables!$M$2:$M$19,IF(T35="NorthBound","&lt;=","&gt;=")&amp;Z35)</f>
        <v>12</v>
      </c>
      <c r="V3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06:08:03-0600',mode:absolute,to:'2016-07-25 09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35" s="71" t="str">
        <f t="shared" si="9"/>
        <v>N</v>
      </c>
      <c r="X35" s="89">
        <f t="shared" si="10"/>
        <v>1</v>
      </c>
      <c r="Y35" s="86">
        <f t="shared" si="11"/>
        <v>23.297699999999999</v>
      </c>
      <c r="Z35" s="86">
        <f t="shared" si="12"/>
        <v>1.6E-2</v>
      </c>
      <c r="AA35" s="86">
        <f t="shared" si="13"/>
        <v>23.281700000000001</v>
      </c>
      <c r="AB35" s="83" t="e">
        <f>VLOOKUP(A35,Enforcements!$C$7:$J$24,8,0)</f>
        <v>#N/A</v>
      </c>
      <c r="AC35" s="79" t="e">
        <f>VLOOKUP(A35,Enforcements!$C$7:$E$24,3,0)</f>
        <v>#N/A</v>
      </c>
      <c r="AD35" s="80" t="str">
        <f t="shared" si="14"/>
        <v>0124-25</v>
      </c>
      <c r="AE35" s="72" t="str">
        <f t="shared" si="15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35" s="72" t="str">
        <f t="shared" si="16"/>
        <v>"C:\Program Files (x86)\AstroGrep\AstroGrep.exe" /spath="C:\Users\stu\Documents\Analysis\2016-02-23 RTDC Observations" /stypes="*4013*20160725*" /stext=" 14:.+((prompt.+disp)|(slice.+state.+chan)|(ment ac)|(system.+state.+chan)|(\|lc)|(penalty)|(\[timeout))" /e /r /s</v>
      </c>
      <c r="AG35" s="1" t="str">
        <f t="shared" si="17"/>
        <v>EC</v>
      </c>
    </row>
    <row r="36" spans="1:33" s="1" customFormat="1" x14ac:dyDescent="0.25">
      <c r="A36" s="46" t="s">
        <v>373</v>
      </c>
      <c r="B36" s="7">
        <v>4038</v>
      </c>
      <c r="C36" s="26" t="s">
        <v>269</v>
      </c>
      <c r="D36" s="26" t="s">
        <v>183</v>
      </c>
      <c r="E36" s="16">
        <v>42576.279039351852</v>
      </c>
      <c r="F36" s="16">
        <v>42576.279780092591</v>
      </c>
      <c r="G36" s="7">
        <v>1</v>
      </c>
      <c r="H36" s="16" t="s">
        <v>181</v>
      </c>
      <c r="I36" s="16">
        <v>42576.307349537034</v>
      </c>
      <c r="J36" s="7">
        <v>1</v>
      </c>
      <c r="K36" s="26" t="str">
        <f t="shared" si="4"/>
        <v>4037/4038</v>
      </c>
      <c r="L36" s="26" t="str">
        <f>VLOOKUP(A36,'Trips&amp;Operators'!$C$1:$E$10000,3,FALSE)</f>
        <v>STARKS</v>
      </c>
      <c r="M36" s="6">
        <f t="shared" si="5"/>
        <v>2.7569444442633539E-2</v>
      </c>
      <c r="N36" s="7">
        <f t="shared" si="6"/>
        <v>39.699999997392297</v>
      </c>
      <c r="O36" s="7"/>
      <c r="P36" s="7"/>
      <c r="Q36" s="27"/>
      <c r="R36" s="27"/>
      <c r="S36" s="42">
        <f t="shared" si="7"/>
        <v>1</v>
      </c>
      <c r="T36" s="66" t="str">
        <f t="shared" si="8"/>
        <v>NorthBound</v>
      </c>
      <c r="U36" s="93">
        <f>COUNTIFS(Variables!$M$2:$M$19,IF(T36="NorthBound","&gt;=","&lt;=")&amp;Y36,Variables!$M$2:$M$19,IF(T36="NorthBound","&lt;=","&gt;=")&amp;Z36)</f>
        <v>12</v>
      </c>
      <c r="V3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05:41:49-0600',mode:absolute,to:'2016-07-25 08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36" s="71" t="str">
        <f t="shared" si="9"/>
        <v>N</v>
      </c>
      <c r="X36" s="89">
        <f t="shared" si="10"/>
        <v>1</v>
      </c>
      <c r="Y36" s="86">
        <f t="shared" si="11"/>
        <v>4.3700000000000003E-2</v>
      </c>
      <c r="Z36" s="86">
        <f t="shared" si="12"/>
        <v>23.329499999999999</v>
      </c>
      <c r="AA36" s="86">
        <f t="shared" si="13"/>
        <v>23.285799999999998</v>
      </c>
      <c r="AB36" s="83">
        <f>VLOOKUP(A36,Enforcements!$C$7:$J$24,8,0)</f>
        <v>224578</v>
      </c>
      <c r="AC36" s="79" t="str">
        <f>VLOOKUP(A36,Enforcements!$C$7:$E$24,3,0)</f>
        <v>PERMANENT SPEED RESTRICTION</v>
      </c>
      <c r="AD36" s="80" t="str">
        <f t="shared" si="14"/>
        <v>0125-25</v>
      </c>
      <c r="AE36" s="72" t="str">
        <f t="shared" si="15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36" s="72" t="str">
        <f t="shared" si="16"/>
        <v>"C:\Program Files (x86)\AstroGrep\AstroGrep.exe" /spath="C:\Users\stu\Documents\Analysis\2016-02-23 RTDC Observations" /stypes="*4038*20160725*" /stext=" 13:.+((prompt.+disp)|(slice.+state.+chan)|(ment ac)|(system.+state.+chan)|(\|lc)|(penalty)|(\[timeout))" /e /r /s</v>
      </c>
      <c r="AG36" s="1" t="str">
        <f t="shared" si="17"/>
        <v>EC</v>
      </c>
    </row>
    <row r="37" spans="1:33" s="1" customFormat="1" x14ac:dyDescent="0.25">
      <c r="A37" s="46" t="s">
        <v>413</v>
      </c>
      <c r="B37" s="7">
        <v>4037</v>
      </c>
      <c r="C37" s="26" t="s">
        <v>269</v>
      </c>
      <c r="D37" s="26" t="s">
        <v>250</v>
      </c>
      <c r="E37" s="16">
        <v>42576.316180555557</v>
      </c>
      <c r="F37" s="16">
        <v>42576.31763888889</v>
      </c>
      <c r="G37" s="7">
        <v>2</v>
      </c>
      <c r="H37" s="16" t="s">
        <v>255</v>
      </c>
      <c r="I37" s="16">
        <v>42576.350138888891</v>
      </c>
      <c r="J37" s="7">
        <v>1</v>
      </c>
      <c r="K37" s="26" t="str">
        <f t="shared" si="4"/>
        <v>4037/4038</v>
      </c>
      <c r="L37" s="26" t="str">
        <f>VLOOKUP(A37,'Trips&amp;Operators'!$C$1:$E$10000,3,FALSE)</f>
        <v>STARKS</v>
      </c>
      <c r="M37" s="6">
        <f t="shared" si="5"/>
        <v>3.2500000001164153E-2</v>
      </c>
      <c r="N37" s="7">
        <f t="shared" si="6"/>
        <v>46.800000001676381</v>
      </c>
      <c r="O37" s="7"/>
      <c r="P37" s="7"/>
      <c r="Q37" s="27"/>
      <c r="R37" s="27"/>
      <c r="S37" s="42">
        <f t="shared" si="7"/>
        <v>1</v>
      </c>
      <c r="T37" s="66" t="str">
        <f t="shared" si="8"/>
        <v>Southbound</v>
      </c>
      <c r="U37" s="93">
        <f>COUNTIFS(Variables!$M$2:$M$19,IF(T37="NorthBound","&gt;=","&lt;=")&amp;Y37,Variables!$M$2:$M$19,IF(T37="NorthBound","&lt;=","&gt;=")&amp;Z37)</f>
        <v>12</v>
      </c>
      <c r="V3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06:35:18-0600',mode:absolute,to:'2016-07-25 09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37" s="71" t="str">
        <f t="shared" si="9"/>
        <v>N</v>
      </c>
      <c r="X37" s="89">
        <f t="shared" si="10"/>
        <v>1</v>
      </c>
      <c r="Y37" s="86">
        <f t="shared" si="11"/>
        <v>23.2973</v>
      </c>
      <c r="Z37" s="86">
        <f t="shared" si="12"/>
        <v>1.5800000000000002E-2</v>
      </c>
      <c r="AA37" s="86">
        <f t="shared" si="13"/>
        <v>23.281500000000001</v>
      </c>
      <c r="AB37" s="83">
        <f>VLOOKUP(A37,Enforcements!$C$7:$J$24,8,0)</f>
        <v>48048</v>
      </c>
      <c r="AC37" s="79" t="str">
        <f>VLOOKUP(A37,Enforcements!$C$7:$E$24,3,0)</f>
        <v>GRADE CROSSING</v>
      </c>
      <c r="AD37" s="80" t="str">
        <f t="shared" si="14"/>
        <v>0126-25</v>
      </c>
      <c r="AE37" s="72" t="str">
        <f t="shared" si="15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37" s="72" t="str">
        <f t="shared" si="16"/>
        <v>"C:\Program Files (x86)\AstroGrep\AstroGrep.exe" /spath="C:\Users\stu\Documents\Analysis\2016-02-23 RTDC Observations" /stypes="*4037*20160725*" /stext=" 14:.+((prompt.+disp)|(slice.+state.+chan)|(ment ac)|(system.+state.+chan)|(\|lc)|(penalty)|(\[timeout))" /e /r /s</v>
      </c>
      <c r="AG37" s="1" t="str">
        <f t="shared" si="17"/>
        <v>EC</v>
      </c>
    </row>
    <row r="38" spans="1:33" s="1" customFormat="1" x14ac:dyDescent="0.25">
      <c r="A38" s="46" t="s">
        <v>372</v>
      </c>
      <c r="B38" s="7">
        <v>4009</v>
      </c>
      <c r="C38" s="26" t="s">
        <v>269</v>
      </c>
      <c r="D38" s="26" t="s">
        <v>66</v>
      </c>
      <c r="E38" s="16">
        <v>42576.288634259261</v>
      </c>
      <c r="F38" s="16">
        <v>42576.290127314816</v>
      </c>
      <c r="G38" s="7">
        <v>2</v>
      </c>
      <c r="H38" s="16" t="s">
        <v>282</v>
      </c>
      <c r="I38" s="16">
        <v>42576.319074074076</v>
      </c>
      <c r="J38" s="7">
        <v>0</v>
      </c>
      <c r="K38" s="26" t="str">
        <f t="shared" si="4"/>
        <v>4009/4010</v>
      </c>
      <c r="L38" s="26" t="str">
        <f>VLOOKUP(A38,'Trips&amp;Operators'!$C$1:$E$10000,3,FALSE)</f>
        <v>STURGEON</v>
      </c>
      <c r="M38" s="6">
        <f t="shared" si="5"/>
        <v>2.8946759259270038E-2</v>
      </c>
      <c r="N38" s="7">
        <f t="shared" si="6"/>
        <v>41.683333333348855</v>
      </c>
      <c r="O38" s="7"/>
      <c r="P38" s="7"/>
      <c r="Q38" s="27"/>
      <c r="R38" s="27"/>
      <c r="S38" s="42">
        <f t="shared" si="7"/>
        <v>1</v>
      </c>
      <c r="T38" s="66" t="str">
        <f t="shared" si="8"/>
        <v>NorthBound</v>
      </c>
      <c r="U38" s="93">
        <f>COUNTIFS(Variables!$M$2:$M$19,IF(T38="NorthBound","&gt;=","&lt;=")&amp;Y38,Variables!$M$2:$M$19,IF(T38="NorthBound","&lt;=","&gt;=")&amp;Z38)</f>
        <v>12</v>
      </c>
      <c r="V3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05:55:38-0600',mode:absolute,to:'2016-07-25 08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38" s="71" t="str">
        <f t="shared" si="9"/>
        <v>N</v>
      </c>
      <c r="X38" s="89">
        <f t="shared" si="10"/>
        <v>1</v>
      </c>
      <c r="Y38" s="86">
        <f t="shared" si="11"/>
        <v>4.5999999999999999E-2</v>
      </c>
      <c r="Z38" s="86">
        <f t="shared" si="12"/>
        <v>23.328299999999999</v>
      </c>
      <c r="AA38" s="86">
        <f t="shared" si="13"/>
        <v>23.282299999999999</v>
      </c>
      <c r="AB38" s="83" t="e">
        <f>VLOOKUP(A38,Enforcements!$C$7:$J$24,8,0)</f>
        <v>#N/A</v>
      </c>
      <c r="AC38" s="79" t="e">
        <f>VLOOKUP(A38,Enforcements!$C$7:$E$24,3,0)</f>
        <v>#N/A</v>
      </c>
      <c r="AD38" s="80" t="str">
        <f t="shared" si="14"/>
        <v>0127-25</v>
      </c>
      <c r="AE38" s="72" t="str">
        <f t="shared" si="15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38" s="72" t="str">
        <f t="shared" si="16"/>
        <v>"C:\Program Files (x86)\AstroGrep\AstroGrep.exe" /spath="C:\Users\stu\Documents\Analysis\2016-02-23 RTDC Observations" /stypes="*4009*20160725*" /stext=" 13:.+((prompt.+disp)|(slice.+state.+chan)|(ment ac)|(system.+state.+chan)|(\|lc)|(penalty)|(\[timeout))" /e /r /s</v>
      </c>
      <c r="AG38" s="1" t="str">
        <f t="shared" si="17"/>
        <v>EC</v>
      </c>
    </row>
    <row r="39" spans="1:33" s="1" customFormat="1" x14ac:dyDescent="0.25">
      <c r="A39" s="46" t="s">
        <v>414</v>
      </c>
      <c r="B39" s="7">
        <v>4010</v>
      </c>
      <c r="C39" s="26" t="s">
        <v>269</v>
      </c>
      <c r="D39" s="26" t="s">
        <v>283</v>
      </c>
      <c r="E39" s="16">
        <v>42576.325856481482</v>
      </c>
      <c r="F39" s="16">
        <v>42576.327268518522</v>
      </c>
      <c r="G39" s="7">
        <v>2</v>
      </c>
      <c r="H39" s="16" t="s">
        <v>176</v>
      </c>
      <c r="I39" s="16">
        <v>42576.359791666669</v>
      </c>
      <c r="J39" s="7">
        <v>0</v>
      </c>
      <c r="K39" s="26" t="str">
        <f t="shared" si="4"/>
        <v>4009/4010</v>
      </c>
      <c r="L39" s="26" t="str">
        <f>VLOOKUP(A39,'Trips&amp;Operators'!$C$1:$E$10000,3,FALSE)</f>
        <v>STURGEON</v>
      </c>
      <c r="M39" s="6">
        <f t="shared" si="5"/>
        <v>3.25231481474475E-2</v>
      </c>
      <c r="N39" s="7">
        <f t="shared" si="6"/>
        <v>46.833333332324401</v>
      </c>
      <c r="O39" s="7"/>
      <c r="P39" s="7"/>
      <c r="Q39" s="27"/>
      <c r="R39" s="27"/>
      <c r="S39" s="42">
        <f t="shared" si="7"/>
        <v>1</v>
      </c>
      <c r="T39" s="66" t="str">
        <f t="shared" si="8"/>
        <v>Southbound</v>
      </c>
      <c r="U39" s="93">
        <f>COUNTIFS(Variables!$M$2:$M$19,IF(T39="NorthBound","&gt;=","&lt;=")&amp;Y39,Variables!$M$2:$M$19,IF(T39="NorthBound","&lt;=","&gt;=")&amp;Z39)</f>
        <v>12</v>
      </c>
      <c r="V3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06:49:14-0600',mode:absolute,to:'2016-07-25 09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39" s="71" t="str">
        <f t="shared" si="9"/>
        <v>N</v>
      </c>
      <c r="X39" s="89">
        <f t="shared" si="10"/>
        <v>1</v>
      </c>
      <c r="Y39" s="86">
        <f t="shared" si="11"/>
        <v>23.2972</v>
      </c>
      <c r="Z39" s="86">
        <f t="shared" si="12"/>
        <v>1.6899999999999998E-2</v>
      </c>
      <c r="AA39" s="86">
        <f t="shared" si="13"/>
        <v>23.2803</v>
      </c>
      <c r="AB39" s="83" t="e">
        <f>VLOOKUP(A39,Enforcements!$C$7:$J$24,8,0)</f>
        <v>#N/A</v>
      </c>
      <c r="AC39" s="79" t="e">
        <f>VLOOKUP(A39,Enforcements!$C$7:$E$24,3,0)</f>
        <v>#N/A</v>
      </c>
      <c r="AD39" s="80" t="str">
        <f t="shared" si="14"/>
        <v>0128-25</v>
      </c>
      <c r="AE39" s="72" t="str">
        <f t="shared" si="15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39" s="72" t="str">
        <f t="shared" si="16"/>
        <v>"C:\Program Files (x86)\AstroGrep\AstroGrep.exe" /spath="C:\Users\stu\Documents\Analysis\2016-02-23 RTDC Observations" /stypes="*4010*20160725*" /stext=" 14:.+((prompt.+disp)|(slice.+state.+chan)|(ment ac)|(system.+state.+chan)|(\|lc)|(penalty)|(\[timeout))" /e /r /s</v>
      </c>
      <c r="AG39" s="1" t="str">
        <f t="shared" si="17"/>
        <v>EC</v>
      </c>
    </row>
    <row r="40" spans="1:33" s="1" customFormat="1" x14ac:dyDescent="0.25">
      <c r="A40" s="46" t="s">
        <v>371</v>
      </c>
      <c r="B40" s="7">
        <v>4007</v>
      </c>
      <c r="C40" s="26" t="s">
        <v>269</v>
      </c>
      <c r="D40" s="26" t="s">
        <v>106</v>
      </c>
      <c r="E40" s="16">
        <v>42576.30097222222</v>
      </c>
      <c r="F40" s="16">
        <v>42576.301874999997</v>
      </c>
      <c r="G40" s="7">
        <v>1</v>
      </c>
      <c r="H40" s="16" t="s">
        <v>147</v>
      </c>
      <c r="I40" s="16">
        <v>42576.327465277776</v>
      </c>
      <c r="J40" s="7">
        <v>0</v>
      </c>
      <c r="K40" s="26" t="str">
        <f t="shared" si="4"/>
        <v>4007/4008</v>
      </c>
      <c r="L40" s="26" t="str">
        <f>VLOOKUP(A40,'Trips&amp;Operators'!$C$1:$E$10000,3,FALSE)</f>
        <v>MALAVE</v>
      </c>
      <c r="M40" s="6">
        <f t="shared" si="5"/>
        <v>2.5590277778974269E-2</v>
      </c>
      <c r="N40" s="7">
        <f t="shared" si="6"/>
        <v>36.850000001722947</v>
      </c>
      <c r="O40" s="7"/>
      <c r="P40" s="7"/>
      <c r="Q40" s="27"/>
      <c r="R40" s="27"/>
      <c r="S40" s="42">
        <f t="shared" si="7"/>
        <v>1</v>
      </c>
      <c r="T40" s="66" t="str">
        <f t="shared" si="8"/>
        <v>NorthBound</v>
      </c>
      <c r="U40" s="93">
        <f>COUNTIFS(Variables!$M$2:$M$19,IF(T40="NorthBound","&gt;=","&lt;=")&amp;Y40,Variables!$M$2:$M$19,IF(T40="NorthBound","&lt;=","&gt;=")&amp;Z40)</f>
        <v>12</v>
      </c>
      <c r="V4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06:13:24-0600',mode:absolute,to:'2016-07-25 08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40" s="71" t="str">
        <f t="shared" si="9"/>
        <v>N</v>
      </c>
      <c r="X40" s="89">
        <f t="shared" si="10"/>
        <v>1</v>
      </c>
      <c r="Y40" s="86">
        <f t="shared" si="11"/>
        <v>4.5100000000000001E-2</v>
      </c>
      <c r="Z40" s="86">
        <f t="shared" si="12"/>
        <v>23.329899999999999</v>
      </c>
      <c r="AA40" s="86">
        <f t="shared" si="13"/>
        <v>23.284799999999997</v>
      </c>
      <c r="AB40" s="83" t="e">
        <f>VLOOKUP(A40,Enforcements!$C$7:$J$24,8,0)</f>
        <v>#N/A</v>
      </c>
      <c r="AC40" s="79" t="e">
        <f>VLOOKUP(A40,Enforcements!$C$7:$E$24,3,0)</f>
        <v>#N/A</v>
      </c>
      <c r="AD40" s="80" t="str">
        <f t="shared" si="14"/>
        <v>0129-25</v>
      </c>
      <c r="AE40" s="72" t="str">
        <f t="shared" si="15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40" s="72" t="str">
        <f t="shared" si="16"/>
        <v>"C:\Program Files (x86)\AstroGrep\AstroGrep.exe" /spath="C:\Users\stu\Documents\Analysis\2016-02-23 RTDC Observations" /stypes="*4007*20160725*" /stext=" 13:.+((prompt.+disp)|(slice.+state.+chan)|(ment ac)|(system.+state.+chan)|(\|lc)|(penalty)|(\[timeout))" /e /r /s</v>
      </c>
      <c r="AG40" s="1" t="str">
        <f t="shared" si="17"/>
        <v>EC</v>
      </c>
    </row>
    <row r="41" spans="1:33" s="1" customFormat="1" x14ac:dyDescent="0.25">
      <c r="A41" s="46" t="s">
        <v>415</v>
      </c>
      <c r="B41" s="7">
        <v>4008</v>
      </c>
      <c r="C41" s="26" t="s">
        <v>269</v>
      </c>
      <c r="D41" s="26" t="s">
        <v>67</v>
      </c>
      <c r="E41" s="16">
        <v>42576.339502314811</v>
      </c>
      <c r="F41" s="16">
        <v>42576.340162037035</v>
      </c>
      <c r="G41" s="7">
        <v>0</v>
      </c>
      <c r="H41" s="16" t="s">
        <v>416</v>
      </c>
      <c r="I41" s="16">
        <v>42576.379374999997</v>
      </c>
      <c r="J41" s="7">
        <v>2</v>
      </c>
      <c r="K41" s="26" t="str">
        <f t="shared" si="4"/>
        <v>4007/4008</v>
      </c>
      <c r="L41" s="26" t="str">
        <f>VLOOKUP(A41,'Trips&amp;Operators'!$C$1:$E$10000,3,FALSE)</f>
        <v>MALAVE</v>
      </c>
      <c r="M41" s="6">
        <f t="shared" si="5"/>
        <v>3.9212962961755693E-2</v>
      </c>
      <c r="N41" s="7">
        <f t="shared" si="6"/>
        <v>56.466666664928198</v>
      </c>
      <c r="O41" s="7"/>
      <c r="P41" s="7"/>
      <c r="Q41" s="27"/>
      <c r="R41" s="27"/>
      <c r="S41" s="42">
        <f t="shared" si="7"/>
        <v>1</v>
      </c>
      <c r="T41" s="66" t="str">
        <f t="shared" si="8"/>
        <v>Southbound</v>
      </c>
      <c r="U41" s="93">
        <f>COUNTIFS(Variables!$M$2:$M$19,IF(T41="NorthBound","&gt;=","&lt;=")&amp;Y41,Variables!$M$2:$M$19,IF(T41="NorthBound","&lt;=","&gt;=")&amp;Z41)</f>
        <v>12</v>
      </c>
      <c r="V41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07:08:53-0600',mode:absolute,to:'2016-07-25 10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41" s="71" t="str">
        <f t="shared" si="9"/>
        <v>N</v>
      </c>
      <c r="X41" s="89">
        <f t="shared" si="10"/>
        <v>1</v>
      </c>
      <c r="Y41" s="86">
        <f t="shared" si="11"/>
        <v>23.297699999999999</v>
      </c>
      <c r="Z41" s="86">
        <f t="shared" si="12"/>
        <v>0.1515</v>
      </c>
      <c r="AA41" s="86">
        <f t="shared" si="13"/>
        <v>23.1462</v>
      </c>
      <c r="AB41" s="83">
        <f>VLOOKUP(A41,Enforcements!$C$7:$J$24,8,0)</f>
        <v>58904</v>
      </c>
      <c r="AC41" s="79" t="str">
        <f>VLOOKUP(A41,Enforcements!$C$7:$E$24,3,0)</f>
        <v>GRADE CROSSING</v>
      </c>
      <c r="AD41" s="80" t="str">
        <f t="shared" si="14"/>
        <v>0130-25</v>
      </c>
      <c r="AE41" s="72" t="str">
        <f t="shared" si="15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41" s="72" t="str">
        <f t="shared" si="16"/>
        <v>"C:\Program Files (x86)\AstroGrep\AstroGrep.exe" /spath="C:\Users\stu\Documents\Analysis\2016-02-23 RTDC Observations" /stypes="*4008*20160725*" /stext=" 15:.+((prompt.+disp)|(slice.+state.+chan)|(ment ac)|(system.+state.+chan)|(\|lc)|(penalty)|(\[timeout))" /e /r /s</v>
      </c>
      <c r="AG41" s="1" t="str">
        <f t="shared" si="17"/>
        <v>EC</v>
      </c>
    </row>
    <row r="42" spans="1:33" s="1" customFormat="1" x14ac:dyDescent="0.25">
      <c r="A42" s="46" t="s">
        <v>417</v>
      </c>
      <c r="B42" s="7">
        <v>4018</v>
      </c>
      <c r="C42" s="26" t="s">
        <v>269</v>
      </c>
      <c r="D42" s="26" t="s">
        <v>418</v>
      </c>
      <c r="E42" s="16">
        <v>42576.307708333334</v>
      </c>
      <c r="F42" s="16">
        <v>42576.308738425927</v>
      </c>
      <c r="G42" s="7">
        <v>1</v>
      </c>
      <c r="H42" s="16" t="s">
        <v>240</v>
      </c>
      <c r="I42" s="16">
        <v>42576.338217592594</v>
      </c>
      <c r="J42" s="7">
        <v>0</v>
      </c>
      <c r="K42" s="26" t="str">
        <f t="shared" si="4"/>
        <v>4017/4018</v>
      </c>
      <c r="L42" s="26" t="str">
        <f>VLOOKUP(A42,'Trips&amp;Operators'!$C$1:$E$10000,3,FALSE)</f>
        <v>ACKERMAN</v>
      </c>
      <c r="M42" s="6">
        <f t="shared" si="5"/>
        <v>2.9479166667442769E-2</v>
      </c>
      <c r="N42" s="7">
        <f t="shared" si="6"/>
        <v>42.450000001117587</v>
      </c>
      <c r="O42" s="7"/>
      <c r="P42" s="7"/>
      <c r="Q42" s="27"/>
      <c r="R42" s="27"/>
      <c r="S42" s="42">
        <f t="shared" si="7"/>
        <v>1</v>
      </c>
      <c r="T42" s="66" t="str">
        <f t="shared" si="8"/>
        <v>NorthBound</v>
      </c>
      <c r="U42" s="93">
        <f>COUNTIFS(Variables!$M$2:$M$19,IF(T42="NorthBound","&gt;=","&lt;=")&amp;Y42,Variables!$M$2:$M$19,IF(T42="NorthBound","&lt;=","&gt;=")&amp;Z42)</f>
        <v>12</v>
      </c>
      <c r="V4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06:23:06-0600',mode:absolute,to:'2016-07-25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42" s="71" t="str">
        <f t="shared" si="9"/>
        <v>N</v>
      </c>
      <c r="X42" s="89">
        <f t="shared" si="10"/>
        <v>1</v>
      </c>
      <c r="Y42" s="86">
        <f t="shared" si="11"/>
        <v>4.3999999999999997E-2</v>
      </c>
      <c r="Z42" s="86">
        <f t="shared" si="12"/>
        <v>23.330200000000001</v>
      </c>
      <c r="AA42" s="86">
        <f t="shared" si="13"/>
        <v>23.286200000000001</v>
      </c>
      <c r="AB42" s="83" t="e">
        <f>VLOOKUP(A42,Enforcements!$C$7:$J$24,8,0)</f>
        <v>#N/A</v>
      </c>
      <c r="AC42" s="79" t="e">
        <f>VLOOKUP(A42,Enforcements!$C$7:$E$24,3,0)</f>
        <v>#N/A</v>
      </c>
      <c r="AD42" s="80" t="str">
        <f t="shared" si="14"/>
        <v>0131-25</v>
      </c>
      <c r="AE42" s="72" t="str">
        <f t="shared" si="15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42" s="72" t="str">
        <f t="shared" si="16"/>
        <v>"C:\Program Files (x86)\AstroGrep\AstroGrep.exe" /spath="C:\Users\stu\Documents\Analysis\2016-02-23 RTDC Observations" /stypes="*4018*20160725*" /stext=" 14:.+((prompt.+disp)|(slice.+state.+chan)|(ment ac)|(system.+state.+chan)|(\|lc)|(penalty)|(\[timeout))" /e /r /s</v>
      </c>
      <c r="AG42" s="1" t="str">
        <f t="shared" si="17"/>
        <v>EC</v>
      </c>
    </row>
    <row r="43" spans="1:33" s="1" customFormat="1" x14ac:dyDescent="0.25">
      <c r="A43" s="46" t="s">
        <v>419</v>
      </c>
      <c r="B43" s="7">
        <v>4017</v>
      </c>
      <c r="C43" s="26" t="s">
        <v>269</v>
      </c>
      <c r="D43" s="26" t="s">
        <v>280</v>
      </c>
      <c r="E43" s="16">
        <v>42576.343900462962</v>
      </c>
      <c r="F43" s="16">
        <v>42576.345011574071</v>
      </c>
      <c r="G43" s="7">
        <v>1</v>
      </c>
      <c r="H43" s="16" t="s">
        <v>420</v>
      </c>
      <c r="I43" s="16">
        <v>42576.384618055556</v>
      </c>
      <c r="J43" s="7">
        <v>0</v>
      </c>
      <c r="K43" s="26" t="str">
        <f t="shared" si="4"/>
        <v>4017/4018</v>
      </c>
      <c r="L43" s="26" t="str">
        <f>VLOOKUP(A43,'Trips&amp;Operators'!$C$1:$E$10000,3,FALSE)</f>
        <v>ACKERMAN</v>
      </c>
      <c r="M43" s="6">
        <f t="shared" si="5"/>
        <v>3.9606481484952383E-2</v>
      </c>
      <c r="N43" s="7">
        <f t="shared" si="6"/>
        <v>57.033333338331431</v>
      </c>
      <c r="O43" s="7"/>
      <c r="P43" s="7"/>
      <c r="Q43" s="27"/>
      <c r="R43" s="27"/>
      <c r="S43" s="42">
        <f t="shared" si="7"/>
        <v>1</v>
      </c>
      <c r="T43" s="66" t="str">
        <f t="shared" si="8"/>
        <v>Southbound</v>
      </c>
      <c r="U43" s="93">
        <f>COUNTIFS(Variables!$M$2:$M$19,IF(T43="NorthBound","&gt;=","&lt;=")&amp;Y43,Variables!$M$2:$M$19,IF(T43="NorthBound","&lt;=","&gt;=")&amp;Z43)</f>
        <v>12</v>
      </c>
      <c r="V4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07:15:13-0600',mode:absolute,to:'2016-07-25 10:13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43" s="71" t="str">
        <f t="shared" si="9"/>
        <v>N</v>
      </c>
      <c r="X43" s="89">
        <f t="shared" si="10"/>
        <v>1</v>
      </c>
      <c r="Y43" s="86">
        <f t="shared" si="11"/>
        <v>23.298100000000002</v>
      </c>
      <c r="Z43" s="86">
        <f t="shared" si="12"/>
        <v>1.3599999999999999E-2</v>
      </c>
      <c r="AA43" s="86">
        <f t="shared" si="13"/>
        <v>23.284500000000001</v>
      </c>
      <c r="AB43" s="83" t="e">
        <f>VLOOKUP(A43,Enforcements!$C$7:$J$24,8,0)</f>
        <v>#N/A</v>
      </c>
      <c r="AC43" s="79" t="e">
        <f>VLOOKUP(A43,Enforcements!$C$7:$E$24,3,0)</f>
        <v>#N/A</v>
      </c>
      <c r="AD43" s="80" t="str">
        <f t="shared" si="14"/>
        <v>0132-25</v>
      </c>
      <c r="AE43" s="72" t="str">
        <f t="shared" si="15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43" s="72" t="str">
        <f t="shared" si="16"/>
        <v>"C:\Program Files (x86)\AstroGrep\AstroGrep.exe" /spath="C:\Users\stu\Documents\Analysis\2016-02-23 RTDC Observations" /stypes="*4017*20160725*" /stext=" 15:.+((prompt.+disp)|(slice.+state.+chan)|(ment ac)|(system.+state.+chan)|(\|lc)|(penalty)|(\[timeout))" /e /r /s</v>
      </c>
      <c r="AG43" s="1" t="str">
        <f t="shared" si="17"/>
        <v>EC</v>
      </c>
    </row>
    <row r="44" spans="1:33" s="1" customFormat="1" x14ac:dyDescent="0.25">
      <c r="A44" s="46" t="s">
        <v>421</v>
      </c>
      <c r="B44" s="7">
        <v>4020</v>
      </c>
      <c r="C44" s="26" t="s">
        <v>269</v>
      </c>
      <c r="D44" s="26" t="s">
        <v>125</v>
      </c>
      <c r="E44" s="16">
        <v>42576.320231481484</v>
      </c>
      <c r="F44" s="16">
        <v>42576.321203703701</v>
      </c>
      <c r="G44" s="7">
        <v>1</v>
      </c>
      <c r="H44" s="16" t="s">
        <v>317</v>
      </c>
      <c r="I44" s="16">
        <v>42576.349224537036</v>
      </c>
      <c r="J44" s="7">
        <v>0</v>
      </c>
      <c r="K44" s="26" t="str">
        <f t="shared" si="4"/>
        <v>4019/4020</v>
      </c>
      <c r="L44" s="26" t="str">
        <f>VLOOKUP(A44,'Trips&amp;Operators'!$C$1:$E$10000,3,FALSE)</f>
        <v>BRANNON</v>
      </c>
      <c r="M44" s="6">
        <f t="shared" si="5"/>
        <v>2.8020833335176576E-2</v>
      </c>
      <c r="N44" s="7">
        <f t="shared" si="6"/>
        <v>40.350000002654269</v>
      </c>
      <c r="O44" s="7"/>
      <c r="P44" s="7"/>
      <c r="Q44" s="27"/>
      <c r="R44" s="27"/>
      <c r="S44" s="42">
        <f t="shared" si="7"/>
        <v>1</v>
      </c>
      <c r="T44" s="66" t="str">
        <f t="shared" si="8"/>
        <v>NorthBound</v>
      </c>
      <c r="U44" s="93">
        <f>COUNTIFS(Variables!$M$2:$M$19,IF(T44="NorthBound","&gt;=","&lt;=")&amp;Y44,Variables!$M$2:$M$19,IF(T44="NorthBound","&lt;=","&gt;=")&amp;Z44)</f>
        <v>12</v>
      </c>
      <c r="V4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06:41:08-0600',mode:absolute,to:'2016-07-25 09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4020%22')),sort:!(Time,asc))</v>
      </c>
      <c r="W44" s="71" t="str">
        <f t="shared" si="9"/>
        <v>N</v>
      </c>
      <c r="X44" s="89">
        <f t="shared" si="10"/>
        <v>1</v>
      </c>
      <c r="Y44" s="86">
        <f t="shared" si="11"/>
        <v>4.58E-2</v>
      </c>
      <c r="Z44" s="86">
        <f t="shared" si="12"/>
        <v>23.327999999999999</v>
      </c>
      <c r="AA44" s="86">
        <f t="shared" si="13"/>
        <v>23.2822</v>
      </c>
      <c r="AB44" s="83" t="e">
        <f>VLOOKUP(A44,Enforcements!$C$7:$J$24,8,0)</f>
        <v>#N/A</v>
      </c>
      <c r="AC44" s="79" t="e">
        <f>VLOOKUP(A44,Enforcements!$C$7:$E$24,3,0)</f>
        <v>#N/A</v>
      </c>
      <c r="AD44" s="80" t="str">
        <f t="shared" si="14"/>
        <v>0133-25</v>
      </c>
      <c r="AE44" s="72" t="str">
        <f t="shared" si="15"/>
        <v>aws s3 cp s3://rtdc.mdm.uploadarchive/RTDC4020/2016-07-25/ "C:\Users\stu\Documents\Analysis\2016-02-23 RTDC Observations"\RTDC4020\2016-07-25 --recursive &amp; "C:\Users\stu\Documents\GitHub\mrs-test-scripts\Headless Mode &amp; Sideloading\WalkAndUnGZ.bat" "C:\Users\stu\Documents\Analysis\2016-02-23 RTDC Observations"\RTDC4020\2016-07-25 &amp; aws s3 cp s3://rtdc.mdm.uploadarchive/RTDC4020/2016-07-26/ "C:\Users\stu\Documents\Analysis\2016-02-23 RTDC Observations"\RTDC4020\2016-07-26 --recursive &amp; "C:\Users\stu\Documents\GitHub\mrs-test-scripts\Headless Mode &amp; Sideloading\WalkAndUnGZ.bat" "C:\Users\stu\Documents\Analysis\2016-02-23 RTDC Observations"\RTDC4020\2016-07-26</v>
      </c>
      <c r="AF44" s="72" t="str">
        <f t="shared" si="16"/>
        <v>"C:\Program Files (x86)\AstroGrep\AstroGrep.exe" /spath="C:\Users\stu\Documents\Analysis\2016-02-23 RTDC Observations" /stypes="*4020*20160725*" /stext=" 14:.+((prompt.+disp)|(slice.+state.+chan)|(ment ac)|(system.+state.+chan)|(\|lc)|(penalty)|(\[timeout))" /e /r /s</v>
      </c>
      <c r="AG44" s="1" t="str">
        <f t="shared" si="17"/>
        <v>EC</v>
      </c>
    </row>
    <row r="45" spans="1:33" s="1" customFormat="1" x14ac:dyDescent="0.25">
      <c r="A45" s="46" t="s">
        <v>422</v>
      </c>
      <c r="B45" s="7">
        <v>4019</v>
      </c>
      <c r="C45" s="26" t="s">
        <v>269</v>
      </c>
      <c r="D45" s="26" t="s">
        <v>261</v>
      </c>
      <c r="E45" s="16">
        <v>42576.359467592592</v>
      </c>
      <c r="F45" s="16">
        <v>42576.360949074071</v>
      </c>
      <c r="G45" s="7">
        <v>2</v>
      </c>
      <c r="H45" s="16" t="s">
        <v>423</v>
      </c>
      <c r="I45" s="16">
        <v>42576.395069444443</v>
      </c>
      <c r="J45" s="7">
        <v>0</v>
      </c>
      <c r="K45" s="26" t="str">
        <f t="shared" si="4"/>
        <v>4019/4020</v>
      </c>
      <c r="L45" s="26" t="str">
        <f>VLOOKUP(A45,'Trips&amp;Operators'!$C$1:$E$10000,3,FALSE)</f>
        <v>BRANNON</v>
      </c>
      <c r="M45" s="6">
        <f t="shared" si="5"/>
        <v>3.4120370371965691E-2</v>
      </c>
      <c r="N45" s="7">
        <f t="shared" si="6"/>
        <v>49.133333335630596</v>
      </c>
      <c r="O45" s="7"/>
      <c r="P45" s="7"/>
      <c r="Q45" s="27"/>
      <c r="R45" s="27"/>
      <c r="S45" s="42">
        <f t="shared" si="7"/>
        <v>1</v>
      </c>
      <c r="T45" s="66" t="str">
        <f t="shared" si="8"/>
        <v>Southbound</v>
      </c>
      <c r="U45" s="93">
        <f>COUNTIFS(Variables!$M$2:$M$19,IF(T45="NorthBound","&gt;=","&lt;=")&amp;Y45,Variables!$M$2:$M$19,IF(T45="NorthBound","&lt;=","&gt;=")&amp;Z45)</f>
        <v>12</v>
      </c>
      <c r="V4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07:37:38-0600',mode:absolute,to:'2016-07-25 10:28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4019%22')),sort:!(Time,asc))</v>
      </c>
      <c r="W45" s="71" t="str">
        <f t="shared" si="9"/>
        <v>N</v>
      </c>
      <c r="X45" s="89">
        <f t="shared" si="10"/>
        <v>1</v>
      </c>
      <c r="Y45" s="86">
        <f t="shared" si="11"/>
        <v>23.297799999999999</v>
      </c>
      <c r="Z45" s="86">
        <f t="shared" si="12"/>
        <v>1.8100000000000002E-2</v>
      </c>
      <c r="AA45" s="86">
        <f t="shared" si="13"/>
        <v>23.279699999999998</v>
      </c>
      <c r="AB45" s="83" t="e">
        <f>VLOOKUP(A45,Enforcements!$C$7:$J$24,8,0)</f>
        <v>#N/A</v>
      </c>
      <c r="AC45" s="79" t="e">
        <f>VLOOKUP(A45,Enforcements!$C$7:$E$24,3,0)</f>
        <v>#N/A</v>
      </c>
      <c r="AD45" s="80" t="str">
        <f t="shared" si="14"/>
        <v>0134-25</v>
      </c>
      <c r="AE45" s="72" t="str">
        <f t="shared" si="15"/>
        <v>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 &amp; aws s3 cp s3://rtdc.mdm.uploadarchive/RTDC4019/2016-07-26/ "C:\Users\stu\Documents\Analysis\2016-02-23 RTDC Observations"\RTDC4019\2016-07-26 --recursive &amp; "C:\Users\stu\Documents\GitHub\mrs-test-scripts\Headless Mode &amp; Sideloading\WalkAndUnGZ.bat" "C:\Users\stu\Documents\Analysis\2016-02-23 RTDC Observations"\RTDC4019\2016-07-26</v>
      </c>
      <c r="AF45" s="72" t="str">
        <f t="shared" si="16"/>
        <v>"C:\Program Files (x86)\AstroGrep\AstroGrep.exe" /spath="C:\Users\stu\Documents\Analysis\2016-02-23 RTDC Observations" /stypes="*4019*20160725*" /stext=" 15:.+((prompt.+disp)|(slice.+state.+chan)|(ment ac)|(system.+state.+chan)|(\|lc)|(penalty)|(\[timeout))" /e /r /s</v>
      </c>
      <c r="AG45" s="1" t="str">
        <f t="shared" si="17"/>
        <v>EC</v>
      </c>
    </row>
    <row r="46" spans="1:33" s="1" customFormat="1" x14ac:dyDescent="0.25">
      <c r="A46" s="46" t="s">
        <v>424</v>
      </c>
      <c r="B46" s="7">
        <v>4027</v>
      </c>
      <c r="C46" s="26" t="s">
        <v>269</v>
      </c>
      <c r="D46" s="26" t="s">
        <v>106</v>
      </c>
      <c r="E46" s="16">
        <v>42576.330208333333</v>
      </c>
      <c r="F46" s="16">
        <v>42576.330995370372</v>
      </c>
      <c r="G46" s="7">
        <v>1</v>
      </c>
      <c r="H46" s="16" t="s">
        <v>246</v>
      </c>
      <c r="I46" s="16">
        <v>42576.359895833331</v>
      </c>
      <c r="J46" s="7">
        <v>0</v>
      </c>
      <c r="K46" s="26" t="str">
        <f t="shared" si="4"/>
        <v>4027/4028</v>
      </c>
      <c r="L46" s="26" t="str">
        <f>VLOOKUP(A46,'Trips&amp;Operators'!$C$1:$E$10000,3,FALSE)</f>
        <v>SPECTOR</v>
      </c>
      <c r="M46" s="6">
        <f t="shared" si="5"/>
        <v>2.8900462959427387E-2</v>
      </c>
      <c r="N46" s="7">
        <f t="shared" si="6"/>
        <v>41.616666661575437</v>
      </c>
      <c r="O46" s="7"/>
      <c r="P46" s="7"/>
      <c r="Q46" s="27"/>
      <c r="R46" s="27"/>
      <c r="S46" s="42">
        <f t="shared" si="7"/>
        <v>1</v>
      </c>
      <c r="T46" s="66" t="str">
        <f t="shared" si="8"/>
        <v>NorthBound</v>
      </c>
      <c r="U46" s="93">
        <f>COUNTIFS(Variables!$M$2:$M$19,IF(T46="NorthBound","&gt;=","&lt;=")&amp;Y46,Variables!$M$2:$M$19,IF(T46="NorthBound","&lt;=","&gt;=")&amp;Z46)</f>
        <v>12</v>
      </c>
      <c r="V4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06:55:30-0600',mode:absolute,to:'2016-07-25 09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46" s="71" t="str">
        <f t="shared" si="9"/>
        <v>N</v>
      </c>
      <c r="X46" s="89">
        <f t="shared" si="10"/>
        <v>1</v>
      </c>
      <c r="Y46" s="86">
        <f t="shared" si="11"/>
        <v>4.5100000000000001E-2</v>
      </c>
      <c r="Z46" s="86">
        <f t="shared" si="12"/>
        <v>23.331499999999998</v>
      </c>
      <c r="AA46" s="86">
        <f t="shared" si="13"/>
        <v>23.286399999999997</v>
      </c>
      <c r="AB46" s="83" t="e">
        <f>VLOOKUP(A46,Enforcements!$C$7:$J$24,8,0)</f>
        <v>#N/A</v>
      </c>
      <c r="AC46" s="79" t="e">
        <f>VLOOKUP(A46,Enforcements!$C$7:$E$24,3,0)</f>
        <v>#N/A</v>
      </c>
      <c r="AD46" s="80" t="str">
        <f t="shared" si="14"/>
        <v>0135-25</v>
      </c>
      <c r="AE46" s="72" t="str">
        <f t="shared" si="15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46" s="72" t="str">
        <f t="shared" si="16"/>
        <v>"C:\Program Files (x86)\AstroGrep\AstroGrep.exe" /spath="C:\Users\stu\Documents\Analysis\2016-02-23 RTDC Observations" /stypes="*4027*20160725*" /stext=" 14:.+((prompt.+disp)|(slice.+state.+chan)|(ment ac)|(system.+state.+chan)|(\|lc)|(penalty)|(\[timeout))" /e /r /s</v>
      </c>
      <c r="AG46" s="1" t="str">
        <f t="shared" si="17"/>
        <v>EC</v>
      </c>
    </row>
    <row r="47" spans="1:33" s="1" customFormat="1" x14ac:dyDescent="0.25">
      <c r="A47" s="46" t="s">
        <v>425</v>
      </c>
      <c r="B47" s="7">
        <v>4028</v>
      </c>
      <c r="C47" s="26" t="s">
        <v>269</v>
      </c>
      <c r="D47" s="26" t="s">
        <v>237</v>
      </c>
      <c r="E47" s="16">
        <v>42576.366585648146</v>
      </c>
      <c r="F47" s="16">
        <v>42576.368078703701</v>
      </c>
      <c r="G47" s="7">
        <v>2</v>
      </c>
      <c r="H47" s="16" t="s">
        <v>60</v>
      </c>
      <c r="I47" s="16">
        <v>42576.40289351852</v>
      </c>
      <c r="J47" s="7">
        <v>0</v>
      </c>
      <c r="K47" s="26" t="str">
        <f t="shared" si="4"/>
        <v>4027/4028</v>
      </c>
      <c r="L47" s="26" t="str">
        <f>VLOOKUP(A47,'Trips&amp;Operators'!$C$1:$E$10000,3,FALSE)</f>
        <v>SPECTOR</v>
      </c>
      <c r="M47" s="6">
        <f t="shared" si="5"/>
        <v>3.4814814818673767E-2</v>
      </c>
      <c r="N47" s="7">
        <f t="shared" si="6"/>
        <v>50.133333338890225</v>
      </c>
      <c r="O47" s="7"/>
      <c r="P47" s="7"/>
      <c r="Q47" s="27"/>
      <c r="R47" s="27"/>
      <c r="S47" s="42">
        <f t="shared" si="7"/>
        <v>1</v>
      </c>
      <c r="T47" s="66" t="str">
        <f t="shared" si="8"/>
        <v>Southbound</v>
      </c>
      <c r="U47" s="93">
        <f>COUNTIFS(Variables!$M$2:$M$19,IF(T47="NorthBound","&gt;=","&lt;=")&amp;Y47,Variables!$M$2:$M$19,IF(T47="NorthBound","&lt;=","&gt;=")&amp;Z47)</f>
        <v>12</v>
      </c>
      <c r="V4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07:47:53-0600',mode:absolute,to:'2016-07-25 10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47" s="71" t="str">
        <f t="shared" si="9"/>
        <v>N</v>
      </c>
      <c r="X47" s="89">
        <f t="shared" si="10"/>
        <v>1</v>
      </c>
      <c r="Y47" s="86">
        <f t="shared" si="11"/>
        <v>23.299800000000001</v>
      </c>
      <c r="Z47" s="86">
        <f t="shared" si="12"/>
        <v>1.4500000000000001E-2</v>
      </c>
      <c r="AA47" s="86">
        <f t="shared" si="13"/>
        <v>23.285299999999999</v>
      </c>
      <c r="AB47" s="83" t="e">
        <f>VLOOKUP(A47,Enforcements!$C$7:$J$24,8,0)</f>
        <v>#N/A</v>
      </c>
      <c r="AC47" s="79" t="e">
        <f>VLOOKUP(A47,Enforcements!$C$7:$E$24,3,0)</f>
        <v>#N/A</v>
      </c>
      <c r="AD47" s="80" t="str">
        <f t="shared" si="14"/>
        <v>0136-25</v>
      </c>
      <c r="AE47" s="72" t="str">
        <f t="shared" si="15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47" s="72" t="str">
        <f t="shared" si="16"/>
        <v>"C:\Program Files (x86)\AstroGrep\AstroGrep.exe" /spath="C:\Users\stu\Documents\Analysis\2016-02-23 RTDC Observations" /stypes="*4028*20160725*" /stext=" 15:.+((prompt.+disp)|(slice.+state.+chan)|(ment ac)|(system.+state.+chan)|(\|lc)|(penalty)|(\[timeout))" /e /r /s</v>
      </c>
      <c r="AG47" s="1" t="str">
        <f t="shared" si="17"/>
        <v>EC</v>
      </c>
    </row>
    <row r="48" spans="1:33" s="1" customFormat="1" x14ac:dyDescent="0.25">
      <c r="A48" s="46" t="s">
        <v>426</v>
      </c>
      <c r="B48" s="7">
        <v>4014</v>
      </c>
      <c r="C48" s="26" t="s">
        <v>269</v>
      </c>
      <c r="D48" s="26" t="s">
        <v>244</v>
      </c>
      <c r="E48" s="16">
        <v>42576.340787037036</v>
      </c>
      <c r="F48" s="16">
        <v>42576.341666666667</v>
      </c>
      <c r="G48" s="7">
        <v>1</v>
      </c>
      <c r="H48" s="16" t="s">
        <v>427</v>
      </c>
      <c r="I48" s="16">
        <v>42576.386631944442</v>
      </c>
      <c r="J48" s="7">
        <v>0</v>
      </c>
      <c r="K48" s="26" t="str">
        <f t="shared" si="4"/>
        <v>4013/4014</v>
      </c>
      <c r="L48" s="26" t="str">
        <f>VLOOKUP(A48,'Trips&amp;Operators'!$C$1:$E$10000,3,FALSE)</f>
        <v>YORK</v>
      </c>
      <c r="M48" s="6">
        <f t="shared" si="5"/>
        <v>4.4965277775190771E-2</v>
      </c>
      <c r="N48" s="7">
        <f t="shared" si="6"/>
        <v>64.74999999627471</v>
      </c>
      <c r="O48" s="7"/>
      <c r="P48" s="7"/>
      <c r="Q48" s="27"/>
      <c r="R48" s="27"/>
      <c r="S48" s="42">
        <f t="shared" si="7"/>
        <v>1</v>
      </c>
      <c r="T48" s="66" t="str">
        <f t="shared" si="8"/>
        <v>NorthBound</v>
      </c>
      <c r="U48" s="93">
        <f>COUNTIFS(Variables!$M$2:$M$19,IF(T48="NorthBound","&gt;=","&lt;=")&amp;Y48,Variables!$M$2:$M$19,IF(T48="NorthBound","&lt;=","&gt;=")&amp;Z48)</f>
        <v>12</v>
      </c>
      <c r="V4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07:10:44-0600',mode:absolute,to:'2016-07-25 10:16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48" s="71" t="str">
        <f t="shared" si="9"/>
        <v>N</v>
      </c>
      <c r="X48" s="89">
        <f t="shared" si="10"/>
        <v>1</v>
      </c>
      <c r="Y48" s="86">
        <f t="shared" si="11"/>
        <v>4.7100000000000003E-2</v>
      </c>
      <c r="Z48" s="86">
        <f t="shared" si="12"/>
        <v>23.331099999999999</v>
      </c>
      <c r="AA48" s="86">
        <f t="shared" si="13"/>
        <v>23.283999999999999</v>
      </c>
      <c r="AB48" s="83" t="e">
        <f>VLOOKUP(A48,Enforcements!$C$7:$J$24,8,0)</f>
        <v>#N/A</v>
      </c>
      <c r="AC48" s="79" t="e">
        <f>VLOOKUP(A48,Enforcements!$C$7:$E$24,3,0)</f>
        <v>#N/A</v>
      </c>
      <c r="AD48" s="80" t="str">
        <f t="shared" si="14"/>
        <v>0137-25</v>
      </c>
      <c r="AE48" s="72" t="str">
        <f t="shared" si="15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48" s="72" t="str">
        <f t="shared" si="16"/>
        <v>"C:\Program Files (x86)\AstroGrep\AstroGrep.exe" /spath="C:\Users\stu\Documents\Analysis\2016-02-23 RTDC Observations" /stypes="*4014*20160725*" /stext=" 15:.+((prompt.+disp)|(slice.+state.+chan)|(ment ac)|(system.+state.+chan)|(\|lc)|(penalty)|(\[timeout))" /e /r /s</v>
      </c>
      <c r="AG48" s="1" t="str">
        <f t="shared" si="17"/>
        <v>EC</v>
      </c>
    </row>
    <row r="49" spans="1:33" s="1" customFormat="1" x14ac:dyDescent="0.25">
      <c r="A49" s="46" t="s">
        <v>428</v>
      </c>
      <c r="B49" s="7">
        <v>4038</v>
      </c>
      <c r="C49" s="26" t="s">
        <v>269</v>
      </c>
      <c r="D49" s="26" t="s">
        <v>429</v>
      </c>
      <c r="E49" s="16">
        <v>42576.351979166669</v>
      </c>
      <c r="F49" s="16">
        <v>42576.354571759257</v>
      </c>
      <c r="G49" s="7">
        <v>3</v>
      </c>
      <c r="H49" s="16" t="s">
        <v>181</v>
      </c>
      <c r="I49" s="16">
        <v>42576.391261574077</v>
      </c>
      <c r="J49" s="7">
        <v>0</v>
      </c>
      <c r="K49" s="26" t="str">
        <f t="shared" si="4"/>
        <v>4037/4038</v>
      </c>
      <c r="L49" s="26" t="str">
        <f>VLOOKUP(A49,'Trips&amp;Operators'!$C$1:$E$10000,3,FALSE)</f>
        <v>STARKS</v>
      </c>
      <c r="M49" s="6">
        <f t="shared" si="5"/>
        <v>3.6689814820419997E-2</v>
      </c>
      <c r="N49" s="7">
        <f t="shared" si="6"/>
        <v>52.833333341404796</v>
      </c>
      <c r="O49" s="7"/>
      <c r="P49" s="7"/>
      <c r="Q49" s="27"/>
      <c r="R49" s="27"/>
      <c r="S49" s="42">
        <f t="shared" si="7"/>
        <v>1</v>
      </c>
      <c r="T49" s="66" t="str">
        <f t="shared" si="8"/>
        <v>NorthBound</v>
      </c>
      <c r="U49" s="93">
        <f>COUNTIFS(Variables!$M$2:$M$19,IF(T49="NorthBound","&gt;=","&lt;=")&amp;Y49,Variables!$M$2:$M$19,IF(T49="NorthBound","&lt;=","&gt;=")&amp;Z49)</f>
        <v>12</v>
      </c>
      <c r="V4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07:26:51-0600',mode:absolute,to:'2016-07-25 10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49" s="71" t="str">
        <f t="shared" si="9"/>
        <v>N</v>
      </c>
      <c r="X49" s="89">
        <f t="shared" si="10"/>
        <v>2</v>
      </c>
      <c r="Y49" s="86">
        <f t="shared" si="11"/>
        <v>6.7199999999999996E-2</v>
      </c>
      <c r="Z49" s="86">
        <f t="shared" si="12"/>
        <v>23.329499999999999</v>
      </c>
      <c r="AA49" s="86">
        <f t="shared" si="13"/>
        <v>23.2623</v>
      </c>
      <c r="AB49" s="83" t="e">
        <f>VLOOKUP(A49,Enforcements!$C$7:$J$24,8,0)</f>
        <v>#N/A</v>
      </c>
      <c r="AC49" s="79" t="e">
        <f>VLOOKUP(A49,Enforcements!$C$7:$E$24,3,0)</f>
        <v>#N/A</v>
      </c>
      <c r="AD49" s="80" t="str">
        <f t="shared" si="14"/>
        <v>0139-25</v>
      </c>
      <c r="AE49" s="72" t="str">
        <f t="shared" si="15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49" s="72" t="str">
        <f t="shared" si="16"/>
        <v>"C:\Program Files (x86)\AstroGrep\AstroGrep.exe" /spath="C:\Users\stu\Documents\Analysis\2016-02-23 RTDC Observations" /stypes="*4038*20160725*" /stext=" 15:.+((prompt.+disp)|(slice.+state.+chan)|(ment ac)|(system.+state.+chan)|(\|lc)|(penalty)|(\[timeout))" /e /r /s</v>
      </c>
      <c r="AG49" s="1" t="str">
        <f t="shared" si="17"/>
        <v>EC</v>
      </c>
    </row>
    <row r="50" spans="1:33" s="1" customFormat="1" x14ac:dyDescent="0.25">
      <c r="A50" s="46" t="s">
        <v>430</v>
      </c>
      <c r="B50" s="7">
        <v>4013</v>
      </c>
      <c r="C50" s="26" t="s">
        <v>269</v>
      </c>
      <c r="D50" s="26" t="s">
        <v>154</v>
      </c>
      <c r="E50" s="16">
        <v>42576.395405092589</v>
      </c>
      <c r="F50" s="16">
        <v>42576.396018518521</v>
      </c>
      <c r="G50" s="7">
        <v>0</v>
      </c>
      <c r="H50" s="16" t="s">
        <v>164</v>
      </c>
      <c r="I50" s="16">
        <v>42576.423761574071</v>
      </c>
      <c r="J50" s="7">
        <v>0</v>
      </c>
      <c r="K50" s="26" t="str">
        <f t="shared" si="4"/>
        <v>4013/4014</v>
      </c>
      <c r="L50" s="26" t="str">
        <f>VLOOKUP(A50,'Trips&amp;Operators'!$C$1:$E$10000,3,FALSE)</f>
        <v>YORK</v>
      </c>
      <c r="M50" s="6">
        <f t="shared" si="5"/>
        <v>2.774305555067258E-2</v>
      </c>
      <c r="N50" s="7">
        <f t="shared" si="6"/>
        <v>39.949999992968515</v>
      </c>
      <c r="O50" s="7"/>
      <c r="P50" s="7"/>
      <c r="Q50" s="27"/>
      <c r="R50" s="27"/>
      <c r="S50" s="42">
        <f t="shared" si="7"/>
        <v>1</v>
      </c>
      <c r="T50" s="66" t="str">
        <f t="shared" si="8"/>
        <v>Southbound</v>
      </c>
      <c r="U50" s="93">
        <f>COUNTIFS(Variables!$M$2:$M$19,IF(T50="NorthBound","&gt;=","&lt;=")&amp;Y50,Variables!$M$2:$M$19,IF(T50="NorthBound","&lt;=","&gt;=")&amp;Z50)</f>
        <v>12</v>
      </c>
      <c r="V5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08:29:23-0600',mode:absolute,to:'2016-07-25 11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50" s="71" t="str">
        <f t="shared" si="9"/>
        <v>N</v>
      </c>
      <c r="X50" s="89">
        <f t="shared" si="10"/>
        <v>1</v>
      </c>
      <c r="Y50" s="86">
        <f t="shared" si="11"/>
        <v>23.298200000000001</v>
      </c>
      <c r="Z50" s="86">
        <f t="shared" si="12"/>
        <v>1.41E-2</v>
      </c>
      <c r="AA50" s="86">
        <f t="shared" si="13"/>
        <v>23.284100000000002</v>
      </c>
      <c r="AB50" s="83" t="e">
        <f>VLOOKUP(A50,Enforcements!$C$7:$J$24,8,0)</f>
        <v>#N/A</v>
      </c>
      <c r="AC50" s="79" t="e">
        <f>VLOOKUP(A50,Enforcements!$C$7:$E$24,3,0)</f>
        <v>#N/A</v>
      </c>
      <c r="AD50" s="80" t="str">
        <f t="shared" si="14"/>
        <v>0140-25</v>
      </c>
      <c r="AE50" s="72" t="str">
        <f t="shared" si="15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50" s="72" t="str">
        <f t="shared" si="16"/>
        <v>"C:\Program Files (x86)\AstroGrep\AstroGrep.exe" /spath="C:\Users\stu\Documents\Analysis\2016-02-23 RTDC Observations" /stypes="*4013*20160725*" /stext=" 16:.+((prompt.+disp)|(slice.+state.+chan)|(ment ac)|(system.+state.+chan)|(\|lc)|(penalty)|(\[timeout))" /e /r /s</v>
      </c>
      <c r="AG50" s="1" t="str">
        <f t="shared" si="17"/>
        <v>EC</v>
      </c>
    </row>
    <row r="51" spans="1:33" s="1" customFormat="1" x14ac:dyDescent="0.25">
      <c r="A51" s="46" t="s">
        <v>431</v>
      </c>
      <c r="B51" s="7">
        <v>4009</v>
      </c>
      <c r="C51" s="26" t="s">
        <v>269</v>
      </c>
      <c r="D51" s="26" t="s">
        <v>272</v>
      </c>
      <c r="E51" s="16">
        <v>42576.361122685186</v>
      </c>
      <c r="F51" s="16">
        <v>42576.362812500003</v>
      </c>
      <c r="G51" s="7">
        <v>2</v>
      </c>
      <c r="H51" s="16" t="s">
        <v>259</v>
      </c>
      <c r="I51" s="16">
        <v>42576.400185185186</v>
      </c>
      <c r="J51" s="7">
        <v>0</v>
      </c>
      <c r="K51" s="26" t="str">
        <f t="shared" si="4"/>
        <v>4009/4010</v>
      </c>
      <c r="L51" s="26" t="str">
        <f>VLOOKUP(A51,'Trips&amp;Operators'!$C$1:$E$10000,3,FALSE)</f>
        <v>STURGEON</v>
      </c>
      <c r="M51" s="6">
        <f t="shared" si="5"/>
        <v>3.7372685183072463E-2</v>
      </c>
      <c r="N51" s="7">
        <f t="shared" si="6"/>
        <v>53.816666663624346</v>
      </c>
      <c r="O51" s="7"/>
      <c r="P51" s="7"/>
      <c r="Q51" s="27"/>
      <c r="R51" s="27"/>
      <c r="S51" s="42">
        <f t="shared" si="7"/>
        <v>1</v>
      </c>
      <c r="T51" s="66" t="str">
        <f t="shared" si="8"/>
        <v>NorthBound</v>
      </c>
      <c r="U51" s="93">
        <f>COUNTIFS(Variables!$M$2:$M$19,IF(T51="NorthBound","&gt;=","&lt;=")&amp;Y51,Variables!$M$2:$M$19,IF(T51="NorthBound","&lt;=","&gt;=")&amp;Z51)</f>
        <v>12</v>
      </c>
      <c r="V51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07:40:01-0600',mode:absolute,to:'2016-07-25 10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51" s="71" t="str">
        <f t="shared" si="9"/>
        <v>N</v>
      </c>
      <c r="X51" s="89">
        <f t="shared" si="10"/>
        <v>1</v>
      </c>
      <c r="Y51" s="86">
        <f t="shared" si="11"/>
        <v>4.5699999999999998E-2</v>
      </c>
      <c r="Z51" s="86">
        <f t="shared" si="12"/>
        <v>23.327400000000001</v>
      </c>
      <c r="AA51" s="86">
        <f t="shared" si="13"/>
        <v>23.281700000000001</v>
      </c>
      <c r="AB51" s="83" t="e">
        <f>VLOOKUP(A51,Enforcements!$C$7:$J$24,8,0)</f>
        <v>#N/A</v>
      </c>
      <c r="AC51" s="79" t="e">
        <f>VLOOKUP(A51,Enforcements!$C$7:$E$24,3,0)</f>
        <v>#N/A</v>
      </c>
      <c r="AD51" s="80" t="str">
        <f t="shared" si="14"/>
        <v>0141-25</v>
      </c>
      <c r="AE51" s="72" t="str">
        <f t="shared" si="15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51" s="72" t="str">
        <f t="shared" si="16"/>
        <v>"C:\Program Files (x86)\AstroGrep\AstroGrep.exe" /spath="C:\Users\stu\Documents\Analysis\2016-02-23 RTDC Observations" /stypes="*4009*20160725*" /stext=" 15:.+((prompt.+disp)|(slice.+state.+chan)|(ment ac)|(system.+state.+chan)|(\|lc)|(penalty)|(\[timeout))" /e /r /s</v>
      </c>
      <c r="AG51" s="1" t="str">
        <f t="shared" si="17"/>
        <v>EC</v>
      </c>
    </row>
    <row r="52" spans="1:33" x14ac:dyDescent="0.25">
      <c r="A52" s="46" t="s">
        <v>432</v>
      </c>
      <c r="B52" s="7">
        <v>4037</v>
      </c>
      <c r="C52" s="26" t="s">
        <v>269</v>
      </c>
      <c r="D52" s="26" t="s">
        <v>280</v>
      </c>
      <c r="E52" s="16">
        <v>42576.400879629633</v>
      </c>
      <c r="F52" s="16">
        <v>42576.401666666665</v>
      </c>
      <c r="G52" s="7">
        <v>1</v>
      </c>
      <c r="H52" s="16" t="s">
        <v>433</v>
      </c>
      <c r="I52" s="16">
        <v>42576.405277777776</v>
      </c>
      <c r="J52" s="7">
        <v>0</v>
      </c>
      <c r="K52" s="26" t="str">
        <f t="shared" si="4"/>
        <v>4037/4038</v>
      </c>
      <c r="L52" s="26" t="str">
        <f>VLOOKUP(A52,'Trips&amp;Operators'!$C$1:$E$10000,3,FALSE)</f>
        <v>STARKS</v>
      </c>
      <c r="M52" s="6">
        <f t="shared" si="5"/>
        <v>3.6111111112404615E-3</v>
      </c>
      <c r="N52" s="7"/>
      <c r="O52" s="7"/>
      <c r="P52" s="7">
        <f t="shared" si="6"/>
        <v>5.2000000001862645</v>
      </c>
      <c r="Q52" s="27"/>
      <c r="R52" s="27" t="s">
        <v>818</v>
      </c>
      <c r="S52" s="42">
        <f t="shared" si="7"/>
        <v>0</v>
      </c>
      <c r="T52" s="66" t="str">
        <f t="shared" si="8"/>
        <v>Southbound</v>
      </c>
      <c r="U52" s="93">
        <f>COUNTIFS(Variables!$M$2:$M$19,IF(T52="NorthBound","&gt;=","&lt;=")&amp;Y52,Variables!$M$2:$M$19,IF(T52="NorthBound","&lt;=","&gt;=")&amp;Z52)</f>
        <v>0</v>
      </c>
      <c r="V5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08:37:16-0600',mode:absolute,to:'2016-07-25 10:43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52" s="71" t="str">
        <f t="shared" si="9"/>
        <v>Y</v>
      </c>
      <c r="X52" s="89">
        <f t="shared" si="10"/>
        <v>1</v>
      </c>
      <c r="Y52" s="86">
        <f t="shared" si="11"/>
        <v>23.298100000000002</v>
      </c>
      <c r="Z52" s="86">
        <f t="shared" si="12"/>
        <v>22.756399999999999</v>
      </c>
      <c r="AA52" s="86">
        <f t="shared" si="13"/>
        <v>0.54170000000000229</v>
      </c>
      <c r="AB52" s="83" t="e">
        <f>VLOOKUP(A52,Enforcements!$C$7:$J$24,8,0)</f>
        <v>#N/A</v>
      </c>
      <c r="AC52" s="79" t="e">
        <f>VLOOKUP(A52,Enforcements!$C$7:$E$24,3,0)</f>
        <v>#N/A</v>
      </c>
      <c r="AD52" s="80" t="str">
        <f t="shared" si="14"/>
        <v>0142-25</v>
      </c>
      <c r="AE52" s="72" t="str">
        <f t="shared" si="15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52" s="72" t="str">
        <f t="shared" si="16"/>
        <v>"C:\Program Files (x86)\AstroGrep\AstroGrep.exe" /spath="C:\Users\stu\Documents\Analysis\2016-02-23 RTDC Observations" /stypes="*4037*20160725*" /stext=" 15:.+((prompt.+disp)|(slice.+state.+chan)|(ment ac)|(system.+state.+chan)|(\|lc)|(penalty)|(\[timeout))" /e /r /s</v>
      </c>
      <c r="AG52" s="1" t="str">
        <f t="shared" si="17"/>
        <v>EC</v>
      </c>
    </row>
    <row r="53" spans="1:33" x14ac:dyDescent="0.25">
      <c r="A53" s="61" t="s">
        <v>434</v>
      </c>
      <c r="B53" s="7">
        <v>4016</v>
      </c>
      <c r="C53" s="26" t="s">
        <v>269</v>
      </c>
      <c r="D53" s="26" t="s">
        <v>435</v>
      </c>
      <c r="E53" s="16">
        <v>42576.375532407408</v>
      </c>
      <c r="F53" s="16">
        <v>42576.376620370371</v>
      </c>
      <c r="G53" s="7">
        <v>1</v>
      </c>
      <c r="H53" s="16" t="s">
        <v>436</v>
      </c>
      <c r="I53" s="16">
        <v>42576.407349537039</v>
      </c>
      <c r="J53" s="7">
        <v>0</v>
      </c>
      <c r="K53" s="26" t="str">
        <f t="shared" si="4"/>
        <v>4015/4016</v>
      </c>
      <c r="L53" s="26" t="str">
        <f>VLOOKUP(A53,'Trips&amp;Operators'!$C$1:$E$10000,3,FALSE)</f>
        <v>GRASTON</v>
      </c>
      <c r="M53" s="6">
        <f t="shared" si="5"/>
        <v>3.0729166668606922E-2</v>
      </c>
      <c r="N53" s="7">
        <f t="shared" si="6"/>
        <v>44.250000002793968</v>
      </c>
      <c r="O53" s="7"/>
      <c r="P53" s="7"/>
      <c r="Q53" s="27"/>
      <c r="R53" s="27"/>
      <c r="S53" s="42">
        <f t="shared" si="7"/>
        <v>1</v>
      </c>
      <c r="T53" s="66" t="str">
        <f t="shared" si="8"/>
        <v>NorthBound</v>
      </c>
      <c r="U53" s="93">
        <f>COUNTIFS(Variables!$M$2:$M$19,IF(T53="NorthBound","&gt;=","&lt;=")&amp;Y53,Variables!$M$2:$M$19,IF(T53="NorthBound","&lt;=","&gt;=")&amp;Z53)</f>
        <v>12</v>
      </c>
      <c r="V5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08:00:46-0600',mode:absolute,to:'2016-07-25 10:46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53" s="71" t="str">
        <f t="shared" si="9"/>
        <v>N</v>
      </c>
      <c r="X53" s="89">
        <f t="shared" si="10"/>
        <v>1</v>
      </c>
      <c r="Y53" s="86">
        <f t="shared" si="11"/>
        <v>0.14749999999999999</v>
      </c>
      <c r="Z53" s="86">
        <f t="shared" si="12"/>
        <v>23.328700000000001</v>
      </c>
      <c r="AA53" s="86">
        <f t="shared" si="13"/>
        <v>23.1812</v>
      </c>
      <c r="AB53" s="83" t="e">
        <f>VLOOKUP(A53,Enforcements!$C$7:$J$24,8,0)</f>
        <v>#N/A</v>
      </c>
      <c r="AC53" s="79" t="e">
        <f>VLOOKUP(A53,Enforcements!$C$7:$E$24,3,0)</f>
        <v>#N/A</v>
      </c>
      <c r="AD53" s="80" t="str">
        <f t="shared" si="14"/>
        <v>0143-25</v>
      </c>
      <c r="AE53" s="72" t="str">
        <f t="shared" si="15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53" s="72" t="str">
        <f t="shared" si="16"/>
        <v>"C:\Program Files (x86)\AstroGrep\AstroGrep.exe" /spath="C:\Users\stu\Documents\Analysis\2016-02-23 RTDC Observations" /stypes="*4016*20160725*" /stext=" 15:.+((prompt.+disp)|(slice.+state.+chan)|(ment ac)|(system.+state.+chan)|(\|lc)|(penalty)|(\[timeout))" /e /r /s</v>
      </c>
      <c r="AG53" s="1" t="str">
        <f t="shared" si="17"/>
        <v>EC</v>
      </c>
    </row>
    <row r="54" spans="1:33" s="1" customFormat="1" x14ac:dyDescent="0.25">
      <c r="A54" s="46" t="s">
        <v>437</v>
      </c>
      <c r="B54" s="7">
        <v>4007</v>
      </c>
      <c r="C54" s="26" t="s">
        <v>269</v>
      </c>
      <c r="D54" s="26" t="s">
        <v>438</v>
      </c>
      <c r="E54" s="16">
        <v>42576.383553240739</v>
      </c>
      <c r="F54" s="16">
        <v>42576.384409722225</v>
      </c>
      <c r="G54" s="7">
        <v>1</v>
      </c>
      <c r="H54" s="16" t="s">
        <v>238</v>
      </c>
      <c r="I54" s="16">
        <v>42576.419016203705</v>
      </c>
      <c r="J54" s="7">
        <v>0</v>
      </c>
      <c r="K54" s="26" t="str">
        <f t="shared" si="4"/>
        <v>4007/4008</v>
      </c>
      <c r="L54" s="26" t="str">
        <f>VLOOKUP(A54,'Trips&amp;Operators'!$C$1:$E$10000,3,FALSE)</f>
        <v>MALAVE</v>
      </c>
      <c r="M54" s="6">
        <f t="shared" si="5"/>
        <v>3.460648148029577E-2</v>
      </c>
      <c r="N54" s="7">
        <f t="shared" si="6"/>
        <v>49.833333331625909</v>
      </c>
      <c r="O54" s="7"/>
      <c r="P54" s="7"/>
      <c r="Q54" s="27"/>
      <c r="R54" s="27"/>
      <c r="S54" s="42">
        <f t="shared" si="7"/>
        <v>1</v>
      </c>
      <c r="T54" s="66" t="str">
        <f t="shared" si="8"/>
        <v>NorthBound</v>
      </c>
      <c r="U54" s="93">
        <f>COUNTIFS(Variables!$M$2:$M$19,IF(T54="NorthBound","&gt;=","&lt;=")&amp;Y54,Variables!$M$2:$M$19,IF(T54="NorthBound","&lt;=","&gt;=")&amp;Z54)</f>
        <v>12</v>
      </c>
      <c r="V5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08:12:19-0600',mode:absolute,to:'2016-07-25 11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54" s="71" t="str">
        <f t="shared" si="9"/>
        <v>N</v>
      </c>
      <c r="X54" s="89">
        <f t="shared" si="10"/>
        <v>2</v>
      </c>
      <c r="Y54" s="86">
        <f t="shared" si="11"/>
        <v>3.09E-2</v>
      </c>
      <c r="Z54" s="86">
        <f t="shared" si="12"/>
        <v>23.328600000000002</v>
      </c>
      <c r="AA54" s="86">
        <f t="shared" si="13"/>
        <v>23.297700000000003</v>
      </c>
      <c r="AB54" s="83" t="e">
        <f>VLOOKUP(A54,Enforcements!$C$7:$J$24,8,0)</f>
        <v>#N/A</v>
      </c>
      <c r="AC54" s="79" t="e">
        <f>VLOOKUP(A54,Enforcements!$C$7:$E$24,3,0)</f>
        <v>#N/A</v>
      </c>
      <c r="AD54" s="80" t="str">
        <f t="shared" si="14"/>
        <v>0145-25</v>
      </c>
      <c r="AE54" s="72" t="str">
        <f t="shared" si="15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54" s="72" t="str">
        <f t="shared" si="16"/>
        <v>"C:\Program Files (x86)\AstroGrep\AstroGrep.exe" /spath="C:\Users\stu\Documents\Analysis\2016-02-23 RTDC Observations" /stypes="*4007*20160725*" /stext=" 16:.+((prompt.+disp)|(slice.+state.+chan)|(ment ac)|(system.+state.+chan)|(\|lc)|(penalty)|(\[timeout))" /e /r /s</v>
      </c>
      <c r="AG54" s="1" t="str">
        <f t="shared" si="17"/>
        <v>EC</v>
      </c>
    </row>
    <row r="55" spans="1:33" x14ac:dyDescent="0.25">
      <c r="A55" s="46" t="s">
        <v>439</v>
      </c>
      <c r="B55" s="7">
        <v>4015</v>
      </c>
      <c r="C55" s="26" t="s">
        <v>269</v>
      </c>
      <c r="D55" s="26" t="s">
        <v>256</v>
      </c>
      <c r="E55" s="16">
        <v>42576.421770833331</v>
      </c>
      <c r="F55" s="16">
        <v>42576.422523148147</v>
      </c>
      <c r="G55" s="7">
        <v>1</v>
      </c>
      <c r="H55" s="16" t="s">
        <v>284</v>
      </c>
      <c r="I55" s="16">
        <v>42576.450879629629</v>
      </c>
      <c r="J55" s="7">
        <v>0</v>
      </c>
      <c r="K55" s="26" t="str">
        <f t="shared" si="4"/>
        <v>4015/4016</v>
      </c>
      <c r="L55" s="26" t="str">
        <f>VLOOKUP(A55,'Trips&amp;Operators'!$C$1:$E$10000,3,FALSE)</f>
        <v>GRASTON</v>
      </c>
      <c r="M55" s="6">
        <f t="shared" si="5"/>
        <v>2.8356481481750961E-2</v>
      </c>
      <c r="N55" s="7">
        <f t="shared" si="6"/>
        <v>40.833333333721384</v>
      </c>
      <c r="O55" s="7"/>
      <c r="P55" s="7"/>
      <c r="Q55" s="27"/>
      <c r="R55" s="27"/>
      <c r="S55" s="42">
        <f t="shared" si="7"/>
        <v>1</v>
      </c>
      <c r="T55" s="66" t="str">
        <f t="shared" si="8"/>
        <v>Southbound</v>
      </c>
      <c r="U55" s="93">
        <f>COUNTIFS(Variables!$M$2:$M$19,IF(T55="NorthBound","&gt;=","&lt;=")&amp;Y55,Variables!$M$2:$M$19,IF(T55="NorthBound","&lt;=","&gt;=")&amp;Z55)</f>
        <v>12</v>
      </c>
      <c r="V5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09:07:21-0600',mode:absolute,to:'2016-07-25 11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55" s="71" t="str">
        <f t="shared" si="9"/>
        <v>N</v>
      </c>
      <c r="X55" s="89">
        <f t="shared" si="10"/>
        <v>1</v>
      </c>
      <c r="Y55" s="86">
        <f t="shared" si="11"/>
        <v>23.299099999999999</v>
      </c>
      <c r="Z55" s="86">
        <f t="shared" si="12"/>
        <v>1.47E-2</v>
      </c>
      <c r="AA55" s="86">
        <f t="shared" si="13"/>
        <v>23.284399999999998</v>
      </c>
      <c r="AB55" s="83" t="e">
        <f>VLOOKUP(A55,Enforcements!$C$7:$J$24,8,0)</f>
        <v>#N/A</v>
      </c>
      <c r="AC55" s="79" t="e">
        <f>VLOOKUP(A55,Enforcements!$C$7:$E$24,3,0)</f>
        <v>#N/A</v>
      </c>
      <c r="AD55" s="80" t="str">
        <f t="shared" si="14"/>
        <v>0146-25</v>
      </c>
      <c r="AE55" s="72" t="str">
        <f t="shared" si="15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55" s="72" t="str">
        <f t="shared" si="16"/>
        <v>"C:\Program Files (x86)\AstroGrep\AstroGrep.exe" /spath="C:\Users\stu\Documents\Analysis\2016-02-23 RTDC Observations" /stypes="*4015*20160725*" /stext=" 16:.+((prompt.+disp)|(slice.+state.+chan)|(ment ac)|(system.+state.+chan)|(\|lc)|(penalty)|(\[timeout))" /e /r /s</v>
      </c>
      <c r="AG55" s="1" t="str">
        <f t="shared" si="17"/>
        <v>EC</v>
      </c>
    </row>
    <row r="56" spans="1:33" x14ac:dyDescent="0.25">
      <c r="A56" s="46" t="s">
        <v>440</v>
      </c>
      <c r="B56" s="7">
        <v>4018</v>
      </c>
      <c r="C56" s="26" t="s">
        <v>269</v>
      </c>
      <c r="D56" s="26" t="s">
        <v>272</v>
      </c>
      <c r="E56" s="16">
        <v>42576.387777777774</v>
      </c>
      <c r="F56" s="16">
        <v>42576.389143518521</v>
      </c>
      <c r="G56" s="7">
        <v>1</v>
      </c>
      <c r="H56" s="16" t="s">
        <v>240</v>
      </c>
      <c r="I56" s="16">
        <v>42576.428090277775</v>
      </c>
      <c r="J56" s="7">
        <v>0</v>
      </c>
      <c r="K56" s="26" t="str">
        <f t="shared" si="4"/>
        <v>4017/4018</v>
      </c>
      <c r="L56" s="26" t="str">
        <f>VLOOKUP(A56,'Trips&amp;Operators'!$C$1:$E$10000,3,FALSE)</f>
        <v>ACKERMAN</v>
      </c>
      <c r="M56" s="6">
        <f t="shared" si="5"/>
        <v>3.8946759254031349E-2</v>
      </c>
      <c r="N56" s="7">
        <f t="shared" si="6"/>
        <v>56.083333325805143</v>
      </c>
      <c r="O56" s="7"/>
      <c r="P56" s="7"/>
      <c r="Q56" s="27"/>
      <c r="R56" s="27"/>
      <c r="S56" s="42">
        <f t="shared" si="7"/>
        <v>1</v>
      </c>
      <c r="T56" s="66" t="str">
        <f t="shared" si="8"/>
        <v>NorthBound</v>
      </c>
      <c r="U56" s="93">
        <f>COUNTIFS(Variables!$M$2:$M$19,IF(T56="NorthBound","&gt;=","&lt;=")&amp;Y56,Variables!$M$2:$M$19,IF(T56="NorthBound","&lt;=","&gt;=")&amp;Z56)</f>
        <v>12</v>
      </c>
      <c r="V5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08:18:24-0600',mode:absolute,to:'2016-07-25 11:16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56" s="71" t="str">
        <f t="shared" si="9"/>
        <v>N</v>
      </c>
      <c r="X56" s="89">
        <f t="shared" si="10"/>
        <v>1</v>
      </c>
      <c r="Y56" s="86">
        <f t="shared" si="11"/>
        <v>4.5699999999999998E-2</v>
      </c>
      <c r="Z56" s="86">
        <f t="shared" si="12"/>
        <v>23.330200000000001</v>
      </c>
      <c r="AA56" s="86">
        <f t="shared" si="13"/>
        <v>23.284500000000001</v>
      </c>
      <c r="AB56" s="83" t="e">
        <f>VLOOKUP(A56,Enforcements!$C$7:$J$24,8,0)</f>
        <v>#N/A</v>
      </c>
      <c r="AC56" s="79" t="e">
        <f>VLOOKUP(A56,Enforcements!$C$7:$E$24,3,0)</f>
        <v>#N/A</v>
      </c>
      <c r="AD56" s="80" t="str">
        <f t="shared" si="14"/>
        <v>0147-25</v>
      </c>
      <c r="AE56" s="72" t="str">
        <f t="shared" si="15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56" s="72" t="str">
        <f t="shared" si="16"/>
        <v>"C:\Program Files (x86)\AstroGrep\AstroGrep.exe" /spath="C:\Users\stu\Documents\Analysis\2016-02-23 RTDC Observations" /stypes="*4018*20160725*" /stext=" 16:.+((prompt.+disp)|(slice.+state.+chan)|(ment ac)|(system.+state.+chan)|(\|lc)|(penalty)|(\[timeout))" /e /r /s</v>
      </c>
      <c r="AG56" s="1" t="str">
        <f t="shared" si="17"/>
        <v>EC</v>
      </c>
    </row>
    <row r="57" spans="1:33" x14ac:dyDescent="0.25">
      <c r="A57" s="46" t="s">
        <v>441</v>
      </c>
      <c r="B57" s="7">
        <v>4008</v>
      </c>
      <c r="C57" s="26" t="s">
        <v>269</v>
      </c>
      <c r="D57" s="26" t="s">
        <v>442</v>
      </c>
      <c r="E57" s="16">
        <v>42576.43341435185</v>
      </c>
      <c r="F57" s="16">
        <v>42576.434305555558</v>
      </c>
      <c r="G57" s="7">
        <v>1</v>
      </c>
      <c r="H57" s="16" t="s">
        <v>284</v>
      </c>
      <c r="I57" s="16">
        <v>42576.461875000001</v>
      </c>
      <c r="J57" s="7">
        <v>0</v>
      </c>
      <c r="K57" s="26" t="str">
        <f t="shared" si="4"/>
        <v>4007/4008</v>
      </c>
      <c r="L57" s="26" t="str">
        <f>VLOOKUP(A57,'Trips&amp;Operators'!$C$1:$E$10000,3,FALSE)</f>
        <v>MALAVE</v>
      </c>
      <c r="M57" s="6">
        <f t="shared" si="5"/>
        <v>2.7569444442633539E-2</v>
      </c>
      <c r="N57" s="7">
        <f t="shared" si="6"/>
        <v>39.699999997392297</v>
      </c>
      <c r="O57" s="7"/>
      <c r="P57" s="7"/>
      <c r="Q57" s="27"/>
      <c r="R57" s="27"/>
      <c r="S57" s="42">
        <f t="shared" si="7"/>
        <v>1</v>
      </c>
      <c r="T57" s="66" t="str">
        <f t="shared" si="8"/>
        <v>Southbound</v>
      </c>
      <c r="U57" s="93">
        <f>COUNTIFS(Variables!$M$2:$M$19,IF(T57="NorthBound","&gt;=","&lt;=")&amp;Y57,Variables!$M$2:$M$19,IF(T57="NorthBound","&lt;=","&gt;=")&amp;Z57)</f>
        <v>12</v>
      </c>
      <c r="V5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09:24:07-0600',mode:absolute,to:'2016-07-25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57" s="71" t="str">
        <f t="shared" si="9"/>
        <v>N</v>
      </c>
      <c r="X57" s="89">
        <f t="shared" si="10"/>
        <v>1</v>
      </c>
      <c r="Y57" s="86">
        <f t="shared" si="11"/>
        <v>23.295000000000002</v>
      </c>
      <c r="Z57" s="86">
        <f t="shared" si="12"/>
        <v>1.47E-2</v>
      </c>
      <c r="AA57" s="86">
        <f t="shared" si="13"/>
        <v>23.2803</v>
      </c>
      <c r="AB57" s="83" t="e">
        <f>VLOOKUP(A57,Enforcements!$C$7:$J$24,8,0)</f>
        <v>#N/A</v>
      </c>
      <c r="AC57" s="79" t="e">
        <f>VLOOKUP(A57,Enforcements!$C$7:$E$24,3,0)</f>
        <v>#N/A</v>
      </c>
      <c r="AD57" s="80" t="str">
        <f t="shared" si="14"/>
        <v>0148-25</v>
      </c>
      <c r="AE57" s="72" t="str">
        <f t="shared" si="15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57" s="72" t="str">
        <f t="shared" si="16"/>
        <v>"C:\Program Files (x86)\AstroGrep\AstroGrep.exe" /spath="C:\Users\stu\Documents\Analysis\2016-02-23 RTDC Observations" /stypes="*4008*20160725*" /stext=" 17:.+((prompt.+disp)|(slice.+state.+chan)|(ment ac)|(system.+state.+chan)|(\|lc)|(penalty)|(\[timeout))" /e /r /s</v>
      </c>
      <c r="AG57" s="1" t="str">
        <f t="shared" si="17"/>
        <v>EC</v>
      </c>
    </row>
    <row r="58" spans="1:33" x14ac:dyDescent="0.25">
      <c r="A58" s="46" t="s">
        <v>443</v>
      </c>
      <c r="B58" s="7">
        <v>4020</v>
      </c>
      <c r="C58" s="26" t="s">
        <v>269</v>
      </c>
      <c r="D58" s="26" t="s">
        <v>247</v>
      </c>
      <c r="E58" s="16">
        <v>42576.401597222219</v>
      </c>
      <c r="F58" s="16">
        <v>42576.403368055559</v>
      </c>
      <c r="G58" s="7">
        <v>2</v>
      </c>
      <c r="H58" s="16" t="s">
        <v>277</v>
      </c>
      <c r="I58" s="16">
        <v>42576.438946759263</v>
      </c>
      <c r="J58" s="7">
        <v>0</v>
      </c>
      <c r="K58" s="26" t="str">
        <f t="shared" si="4"/>
        <v>4019/4020</v>
      </c>
      <c r="L58" s="26" t="str">
        <f>VLOOKUP(A58,'Trips&amp;Operators'!$C$1:$E$10000,3,FALSE)</f>
        <v>BRANNON</v>
      </c>
      <c r="M58" s="6">
        <f t="shared" si="5"/>
        <v>3.5578703704231884E-2</v>
      </c>
      <c r="N58" s="7">
        <f t="shared" si="6"/>
        <v>51.233333334093913</v>
      </c>
      <c r="O58" s="7"/>
      <c r="P58" s="7"/>
      <c r="Q58" s="27"/>
      <c r="R58" s="27"/>
      <c r="S58" s="42">
        <f t="shared" si="7"/>
        <v>1</v>
      </c>
      <c r="T58" s="66" t="str">
        <f t="shared" si="8"/>
        <v>NorthBound</v>
      </c>
      <c r="U58" s="93">
        <f>COUNTIFS(Variables!$M$2:$M$19,IF(T58="NorthBound","&gt;=","&lt;=")&amp;Y58,Variables!$M$2:$M$19,IF(T58="NorthBound","&lt;=","&gt;=")&amp;Z58)</f>
        <v>12</v>
      </c>
      <c r="V5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08:38:18-0600',mode:absolute,to:'2016-07-25 11:32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4020%22')),sort:!(Time,asc))</v>
      </c>
      <c r="W58" s="71" t="str">
        <f t="shared" si="9"/>
        <v>N</v>
      </c>
      <c r="X58" s="89">
        <f t="shared" si="10"/>
        <v>1</v>
      </c>
      <c r="Y58" s="86">
        <f t="shared" si="11"/>
        <v>4.7500000000000001E-2</v>
      </c>
      <c r="Z58" s="86">
        <f t="shared" si="12"/>
        <v>23.3291</v>
      </c>
      <c r="AA58" s="86">
        <f t="shared" si="13"/>
        <v>23.281600000000001</v>
      </c>
      <c r="AB58" s="83" t="e">
        <f>VLOOKUP(A58,Enforcements!$C$7:$J$24,8,0)</f>
        <v>#N/A</v>
      </c>
      <c r="AC58" s="79" t="e">
        <f>VLOOKUP(A58,Enforcements!$C$7:$E$24,3,0)</f>
        <v>#N/A</v>
      </c>
      <c r="AD58" s="80" t="str">
        <f t="shared" si="14"/>
        <v>0149-25</v>
      </c>
      <c r="AE58" s="72" t="str">
        <f t="shared" si="15"/>
        <v>aws s3 cp s3://rtdc.mdm.uploadarchive/RTDC4020/2016-07-25/ "C:\Users\stu\Documents\Analysis\2016-02-23 RTDC Observations"\RTDC4020\2016-07-25 --recursive &amp; "C:\Users\stu\Documents\GitHub\mrs-test-scripts\Headless Mode &amp; Sideloading\WalkAndUnGZ.bat" "C:\Users\stu\Documents\Analysis\2016-02-23 RTDC Observations"\RTDC4020\2016-07-25 &amp; aws s3 cp s3://rtdc.mdm.uploadarchive/RTDC4020/2016-07-26/ "C:\Users\stu\Documents\Analysis\2016-02-23 RTDC Observations"\RTDC4020\2016-07-26 --recursive &amp; "C:\Users\stu\Documents\GitHub\mrs-test-scripts\Headless Mode &amp; Sideloading\WalkAndUnGZ.bat" "C:\Users\stu\Documents\Analysis\2016-02-23 RTDC Observations"\RTDC4020\2016-07-26</v>
      </c>
      <c r="AF58" s="72" t="str">
        <f t="shared" si="16"/>
        <v>"C:\Program Files (x86)\AstroGrep\AstroGrep.exe" /spath="C:\Users\stu\Documents\Analysis\2016-02-23 RTDC Observations" /stypes="*4020*20160725*" /stext=" 16:.+((prompt.+disp)|(slice.+state.+chan)|(ment ac)|(system.+state.+chan)|(\|lc)|(penalty)|(\[timeout))" /e /r /s</v>
      </c>
      <c r="AG58" s="1" t="str">
        <f t="shared" si="17"/>
        <v>EC</v>
      </c>
    </row>
    <row r="59" spans="1:33" x14ac:dyDescent="0.25">
      <c r="A59" s="46" t="s">
        <v>444</v>
      </c>
      <c r="B59" s="7">
        <v>4017</v>
      </c>
      <c r="C59" s="26" t="s">
        <v>269</v>
      </c>
      <c r="D59" s="26" t="s">
        <v>280</v>
      </c>
      <c r="E59" s="16">
        <v>42576.438333333332</v>
      </c>
      <c r="F59" s="16">
        <v>42576.439155092594</v>
      </c>
      <c r="G59" s="7">
        <v>1</v>
      </c>
      <c r="H59" s="16" t="s">
        <v>445</v>
      </c>
      <c r="I59" s="16">
        <v>42576.471863425926</v>
      </c>
      <c r="J59" s="7">
        <v>0</v>
      </c>
      <c r="K59" s="26" t="str">
        <f t="shared" si="4"/>
        <v>4017/4018</v>
      </c>
      <c r="L59" s="26" t="str">
        <f>VLOOKUP(A59,'Trips&amp;Operators'!$C$1:$E$10000,3,FALSE)</f>
        <v>ACKERMAN</v>
      </c>
      <c r="M59" s="6">
        <f t="shared" si="5"/>
        <v>3.2708333332266193E-2</v>
      </c>
      <c r="N59" s="7">
        <f t="shared" si="6"/>
        <v>47.099999998463318</v>
      </c>
      <c r="O59" s="7"/>
      <c r="P59" s="7"/>
      <c r="Q59" s="27"/>
      <c r="R59" s="27"/>
      <c r="S59" s="42">
        <f t="shared" si="7"/>
        <v>1</v>
      </c>
      <c r="T59" s="66" t="str">
        <f t="shared" si="8"/>
        <v>Southbound</v>
      </c>
      <c r="U59" s="93">
        <f>COUNTIFS(Variables!$M$2:$M$19,IF(T59="NorthBound","&gt;=","&lt;=")&amp;Y59,Variables!$M$2:$M$19,IF(T59="NorthBound","&lt;=","&gt;=")&amp;Z59)</f>
        <v>12</v>
      </c>
      <c r="V5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09:31:12-0600',mode:absolute,to:'2016-07-25 12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59" s="71" t="str">
        <f t="shared" si="9"/>
        <v>N</v>
      </c>
      <c r="X59" s="89">
        <f t="shared" si="10"/>
        <v>1</v>
      </c>
      <c r="Y59" s="86">
        <f t="shared" si="11"/>
        <v>23.298100000000002</v>
      </c>
      <c r="Z59" s="86">
        <f t="shared" si="12"/>
        <v>1.32E-2</v>
      </c>
      <c r="AA59" s="86">
        <f t="shared" si="13"/>
        <v>23.2849</v>
      </c>
      <c r="AB59" s="83" t="e">
        <f>VLOOKUP(A59,Enforcements!$C$7:$J$24,8,0)</f>
        <v>#N/A</v>
      </c>
      <c r="AC59" s="79" t="e">
        <f>VLOOKUP(A59,Enforcements!$C$7:$E$24,3,0)</f>
        <v>#N/A</v>
      </c>
      <c r="AD59" s="80" t="str">
        <f t="shared" si="14"/>
        <v>0150-25</v>
      </c>
      <c r="AE59" s="72" t="str">
        <f t="shared" si="15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59" s="72" t="str">
        <f t="shared" si="16"/>
        <v>"C:\Program Files (x86)\AstroGrep\AstroGrep.exe" /spath="C:\Users\stu\Documents\Analysis\2016-02-23 RTDC Observations" /stypes="*4017*20160725*" /stext=" 17:.+((prompt.+disp)|(slice.+state.+chan)|(ment ac)|(system.+state.+chan)|(\|lc)|(penalty)|(\[timeout))" /e /r /s</v>
      </c>
      <c r="AG59" s="1" t="str">
        <f t="shared" si="17"/>
        <v>EC</v>
      </c>
    </row>
    <row r="60" spans="1:33" x14ac:dyDescent="0.25">
      <c r="A60" s="46" t="s">
        <v>446</v>
      </c>
      <c r="B60" s="7">
        <v>4027</v>
      </c>
      <c r="C60" s="26" t="s">
        <v>269</v>
      </c>
      <c r="D60" s="26" t="s">
        <v>169</v>
      </c>
      <c r="E60" s="16">
        <v>42576.41165509259</v>
      </c>
      <c r="F60" s="16">
        <v>42576.412499999999</v>
      </c>
      <c r="G60" s="7">
        <v>1</v>
      </c>
      <c r="H60" s="16" t="s">
        <v>165</v>
      </c>
      <c r="I60" s="16">
        <v>42576.449074074073</v>
      </c>
      <c r="J60" s="7">
        <v>0</v>
      </c>
      <c r="K60" s="26" t="str">
        <f t="shared" si="4"/>
        <v>4027/4028</v>
      </c>
      <c r="L60" s="26" t="str">
        <f>VLOOKUP(A60,'Trips&amp;Operators'!$C$1:$E$10000,3,FALSE)</f>
        <v>SPECTOR</v>
      </c>
      <c r="M60" s="6">
        <f t="shared" si="5"/>
        <v>3.6574074074451346E-2</v>
      </c>
      <c r="N60" s="7">
        <f t="shared" si="6"/>
        <v>52.666666667209938</v>
      </c>
      <c r="O60" s="7"/>
      <c r="P60" s="7"/>
      <c r="Q60" s="27"/>
      <c r="R60" s="27"/>
      <c r="S60" s="42">
        <f t="shared" si="7"/>
        <v>1</v>
      </c>
      <c r="T60" s="66" t="str">
        <f t="shared" si="8"/>
        <v>NorthBound</v>
      </c>
      <c r="U60" s="93">
        <f>COUNTIFS(Variables!$M$2:$M$19,IF(T60="NorthBound","&gt;=","&lt;=")&amp;Y60,Variables!$M$2:$M$19,IF(T60="NorthBound","&lt;=","&gt;=")&amp;Z60)</f>
        <v>12</v>
      </c>
      <c r="V6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08:52:47-0600',mode:absolute,to:'2016-07-25 11:46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60" s="71" t="str">
        <f t="shared" si="9"/>
        <v>N</v>
      </c>
      <c r="X60" s="89">
        <f t="shared" si="10"/>
        <v>1</v>
      </c>
      <c r="Y60" s="86">
        <f t="shared" si="11"/>
        <v>4.4900000000000002E-2</v>
      </c>
      <c r="Z60" s="86">
        <f t="shared" si="12"/>
        <v>23.330400000000001</v>
      </c>
      <c r="AA60" s="86">
        <f t="shared" si="13"/>
        <v>23.285500000000003</v>
      </c>
      <c r="AB60" s="83" t="e">
        <f>VLOOKUP(A60,Enforcements!$C$7:$J$24,8,0)</f>
        <v>#N/A</v>
      </c>
      <c r="AC60" s="79" t="e">
        <f>VLOOKUP(A60,Enforcements!$C$7:$E$24,3,0)</f>
        <v>#N/A</v>
      </c>
      <c r="AD60" s="80" t="str">
        <f t="shared" si="14"/>
        <v>0151-25</v>
      </c>
      <c r="AE60" s="72" t="str">
        <f t="shared" si="15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60" s="72" t="str">
        <f t="shared" si="16"/>
        <v>"C:\Program Files (x86)\AstroGrep\AstroGrep.exe" /spath="C:\Users\stu\Documents\Analysis\2016-02-23 RTDC Observations" /stypes="*4027*20160725*" /stext=" 16:.+((prompt.+disp)|(slice.+state.+chan)|(ment ac)|(system.+state.+chan)|(\|lc)|(penalty)|(\[timeout))" /e /r /s</v>
      </c>
      <c r="AG60" s="1" t="str">
        <f t="shared" si="17"/>
        <v>EC</v>
      </c>
    </row>
    <row r="61" spans="1:33" x14ac:dyDescent="0.25">
      <c r="A61" s="46" t="s">
        <v>447</v>
      </c>
      <c r="B61" s="7">
        <v>4019</v>
      </c>
      <c r="C61" s="26" t="s">
        <v>269</v>
      </c>
      <c r="D61" s="26" t="s">
        <v>67</v>
      </c>
      <c r="E61" s="16">
        <v>42576.451770833337</v>
      </c>
      <c r="F61" s="16">
        <v>42576.452534722222</v>
      </c>
      <c r="G61" s="7">
        <v>1</v>
      </c>
      <c r="H61" s="16" t="s">
        <v>406</v>
      </c>
      <c r="I61" s="16">
        <v>42576.483587962961</v>
      </c>
      <c r="J61" s="7">
        <v>0</v>
      </c>
      <c r="K61" s="26" t="str">
        <f t="shared" si="4"/>
        <v>4019/4020</v>
      </c>
      <c r="L61" s="26" t="str">
        <f>VLOOKUP(A61,'Trips&amp;Operators'!$C$1:$E$10000,3,FALSE)</f>
        <v>BRANNON</v>
      </c>
      <c r="M61" s="6">
        <f t="shared" si="5"/>
        <v>3.1053240738401655E-2</v>
      </c>
      <c r="N61" s="7">
        <f t="shared" si="6"/>
        <v>44.716666663298383</v>
      </c>
      <c r="O61" s="7"/>
      <c r="P61" s="7"/>
      <c r="Q61" s="27"/>
      <c r="R61" s="27"/>
      <c r="S61" s="42">
        <f t="shared" si="7"/>
        <v>1</v>
      </c>
      <c r="T61" s="66" t="str">
        <f t="shared" si="8"/>
        <v>Southbound</v>
      </c>
      <c r="U61" s="93">
        <f>COUNTIFS(Variables!$M$2:$M$19,IF(T61="NorthBound","&gt;=","&lt;=")&amp;Y61,Variables!$M$2:$M$19,IF(T61="NorthBound","&lt;=","&gt;=")&amp;Z61)</f>
        <v>12</v>
      </c>
      <c r="V61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09:50:33-0600',mode:absolute,to:'2016-07-25 12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4019%22')),sort:!(Time,asc))</v>
      </c>
      <c r="W61" s="71" t="str">
        <f t="shared" si="9"/>
        <v>N</v>
      </c>
      <c r="X61" s="89">
        <f t="shared" si="10"/>
        <v>1</v>
      </c>
      <c r="Y61" s="86">
        <f t="shared" si="11"/>
        <v>23.297699999999999</v>
      </c>
      <c r="Z61" s="86">
        <f t="shared" si="12"/>
        <v>1.34E-2</v>
      </c>
      <c r="AA61" s="86">
        <f t="shared" si="13"/>
        <v>23.284299999999998</v>
      </c>
      <c r="AB61" s="83" t="e">
        <f>VLOOKUP(A61,Enforcements!$C$7:$J$24,8,0)</f>
        <v>#N/A</v>
      </c>
      <c r="AC61" s="79" t="e">
        <f>VLOOKUP(A61,Enforcements!$C$7:$E$24,3,0)</f>
        <v>#N/A</v>
      </c>
      <c r="AD61" s="80" t="str">
        <f t="shared" si="14"/>
        <v>0152-25</v>
      </c>
      <c r="AE61" s="72" t="str">
        <f t="shared" si="15"/>
        <v>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 &amp; aws s3 cp s3://rtdc.mdm.uploadarchive/RTDC4019/2016-07-26/ "C:\Users\stu\Documents\Analysis\2016-02-23 RTDC Observations"\RTDC4019\2016-07-26 --recursive &amp; "C:\Users\stu\Documents\GitHub\mrs-test-scripts\Headless Mode &amp; Sideloading\WalkAndUnGZ.bat" "C:\Users\stu\Documents\Analysis\2016-02-23 RTDC Observations"\RTDC4019\2016-07-26</v>
      </c>
      <c r="AF61" s="72" t="str">
        <f t="shared" si="16"/>
        <v>"C:\Program Files (x86)\AstroGrep\AstroGrep.exe" /spath="C:\Users\stu\Documents\Analysis\2016-02-23 RTDC Observations" /stypes="*4019*20160725*" /stext=" 17:.+((prompt.+disp)|(slice.+state.+chan)|(ment ac)|(system.+state.+chan)|(\|lc)|(penalty)|(\[timeout))" /e /r /s</v>
      </c>
      <c r="AG61" s="1" t="str">
        <f t="shared" si="17"/>
        <v>EC</v>
      </c>
    </row>
    <row r="62" spans="1:33" x14ac:dyDescent="0.25">
      <c r="A62" s="46" t="s">
        <v>448</v>
      </c>
      <c r="B62" s="7">
        <v>4028</v>
      </c>
      <c r="C62" s="26" t="s">
        <v>269</v>
      </c>
      <c r="D62" s="26" t="s">
        <v>280</v>
      </c>
      <c r="E62" s="16">
        <v>42576.458923611113</v>
      </c>
      <c r="F62" s="16">
        <v>42576.459803240738</v>
      </c>
      <c r="G62" s="7">
        <v>1</v>
      </c>
      <c r="H62" s="16" t="s">
        <v>149</v>
      </c>
      <c r="I62" s="16">
        <v>42576.492650462962</v>
      </c>
      <c r="J62" s="7">
        <v>0</v>
      </c>
      <c r="K62" s="26" t="str">
        <f t="shared" si="4"/>
        <v>4027/4028</v>
      </c>
      <c r="L62" s="26" t="str">
        <f>VLOOKUP(A62,'Trips&amp;Operators'!$C$1:$E$10000,3,FALSE)</f>
        <v>SPECTOR</v>
      </c>
      <c r="M62" s="6">
        <f t="shared" si="5"/>
        <v>3.2847222224518191E-2</v>
      </c>
      <c r="N62" s="7">
        <f t="shared" si="6"/>
        <v>47.300000003306195</v>
      </c>
      <c r="O62" s="7"/>
      <c r="P62" s="7"/>
      <c r="Q62" s="27"/>
      <c r="R62" s="27"/>
      <c r="S62" s="42">
        <f t="shared" si="7"/>
        <v>1</v>
      </c>
      <c r="T62" s="66" t="str">
        <f t="shared" si="8"/>
        <v>Southbound</v>
      </c>
      <c r="U62" s="93">
        <f>COUNTIFS(Variables!$M$2:$M$19,IF(T62="NorthBound","&gt;=","&lt;=")&amp;Y62,Variables!$M$2:$M$19,IF(T62="NorthBound","&lt;=","&gt;=")&amp;Z62)</f>
        <v>12</v>
      </c>
      <c r="V6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10:00:51-0600',mode:absolute,to:'2016-07-25 12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62" s="71" t="str">
        <f t="shared" si="9"/>
        <v>N</v>
      </c>
      <c r="X62" s="89">
        <f t="shared" si="10"/>
        <v>2</v>
      </c>
      <c r="Y62" s="86">
        <f t="shared" si="11"/>
        <v>23.298100000000002</v>
      </c>
      <c r="Z62" s="86">
        <f t="shared" si="12"/>
        <v>1.54E-2</v>
      </c>
      <c r="AA62" s="86">
        <f t="shared" si="13"/>
        <v>23.282700000000002</v>
      </c>
      <c r="AB62" s="83" t="e">
        <f>VLOOKUP(A62,Enforcements!$C$7:$J$24,8,0)</f>
        <v>#N/A</v>
      </c>
      <c r="AC62" s="79" t="e">
        <f>VLOOKUP(A62,Enforcements!$C$7:$E$24,3,0)</f>
        <v>#N/A</v>
      </c>
      <c r="AD62" s="80" t="str">
        <f t="shared" si="14"/>
        <v>0154-25</v>
      </c>
      <c r="AE62" s="72" t="str">
        <f t="shared" si="15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62" s="72" t="str">
        <f t="shared" si="16"/>
        <v>"C:\Program Files (x86)\AstroGrep\AstroGrep.exe" /spath="C:\Users\stu\Documents\Analysis\2016-02-23 RTDC Observations" /stypes="*4028*20160725*" /stext=" 17:.+((prompt.+disp)|(slice.+state.+chan)|(ment ac)|(system.+state.+chan)|(\|lc)|(penalty)|(\[timeout))" /e /r /s</v>
      </c>
      <c r="AG62" s="1" t="str">
        <f t="shared" si="17"/>
        <v>EC</v>
      </c>
    </row>
    <row r="63" spans="1:33" x14ac:dyDescent="0.25">
      <c r="A63" s="46" t="s">
        <v>449</v>
      </c>
      <c r="B63" s="7">
        <v>4014</v>
      </c>
      <c r="C63" s="26" t="s">
        <v>269</v>
      </c>
      <c r="D63" s="26" t="s">
        <v>106</v>
      </c>
      <c r="E63" s="16">
        <v>42576.44153935185</v>
      </c>
      <c r="F63" s="16">
        <v>42576.442349537036</v>
      </c>
      <c r="G63" s="7">
        <v>1</v>
      </c>
      <c r="H63" s="16" t="s">
        <v>450</v>
      </c>
      <c r="I63" s="16">
        <v>42576.470127314817</v>
      </c>
      <c r="J63" s="7">
        <v>0</v>
      </c>
      <c r="K63" s="26" t="str">
        <f t="shared" si="4"/>
        <v>4013/4014</v>
      </c>
      <c r="L63" s="26" t="str">
        <f>VLOOKUP(A63,'Trips&amp;Operators'!$C$1:$E$10000,3,FALSE)</f>
        <v>STARKS</v>
      </c>
      <c r="M63" s="6">
        <f t="shared" si="5"/>
        <v>2.7777777781011537E-2</v>
      </c>
      <c r="N63" s="7">
        <f t="shared" si="6"/>
        <v>40.000000004656613</v>
      </c>
      <c r="O63" s="7"/>
      <c r="P63" s="7"/>
      <c r="Q63" s="27"/>
      <c r="R63" s="27"/>
      <c r="S63" s="42">
        <f t="shared" si="7"/>
        <v>1</v>
      </c>
      <c r="T63" s="66" t="str">
        <f t="shared" si="8"/>
        <v>NorthBound</v>
      </c>
      <c r="U63" s="93">
        <f>COUNTIFS(Variables!$M$2:$M$19,IF(T63="NorthBound","&gt;=","&lt;=")&amp;Y63,Variables!$M$2:$M$19,IF(T63="NorthBound","&lt;=","&gt;=")&amp;Z63)</f>
        <v>12</v>
      </c>
      <c r="V6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09:35:49-0600',mode:absolute,to:'2016-07-25 12:16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63" s="71" t="str">
        <f t="shared" si="9"/>
        <v>N</v>
      </c>
      <c r="X63" s="89">
        <f t="shared" si="10"/>
        <v>1</v>
      </c>
      <c r="Y63" s="86">
        <f t="shared" si="11"/>
        <v>4.5100000000000001E-2</v>
      </c>
      <c r="Z63" s="86">
        <f t="shared" si="12"/>
        <v>23.328199999999999</v>
      </c>
      <c r="AA63" s="86">
        <f t="shared" si="13"/>
        <v>23.283099999999997</v>
      </c>
      <c r="AB63" s="83" t="e">
        <f>VLOOKUP(A63,Enforcements!$C$7:$J$24,8,0)</f>
        <v>#N/A</v>
      </c>
      <c r="AC63" s="79" t="e">
        <f>VLOOKUP(A63,Enforcements!$C$7:$E$24,3,0)</f>
        <v>#N/A</v>
      </c>
      <c r="AD63" s="80" t="str">
        <f t="shared" si="14"/>
        <v>0155-25</v>
      </c>
      <c r="AE63" s="72" t="str">
        <f t="shared" si="15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63" s="72" t="str">
        <f t="shared" si="16"/>
        <v>"C:\Program Files (x86)\AstroGrep\AstroGrep.exe" /spath="C:\Users\stu\Documents\Analysis\2016-02-23 RTDC Observations" /stypes="*4014*20160725*" /stext=" 17:.+((prompt.+disp)|(slice.+state.+chan)|(ment ac)|(system.+state.+chan)|(\|lc)|(penalty)|(\[timeout))" /e /r /s</v>
      </c>
      <c r="AG63" s="1" t="str">
        <f t="shared" si="17"/>
        <v>EC</v>
      </c>
    </row>
    <row r="64" spans="1:33" x14ac:dyDescent="0.25">
      <c r="A64" s="46" t="s">
        <v>451</v>
      </c>
      <c r="B64" s="7">
        <v>4013</v>
      </c>
      <c r="C64" s="26" t="s">
        <v>269</v>
      </c>
      <c r="D64" s="26" t="s">
        <v>261</v>
      </c>
      <c r="E64" s="16">
        <v>42576.474733796298</v>
      </c>
      <c r="F64" s="16">
        <v>42576.475717592592</v>
      </c>
      <c r="G64" s="7">
        <v>1</v>
      </c>
      <c r="H64" s="16" t="s">
        <v>155</v>
      </c>
      <c r="I64" s="16">
        <v>42576.509421296294</v>
      </c>
      <c r="J64" s="7">
        <v>3</v>
      </c>
      <c r="K64" s="26" t="str">
        <f t="shared" si="4"/>
        <v>4013/4014</v>
      </c>
      <c r="L64" s="26" t="str">
        <f>VLOOKUP(A64,'Trips&amp;Operators'!$C$1:$E$10000,3,FALSE)</f>
        <v>STARKS</v>
      </c>
      <c r="M64" s="6">
        <f t="shared" si="5"/>
        <v>3.3703703702485655E-2</v>
      </c>
      <c r="N64" s="7">
        <f t="shared" si="6"/>
        <v>48.533333331579342</v>
      </c>
      <c r="O64" s="7"/>
      <c r="P64" s="7"/>
      <c r="Q64" s="27"/>
      <c r="R64" s="27"/>
      <c r="S64" s="42">
        <f t="shared" si="7"/>
        <v>1</v>
      </c>
      <c r="T64" s="66" t="str">
        <f t="shared" si="8"/>
        <v>Southbound</v>
      </c>
      <c r="U64" s="93">
        <f>COUNTIFS(Variables!$M$2:$M$19,IF(T64="NorthBound","&gt;=","&lt;=")&amp;Y64,Variables!$M$2:$M$19,IF(T64="NorthBound","&lt;=","&gt;=")&amp;Z64)</f>
        <v>12</v>
      </c>
      <c r="V6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10:23:37-0600',mode:absolute,to:'2016-07-25 13:13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64" s="71" t="str">
        <f t="shared" si="9"/>
        <v>N</v>
      </c>
      <c r="X64" s="89">
        <f t="shared" si="10"/>
        <v>1</v>
      </c>
      <c r="Y64" s="86">
        <f t="shared" si="11"/>
        <v>23.297799999999999</v>
      </c>
      <c r="Z64" s="86">
        <f t="shared" si="12"/>
        <v>1.38E-2</v>
      </c>
      <c r="AA64" s="86">
        <f t="shared" si="13"/>
        <v>23.283999999999999</v>
      </c>
      <c r="AB64" s="83">
        <f>VLOOKUP(A64,Enforcements!$C$7:$J$24,8,0)</f>
        <v>27350</v>
      </c>
      <c r="AC64" s="79" t="str">
        <f>VLOOKUP(A64,Enforcements!$C$7:$E$24,3,0)</f>
        <v>GRADE CROSSING</v>
      </c>
      <c r="AD64" s="80" t="str">
        <f t="shared" si="14"/>
        <v>0156-25</v>
      </c>
      <c r="AE64" s="72" t="str">
        <f t="shared" si="15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64" s="72" t="str">
        <f t="shared" si="16"/>
        <v>"C:\Program Files (x86)\AstroGrep\AstroGrep.exe" /spath="C:\Users\stu\Documents\Analysis\2016-02-23 RTDC Observations" /stypes="*4013*20160725*" /stext=" 18:.+((prompt.+disp)|(slice.+state.+chan)|(ment ac)|(system.+state.+chan)|(\|lc)|(penalty)|(\[timeout))" /e /r /s</v>
      </c>
      <c r="AG64" s="1" t="str">
        <f t="shared" si="17"/>
        <v>EC</v>
      </c>
    </row>
    <row r="65" spans="1:33" x14ac:dyDescent="0.25">
      <c r="A65" s="46" t="s">
        <v>452</v>
      </c>
      <c r="B65" s="7">
        <v>4009</v>
      </c>
      <c r="C65" s="26" t="s">
        <v>269</v>
      </c>
      <c r="D65" s="26" t="s">
        <v>66</v>
      </c>
      <c r="E65" s="16">
        <v>42576.449097222219</v>
      </c>
      <c r="F65" s="16">
        <v>42576.450439814813</v>
      </c>
      <c r="G65" s="7">
        <v>1</v>
      </c>
      <c r="H65" s="16" t="s">
        <v>453</v>
      </c>
      <c r="I65" s="16">
        <v>42576.479664351849</v>
      </c>
      <c r="J65" s="7">
        <v>0</v>
      </c>
      <c r="K65" s="26" t="str">
        <f t="shared" si="4"/>
        <v>4009/4010</v>
      </c>
      <c r="L65" s="26" t="str">
        <f>VLOOKUP(A65,'Trips&amp;Operators'!$C$1:$E$10000,3,FALSE)</f>
        <v>LOZA</v>
      </c>
      <c r="M65" s="6">
        <f t="shared" si="5"/>
        <v>2.9224537036498077E-2</v>
      </c>
      <c r="N65" s="7">
        <f t="shared" si="6"/>
        <v>42.083333332557231</v>
      </c>
      <c r="O65" s="7"/>
      <c r="P65" s="7"/>
      <c r="Q65" s="27"/>
      <c r="R65" s="27"/>
      <c r="S65" s="42">
        <f t="shared" si="7"/>
        <v>1</v>
      </c>
      <c r="T65" s="66" t="str">
        <f t="shared" si="8"/>
        <v>NorthBound</v>
      </c>
      <c r="U65" s="93">
        <f>COUNTIFS(Variables!$M$2:$M$19,IF(T65="NorthBound","&gt;=","&lt;=")&amp;Y65,Variables!$M$2:$M$19,IF(T65="NorthBound","&lt;=","&gt;=")&amp;Z65)</f>
        <v>12</v>
      </c>
      <c r="V6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09:46:42-0600',mode:absolute,to:'2016-07-25 12:30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65" s="71" t="str">
        <f t="shared" si="9"/>
        <v>N</v>
      </c>
      <c r="X65" s="89">
        <f t="shared" si="10"/>
        <v>1</v>
      </c>
      <c r="Y65" s="86">
        <f t="shared" si="11"/>
        <v>4.5999999999999999E-2</v>
      </c>
      <c r="Z65" s="86">
        <f t="shared" si="12"/>
        <v>23.332100000000001</v>
      </c>
      <c r="AA65" s="86">
        <f t="shared" si="13"/>
        <v>23.286100000000001</v>
      </c>
      <c r="AB65" s="83" t="e">
        <f>VLOOKUP(A65,Enforcements!$C$7:$J$24,8,0)</f>
        <v>#N/A</v>
      </c>
      <c r="AC65" s="79" t="e">
        <f>VLOOKUP(A65,Enforcements!$C$7:$E$24,3,0)</f>
        <v>#N/A</v>
      </c>
      <c r="AD65" s="80" t="str">
        <f t="shared" si="14"/>
        <v>0157-25</v>
      </c>
      <c r="AE65" s="72" t="str">
        <f t="shared" si="15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65" s="72" t="str">
        <f t="shared" si="16"/>
        <v>"C:\Program Files (x86)\AstroGrep\AstroGrep.exe" /spath="C:\Users\stu\Documents\Analysis\2016-02-23 RTDC Observations" /stypes="*4009*20160725*" /stext=" 17:.+((prompt.+disp)|(slice.+state.+chan)|(ment ac)|(system.+state.+chan)|(\|lc)|(penalty)|(\[timeout))" /e /r /s</v>
      </c>
      <c r="AG65" s="1" t="str">
        <f t="shared" si="17"/>
        <v>EC</v>
      </c>
    </row>
    <row r="66" spans="1:33" x14ac:dyDescent="0.25">
      <c r="A66" s="46" t="s">
        <v>454</v>
      </c>
      <c r="B66" s="7">
        <v>4010</v>
      </c>
      <c r="C66" s="26" t="s">
        <v>269</v>
      </c>
      <c r="D66" s="26" t="s">
        <v>251</v>
      </c>
      <c r="E66" s="16">
        <v>42576.484837962962</v>
      </c>
      <c r="F66" s="16">
        <v>42576.486331018517</v>
      </c>
      <c r="G66" s="7">
        <v>2</v>
      </c>
      <c r="H66" s="16" t="s">
        <v>254</v>
      </c>
      <c r="I66" s="16">
        <v>42576.516099537039</v>
      </c>
      <c r="J66" s="7">
        <v>0</v>
      </c>
      <c r="K66" s="26" t="str">
        <f t="shared" si="4"/>
        <v>4009/4010</v>
      </c>
      <c r="L66" s="26" t="str">
        <f>VLOOKUP(A66,'Trips&amp;Operators'!$C$1:$E$10000,3,FALSE)</f>
        <v>LOZA</v>
      </c>
      <c r="M66" s="6">
        <f t="shared" si="5"/>
        <v>2.976851852145046E-2</v>
      </c>
      <c r="N66" s="7">
        <f t="shared" si="6"/>
        <v>42.866666670888662</v>
      </c>
      <c r="O66" s="7"/>
      <c r="P66" s="7"/>
      <c r="Q66" s="27"/>
      <c r="R66" s="27"/>
      <c r="S66" s="42">
        <f t="shared" si="7"/>
        <v>1</v>
      </c>
      <c r="T66" s="66" t="str">
        <f t="shared" si="8"/>
        <v>Southbound</v>
      </c>
      <c r="U66" s="93">
        <f>COUNTIFS(Variables!$M$2:$M$19,IF(T66="NorthBound","&gt;=","&lt;=")&amp;Y66,Variables!$M$2:$M$19,IF(T66="NorthBound","&lt;=","&gt;=")&amp;Z66)</f>
        <v>12</v>
      </c>
      <c r="V6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10:38:10-0600',mode:absolute,to:'2016-07-25 13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66" s="71" t="str">
        <f t="shared" si="9"/>
        <v>N</v>
      </c>
      <c r="X66" s="89">
        <f t="shared" si="10"/>
        <v>1</v>
      </c>
      <c r="Y66" s="86">
        <f t="shared" si="11"/>
        <v>23.298500000000001</v>
      </c>
      <c r="Z66" s="86">
        <f t="shared" si="12"/>
        <v>1.49E-2</v>
      </c>
      <c r="AA66" s="86">
        <f t="shared" si="13"/>
        <v>23.2836</v>
      </c>
      <c r="AB66" s="83" t="e">
        <f>VLOOKUP(A66,Enforcements!$C$7:$J$24,8,0)</f>
        <v>#N/A</v>
      </c>
      <c r="AC66" s="79" t="e">
        <f>VLOOKUP(A66,Enforcements!$C$7:$E$24,3,0)</f>
        <v>#N/A</v>
      </c>
      <c r="AD66" s="80" t="str">
        <f t="shared" si="14"/>
        <v>0158-25</v>
      </c>
      <c r="AE66" s="72" t="str">
        <f t="shared" si="15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66" s="72" t="str">
        <f t="shared" si="16"/>
        <v>"C:\Program Files (x86)\AstroGrep\AstroGrep.exe" /spath="C:\Users\stu\Documents\Analysis\2016-02-23 RTDC Observations" /stypes="*4010*20160725*" /stext=" 18:.+((prompt.+disp)|(slice.+state.+chan)|(ment ac)|(system.+state.+chan)|(\|lc)|(penalty)|(\[timeout))" /e /r /s</v>
      </c>
      <c r="AG66" s="1" t="str">
        <f t="shared" si="17"/>
        <v>EC</v>
      </c>
    </row>
    <row r="67" spans="1:33" s="25" customFormat="1" x14ac:dyDescent="0.25">
      <c r="A67" s="46" t="s">
        <v>455</v>
      </c>
      <c r="B67" s="7">
        <v>4016</v>
      </c>
      <c r="C67" s="26" t="s">
        <v>269</v>
      </c>
      <c r="D67" s="26" t="s">
        <v>151</v>
      </c>
      <c r="E67" s="16">
        <v>42576.454942129632</v>
      </c>
      <c r="F67" s="16">
        <v>42576.455914351849</v>
      </c>
      <c r="G67" s="7">
        <v>1</v>
      </c>
      <c r="H67" s="16" t="s">
        <v>329</v>
      </c>
      <c r="I67" s="16">
        <v>42576.485358796293</v>
      </c>
      <c r="J67" s="7">
        <v>0</v>
      </c>
      <c r="K67" s="26" t="str">
        <f t="shared" si="4"/>
        <v>4015/4016</v>
      </c>
      <c r="L67" s="26" t="str">
        <f>VLOOKUP(A67,'Trips&amp;Operators'!$C$1:$E$10000,3,FALSE)</f>
        <v>GRASTON</v>
      </c>
      <c r="M67" s="6">
        <f t="shared" si="5"/>
        <v>2.9444444444379769E-2</v>
      </c>
      <c r="N67" s="7">
        <f t="shared" si="6"/>
        <v>42.399999999906868</v>
      </c>
      <c r="O67" s="7"/>
      <c r="P67" s="7"/>
      <c r="Q67" s="27"/>
      <c r="R67" s="27"/>
      <c r="S67" s="42">
        <f t="shared" si="7"/>
        <v>1</v>
      </c>
      <c r="T67" s="66" t="str">
        <f t="shared" si="8"/>
        <v>NorthBound</v>
      </c>
      <c r="U67" s="93">
        <f>COUNTIFS(Variables!$M$2:$M$19,IF(T67="NorthBound","&gt;=","&lt;=")&amp;Y67,Variables!$M$2:$M$19,IF(T67="NorthBound","&lt;=","&gt;=")&amp;Z67)</f>
        <v>12</v>
      </c>
      <c r="V6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09:55:07-0600',mode:absolute,to:'2016-07-25 12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67" s="71" t="str">
        <f t="shared" si="9"/>
        <v>N</v>
      </c>
      <c r="X67" s="89">
        <f t="shared" si="10"/>
        <v>1</v>
      </c>
      <c r="Y67" s="86">
        <f t="shared" si="11"/>
        <v>4.6399999999999997E-2</v>
      </c>
      <c r="Z67" s="86">
        <f t="shared" si="12"/>
        <v>23.332999999999998</v>
      </c>
      <c r="AA67" s="86">
        <f t="shared" si="13"/>
        <v>23.2866</v>
      </c>
      <c r="AB67" s="83" t="e">
        <f>VLOOKUP(A67,Enforcements!$C$7:$J$24,8,0)</f>
        <v>#N/A</v>
      </c>
      <c r="AC67" s="79" t="e">
        <f>VLOOKUP(A67,Enforcements!$C$7:$E$24,3,0)</f>
        <v>#N/A</v>
      </c>
      <c r="AD67" s="80" t="str">
        <f t="shared" si="14"/>
        <v>0159-25</v>
      </c>
      <c r="AE67" s="72" t="str">
        <f t="shared" si="15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67" s="72" t="str">
        <f t="shared" si="16"/>
        <v>"C:\Program Files (x86)\AstroGrep\AstroGrep.exe" /spath="C:\Users\stu\Documents\Analysis\2016-02-23 RTDC Observations" /stypes="*4016*20160725*" /stext=" 17:.+((prompt.+disp)|(slice.+state.+chan)|(ment ac)|(system.+state.+chan)|(\|lc)|(penalty)|(\[timeout))" /e /r /s</v>
      </c>
      <c r="AG67" s="1" t="str">
        <f t="shared" si="17"/>
        <v>EC</v>
      </c>
    </row>
    <row r="68" spans="1:33" x14ac:dyDescent="0.25">
      <c r="A68" s="46" t="s">
        <v>456</v>
      </c>
      <c r="B68" s="7">
        <v>4015</v>
      </c>
      <c r="C68" s="26" t="s">
        <v>269</v>
      </c>
      <c r="D68" s="26" t="s">
        <v>237</v>
      </c>
      <c r="E68" s="16">
        <v>42576.494143518517</v>
      </c>
      <c r="F68" s="16">
        <v>42576.495162037034</v>
      </c>
      <c r="G68" s="7">
        <v>1</v>
      </c>
      <c r="H68" s="16" t="s">
        <v>149</v>
      </c>
      <c r="I68" s="16">
        <v>42576.525451388887</v>
      </c>
      <c r="J68" s="7">
        <v>0</v>
      </c>
      <c r="K68" s="26" t="str">
        <f t="shared" si="4"/>
        <v>4015/4016</v>
      </c>
      <c r="L68" s="26" t="str">
        <f>VLOOKUP(A68,'Trips&amp;Operators'!$C$1:$E$10000,3,FALSE)</f>
        <v>GRASTON</v>
      </c>
      <c r="M68" s="6">
        <f t="shared" si="5"/>
        <v>3.0289351852843538E-2</v>
      </c>
      <c r="N68" s="7">
        <f t="shared" si="6"/>
        <v>43.616666668094695</v>
      </c>
      <c r="O68" s="7"/>
      <c r="P68" s="7"/>
      <c r="Q68" s="27"/>
      <c r="R68" s="27"/>
      <c r="S68" s="42">
        <f t="shared" si="7"/>
        <v>1</v>
      </c>
      <c r="T68" s="66" t="str">
        <f t="shared" si="8"/>
        <v>Southbound</v>
      </c>
      <c r="U68" s="93">
        <f>COUNTIFS(Variables!$M$2:$M$19,IF(T68="NorthBound","&gt;=","&lt;=")&amp;Y68,Variables!$M$2:$M$19,IF(T68="NorthBound","&lt;=","&gt;=")&amp;Z68)</f>
        <v>12</v>
      </c>
      <c r="V68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10:51:34-0600',mode:absolute,to:'2016-07-25 13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68" s="71" t="str">
        <f t="shared" si="9"/>
        <v>N</v>
      </c>
      <c r="X68" s="89">
        <f t="shared" si="10"/>
        <v>1</v>
      </c>
      <c r="Y68" s="86">
        <f t="shared" si="11"/>
        <v>23.299800000000001</v>
      </c>
      <c r="Z68" s="86">
        <f t="shared" si="12"/>
        <v>1.54E-2</v>
      </c>
      <c r="AA68" s="86">
        <f t="shared" si="13"/>
        <v>23.284400000000002</v>
      </c>
      <c r="AB68" s="83" t="e">
        <f>VLOOKUP(A68,Enforcements!$C$7:$J$24,8,0)</f>
        <v>#N/A</v>
      </c>
      <c r="AC68" s="79" t="e">
        <f>VLOOKUP(A68,Enforcements!$C$7:$E$24,3,0)</f>
        <v>#N/A</v>
      </c>
      <c r="AD68" s="80" t="str">
        <f t="shared" si="14"/>
        <v>0160-25</v>
      </c>
      <c r="AE68" s="72" t="str">
        <f t="shared" si="15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68" s="72" t="str">
        <f t="shared" si="16"/>
        <v>"C:\Program Files (x86)\AstroGrep\AstroGrep.exe" /spath="C:\Users\stu\Documents\Analysis\2016-02-23 RTDC Observations" /stypes="*4015*20160725*" /stext=" 18:.+((prompt.+disp)|(slice.+state.+chan)|(ment ac)|(system.+state.+chan)|(\|lc)|(penalty)|(\[timeout))" /e /r /s</v>
      </c>
      <c r="AG68" s="1" t="str">
        <f t="shared" si="17"/>
        <v>EC</v>
      </c>
    </row>
    <row r="69" spans="1:33" s="25" customFormat="1" x14ac:dyDescent="0.25">
      <c r="A69" s="46" t="s">
        <v>457</v>
      </c>
      <c r="B69" s="7">
        <v>4007</v>
      </c>
      <c r="C69" s="26" t="s">
        <v>269</v>
      </c>
      <c r="D69" s="26" t="s">
        <v>172</v>
      </c>
      <c r="E69" s="16">
        <v>42576.465798611112</v>
      </c>
      <c r="F69" s="16">
        <v>42576.467361111114</v>
      </c>
      <c r="G69" s="7">
        <v>2</v>
      </c>
      <c r="H69" s="16" t="s">
        <v>458</v>
      </c>
      <c r="I69" s="16">
        <v>42576.49423611111</v>
      </c>
      <c r="J69" s="7">
        <v>1</v>
      </c>
      <c r="K69" s="26" t="str">
        <f t="shared" si="4"/>
        <v>4007/4008</v>
      </c>
      <c r="L69" s="26" t="str">
        <f>VLOOKUP(A69,'Trips&amp;Operators'!$C$1:$E$10000,3,FALSE)</f>
        <v>STEWART</v>
      </c>
      <c r="M69" s="6">
        <f t="shared" si="5"/>
        <v>2.6874999995925464E-2</v>
      </c>
      <c r="N69" s="7">
        <f t="shared" si="6"/>
        <v>38.699999994132668</v>
      </c>
      <c r="O69" s="7"/>
      <c r="P69" s="7"/>
      <c r="Q69" s="27"/>
      <c r="R69" s="27"/>
      <c r="S69" s="42">
        <f t="shared" si="7"/>
        <v>1</v>
      </c>
      <c r="T69" s="66" t="str">
        <f t="shared" si="8"/>
        <v>NorthBound</v>
      </c>
      <c r="U69" s="93">
        <f>COUNTIFS(Variables!$M$2:$M$19,IF(T69="NorthBound","&gt;=","&lt;=")&amp;Y69,Variables!$M$2:$M$19,IF(T69="NorthBound","&lt;=","&gt;=")&amp;Z69)</f>
        <v>12</v>
      </c>
      <c r="V69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10:10:45-0600',mode:absolute,to:'2016-07-25 12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69" s="71" t="str">
        <f t="shared" si="9"/>
        <v>N</v>
      </c>
      <c r="X69" s="89">
        <f t="shared" si="10"/>
        <v>1</v>
      </c>
      <c r="Y69" s="86">
        <f t="shared" si="11"/>
        <v>4.6699999999999998E-2</v>
      </c>
      <c r="Z69" s="86">
        <f t="shared" si="12"/>
        <v>23.321899999999999</v>
      </c>
      <c r="AA69" s="86">
        <f t="shared" si="13"/>
        <v>23.275199999999998</v>
      </c>
      <c r="AB69" s="83" t="e">
        <f>VLOOKUP(A69,Enforcements!$C$7:$J$24,8,0)</f>
        <v>#N/A</v>
      </c>
      <c r="AC69" s="79" t="e">
        <f>VLOOKUP(A69,Enforcements!$C$7:$E$24,3,0)</f>
        <v>#N/A</v>
      </c>
      <c r="AD69" s="80" t="str">
        <f t="shared" si="14"/>
        <v>0161-25</v>
      </c>
      <c r="AE69" s="72" t="str">
        <f t="shared" si="15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69" s="72" t="str">
        <f t="shared" si="16"/>
        <v>"C:\Program Files (x86)\AstroGrep\AstroGrep.exe" /spath="C:\Users\stu\Documents\Analysis\2016-02-23 RTDC Observations" /stypes="*4007*20160725*" /stext=" 17:.+((prompt.+disp)|(slice.+state.+chan)|(ment ac)|(system.+state.+chan)|(\|lc)|(penalty)|(\[timeout))" /e /r /s</v>
      </c>
      <c r="AG69" s="1" t="str">
        <f t="shared" si="17"/>
        <v>EC</v>
      </c>
    </row>
    <row r="70" spans="1:33" x14ac:dyDescent="0.25">
      <c r="A70" s="46" t="s">
        <v>459</v>
      </c>
      <c r="B70" s="7">
        <v>4008</v>
      </c>
      <c r="C70" s="26" t="s">
        <v>269</v>
      </c>
      <c r="D70" s="26" t="s">
        <v>460</v>
      </c>
      <c r="E70" s="16">
        <v>42576.502395833333</v>
      </c>
      <c r="F70" s="16">
        <v>42576.503483796296</v>
      </c>
      <c r="G70" s="7">
        <v>1</v>
      </c>
      <c r="H70" s="16" t="s">
        <v>115</v>
      </c>
      <c r="I70" s="16">
        <v>42576.53800925926</v>
      </c>
      <c r="J70" s="7">
        <v>0</v>
      </c>
      <c r="K70" s="26" t="str">
        <f t="shared" si="4"/>
        <v>4007/4008</v>
      </c>
      <c r="L70" s="26" t="str">
        <f>VLOOKUP(A70,'Trips&amp;Operators'!$C$1:$E$10000,3,FALSE)</f>
        <v>STEWART</v>
      </c>
      <c r="M70" s="6">
        <f t="shared" si="5"/>
        <v>3.4525462964666076E-2</v>
      </c>
      <c r="N70" s="7">
        <f t="shared" si="6"/>
        <v>49.716666669119149</v>
      </c>
      <c r="O70" s="7"/>
      <c r="P70" s="7"/>
      <c r="Q70" s="27"/>
      <c r="R70" s="27"/>
      <c r="S70" s="42">
        <f t="shared" si="7"/>
        <v>1</v>
      </c>
      <c r="T70" s="66" t="str">
        <f t="shared" si="8"/>
        <v>Southbound</v>
      </c>
      <c r="U70" s="93">
        <f>COUNTIFS(Variables!$M$2:$M$19,IF(T70="NorthBound","&gt;=","&lt;=")&amp;Y70,Variables!$M$2:$M$19,IF(T70="NorthBound","&lt;=","&gt;=")&amp;Z70)</f>
        <v>12</v>
      </c>
      <c r="V70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11:03:27-0600',mode:absolute,to:'2016-07-25 13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70" s="71" t="str">
        <f t="shared" si="9"/>
        <v>N</v>
      </c>
      <c r="X70" s="89">
        <f t="shared" si="10"/>
        <v>1</v>
      </c>
      <c r="Y70" s="86">
        <f t="shared" si="11"/>
        <v>23.2896</v>
      </c>
      <c r="Z70" s="86">
        <f t="shared" si="12"/>
        <v>1.5599999999999999E-2</v>
      </c>
      <c r="AA70" s="86">
        <f t="shared" si="13"/>
        <v>23.274000000000001</v>
      </c>
      <c r="AB70" s="83" t="e">
        <f>VLOOKUP(A70,Enforcements!$C$7:$J$24,8,0)</f>
        <v>#N/A</v>
      </c>
      <c r="AC70" s="79" t="e">
        <f>VLOOKUP(A70,Enforcements!$C$7:$E$24,3,0)</f>
        <v>#N/A</v>
      </c>
      <c r="AD70" s="80" t="str">
        <f t="shared" si="14"/>
        <v>0162-25</v>
      </c>
      <c r="AE70" s="72" t="str">
        <f t="shared" si="15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70" s="72" t="str">
        <f t="shared" si="16"/>
        <v>"C:\Program Files (x86)\AstroGrep\AstroGrep.exe" /spath="C:\Users\stu\Documents\Analysis\2016-02-23 RTDC Observations" /stypes="*4008*20160725*" /stext=" 18:.+((prompt.+disp)|(slice.+state.+chan)|(ment ac)|(system.+state.+chan)|(\|lc)|(penalty)|(\[timeout))" /e /r /s</v>
      </c>
      <c r="AG70" s="1" t="str">
        <f t="shared" si="17"/>
        <v>EC</v>
      </c>
    </row>
    <row r="71" spans="1:33" s="25" customFormat="1" x14ac:dyDescent="0.25">
      <c r="A71" s="46" t="s">
        <v>461</v>
      </c>
      <c r="B71" s="7">
        <v>4018</v>
      </c>
      <c r="C71" s="26" t="s">
        <v>269</v>
      </c>
      <c r="D71" s="26" t="s">
        <v>462</v>
      </c>
      <c r="E71" s="16">
        <v>42576.476944444446</v>
      </c>
      <c r="F71" s="16">
        <v>42576.477835648147</v>
      </c>
      <c r="G71" s="7">
        <v>1</v>
      </c>
      <c r="H71" s="16" t="s">
        <v>277</v>
      </c>
      <c r="I71" s="16">
        <v>42576.505046296297</v>
      </c>
      <c r="J71" s="7">
        <v>0</v>
      </c>
      <c r="K71" s="26" t="str">
        <f t="shared" si="4"/>
        <v>4017/4018</v>
      </c>
      <c r="L71" s="26" t="str">
        <f>VLOOKUP(A71,'Trips&amp;Operators'!$C$1:$E$10000,3,FALSE)</f>
        <v>BARTLETT</v>
      </c>
      <c r="M71" s="6">
        <f t="shared" si="5"/>
        <v>2.7210648149775807E-2</v>
      </c>
      <c r="N71" s="7">
        <f t="shared" si="6"/>
        <v>39.183333335677162</v>
      </c>
      <c r="O71" s="7"/>
      <c r="P71" s="7"/>
      <c r="Q71" s="27"/>
      <c r="R71" s="27"/>
      <c r="S71" s="42">
        <f t="shared" si="7"/>
        <v>1</v>
      </c>
      <c r="T71" s="66" t="str">
        <f t="shared" si="8"/>
        <v>NorthBound</v>
      </c>
      <c r="U71" s="93">
        <f>COUNTIFS(Variables!$M$2:$M$19,IF(T71="NorthBound","&gt;=","&lt;=")&amp;Y71,Variables!$M$2:$M$19,IF(T71="NorthBound","&lt;=","&gt;=")&amp;Z71)</f>
        <v>12</v>
      </c>
      <c r="V71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10:26:48-0600',mode:absolute,to:'2016-07-25 13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71" s="71" t="str">
        <f t="shared" si="9"/>
        <v>N</v>
      </c>
      <c r="X71" s="89">
        <f t="shared" si="10"/>
        <v>1</v>
      </c>
      <c r="Y71" s="86">
        <f t="shared" si="11"/>
        <v>4.4400000000000002E-2</v>
      </c>
      <c r="Z71" s="86">
        <f t="shared" si="12"/>
        <v>23.3291</v>
      </c>
      <c r="AA71" s="86">
        <f t="shared" si="13"/>
        <v>23.284700000000001</v>
      </c>
      <c r="AB71" s="83" t="e">
        <f>VLOOKUP(A71,Enforcements!$C$7:$J$24,8,0)</f>
        <v>#N/A</v>
      </c>
      <c r="AC71" s="79" t="e">
        <f>VLOOKUP(A71,Enforcements!$C$7:$E$24,3,0)</f>
        <v>#N/A</v>
      </c>
      <c r="AD71" s="80" t="str">
        <f t="shared" si="14"/>
        <v>0163-25</v>
      </c>
      <c r="AE71" s="72" t="str">
        <f t="shared" si="15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71" s="72" t="str">
        <f t="shared" si="16"/>
        <v>"C:\Program Files (x86)\AstroGrep\AstroGrep.exe" /spath="C:\Users\stu\Documents\Analysis\2016-02-23 RTDC Observations" /stypes="*4018*20160725*" /stext=" 18:.+((prompt.+disp)|(slice.+state.+chan)|(ment ac)|(system.+state.+chan)|(\|lc)|(penalty)|(\[timeout))" /e /r /s</v>
      </c>
      <c r="AG71" s="1" t="str">
        <f t="shared" si="17"/>
        <v>EC</v>
      </c>
    </row>
    <row r="72" spans="1:33" x14ac:dyDescent="0.25">
      <c r="A72" s="46" t="s">
        <v>463</v>
      </c>
      <c r="B72" s="7">
        <v>4017</v>
      </c>
      <c r="C72" s="26" t="s">
        <v>269</v>
      </c>
      <c r="D72" s="26" t="s">
        <v>242</v>
      </c>
      <c r="E72" s="16">
        <v>42576.51326388889</v>
      </c>
      <c r="F72" s="16">
        <v>42576.515509259261</v>
      </c>
      <c r="G72" s="7">
        <v>3</v>
      </c>
      <c r="H72" s="16" t="s">
        <v>123</v>
      </c>
      <c r="I72" s="16">
        <v>42576.547673611109</v>
      </c>
      <c r="J72" s="7">
        <v>0</v>
      </c>
      <c r="K72" s="26" t="str">
        <f t="shared" si="4"/>
        <v>4017/4018</v>
      </c>
      <c r="L72" s="26" t="str">
        <f>VLOOKUP(A72,'Trips&amp;Operators'!$C$1:$E$10000,3,FALSE)</f>
        <v>BARTLETT</v>
      </c>
      <c r="M72" s="6">
        <f t="shared" si="5"/>
        <v>3.216435184731381E-2</v>
      </c>
      <c r="N72" s="7">
        <f t="shared" si="6"/>
        <v>46.316666660131887</v>
      </c>
      <c r="O72" s="7"/>
      <c r="P72" s="7"/>
      <c r="Q72" s="27"/>
      <c r="R72" s="27"/>
      <c r="S72" s="42">
        <f t="shared" si="7"/>
        <v>1</v>
      </c>
      <c r="T72" s="66" t="str">
        <f t="shared" si="8"/>
        <v>Southbound</v>
      </c>
      <c r="U72" s="93">
        <f>COUNTIFS(Variables!$M$2:$M$19,IF(T72="NorthBound","&gt;=","&lt;=")&amp;Y72,Variables!$M$2:$M$19,IF(T72="NorthBound","&lt;=","&gt;=")&amp;Z72)</f>
        <v>12</v>
      </c>
      <c r="V72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11:19:06-0600',mode:absolute,to:'2016-07-25 14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72" s="71" t="str">
        <f t="shared" si="9"/>
        <v>N</v>
      </c>
      <c r="X72" s="89">
        <f t="shared" si="10"/>
        <v>1</v>
      </c>
      <c r="Y72" s="86">
        <f t="shared" si="11"/>
        <v>23.296900000000001</v>
      </c>
      <c r="Z72" s="86">
        <f t="shared" si="12"/>
        <v>1.61E-2</v>
      </c>
      <c r="AA72" s="86">
        <f t="shared" si="13"/>
        <v>23.280799999999999</v>
      </c>
      <c r="AB72" s="83" t="e">
        <f>VLOOKUP(A72,Enforcements!$C$7:$J$24,8,0)</f>
        <v>#N/A</v>
      </c>
      <c r="AC72" s="79" t="e">
        <f>VLOOKUP(A72,Enforcements!$C$7:$E$24,3,0)</f>
        <v>#N/A</v>
      </c>
      <c r="AD72" s="80" t="str">
        <f t="shared" si="14"/>
        <v>0164-25</v>
      </c>
      <c r="AE72" s="72" t="str">
        <f t="shared" si="15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72" s="72" t="str">
        <f t="shared" si="16"/>
        <v>"C:\Program Files (x86)\AstroGrep\AstroGrep.exe" /spath="C:\Users\stu\Documents\Analysis\2016-02-23 RTDC Observations" /stypes="*4017*20160725*" /stext=" 19:.+((prompt.+disp)|(slice.+state.+chan)|(ment ac)|(system.+state.+chan)|(\|lc)|(penalty)|(\[timeout))" /e /r /s</v>
      </c>
      <c r="AG72" s="1" t="str">
        <f t="shared" si="17"/>
        <v>EC</v>
      </c>
    </row>
    <row r="73" spans="1:33" x14ac:dyDescent="0.25">
      <c r="A73" s="46" t="s">
        <v>464</v>
      </c>
      <c r="B73" s="7">
        <v>4020</v>
      </c>
      <c r="C73" s="26" t="s">
        <v>269</v>
      </c>
      <c r="D73" s="26" t="s">
        <v>243</v>
      </c>
      <c r="E73" s="16">
        <v>42576.487141203703</v>
      </c>
      <c r="F73" s="16">
        <v>42576.488333333335</v>
      </c>
      <c r="G73" s="7">
        <v>1</v>
      </c>
      <c r="H73" s="16" t="s">
        <v>312</v>
      </c>
      <c r="I73" s="16">
        <v>42576.518518518518</v>
      </c>
      <c r="J73" s="7">
        <v>0</v>
      </c>
      <c r="K73" s="26" t="str">
        <f t="shared" si="4"/>
        <v>4019/4020</v>
      </c>
      <c r="L73" s="26" t="str">
        <f>VLOOKUP(A73,'Trips&amp;Operators'!$C$1:$E$10000,3,FALSE)</f>
        <v>BONDS</v>
      </c>
      <c r="M73" s="6">
        <f t="shared" si="5"/>
        <v>3.0185185183654539E-2</v>
      </c>
      <c r="N73" s="7">
        <f t="shared" si="6"/>
        <v>43.466666664462537</v>
      </c>
      <c r="O73" s="7"/>
      <c r="P73" s="7"/>
      <c r="Q73" s="27"/>
      <c r="R73" s="27"/>
      <c r="S73" s="42">
        <f t="shared" si="7"/>
        <v>1</v>
      </c>
      <c r="T73" s="66" t="str">
        <f t="shared" si="8"/>
        <v>NorthBound</v>
      </c>
      <c r="U73" s="93">
        <f>COUNTIFS(Variables!$M$2:$M$19,IF(T73="NorthBound","&gt;=","&lt;=")&amp;Y73,Variables!$M$2:$M$19,IF(T73="NorthBound","&lt;=","&gt;=")&amp;Z73)</f>
        <v>12</v>
      </c>
      <c r="V73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10:41:29-0600',mode:absolute,to:'2016-07-25 13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4020%22')),sort:!(Time,asc))</v>
      </c>
      <c r="W73" s="71" t="str">
        <f t="shared" si="9"/>
        <v>N</v>
      </c>
      <c r="X73" s="89">
        <f t="shared" si="10"/>
        <v>1</v>
      </c>
      <c r="Y73" s="86">
        <f t="shared" si="11"/>
        <v>4.53E-2</v>
      </c>
      <c r="Z73" s="86">
        <f t="shared" si="12"/>
        <v>23.333600000000001</v>
      </c>
      <c r="AA73" s="86">
        <f t="shared" si="13"/>
        <v>23.2883</v>
      </c>
      <c r="AB73" s="83" t="e">
        <f>VLOOKUP(A73,Enforcements!$C$7:$J$24,8,0)</f>
        <v>#N/A</v>
      </c>
      <c r="AC73" s="79" t="e">
        <f>VLOOKUP(A73,Enforcements!$C$7:$E$24,3,0)</f>
        <v>#N/A</v>
      </c>
      <c r="AD73" s="80" t="str">
        <f t="shared" si="14"/>
        <v>0165-25</v>
      </c>
      <c r="AE73" s="72" t="str">
        <f t="shared" si="15"/>
        <v>aws s3 cp s3://rtdc.mdm.uploadarchive/RTDC4020/2016-07-25/ "C:\Users\stu\Documents\Analysis\2016-02-23 RTDC Observations"\RTDC4020\2016-07-25 --recursive &amp; "C:\Users\stu\Documents\GitHub\mrs-test-scripts\Headless Mode &amp; Sideloading\WalkAndUnGZ.bat" "C:\Users\stu\Documents\Analysis\2016-02-23 RTDC Observations"\RTDC4020\2016-07-25 &amp; aws s3 cp s3://rtdc.mdm.uploadarchive/RTDC4020/2016-07-26/ "C:\Users\stu\Documents\Analysis\2016-02-23 RTDC Observations"\RTDC4020\2016-07-26 --recursive &amp; "C:\Users\stu\Documents\GitHub\mrs-test-scripts\Headless Mode &amp; Sideloading\WalkAndUnGZ.bat" "C:\Users\stu\Documents\Analysis\2016-02-23 RTDC Observations"\RTDC4020\2016-07-26</v>
      </c>
      <c r="AF73" s="72" t="str">
        <f t="shared" si="16"/>
        <v>"C:\Program Files (x86)\AstroGrep\AstroGrep.exe" /spath="C:\Users\stu\Documents\Analysis\2016-02-23 RTDC Observations" /stypes="*4020*20160725*" /stext=" 18:.+((prompt.+disp)|(slice.+state.+chan)|(ment ac)|(system.+state.+chan)|(\|lc)|(penalty)|(\[timeout))" /e /r /s</v>
      </c>
      <c r="AG73" s="1" t="str">
        <f t="shared" si="17"/>
        <v>EC</v>
      </c>
    </row>
    <row r="74" spans="1:33" x14ac:dyDescent="0.25">
      <c r="A74" s="46" t="s">
        <v>465</v>
      </c>
      <c r="B74" s="7">
        <v>4019</v>
      </c>
      <c r="C74" s="26" t="s">
        <v>269</v>
      </c>
      <c r="D74" s="26" t="s">
        <v>466</v>
      </c>
      <c r="E74" s="16">
        <v>42576.523460648146</v>
      </c>
      <c r="F74" s="16">
        <v>42576.524351851855</v>
      </c>
      <c r="G74" s="7">
        <v>1</v>
      </c>
      <c r="H74" s="16" t="s">
        <v>467</v>
      </c>
      <c r="I74" s="16">
        <v>42576.525648148148</v>
      </c>
      <c r="J74" s="7">
        <v>0</v>
      </c>
      <c r="K74" s="26" t="str">
        <f t="shared" si="4"/>
        <v>4019/4020</v>
      </c>
      <c r="L74" s="26" t="str">
        <f>VLOOKUP(A74,'Trips&amp;Operators'!$C$1:$E$10000,3,FALSE)</f>
        <v>BONDS</v>
      </c>
      <c r="M74" s="6">
        <f t="shared" si="5"/>
        <v>1.2962962937308475E-3</v>
      </c>
      <c r="N74" s="7"/>
      <c r="O74" s="7"/>
      <c r="P74" s="7">
        <f>24*60*SUM($M74:$M75)</f>
        <v>4.9999999953433871</v>
      </c>
      <c r="Q74" s="27"/>
      <c r="R74" s="27" t="s">
        <v>818</v>
      </c>
      <c r="S74" s="42">
        <f t="shared" si="7"/>
        <v>0</v>
      </c>
      <c r="T74" s="66" t="str">
        <f t="shared" si="8"/>
        <v>Southbound</v>
      </c>
      <c r="U74" s="93">
        <f>COUNTIFS(Variables!$M$2:$M$19,IF(T74="NorthBound","&gt;=","&lt;=")&amp;Y74,Variables!$M$2:$M$19,IF(T74="NorthBound","&lt;=","&gt;=")&amp;Z74)</f>
        <v>0</v>
      </c>
      <c r="V74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11:33:47-0600',mode:absolute,to:'2016-07-25 13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4019%22')),sort:!(Time,asc))</v>
      </c>
      <c r="W74" s="71" t="str">
        <f t="shared" si="9"/>
        <v>Y</v>
      </c>
      <c r="X74" s="89">
        <f t="shared" si="10"/>
        <v>1</v>
      </c>
      <c r="Y74" s="86">
        <f t="shared" si="11"/>
        <v>23.302499999999998</v>
      </c>
      <c r="Z74" s="86">
        <f t="shared" si="12"/>
        <v>23.3034</v>
      </c>
      <c r="AA74" s="86">
        <f t="shared" si="13"/>
        <v>9.0000000000145519E-4</v>
      </c>
      <c r="AB74" s="83" t="e">
        <f>VLOOKUP(A74,Enforcements!$C$7:$J$24,8,0)</f>
        <v>#N/A</v>
      </c>
      <c r="AC74" s="79" t="e">
        <f>VLOOKUP(A74,Enforcements!$C$7:$E$24,3,0)</f>
        <v>#N/A</v>
      </c>
      <c r="AD74" s="80" t="str">
        <f t="shared" si="14"/>
        <v>0166-25</v>
      </c>
      <c r="AE74" s="72" t="str">
        <f t="shared" si="15"/>
        <v>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 &amp; aws s3 cp s3://rtdc.mdm.uploadarchive/RTDC4019/2016-07-26/ "C:\Users\stu\Documents\Analysis\2016-02-23 RTDC Observations"\RTDC4019\2016-07-26 --recursive &amp; "C:\Users\stu\Documents\GitHub\mrs-test-scripts\Headless Mode &amp; Sideloading\WalkAndUnGZ.bat" "C:\Users\stu\Documents\Analysis\2016-02-23 RTDC Observations"\RTDC4019\2016-07-26</v>
      </c>
      <c r="AF74" s="72" t="str">
        <f t="shared" si="16"/>
        <v>"C:\Program Files (x86)\AstroGrep\AstroGrep.exe" /spath="C:\Users\stu\Documents\Analysis\2016-02-23 RTDC Observations" /stypes="*4019*20160725*" /stext=" 18:.+((prompt.+disp)|(slice.+state.+chan)|(ment ac)|(system.+state.+chan)|(\|lc)|(penalty)|(\[timeout))" /e /r /s</v>
      </c>
      <c r="AG74" s="1" t="str">
        <f t="shared" si="17"/>
        <v>EC</v>
      </c>
    </row>
    <row r="75" spans="1:33" x14ac:dyDescent="0.25">
      <c r="A75" s="46" t="s">
        <v>465</v>
      </c>
      <c r="B75" s="7">
        <v>4019</v>
      </c>
      <c r="C75" s="26" t="s">
        <v>269</v>
      </c>
      <c r="D75" s="26" t="s">
        <v>468</v>
      </c>
      <c r="E75" s="16">
        <v>42576.525810185187</v>
      </c>
      <c r="F75" s="16">
        <v>42576.527326388888</v>
      </c>
      <c r="G75" s="7">
        <v>2</v>
      </c>
      <c r="H75" s="16" t="s">
        <v>469</v>
      </c>
      <c r="I75" s="16">
        <v>42576.529502314814</v>
      </c>
      <c r="J75" s="7">
        <v>0</v>
      </c>
      <c r="K75" s="26" t="str">
        <f t="shared" si="4"/>
        <v>4019/4020</v>
      </c>
      <c r="L75" s="26" t="str">
        <f>VLOOKUP(A75,'Trips&amp;Operators'!$C$1:$E$10000,3,FALSE)</f>
        <v>BONDS</v>
      </c>
      <c r="M75" s="6">
        <f t="shared" si="5"/>
        <v>2.1759259252576157E-3</v>
      </c>
      <c r="N75" s="7"/>
      <c r="O75" s="7"/>
      <c r="P75" s="7"/>
      <c r="Q75" s="27"/>
      <c r="R75" s="27"/>
      <c r="S75" s="42">
        <f t="shared" si="7"/>
        <v>0</v>
      </c>
      <c r="T75" s="66" t="str">
        <f t="shared" si="8"/>
        <v>Southbound</v>
      </c>
      <c r="U75" s="93">
        <f>COUNTIFS(Variables!$M$2:$M$19,IF(T75="NorthBound","&gt;=","&lt;=")&amp;Y75,Variables!$M$2:$M$19,IF(T75="NorthBound","&lt;=","&gt;=")&amp;Z75)</f>
        <v>0</v>
      </c>
      <c r="V75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11:37:10-0600',mode:absolute,to:'2016-07-25 13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4019%22')),sort:!(Time,asc))</v>
      </c>
      <c r="W75" s="71" t="str">
        <f t="shared" ref="W75:W81" si="30">IF(AA75&lt;23,"Y","N")</f>
        <v>Y</v>
      </c>
      <c r="X75" s="89">
        <f t="shared" ref="X75:X81" si="31">VALUE(LEFT(A75,3))-VALUE(LEFT(A74,3))</f>
        <v>0</v>
      </c>
      <c r="Y75" s="86">
        <f t="shared" ref="Y75:Y81" si="32">RIGHT(D75,LEN(D75)-4)/10000</f>
        <v>23.303000000000001</v>
      </c>
      <c r="Z75" s="86">
        <f t="shared" si="12"/>
        <v>22.8215</v>
      </c>
      <c r="AA75" s="86">
        <f t="shared" si="13"/>
        <v>0.48150000000000048</v>
      </c>
      <c r="AB75" s="83" t="e">
        <f>VLOOKUP(A75,Enforcements!$C$7:$J$24,8,0)</f>
        <v>#N/A</v>
      </c>
      <c r="AC75" s="79" t="e">
        <f>VLOOKUP(A75,Enforcements!$C$7:$E$24,3,0)</f>
        <v>#N/A</v>
      </c>
      <c r="AD75" s="80" t="str">
        <f t="shared" si="14"/>
        <v>0166-25</v>
      </c>
      <c r="AE75" s="72" t="str">
        <f t="shared" si="15"/>
        <v>aws s3 cp s3://rtdc.mdm.uploadarchive/RTDC4019/2016-07-25/ "C:\Users\stu\Documents\Analysis\2016-02-23 RTDC Observations"\RTDC4019\2016-07-25 --recursive &amp; "C:\Users\stu\Documents\GitHub\mrs-test-scripts\Headless Mode &amp; Sideloading\WalkAndUnGZ.bat" "C:\Users\stu\Documents\Analysis\2016-02-23 RTDC Observations"\RTDC4019\2016-07-25 &amp; aws s3 cp s3://rtdc.mdm.uploadarchive/RTDC4019/2016-07-26/ "C:\Users\stu\Documents\Analysis\2016-02-23 RTDC Observations"\RTDC4019\2016-07-26 --recursive &amp; "C:\Users\stu\Documents\GitHub\mrs-test-scripts\Headless Mode &amp; Sideloading\WalkAndUnGZ.bat" "C:\Users\stu\Documents\Analysis\2016-02-23 RTDC Observations"\RTDC4019\2016-07-26</v>
      </c>
      <c r="AF75" s="72" t="str">
        <f t="shared" si="16"/>
        <v>"C:\Program Files (x86)\AstroGrep\AstroGrep.exe" /spath="C:\Users\stu\Documents\Analysis\2016-02-23 RTDC Observations" /stypes="*4019*20160725*" /stext=" 18:.+((prompt.+disp)|(slice.+state.+chan)|(ment ac)|(system.+state.+chan)|(\|lc)|(penalty)|(\[timeout))" /e /r /s</v>
      </c>
      <c r="AG75" s="1" t="str">
        <f t="shared" si="17"/>
        <v>EC</v>
      </c>
    </row>
    <row r="76" spans="1:33" x14ac:dyDescent="0.25">
      <c r="A76" s="46" t="s">
        <v>470</v>
      </c>
      <c r="B76" s="7">
        <v>4027</v>
      </c>
      <c r="C76" s="26" t="s">
        <v>269</v>
      </c>
      <c r="D76" s="26" t="s">
        <v>471</v>
      </c>
      <c r="E76" s="16">
        <v>42576.498599537037</v>
      </c>
      <c r="F76" s="16">
        <v>42576.499745370369</v>
      </c>
      <c r="G76" s="7">
        <v>1</v>
      </c>
      <c r="H76" s="16" t="s">
        <v>175</v>
      </c>
      <c r="I76" s="16">
        <v>42576.526875000003</v>
      </c>
      <c r="J76" s="7">
        <v>1</v>
      </c>
      <c r="K76" s="26" t="str">
        <f t="shared" si="4"/>
        <v>4027/4028</v>
      </c>
      <c r="L76" s="26" t="str">
        <f>VLOOKUP(A76,'Trips&amp;Operators'!$C$1:$E$10000,3,FALSE)</f>
        <v>MAYBERRY</v>
      </c>
      <c r="M76" s="6">
        <f t="shared" si="5"/>
        <v>2.7129629634146113E-2</v>
      </c>
      <c r="N76" s="7">
        <f t="shared" si="6"/>
        <v>39.066666673170403</v>
      </c>
      <c r="O76" s="7"/>
      <c r="P76" s="7"/>
      <c r="Q76" s="27"/>
      <c r="R76" s="27"/>
      <c r="S76" s="42">
        <f t="shared" si="7"/>
        <v>1</v>
      </c>
      <c r="T76" s="66" t="str">
        <f t="shared" si="8"/>
        <v>NorthBound</v>
      </c>
      <c r="U76" s="93">
        <f>COUNTIFS(Variables!$M$2:$M$19,IF(T76="NorthBound","&gt;=","&lt;=")&amp;Y76,Variables!$M$2:$M$19,IF(T76="NorthBound","&lt;=","&gt;=")&amp;Z76)</f>
        <v>12</v>
      </c>
      <c r="V76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10:57:59-0600',mode:absolute,to:'2016-07-25 13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76" s="71" t="str">
        <f t="shared" si="30"/>
        <v>N</v>
      </c>
      <c r="X76" s="89">
        <f t="shared" si="31"/>
        <v>1</v>
      </c>
      <c r="Y76" s="86">
        <f t="shared" si="32"/>
        <v>4.3799999999999999E-2</v>
      </c>
      <c r="Z76" s="86">
        <f t="shared" si="12"/>
        <v>23.330300000000001</v>
      </c>
      <c r="AA76" s="86">
        <f t="shared" si="13"/>
        <v>23.2865</v>
      </c>
      <c r="AB76" s="83">
        <f>VLOOKUP(A76,Enforcements!$C$7:$J$24,8,0)</f>
        <v>222090</v>
      </c>
      <c r="AC76" s="79" t="str">
        <f>VLOOKUP(A76,Enforcements!$C$7:$E$24,3,0)</f>
        <v>PERMANENT SPEED RESTRICTION</v>
      </c>
      <c r="AD76" s="80" t="str">
        <f t="shared" si="14"/>
        <v>0167-25</v>
      </c>
      <c r="AE76" s="72" t="str">
        <f t="shared" si="15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76" s="72" t="str">
        <f t="shared" si="16"/>
        <v>"C:\Program Files (x86)\AstroGrep\AstroGrep.exe" /spath="C:\Users\stu\Documents\Analysis\2016-02-23 RTDC Observations" /stypes="*4027*20160725*" /stext=" 18:.+((prompt.+disp)|(slice.+state.+chan)|(ment ac)|(system.+state.+chan)|(\|lc)|(penalty)|(\[timeout))" /e /r /s</v>
      </c>
      <c r="AG76" s="1" t="str">
        <f t="shared" si="17"/>
        <v>EC</v>
      </c>
    </row>
    <row r="77" spans="1:33" x14ac:dyDescent="0.25">
      <c r="A77" s="46" t="s">
        <v>472</v>
      </c>
      <c r="B77" s="7">
        <v>4028</v>
      </c>
      <c r="C77" s="26" t="s">
        <v>269</v>
      </c>
      <c r="D77" s="26" t="s">
        <v>250</v>
      </c>
      <c r="E77" s="16">
        <v>42576.53633101852</v>
      </c>
      <c r="F77" s="16">
        <v>42576.537939814814</v>
      </c>
      <c r="G77" s="7">
        <v>2</v>
      </c>
      <c r="H77" s="16" t="s">
        <v>115</v>
      </c>
      <c r="I77" s="16">
        <v>42576.568344907406</v>
      </c>
      <c r="J77" s="7">
        <v>1</v>
      </c>
      <c r="K77" s="26" t="str">
        <f t="shared" si="4"/>
        <v>4027/4028</v>
      </c>
      <c r="L77" s="26" t="str">
        <f>VLOOKUP(A77,'Trips&amp;Operators'!$C$1:$E$10000,3,FALSE)</f>
        <v>MAYBERRY</v>
      </c>
      <c r="M77" s="6">
        <f t="shared" si="5"/>
        <v>3.0405092591536231E-2</v>
      </c>
      <c r="N77" s="7">
        <f t="shared" si="6"/>
        <v>43.783333331812173</v>
      </c>
      <c r="O77" s="7"/>
      <c r="P77" s="7"/>
      <c r="Q77" s="27"/>
      <c r="R77" s="27"/>
      <c r="S77" s="42">
        <f t="shared" si="7"/>
        <v>1</v>
      </c>
      <c r="T77" s="66" t="str">
        <f t="shared" si="8"/>
        <v>Southbound</v>
      </c>
      <c r="U77" s="93">
        <f>COUNTIFS(Variables!$M$2:$M$19,IF(T77="NorthBound","&gt;=","&lt;=")&amp;Y77,Variables!$M$2:$M$19,IF(T77="NorthBound","&lt;=","&gt;=")&amp;Z77)</f>
        <v>12</v>
      </c>
      <c r="V77" s="71" t="str">
        <f t="shared" si="2"/>
        <v>https://search-rtdc-monitor-bjffxe2xuh6vdkpspy63sjmuny.us-east-1.es.amazonaws.com/_plugin/kibana/#/discover/Steve-Slow-Train-Analysis-(2080s-and-2083s)?_g=(refreshInterval:(display:Off,section:0,value:0),time:(from:'2016-07-25 11:52:19-0600',mode:absolute,to:'2016-07-25 14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77" s="71" t="str">
        <f t="shared" si="30"/>
        <v>N</v>
      </c>
      <c r="X77" s="89">
        <f t="shared" si="31"/>
        <v>1</v>
      </c>
      <c r="Y77" s="86">
        <f t="shared" si="32"/>
        <v>23.2973</v>
      </c>
      <c r="Z77" s="86">
        <f t="shared" si="12"/>
        <v>1.5599999999999999E-2</v>
      </c>
      <c r="AA77" s="86">
        <f t="shared" si="13"/>
        <v>23.281700000000001</v>
      </c>
      <c r="AB77" s="83">
        <f>VLOOKUP(A77,Enforcements!$C$7:$J$24,8,0)</f>
        <v>127587</v>
      </c>
      <c r="AC77" s="79" t="str">
        <f>VLOOKUP(A77,Enforcements!$C$7:$E$24,3,0)</f>
        <v>SIGNAL</v>
      </c>
      <c r="AD77" s="80" t="str">
        <f t="shared" si="14"/>
        <v>0168-25</v>
      </c>
      <c r="AE77" s="72" t="str">
        <f t="shared" si="15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77" s="72" t="str">
        <f t="shared" si="16"/>
        <v>"C:\Program Files (x86)\AstroGrep\AstroGrep.exe" /spath="C:\Users\stu\Documents\Analysis\2016-02-23 RTDC Observations" /stypes="*4028*20160725*" /stext=" 19:.+((prompt.+disp)|(slice.+state.+chan)|(ment ac)|(system.+state.+chan)|(\|lc)|(penalty)|(\[timeout))" /e /r /s</v>
      </c>
      <c r="AG77" s="1" t="str">
        <f t="shared" si="17"/>
        <v>EC</v>
      </c>
    </row>
    <row r="78" spans="1:33" x14ac:dyDescent="0.25">
      <c r="A78" s="46" t="s">
        <v>473</v>
      </c>
      <c r="B78" s="7">
        <v>4014</v>
      </c>
      <c r="C78" s="26" t="s">
        <v>269</v>
      </c>
      <c r="D78" s="26" t="s">
        <v>272</v>
      </c>
      <c r="E78" s="16">
        <v>42576.513784722221</v>
      </c>
      <c r="F78" s="16">
        <v>42576.514594907407</v>
      </c>
      <c r="G78" s="7">
        <v>1</v>
      </c>
      <c r="H78" s="16" t="s">
        <v>474</v>
      </c>
      <c r="I78" s="16">
        <v>42576.548043981478</v>
      </c>
      <c r="J78" s="7">
        <v>0</v>
      </c>
      <c r="K78" s="26" t="str">
        <f t="shared" si="4"/>
        <v>4013/4014</v>
      </c>
      <c r="L78" s="26" t="str">
        <f>VLOOKUP(A78,'Trips&amp;Operators'!$C$1:$E$10000,3,FALSE)</f>
        <v>YOUNG</v>
      </c>
      <c r="M78" s="6">
        <f t="shared" si="5"/>
        <v>3.3449074071540963E-2</v>
      </c>
      <c r="N78" s="7">
        <f t="shared" si="6"/>
        <v>48.166666663018987</v>
      </c>
      <c r="O78" s="7"/>
      <c r="P78" s="7"/>
      <c r="Q78" s="27"/>
      <c r="R78" s="27"/>
      <c r="S78" s="42">
        <f t="shared" si="7"/>
        <v>1</v>
      </c>
      <c r="T78" s="66" t="str">
        <f t="shared" si="8"/>
        <v>NorthBound</v>
      </c>
      <c r="U78" s="93">
        <f>COUNTIFS(Variables!$M$2:$M$19,IF(T78="NorthBound","&gt;=","&lt;=")&amp;Y78,Variables!$M$2:$M$19,IF(T78="NorthBound","&lt;=","&gt;=")&amp;Z78)</f>
        <v>12</v>
      </c>
      <c r="V78" s="71" t="str">
        <f t="shared" ref="V78:V140" si="33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https://search-rtdc-monitor-bjffxe2xuh6vdkpspy63sjmuny.us-east-1.es.amazonaws.com/_plugin/kibana/#/discover/Steve-Slow-Train-Analysis-(2080s-and-2083s)?_g=(refreshInterval:(display:Off,section:0,value:0),time:(from:'2016-07-25 11:19:51-0600',mode:absolute,to:'2016-07-25 14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78" s="71" t="str">
        <f t="shared" si="30"/>
        <v>N</v>
      </c>
      <c r="X78" s="89">
        <f t="shared" si="31"/>
        <v>1</v>
      </c>
      <c r="Y78" s="86">
        <f t="shared" si="32"/>
        <v>4.5699999999999998E-2</v>
      </c>
      <c r="Z78" s="86">
        <f t="shared" si="12"/>
        <v>23.3323</v>
      </c>
      <c r="AA78" s="86">
        <f t="shared" si="13"/>
        <v>23.2866</v>
      </c>
      <c r="AB78" s="83" t="e">
        <f>VLOOKUP(A78,Enforcements!$C$7:$J$24,8,0)</f>
        <v>#N/A</v>
      </c>
      <c r="AC78" s="79" t="e">
        <f>VLOOKUP(A78,Enforcements!$C$7:$E$24,3,0)</f>
        <v>#N/A</v>
      </c>
      <c r="AD78" s="80" t="str">
        <f t="shared" si="14"/>
        <v>0169-25</v>
      </c>
      <c r="AE78" s="72" t="str">
        <f t="shared" si="15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78" s="72" t="str">
        <f t="shared" si="16"/>
        <v>"C:\Program Files (x86)\AstroGrep\AstroGrep.exe" /spath="C:\Users\stu\Documents\Analysis\2016-02-23 RTDC Observations" /stypes="*4014*20160725*" /stext=" 19:.+((prompt.+disp)|(slice.+state.+chan)|(ment ac)|(system.+state.+chan)|(\|lc)|(penalty)|(\[timeout))" /e /r /s</v>
      </c>
      <c r="AG78" s="1" t="str">
        <f t="shared" si="17"/>
        <v>EC</v>
      </c>
    </row>
    <row r="79" spans="1:33" x14ac:dyDescent="0.25">
      <c r="A79" s="46" t="s">
        <v>475</v>
      </c>
      <c r="B79" s="7">
        <v>4013</v>
      </c>
      <c r="C79" s="26" t="s">
        <v>269</v>
      </c>
      <c r="D79" s="26" t="s">
        <v>318</v>
      </c>
      <c r="E79" s="16">
        <v>42576.549930555557</v>
      </c>
      <c r="F79" s="16">
        <v>42576.550752314812</v>
      </c>
      <c r="G79" s="7">
        <v>1</v>
      </c>
      <c r="H79" s="16" t="s">
        <v>476</v>
      </c>
      <c r="I79" s="16">
        <v>42576.585775462961</v>
      </c>
      <c r="J79" s="7">
        <v>0</v>
      </c>
      <c r="K79" s="26" t="str">
        <f t="shared" ref="K79:K141" si="34">IF(ISEVEN(B79),(B79-1)&amp;"/"&amp;B79,B79&amp;"/"&amp;(B79+1))</f>
        <v>4013/4014</v>
      </c>
      <c r="L79" s="26" t="str">
        <f>VLOOKUP(A79,'Trips&amp;Operators'!$C$1:$E$10000,3,FALSE)</f>
        <v>YOUNG</v>
      </c>
      <c r="M79" s="6">
        <f t="shared" ref="M79:M141" si="35">I79-F79</f>
        <v>3.5023148149775807E-2</v>
      </c>
      <c r="N79" s="7">
        <f t="shared" ref="N79:P141" si="36">24*60*SUM($M79:$M79)</f>
        <v>50.433333335677162</v>
      </c>
      <c r="O79" s="7"/>
      <c r="P79" s="7"/>
      <c r="Q79" s="27"/>
      <c r="R79" s="27"/>
      <c r="S79" s="42">
        <f t="shared" ref="S79:S141" si="37">SUM(U79:U79)/12</f>
        <v>1</v>
      </c>
      <c r="T79" s="66" t="str">
        <f t="shared" ref="T79:T141" si="38">IF(ISEVEN(LEFT(A79,3)),"Southbound","NorthBound")</f>
        <v>Southbound</v>
      </c>
      <c r="U79" s="93">
        <f>COUNTIFS(Variables!$M$2:$M$19,IF(T79="NorthBound","&gt;=","&lt;=")&amp;Y79,Variables!$M$2:$M$19,IF(T79="NorthBound","&lt;=","&gt;=")&amp;Z79)</f>
        <v>12</v>
      </c>
      <c r="V7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12:11:54-0600',mode:absolute,to:'2016-07-25 15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79" s="71" t="str">
        <f t="shared" si="30"/>
        <v>N</v>
      </c>
      <c r="X79" s="89">
        <f t="shared" si="31"/>
        <v>1</v>
      </c>
      <c r="Y79" s="86">
        <f t="shared" si="32"/>
        <v>23.3004</v>
      </c>
      <c r="Z79" s="86">
        <f t="shared" ref="Z79:Z141" si="39">RIGHT(H79,LEN(H79)-4)/10000</f>
        <v>1.7399999999999999E-2</v>
      </c>
      <c r="AA79" s="86">
        <f t="shared" ref="AA79:AA141" si="40">ABS(Z79-Y79)</f>
        <v>23.283000000000001</v>
      </c>
      <c r="AB79" s="83" t="e">
        <f>VLOOKUP(A79,Enforcements!$C$7:$J$24,8,0)</f>
        <v>#N/A</v>
      </c>
      <c r="AC79" s="79" t="e">
        <f>VLOOKUP(A79,Enforcements!$C$7:$E$24,3,0)</f>
        <v>#N/A</v>
      </c>
      <c r="AD79" s="80" t="str">
        <f t="shared" ref="AD79:AD141" si="41">IF(LEN(A79)=6,"0"&amp;A79,A79)</f>
        <v>0170-25</v>
      </c>
      <c r="AE79" s="72" t="str">
        <f t="shared" ref="AE79:AE141" si="42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79" s="72" t="str">
        <f t="shared" ref="AF79:AF141" si="43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/stypes="*4013*20160725*" /stext=" 20:.+((prompt.+disp)|(slice.+state.+chan)|(ment ac)|(system.+state.+chan)|(\|lc)|(penalty)|(\[timeout))" /e /r /s</v>
      </c>
      <c r="AG79" s="1" t="str">
        <f t="shared" ref="AG79:AG141" si="44">IF(VALUE(LEFT(AD79,4))&lt;300,"EC","NWGL")</f>
        <v>EC</v>
      </c>
    </row>
    <row r="80" spans="1:33" x14ac:dyDescent="0.25">
      <c r="A80" s="46" t="s">
        <v>477</v>
      </c>
      <c r="B80" s="7">
        <v>4009</v>
      </c>
      <c r="C80" s="26" t="s">
        <v>269</v>
      </c>
      <c r="D80" s="26" t="s">
        <v>404</v>
      </c>
      <c r="E80" s="16">
        <v>42576.520428240743</v>
      </c>
      <c r="F80" s="16">
        <v>42576.521192129629</v>
      </c>
      <c r="G80" s="7">
        <v>1</v>
      </c>
      <c r="H80" s="16" t="s">
        <v>478</v>
      </c>
      <c r="I80" s="16">
        <v>42576.554375</v>
      </c>
      <c r="J80" s="7">
        <v>0</v>
      </c>
      <c r="K80" s="26" t="str">
        <f t="shared" si="34"/>
        <v>4009/4010</v>
      </c>
      <c r="L80" s="26" t="str">
        <f>VLOOKUP(A80,'Trips&amp;Operators'!$C$1:$E$10000,3,FALSE)</f>
        <v>LOCKLEAR</v>
      </c>
      <c r="M80" s="6">
        <f t="shared" si="35"/>
        <v>3.3182870371092577E-2</v>
      </c>
      <c r="N80" s="7">
        <f t="shared" si="36"/>
        <v>47.78333333437331</v>
      </c>
      <c r="O80" s="7"/>
      <c r="P80" s="7"/>
      <c r="Q80" s="27"/>
      <c r="R80" s="27"/>
      <c r="S80" s="42">
        <f t="shared" si="37"/>
        <v>1</v>
      </c>
      <c r="T80" s="66" t="str">
        <f t="shared" si="38"/>
        <v>NorthBound</v>
      </c>
      <c r="U80" s="93">
        <f>COUNTIFS(Variables!$M$2:$M$19,IF(T80="NorthBound","&gt;=","&lt;=")&amp;Y80,Variables!$M$2:$M$19,IF(T80="NorthBound","&lt;=","&gt;=")&amp;Z80)</f>
        <v>12</v>
      </c>
      <c r="V8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11:29:25-0600',mode:absolute,to:'2016-07-25 14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80" s="71" t="str">
        <f t="shared" si="30"/>
        <v>N</v>
      </c>
      <c r="X80" s="89">
        <f t="shared" si="31"/>
        <v>1</v>
      </c>
      <c r="Y80" s="86">
        <f t="shared" si="32"/>
        <v>4.6600000000000003E-2</v>
      </c>
      <c r="Z80" s="86">
        <f t="shared" si="39"/>
        <v>23.3337</v>
      </c>
      <c r="AA80" s="86">
        <f t="shared" si="40"/>
        <v>23.287099999999999</v>
      </c>
      <c r="AB80" s="83" t="e">
        <f>VLOOKUP(A80,Enforcements!$C$7:$J$24,8,0)</f>
        <v>#N/A</v>
      </c>
      <c r="AC80" s="79" t="e">
        <f>VLOOKUP(A80,Enforcements!$C$7:$E$24,3,0)</f>
        <v>#N/A</v>
      </c>
      <c r="AD80" s="80" t="str">
        <f t="shared" si="41"/>
        <v>0171-25</v>
      </c>
      <c r="AE80" s="72" t="str">
        <f t="shared" si="42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80" s="72" t="str">
        <f t="shared" si="43"/>
        <v>"C:\Program Files (x86)\AstroGrep\AstroGrep.exe" /spath="C:\Users\stu\Documents\Analysis\2016-02-23 RTDC Observations" /stypes="*4009*20160725*" /stext=" 19:.+((prompt.+disp)|(slice.+state.+chan)|(ment ac)|(system.+state.+chan)|(\|lc)|(penalty)|(\[timeout))" /e /r /s</v>
      </c>
      <c r="AG80" s="1" t="str">
        <f t="shared" si="44"/>
        <v>EC</v>
      </c>
    </row>
    <row r="81" spans="1:33" x14ac:dyDescent="0.25">
      <c r="A81" s="46" t="s">
        <v>479</v>
      </c>
      <c r="B81" s="7">
        <v>4010</v>
      </c>
      <c r="C81" s="26" t="s">
        <v>269</v>
      </c>
      <c r="D81" s="26" t="s">
        <v>480</v>
      </c>
      <c r="E81" s="16">
        <v>42576.557881944442</v>
      </c>
      <c r="F81" s="16">
        <v>42576.55872685185</v>
      </c>
      <c r="G81" s="7">
        <v>1</v>
      </c>
      <c r="H81" s="16" t="s">
        <v>270</v>
      </c>
      <c r="I81" s="16">
        <v>42576.590486111112</v>
      </c>
      <c r="J81" s="7">
        <v>0</v>
      </c>
      <c r="K81" s="26" t="str">
        <f t="shared" si="34"/>
        <v>4009/4010</v>
      </c>
      <c r="L81" s="26" t="str">
        <f>VLOOKUP(A81,'Trips&amp;Operators'!$C$1:$E$10000,3,FALSE)</f>
        <v>LOCKLEAR</v>
      </c>
      <c r="M81" s="6">
        <f t="shared" si="35"/>
        <v>3.1759259261889383E-2</v>
      </c>
      <c r="N81" s="7">
        <f t="shared" si="36"/>
        <v>45.733333337120712</v>
      </c>
      <c r="O81" s="7"/>
      <c r="P81" s="7"/>
      <c r="Q81" s="27"/>
      <c r="R81" s="27"/>
      <c r="S81" s="42">
        <f t="shared" si="37"/>
        <v>1</v>
      </c>
      <c r="T81" s="66" t="str">
        <f t="shared" si="38"/>
        <v>Southbound</v>
      </c>
      <c r="U81" s="93">
        <f>COUNTIFS(Variables!$M$2:$M$19,IF(T81="NorthBound","&gt;=","&lt;=")&amp;Y81,Variables!$M$2:$M$19,IF(T81="NorthBound","&lt;=","&gt;=")&amp;Z81)</f>
        <v>12</v>
      </c>
      <c r="V8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12:23:21-0600',mode:absolute,to:'2016-07-25 15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81" s="71" t="str">
        <f t="shared" si="30"/>
        <v>N</v>
      </c>
      <c r="X81" s="89">
        <f t="shared" si="31"/>
        <v>1</v>
      </c>
      <c r="Y81" s="86">
        <f t="shared" si="32"/>
        <v>23.300899999999999</v>
      </c>
      <c r="Z81" s="86">
        <f t="shared" si="39"/>
        <v>1.29E-2</v>
      </c>
      <c r="AA81" s="86">
        <f t="shared" si="40"/>
        <v>23.288</v>
      </c>
      <c r="AB81" s="83" t="e">
        <f>VLOOKUP(A81,Enforcements!$C$7:$J$24,8,0)</f>
        <v>#N/A</v>
      </c>
      <c r="AC81" s="79" t="e">
        <f>VLOOKUP(A81,Enforcements!$C$7:$E$24,3,0)</f>
        <v>#N/A</v>
      </c>
      <c r="AD81" s="80" t="str">
        <f t="shared" si="41"/>
        <v>0172-25</v>
      </c>
      <c r="AE81" s="72" t="str">
        <f t="shared" si="42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81" s="72" t="str">
        <f t="shared" si="43"/>
        <v>"C:\Program Files (x86)\AstroGrep\AstroGrep.exe" /spath="C:\Users\stu\Documents\Analysis\2016-02-23 RTDC Observations" /stypes="*4010*20160725*" /stext=" 20:.+((prompt.+disp)|(slice.+state.+chan)|(ment ac)|(system.+state.+chan)|(\|lc)|(penalty)|(\[timeout))" /e /r /s</v>
      </c>
      <c r="AG81" s="1" t="str">
        <f t="shared" si="44"/>
        <v>EC</v>
      </c>
    </row>
    <row r="82" spans="1:33" x14ac:dyDescent="0.25">
      <c r="A82" s="46" t="s">
        <v>481</v>
      </c>
      <c r="B82" s="7">
        <v>4016</v>
      </c>
      <c r="C82" s="26" t="s">
        <v>269</v>
      </c>
      <c r="D82" s="26" t="s">
        <v>272</v>
      </c>
      <c r="E82" s="16">
        <v>42576.532812500001</v>
      </c>
      <c r="F82" s="16">
        <v>42576.533715277779</v>
      </c>
      <c r="G82" s="7">
        <v>1</v>
      </c>
      <c r="H82" s="16" t="s">
        <v>482</v>
      </c>
      <c r="I82" s="16">
        <v>42576.561006944445</v>
      </c>
      <c r="J82" s="7">
        <v>0</v>
      </c>
      <c r="K82" s="26" t="str">
        <f t="shared" si="34"/>
        <v>4015/4016</v>
      </c>
      <c r="L82" s="26" t="str">
        <f>VLOOKUP(A82,'Trips&amp;Operators'!$C$1:$E$10000,3,FALSE)</f>
        <v>SHOOK</v>
      </c>
      <c r="M82" s="6">
        <f t="shared" si="35"/>
        <v>2.7291666665405501E-2</v>
      </c>
      <c r="N82" s="7">
        <f t="shared" si="36"/>
        <v>39.299999998183921</v>
      </c>
      <c r="O82" s="7"/>
      <c r="P82" s="7"/>
      <c r="Q82" s="27"/>
      <c r="R82" s="27"/>
      <c r="S82" s="42">
        <f t="shared" si="37"/>
        <v>1</v>
      </c>
      <c r="T82" s="66" t="str">
        <f t="shared" si="38"/>
        <v>NorthBound</v>
      </c>
      <c r="U82" s="93">
        <f>COUNTIFS(Variables!$M$2:$M$19,IF(T82="NorthBound","&gt;=","&lt;=")&amp;Y82,Variables!$M$2:$M$19,IF(T82="NorthBound","&lt;=","&gt;=")&amp;Z82)</f>
        <v>12</v>
      </c>
      <c r="V8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11:47:15-0600',mode:absolute,to:'2016-07-25 14:27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82" s="71" t="str">
        <f t="shared" ref="W82:W141" si="45">IF(AA82&lt;23,"Y","N")</f>
        <v>N</v>
      </c>
      <c r="X82" s="89">
        <f t="shared" ref="X82:X141" si="46">VALUE(LEFT(A82,3))-VALUE(LEFT(A81,3))</f>
        <v>1</v>
      </c>
      <c r="Y82" s="86">
        <f t="shared" ref="Y82:Y141" si="47">RIGHT(D82,LEN(D82)-4)/10000</f>
        <v>4.5699999999999998E-2</v>
      </c>
      <c r="Z82" s="86">
        <f t="shared" si="39"/>
        <v>23.338000000000001</v>
      </c>
      <c r="AA82" s="86">
        <f t="shared" si="40"/>
        <v>23.292300000000001</v>
      </c>
      <c r="AB82" s="83" t="e">
        <f>VLOOKUP(A82,Enforcements!$C$7:$J$24,8,0)</f>
        <v>#N/A</v>
      </c>
      <c r="AC82" s="79" t="e">
        <f>VLOOKUP(A82,Enforcements!$C$7:$E$24,3,0)</f>
        <v>#N/A</v>
      </c>
      <c r="AD82" s="80" t="str">
        <f t="shared" si="41"/>
        <v>0173-25</v>
      </c>
      <c r="AE82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82" s="72" t="str">
        <f t="shared" si="43"/>
        <v>"C:\Program Files (x86)\AstroGrep\AstroGrep.exe" /spath="C:\Users\stu\Documents\Analysis\2016-02-23 RTDC Observations" /stypes="*4016*20160725*" /stext=" 19:.+((prompt.+disp)|(slice.+state.+chan)|(ment ac)|(system.+state.+chan)|(\|lc)|(penalty)|(\[timeout))" /e /r /s</v>
      </c>
      <c r="AG82" s="1" t="str">
        <f t="shared" si="44"/>
        <v>EC</v>
      </c>
    </row>
    <row r="83" spans="1:33" x14ac:dyDescent="0.25">
      <c r="A83" s="46" t="s">
        <v>483</v>
      </c>
      <c r="B83" s="7">
        <v>4015</v>
      </c>
      <c r="C83" s="26" t="s">
        <v>269</v>
      </c>
      <c r="D83" s="26" t="s">
        <v>484</v>
      </c>
      <c r="E83" s="16">
        <v>42576.566168981481</v>
      </c>
      <c r="F83" s="16">
        <v>42576.56726851852</v>
      </c>
      <c r="G83" s="7">
        <v>1</v>
      </c>
      <c r="H83" s="16" t="s">
        <v>485</v>
      </c>
      <c r="I83" s="16">
        <v>42576.600613425922</v>
      </c>
      <c r="J83" s="7">
        <v>0</v>
      </c>
      <c r="K83" s="26" t="str">
        <f t="shared" si="34"/>
        <v>4015/4016</v>
      </c>
      <c r="L83" s="26" t="str">
        <f>VLOOKUP(A83,'Trips&amp;Operators'!$C$1:$E$10000,3,FALSE)</f>
        <v>SHOOK</v>
      </c>
      <c r="M83" s="6">
        <f t="shared" si="35"/>
        <v>3.3344907402351964E-2</v>
      </c>
      <c r="N83" s="7">
        <f t="shared" si="36"/>
        <v>48.016666659386829</v>
      </c>
      <c r="O83" s="7"/>
      <c r="P83" s="7"/>
      <c r="Q83" s="27"/>
      <c r="R83" s="27"/>
      <c r="S83" s="42">
        <f t="shared" si="37"/>
        <v>1</v>
      </c>
      <c r="T83" s="66" t="str">
        <f t="shared" si="38"/>
        <v>Southbound</v>
      </c>
      <c r="U83" s="93">
        <f>COUNTIFS(Variables!$M$2:$M$19,IF(T83="NorthBound","&gt;=","&lt;=")&amp;Y83,Variables!$M$2:$M$19,IF(T83="NorthBound","&lt;=","&gt;=")&amp;Z83)</f>
        <v>12</v>
      </c>
      <c r="V8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12:35:17-0600',mode:absolute,to:'2016-07-25 15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83" s="71" t="str">
        <f t="shared" si="45"/>
        <v>N</v>
      </c>
      <c r="X83" s="89">
        <f t="shared" si="46"/>
        <v>1</v>
      </c>
      <c r="Y83" s="86">
        <f t="shared" si="47"/>
        <v>23.308700000000002</v>
      </c>
      <c r="Z83" s="86">
        <f t="shared" si="39"/>
        <v>1.21E-2</v>
      </c>
      <c r="AA83" s="86">
        <f t="shared" si="40"/>
        <v>23.296600000000002</v>
      </c>
      <c r="AB83" s="83" t="e">
        <f>VLOOKUP(A83,Enforcements!$C$7:$J$24,8,0)</f>
        <v>#N/A</v>
      </c>
      <c r="AC83" s="79" t="e">
        <f>VLOOKUP(A83,Enforcements!$C$7:$E$24,3,0)</f>
        <v>#N/A</v>
      </c>
      <c r="AD83" s="80" t="str">
        <f t="shared" si="41"/>
        <v>0174-25</v>
      </c>
      <c r="AE83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83" s="72" t="str">
        <f t="shared" si="43"/>
        <v>"C:\Program Files (x86)\AstroGrep\AstroGrep.exe" /spath="C:\Users\stu\Documents\Analysis\2016-02-23 RTDC Observations" /stypes="*4015*20160725*" /stext=" 20:.+((prompt.+disp)|(slice.+state.+chan)|(ment ac)|(system.+state.+chan)|(\|lc)|(penalty)|(\[timeout))" /e /r /s</v>
      </c>
      <c r="AG83" s="1" t="str">
        <f t="shared" si="44"/>
        <v>EC</v>
      </c>
    </row>
    <row r="84" spans="1:33" x14ac:dyDescent="0.25">
      <c r="A84" s="46" t="s">
        <v>486</v>
      </c>
      <c r="B84" s="7">
        <v>4007</v>
      </c>
      <c r="C84" s="26" t="s">
        <v>269</v>
      </c>
      <c r="D84" s="26" t="s">
        <v>487</v>
      </c>
      <c r="E84" s="16">
        <v>42576.541087962964</v>
      </c>
      <c r="F84" s="16">
        <v>42576.542187500003</v>
      </c>
      <c r="G84" s="7">
        <v>1</v>
      </c>
      <c r="H84" s="16" t="s">
        <v>488</v>
      </c>
      <c r="I84" s="16">
        <v>42576.569398148145</v>
      </c>
      <c r="J84" s="7">
        <v>0</v>
      </c>
      <c r="K84" s="26" t="str">
        <f t="shared" si="34"/>
        <v>4007/4008</v>
      </c>
      <c r="L84" s="26" t="str">
        <f>VLOOKUP(A84,'Trips&amp;Operators'!$C$1:$E$10000,3,FALSE)</f>
        <v>STEWART</v>
      </c>
      <c r="M84" s="6">
        <f t="shared" si="35"/>
        <v>2.7210648142499849E-2</v>
      </c>
      <c r="N84" s="7">
        <f t="shared" si="36"/>
        <v>39.183333325199783</v>
      </c>
      <c r="O84" s="7"/>
      <c r="P84" s="7"/>
      <c r="Q84" s="27"/>
      <c r="R84" s="27"/>
      <c r="S84" s="42">
        <f t="shared" si="37"/>
        <v>1</v>
      </c>
      <c r="T84" s="66" t="str">
        <f t="shared" si="38"/>
        <v>NorthBound</v>
      </c>
      <c r="U84" s="93">
        <f>COUNTIFS(Variables!$M$2:$M$19,IF(T84="NorthBound","&gt;=","&lt;=")&amp;Y84,Variables!$M$2:$M$19,IF(T84="NorthBound","&lt;=","&gt;=")&amp;Z84)</f>
        <v>12</v>
      </c>
      <c r="V8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11:59:10-0600',mode:absolute,to:'2016-07-25 14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84" s="71" t="str">
        <f t="shared" si="45"/>
        <v>N</v>
      </c>
      <c r="X84" s="89">
        <f t="shared" si="46"/>
        <v>1</v>
      </c>
      <c r="Y84" s="86">
        <f t="shared" si="47"/>
        <v>4.6899999999999997E-2</v>
      </c>
      <c r="Z84" s="86">
        <f t="shared" si="39"/>
        <v>23.325900000000001</v>
      </c>
      <c r="AA84" s="86">
        <f t="shared" si="40"/>
        <v>23.279</v>
      </c>
      <c r="AB84" s="83" t="e">
        <f>VLOOKUP(A84,Enforcements!$C$7:$J$24,8,0)</f>
        <v>#N/A</v>
      </c>
      <c r="AC84" s="79" t="e">
        <f>VLOOKUP(A84,Enforcements!$C$7:$E$24,3,0)</f>
        <v>#N/A</v>
      </c>
      <c r="AD84" s="80" t="str">
        <f t="shared" si="41"/>
        <v>0175-25</v>
      </c>
      <c r="AE84" s="72" t="str">
        <f t="shared" si="42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84" s="72" t="str">
        <f t="shared" si="43"/>
        <v>"C:\Program Files (x86)\AstroGrep\AstroGrep.exe" /spath="C:\Users\stu\Documents\Analysis\2016-02-23 RTDC Observations" /stypes="*4007*20160725*" /stext=" 19:.+((prompt.+disp)|(slice.+state.+chan)|(ment ac)|(system.+state.+chan)|(\|lc)|(penalty)|(\[timeout))" /e /r /s</v>
      </c>
      <c r="AG84" s="1" t="str">
        <f t="shared" si="44"/>
        <v>EC</v>
      </c>
    </row>
    <row r="85" spans="1:33" x14ac:dyDescent="0.25">
      <c r="A85" s="46" t="s">
        <v>489</v>
      </c>
      <c r="B85" s="7">
        <v>4008</v>
      </c>
      <c r="C85" s="26" t="s">
        <v>269</v>
      </c>
      <c r="D85" s="26" t="s">
        <v>239</v>
      </c>
      <c r="E85" s="16">
        <v>42576.5778587963</v>
      </c>
      <c r="F85" s="16">
        <v>42576.578865740739</v>
      </c>
      <c r="G85" s="7">
        <v>1</v>
      </c>
      <c r="H85" s="16" t="s">
        <v>103</v>
      </c>
      <c r="I85" s="16">
        <v>42576.608900462961</v>
      </c>
      <c r="J85" s="7">
        <v>2</v>
      </c>
      <c r="K85" s="26" t="str">
        <f t="shared" si="34"/>
        <v>4007/4008</v>
      </c>
      <c r="L85" s="26" t="str">
        <f>VLOOKUP(A85,'Trips&amp;Operators'!$C$1:$E$10000,3,FALSE)</f>
        <v>STEWART</v>
      </c>
      <c r="M85" s="6">
        <f t="shared" si="35"/>
        <v>3.0034722221898846E-2</v>
      </c>
      <c r="N85" s="7">
        <f t="shared" si="36"/>
        <v>43.249999999534339</v>
      </c>
      <c r="O85" s="7"/>
      <c r="P85" s="7"/>
      <c r="Q85" s="27"/>
      <c r="R85" s="27"/>
      <c r="S85" s="42">
        <f t="shared" si="37"/>
        <v>1</v>
      </c>
      <c r="T85" s="66" t="str">
        <f t="shared" si="38"/>
        <v>Southbound</v>
      </c>
      <c r="U85" s="93">
        <f>COUNTIFS(Variables!$M$2:$M$19,IF(T85="NorthBound","&gt;=","&lt;=")&amp;Y85,Variables!$M$2:$M$19,IF(T85="NorthBound","&lt;=","&gt;=")&amp;Z85)</f>
        <v>12</v>
      </c>
      <c r="V8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12:52:07-0600',mode:absolute,to:'2016-07-25 15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85" s="71" t="str">
        <f t="shared" si="45"/>
        <v>N</v>
      </c>
      <c r="X85" s="89">
        <f t="shared" si="46"/>
        <v>1</v>
      </c>
      <c r="Y85" s="86">
        <f t="shared" si="47"/>
        <v>23.297499999999999</v>
      </c>
      <c r="Z85" s="86">
        <f t="shared" si="39"/>
        <v>1.43E-2</v>
      </c>
      <c r="AA85" s="86">
        <f t="shared" si="40"/>
        <v>23.283200000000001</v>
      </c>
      <c r="AB85" s="83">
        <f>VLOOKUP(A85,Enforcements!$C$7:$J$24,8,0)</f>
        <v>33257</v>
      </c>
      <c r="AC85" s="79" t="str">
        <f>VLOOKUP(A85,Enforcements!$C$7:$E$24,3,0)</f>
        <v>GRADE CROSSING</v>
      </c>
      <c r="AD85" s="80" t="str">
        <f t="shared" si="41"/>
        <v>0176-25</v>
      </c>
      <c r="AE85" s="72" t="str">
        <f t="shared" si="42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85" s="72" t="str">
        <f t="shared" si="43"/>
        <v>"C:\Program Files (x86)\AstroGrep\AstroGrep.exe" /spath="C:\Users\stu\Documents\Analysis\2016-02-23 RTDC Observations" /stypes="*4008*20160725*" /stext=" 20:.+((prompt.+disp)|(slice.+state.+chan)|(ment ac)|(system.+state.+chan)|(\|lc)|(penalty)|(\[timeout))" /e /r /s</v>
      </c>
      <c r="AG85" s="1" t="str">
        <f t="shared" si="44"/>
        <v>EC</v>
      </c>
    </row>
    <row r="86" spans="1:33" x14ac:dyDescent="0.25">
      <c r="A86" s="46" t="s">
        <v>490</v>
      </c>
      <c r="B86" s="7">
        <v>4018</v>
      </c>
      <c r="C86" s="26" t="s">
        <v>269</v>
      </c>
      <c r="D86" s="26" t="s">
        <v>125</v>
      </c>
      <c r="E86" s="16">
        <v>42576.549479166664</v>
      </c>
      <c r="F86" s="16">
        <v>42576.550555555557</v>
      </c>
      <c r="G86" s="7">
        <v>1</v>
      </c>
      <c r="H86" s="16" t="s">
        <v>491</v>
      </c>
      <c r="I86" s="16">
        <v>42576.579189814816</v>
      </c>
      <c r="J86" s="7">
        <v>0</v>
      </c>
      <c r="K86" s="26" t="str">
        <f t="shared" si="34"/>
        <v>4017/4018</v>
      </c>
      <c r="L86" s="26" t="str">
        <f>VLOOKUP(A86,'Trips&amp;Operators'!$C$1:$E$10000,3,FALSE)</f>
        <v>BARTLETT</v>
      </c>
      <c r="M86" s="6">
        <f t="shared" si="35"/>
        <v>2.8634259258979E-2</v>
      </c>
      <c r="N86" s="7">
        <f t="shared" si="36"/>
        <v>41.23333333292976</v>
      </c>
      <c r="O86" s="7"/>
      <c r="P86" s="7"/>
      <c r="Q86" s="27"/>
      <c r="R86" s="27"/>
      <c r="S86" s="42">
        <f t="shared" si="37"/>
        <v>1</v>
      </c>
      <c r="T86" s="66" t="str">
        <f t="shared" si="38"/>
        <v>NorthBound</v>
      </c>
      <c r="U86" s="93">
        <f>COUNTIFS(Variables!$M$2:$M$19,IF(T86="NorthBound","&gt;=","&lt;=")&amp;Y86,Variables!$M$2:$M$19,IF(T86="NorthBound","&lt;=","&gt;=")&amp;Z86)</f>
        <v>12</v>
      </c>
      <c r="V8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12:11:15-0600',mode:absolute,to:'2016-07-25 14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86" s="71" t="str">
        <f t="shared" si="45"/>
        <v>N</v>
      </c>
      <c r="X86" s="89">
        <f t="shared" si="46"/>
        <v>1</v>
      </c>
      <c r="Y86" s="86">
        <f t="shared" si="47"/>
        <v>4.58E-2</v>
      </c>
      <c r="Z86" s="86">
        <f t="shared" si="39"/>
        <v>23.3276</v>
      </c>
      <c r="AA86" s="86">
        <f t="shared" si="40"/>
        <v>23.2818</v>
      </c>
      <c r="AB86" s="83" t="e">
        <f>VLOOKUP(A86,Enforcements!$C$7:$J$24,8,0)</f>
        <v>#N/A</v>
      </c>
      <c r="AC86" s="79" t="e">
        <f>VLOOKUP(A86,Enforcements!$C$7:$E$24,3,0)</f>
        <v>#N/A</v>
      </c>
      <c r="AD86" s="80" t="str">
        <f t="shared" si="41"/>
        <v>0177-25</v>
      </c>
      <c r="AE86" s="72" t="str">
        <f t="shared" si="42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86" s="72" t="str">
        <f t="shared" si="43"/>
        <v>"C:\Program Files (x86)\AstroGrep\AstroGrep.exe" /spath="C:\Users\stu\Documents\Analysis\2016-02-23 RTDC Observations" /stypes="*4018*20160725*" /stext=" 19:.+((prompt.+disp)|(slice.+state.+chan)|(ment ac)|(system.+state.+chan)|(\|lc)|(penalty)|(\[timeout))" /e /r /s</v>
      </c>
      <c r="AG86" s="1" t="str">
        <f t="shared" si="44"/>
        <v>EC</v>
      </c>
    </row>
    <row r="87" spans="1:33" x14ac:dyDescent="0.25">
      <c r="A87" s="46" t="s">
        <v>492</v>
      </c>
      <c r="B87" s="7">
        <v>4017</v>
      </c>
      <c r="C87" s="26" t="s">
        <v>269</v>
      </c>
      <c r="D87" s="26" t="s">
        <v>408</v>
      </c>
      <c r="E87" s="16">
        <v>42576.589004629626</v>
      </c>
      <c r="F87" s="16">
        <v>42576.58997685185</v>
      </c>
      <c r="G87" s="7">
        <v>1</v>
      </c>
      <c r="H87" s="16" t="s">
        <v>164</v>
      </c>
      <c r="I87" s="16">
        <v>42576.620266203703</v>
      </c>
      <c r="J87" s="7">
        <v>0</v>
      </c>
      <c r="K87" s="26" t="str">
        <f t="shared" si="34"/>
        <v>4017/4018</v>
      </c>
      <c r="L87" s="26" t="str">
        <f>VLOOKUP(A87,'Trips&amp;Operators'!$C$1:$E$10000,3,FALSE)</f>
        <v>BARTLETT</v>
      </c>
      <c r="M87" s="6">
        <f t="shared" si="35"/>
        <v>3.0289351852843538E-2</v>
      </c>
      <c r="N87" s="7">
        <f t="shared" si="36"/>
        <v>43.616666668094695</v>
      </c>
      <c r="O87" s="7"/>
      <c r="P87" s="7"/>
      <c r="Q87" s="27"/>
      <c r="R87" s="27"/>
      <c r="S87" s="42">
        <f t="shared" si="37"/>
        <v>1</v>
      </c>
      <c r="T87" s="66" t="str">
        <f t="shared" si="38"/>
        <v>Southbound</v>
      </c>
      <c r="U87" s="93">
        <f>COUNTIFS(Variables!$M$2:$M$19,IF(T87="NorthBound","&gt;=","&lt;=")&amp;Y87,Variables!$M$2:$M$19,IF(T87="NorthBound","&lt;=","&gt;=")&amp;Z87)</f>
        <v>12</v>
      </c>
      <c r="V8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13:08:10-0600',mode:absolute,to:'2016-07-25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87" s="71" t="str">
        <f t="shared" si="45"/>
        <v>N</v>
      </c>
      <c r="X87" s="89">
        <f t="shared" si="46"/>
        <v>1</v>
      </c>
      <c r="Y87" s="86">
        <f t="shared" si="47"/>
        <v>23.296399999999998</v>
      </c>
      <c r="Z87" s="86">
        <f t="shared" si="39"/>
        <v>1.41E-2</v>
      </c>
      <c r="AA87" s="86">
        <f t="shared" si="40"/>
        <v>23.282299999999999</v>
      </c>
      <c r="AB87" s="83" t="e">
        <f>VLOOKUP(A87,Enforcements!$C$7:$J$24,8,0)</f>
        <v>#N/A</v>
      </c>
      <c r="AC87" s="79" t="e">
        <f>VLOOKUP(A87,Enforcements!$C$7:$E$24,3,0)</f>
        <v>#N/A</v>
      </c>
      <c r="AD87" s="80" t="str">
        <f t="shared" si="41"/>
        <v>0178-25</v>
      </c>
      <c r="AE87" s="72" t="str">
        <f t="shared" si="42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87" s="72" t="str">
        <f t="shared" si="43"/>
        <v>"C:\Program Files (x86)\AstroGrep\AstroGrep.exe" /spath="C:\Users\stu\Documents\Analysis\2016-02-23 RTDC Observations" /stypes="*4017*20160725*" /stext=" 20:.+((prompt.+disp)|(slice.+state.+chan)|(ment ac)|(system.+state.+chan)|(\|lc)|(penalty)|(\[timeout))" /e /r /s</v>
      </c>
      <c r="AG87" s="1" t="str">
        <f t="shared" si="44"/>
        <v>EC</v>
      </c>
    </row>
    <row r="88" spans="1:33" x14ac:dyDescent="0.25">
      <c r="A88" s="46" t="s">
        <v>493</v>
      </c>
      <c r="B88" s="7">
        <v>4038</v>
      </c>
      <c r="C88" s="26" t="s">
        <v>269</v>
      </c>
      <c r="D88" s="26" t="s">
        <v>494</v>
      </c>
      <c r="E88" s="16">
        <v>42576.581342592595</v>
      </c>
      <c r="F88" s="16">
        <v>42576.582511574074</v>
      </c>
      <c r="G88" s="7">
        <v>1</v>
      </c>
      <c r="H88" s="16" t="s">
        <v>495</v>
      </c>
      <c r="I88" s="16">
        <v>42576.605590277781</v>
      </c>
      <c r="J88" s="7">
        <v>1</v>
      </c>
      <c r="K88" s="26" t="str">
        <f t="shared" si="34"/>
        <v>4037/4038</v>
      </c>
      <c r="L88" s="26" t="str">
        <f>VLOOKUP(A88,'Trips&amp;Operators'!$C$1:$E$10000,3,FALSE)</f>
        <v>BONDS</v>
      </c>
      <c r="M88" s="6">
        <f t="shared" si="35"/>
        <v>2.3078703707142267E-2</v>
      </c>
      <c r="N88" s="7"/>
      <c r="O88" s="7"/>
      <c r="P88" s="7">
        <f t="shared" si="36"/>
        <v>33.233333338284865</v>
      </c>
      <c r="Q88" s="27"/>
      <c r="R88" s="27" t="s">
        <v>819</v>
      </c>
      <c r="S88" s="42">
        <f t="shared" si="37"/>
        <v>1</v>
      </c>
      <c r="T88" s="66" t="str">
        <f t="shared" si="38"/>
        <v>NorthBound</v>
      </c>
      <c r="U88" s="93">
        <f>COUNTIFS(Variables!$M$2:$M$19,IF(T88="NorthBound","&gt;=","&lt;=")&amp;Y88,Variables!$M$2:$M$19,IF(T88="NorthBound","&lt;=","&gt;=")&amp;Z88)</f>
        <v>12</v>
      </c>
      <c r="V8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12:57:08-0600',mode:absolute,to:'2016-07-25 15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88" s="71" t="str">
        <f t="shared" si="45"/>
        <v>Y</v>
      </c>
      <c r="X88" s="89">
        <f t="shared" si="46"/>
        <v>3</v>
      </c>
      <c r="Y88" s="86">
        <f t="shared" si="47"/>
        <v>1.9132</v>
      </c>
      <c r="Z88" s="86">
        <f t="shared" si="39"/>
        <v>23.334</v>
      </c>
      <c r="AA88" s="86">
        <f t="shared" si="40"/>
        <v>21.4208</v>
      </c>
      <c r="AB88" s="83" t="e">
        <f>VLOOKUP(A88,Enforcements!$C$7:$J$24,8,0)</f>
        <v>#N/A</v>
      </c>
      <c r="AC88" s="79" t="e">
        <f>VLOOKUP(A88,Enforcements!$C$7:$E$24,3,0)</f>
        <v>#N/A</v>
      </c>
      <c r="AD88" s="80" t="str">
        <f t="shared" si="41"/>
        <v>0181-25</v>
      </c>
      <c r="AE88" s="72" t="str">
        <f t="shared" si="42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88" s="72" t="str">
        <f t="shared" si="43"/>
        <v>"C:\Program Files (x86)\AstroGrep\AstroGrep.exe" /spath="C:\Users\stu\Documents\Analysis\2016-02-23 RTDC Observations" /stypes="*4038*20160725*" /stext=" 20:.+((prompt.+disp)|(slice.+state.+chan)|(ment ac)|(system.+state.+chan)|(\|lc)|(penalty)|(\[timeout))" /e /r /s</v>
      </c>
      <c r="AG88" s="1" t="str">
        <f t="shared" si="44"/>
        <v>EC</v>
      </c>
    </row>
    <row r="89" spans="1:33" x14ac:dyDescent="0.25">
      <c r="A89" s="46" t="s">
        <v>496</v>
      </c>
      <c r="B89" s="7">
        <v>4037</v>
      </c>
      <c r="C89" s="26" t="s">
        <v>269</v>
      </c>
      <c r="D89" s="26" t="s">
        <v>497</v>
      </c>
      <c r="E89" s="16">
        <v>42576.608090277776</v>
      </c>
      <c r="F89" s="16">
        <v>42576.608969907407</v>
      </c>
      <c r="G89" s="7">
        <v>1</v>
      </c>
      <c r="H89" s="16" t="s">
        <v>150</v>
      </c>
      <c r="I89" s="16">
        <v>42576.6409375</v>
      </c>
      <c r="J89" s="7">
        <v>1</v>
      </c>
      <c r="K89" s="26" t="str">
        <f t="shared" si="34"/>
        <v>4037/4038</v>
      </c>
      <c r="L89" s="26" t="str">
        <f>VLOOKUP(A89,'Trips&amp;Operators'!$C$1:$E$10000,3,FALSE)</f>
        <v>BONDS</v>
      </c>
      <c r="M89" s="6">
        <f t="shared" si="35"/>
        <v>3.1967592592991423E-2</v>
      </c>
      <c r="N89" s="7">
        <f t="shared" si="36"/>
        <v>46.033333333907649</v>
      </c>
      <c r="O89" s="7"/>
      <c r="P89" s="7"/>
      <c r="Q89" s="27"/>
      <c r="R89" s="27"/>
      <c r="S89" s="42">
        <f t="shared" si="37"/>
        <v>1</v>
      </c>
      <c r="T89" s="66" t="str">
        <f t="shared" si="38"/>
        <v>Southbound</v>
      </c>
      <c r="U89" s="93">
        <f>COUNTIFS(Variables!$M$2:$M$19,IF(T89="NorthBound","&gt;=","&lt;=")&amp;Y89,Variables!$M$2:$M$19,IF(T89="NorthBound","&lt;=","&gt;=")&amp;Z89)</f>
        <v>12</v>
      </c>
      <c r="V8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13:35:39-0600',mode:absolute,to:'2016-07-25 16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89" s="71" t="str">
        <f t="shared" si="45"/>
        <v>N</v>
      </c>
      <c r="X89" s="89">
        <f t="shared" si="46"/>
        <v>1</v>
      </c>
      <c r="Y89" s="86">
        <f t="shared" si="47"/>
        <v>23.303599999999999</v>
      </c>
      <c r="Z89" s="86">
        <f t="shared" si="39"/>
        <v>1.4999999999999999E-2</v>
      </c>
      <c r="AA89" s="86">
        <f t="shared" si="40"/>
        <v>23.288599999999999</v>
      </c>
      <c r="AB89" s="83" t="e">
        <f>VLOOKUP(A89,Enforcements!$C$7:$J$24,8,0)</f>
        <v>#N/A</v>
      </c>
      <c r="AC89" s="79" t="e">
        <f>VLOOKUP(A89,Enforcements!$C$7:$E$24,3,0)</f>
        <v>#N/A</v>
      </c>
      <c r="AD89" s="80" t="str">
        <f t="shared" si="41"/>
        <v>0182-25</v>
      </c>
      <c r="AE89" s="72" t="str">
        <f t="shared" si="42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89" s="72" t="str">
        <f t="shared" si="43"/>
        <v>"C:\Program Files (x86)\AstroGrep\AstroGrep.exe" /spath="C:\Users\stu\Documents\Analysis\2016-02-23 RTDC Observations" /stypes="*4037*20160725*" /stext=" 21:.+((prompt.+disp)|(slice.+state.+chan)|(ment ac)|(system.+state.+chan)|(\|lc)|(penalty)|(\[timeout))" /e /r /s</v>
      </c>
      <c r="AG89" s="1" t="str">
        <f t="shared" si="44"/>
        <v>EC</v>
      </c>
    </row>
    <row r="90" spans="1:33" x14ac:dyDescent="0.25">
      <c r="A90" s="46" t="s">
        <v>498</v>
      </c>
      <c r="B90" s="7">
        <v>4027</v>
      </c>
      <c r="C90" s="26" t="s">
        <v>269</v>
      </c>
      <c r="D90" s="26" t="s">
        <v>151</v>
      </c>
      <c r="E90" s="16">
        <v>42576.577708333331</v>
      </c>
      <c r="F90" s="16">
        <v>42576.579074074078</v>
      </c>
      <c r="G90" s="7">
        <v>1</v>
      </c>
      <c r="H90" s="16" t="s">
        <v>166</v>
      </c>
      <c r="I90" s="16">
        <v>42576.611620370371</v>
      </c>
      <c r="J90" s="7">
        <v>0</v>
      </c>
      <c r="K90" s="26" t="str">
        <f t="shared" si="34"/>
        <v>4027/4028</v>
      </c>
      <c r="L90" s="26" t="str">
        <f>VLOOKUP(A90,'Trips&amp;Operators'!$C$1:$E$10000,3,FALSE)</f>
        <v>MAYBERRY</v>
      </c>
      <c r="M90" s="6">
        <f t="shared" si="35"/>
        <v>3.2546296293730848E-2</v>
      </c>
      <c r="N90" s="7">
        <f t="shared" si="36"/>
        <v>46.86666666297242</v>
      </c>
      <c r="O90" s="7"/>
      <c r="P90" s="7"/>
      <c r="Q90" s="27"/>
      <c r="R90" s="27"/>
      <c r="S90" s="42">
        <f t="shared" si="37"/>
        <v>1</v>
      </c>
      <c r="T90" s="66" t="str">
        <f t="shared" si="38"/>
        <v>NorthBound</v>
      </c>
      <c r="U90" s="93">
        <f>COUNTIFS(Variables!$M$2:$M$19,IF(T90="NorthBound","&gt;=","&lt;=")&amp;Y90,Variables!$M$2:$M$19,IF(T90="NorthBound","&lt;=","&gt;=")&amp;Z90)</f>
        <v>12</v>
      </c>
      <c r="V9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12:51:54-0600',mode:absolute,to:'2016-07-25 15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90" s="71" t="str">
        <f t="shared" si="45"/>
        <v>N</v>
      </c>
      <c r="X90" s="89">
        <f t="shared" si="46"/>
        <v>1</v>
      </c>
      <c r="Y90" s="86">
        <f t="shared" si="47"/>
        <v>4.6399999999999997E-2</v>
      </c>
      <c r="Z90" s="86">
        <f t="shared" si="39"/>
        <v>23.328900000000001</v>
      </c>
      <c r="AA90" s="86">
        <f t="shared" si="40"/>
        <v>23.282500000000002</v>
      </c>
      <c r="AB90" s="83" t="e">
        <f>VLOOKUP(A90,Enforcements!$C$7:$J$24,8,0)</f>
        <v>#N/A</v>
      </c>
      <c r="AC90" s="79" t="e">
        <f>VLOOKUP(A90,Enforcements!$C$7:$E$24,3,0)</f>
        <v>#N/A</v>
      </c>
      <c r="AD90" s="80" t="str">
        <f t="shared" si="41"/>
        <v>0183-25</v>
      </c>
      <c r="AE90" s="72" t="str">
        <f t="shared" si="42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90" s="72" t="str">
        <f t="shared" si="43"/>
        <v>"C:\Program Files (x86)\AstroGrep\AstroGrep.exe" /spath="C:\Users\stu\Documents\Analysis\2016-02-23 RTDC Observations" /stypes="*4027*20160725*" /stext=" 20:.+((prompt.+disp)|(slice.+state.+chan)|(ment ac)|(system.+state.+chan)|(\|lc)|(penalty)|(\[timeout))" /e /r /s</v>
      </c>
      <c r="AG90" s="1" t="str">
        <f t="shared" si="44"/>
        <v>EC</v>
      </c>
    </row>
    <row r="91" spans="1:33" x14ac:dyDescent="0.25">
      <c r="A91" s="46" t="s">
        <v>499</v>
      </c>
      <c r="B91" s="7">
        <v>4028</v>
      </c>
      <c r="C91" s="26" t="s">
        <v>269</v>
      </c>
      <c r="D91" s="26" t="s">
        <v>239</v>
      </c>
      <c r="E91" s="16">
        <v>42576.613576388889</v>
      </c>
      <c r="F91" s="16">
        <v>42576.614872685182</v>
      </c>
      <c r="G91" s="7">
        <v>1</v>
      </c>
      <c r="H91" s="16" t="s">
        <v>500</v>
      </c>
      <c r="I91" s="16">
        <v>42576.653298611112</v>
      </c>
      <c r="J91" s="7">
        <v>0</v>
      </c>
      <c r="K91" s="26" t="str">
        <f t="shared" si="34"/>
        <v>4027/4028</v>
      </c>
      <c r="L91" s="26" t="str">
        <f>VLOOKUP(A91,'Trips&amp;Operators'!$C$1:$E$10000,3,FALSE)</f>
        <v>MAYBERRY</v>
      </c>
      <c r="M91" s="6">
        <f t="shared" si="35"/>
        <v>3.8425925929914229E-2</v>
      </c>
      <c r="N91" s="7">
        <f t="shared" si="36"/>
        <v>55.333333339076489</v>
      </c>
      <c r="O91" s="7"/>
      <c r="P91" s="7"/>
      <c r="Q91" s="27"/>
      <c r="R91" s="27"/>
      <c r="S91" s="42">
        <f t="shared" si="37"/>
        <v>1</v>
      </c>
      <c r="T91" s="66" t="str">
        <f t="shared" si="38"/>
        <v>Southbound</v>
      </c>
      <c r="U91" s="93">
        <f>COUNTIFS(Variables!$M$2:$M$19,IF(T91="NorthBound","&gt;=","&lt;=")&amp;Y91,Variables!$M$2:$M$19,IF(T91="NorthBound","&lt;=","&gt;=")&amp;Z91)</f>
        <v>12</v>
      </c>
      <c r="V9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13:43:33-0600',mode:absolute,to:'2016-07-25 16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91" s="71" t="str">
        <f t="shared" si="45"/>
        <v>N</v>
      </c>
      <c r="X91" s="89">
        <f t="shared" si="46"/>
        <v>1</v>
      </c>
      <c r="Y91" s="86">
        <f t="shared" si="47"/>
        <v>23.297499999999999</v>
      </c>
      <c r="Z91" s="86">
        <f t="shared" si="39"/>
        <v>1.7999999999999999E-2</v>
      </c>
      <c r="AA91" s="86">
        <f t="shared" si="40"/>
        <v>23.279499999999999</v>
      </c>
      <c r="AB91" s="83" t="e">
        <f>VLOOKUP(A91,Enforcements!$C$7:$J$24,8,0)</f>
        <v>#N/A</v>
      </c>
      <c r="AC91" s="79" t="e">
        <f>VLOOKUP(A91,Enforcements!$C$7:$E$24,3,0)</f>
        <v>#N/A</v>
      </c>
      <c r="AD91" s="80" t="str">
        <f t="shared" si="41"/>
        <v>0184-25</v>
      </c>
      <c r="AE91" s="72" t="str">
        <f t="shared" si="42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91" s="72" t="str">
        <f t="shared" si="43"/>
        <v>"C:\Program Files (x86)\AstroGrep\AstroGrep.exe" /spath="C:\Users\stu\Documents\Analysis\2016-02-23 RTDC Observations" /stypes="*4028*20160725*" /stext=" 21:.+((prompt.+disp)|(slice.+state.+chan)|(ment ac)|(system.+state.+chan)|(\|lc)|(penalty)|(\[timeout))" /e /r /s</v>
      </c>
      <c r="AG91" s="1" t="str">
        <f t="shared" si="44"/>
        <v>EC</v>
      </c>
    </row>
    <row r="92" spans="1:33" x14ac:dyDescent="0.25">
      <c r="A92" s="46" t="s">
        <v>501</v>
      </c>
      <c r="B92" s="7">
        <v>4014</v>
      </c>
      <c r="C92" s="26" t="s">
        <v>269</v>
      </c>
      <c r="D92" s="26" t="s">
        <v>253</v>
      </c>
      <c r="E92" s="16">
        <v>42576.59138888889</v>
      </c>
      <c r="F92" s="16">
        <v>42576.592326388891</v>
      </c>
      <c r="G92" s="7">
        <v>1</v>
      </c>
      <c r="H92" s="16" t="s">
        <v>182</v>
      </c>
      <c r="I92" s="16">
        <v>42576.621388888889</v>
      </c>
      <c r="J92" s="7">
        <v>0</v>
      </c>
      <c r="K92" s="26" t="str">
        <f t="shared" si="34"/>
        <v>4013/4014</v>
      </c>
      <c r="L92" s="26" t="str">
        <f>VLOOKUP(A92,'Trips&amp;Operators'!$C$1:$E$10000,3,FALSE)</f>
        <v>YOUNG</v>
      </c>
      <c r="M92" s="6">
        <f t="shared" si="35"/>
        <v>2.9062499997962732E-2</v>
      </c>
      <c r="N92" s="7">
        <f t="shared" si="36"/>
        <v>41.849999997066334</v>
      </c>
      <c r="O92" s="7"/>
      <c r="P92" s="7"/>
      <c r="Q92" s="27"/>
      <c r="R92" s="27"/>
      <c r="S92" s="42">
        <f t="shared" si="37"/>
        <v>1</v>
      </c>
      <c r="T92" s="66" t="str">
        <f t="shared" si="38"/>
        <v>NorthBound</v>
      </c>
      <c r="U92" s="93">
        <f>COUNTIFS(Variables!$M$2:$M$19,IF(T92="NorthBound","&gt;=","&lt;=")&amp;Y92,Variables!$M$2:$M$19,IF(T92="NorthBound","&lt;=","&gt;=")&amp;Z92)</f>
        <v>12</v>
      </c>
      <c r="V9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13:11:36-0600',mode:absolute,to:'2016-07-25 15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92" s="71" t="str">
        <f t="shared" si="45"/>
        <v>N</v>
      </c>
      <c r="X92" s="89">
        <f t="shared" si="46"/>
        <v>1</v>
      </c>
      <c r="Y92" s="86">
        <f t="shared" si="47"/>
        <v>4.8899999999999999E-2</v>
      </c>
      <c r="Z92" s="86">
        <f t="shared" si="39"/>
        <v>23.3308</v>
      </c>
      <c r="AA92" s="86">
        <f t="shared" si="40"/>
        <v>23.2819</v>
      </c>
      <c r="AB92" s="83" t="e">
        <f>VLOOKUP(A92,Enforcements!$C$7:$J$24,8,0)</f>
        <v>#N/A</v>
      </c>
      <c r="AC92" s="79" t="e">
        <f>VLOOKUP(A92,Enforcements!$C$7:$E$24,3,0)</f>
        <v>#N/A</v>
      </c>
      <c r="AD92" s="80" t="str">
        <f t="shared" si="41"/>
        <v>0185-25</v>
      </c>
      <c r="AE92" s="72" t="str">
        <f t="shared" si="42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92" s="72" t="str">
        <f t="shared" si="43"/>
        <v>"C:\Program Files (x86)\AstroGrep\AstroGrep.exe" /spath="C:\Users\stu\Documents\Analysis\2016-02-23 RTDC Observations" /stypes="*4014*20160725*" /stext=" 20:.+((prompt.+disp)|(slice.+state.+chan)|(ment ac)|(system.+state.+chan)|(\|lc)|(penalty)|(\[timeout))" /e /r /s</v>
      </c>
      <c r="AG92" s="1" t="str">
        <f t="shared" si="44"/>
        <v>EC</v>
      </c>
    </row>
    <row r="93" spans="1:33" x14ac:dyDescent="0.25">
      <c r="A93" s="46" t="s">
        <v>502</v>
      </c>
      <c r="B93" s="7">
        <v>4013</v>
      </c>
      <c r="C93" s="26" t="s">
        <v>269</v>
      </c>
      <c r="D93" s="26" t="s">
        <v>67</v>
      </c>
      <c r="E93" s="16">
        <v>42576.627060185187</v>
      </c>
      <c r="F93" s="16">
        <v>42576.627916666665</v>
      </c>
      <c r="G93" s="7">
        <v>1</v>
      </c>
      <c r="H93" s="16" t="s">
        <v>476</v>
      </c>
      <c r="I93" s="16">
        <v>42576.662187499998</v>
      </c>
      <c r="J93" s="7">
        <v>0</v>
      </c>
      <c r="K93" s="26" t="str">
        <f t="shared" si="34"/>
        <v>4013/4014</v>
      </c>
      <c r="L93" s="26" t="str">
        <f>VLOOKUP(A93,'Trips&amp;Operators'!$C$1:$E$10000,3,FALSE)</f>
        <v>YOUNG</v>
      </c>
      <c r="M93" s="6">
        <f t="shared" si="35"/>
        <v>3.4270833333721384E-2</v>
      </c>
      <c r="N93" s="7">
        <f t="shared" si="36"/>
        <v>49.350000000558794</v>
      </c>
      <c r="O93" s="7"/>
      <c r="P93" s="7"/>
      <c r="Q93" s="27"/>
      <c r="R93" s="27"/>
      <c r="S93" s="42">
        <f t="shared" si="37"/>
        <v>1</v>
      </c>
      <c r="T93" s="66" t="str">
        <f t="shared" si="38"/>
        <v>Southbound</v>
      </c>
      <c r="U93" s="93">
        <f>COUNTIFS(Variables!$M$2:$M$19,IF(T93="NorthBound","&gt;=","&lt;=")&amp;Y93,Variables!$M$2:$M$19,IF(T93="NorthBound","&lt;=","&gt;=")&amp;Z93)</f>
        <v>12</v>
      </c>
      <c r="V9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14:02:58-0600',mode:absolute,to:'2016-07-25 16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93" s="71" t="str">
        <f t="shared" si="45"/>
        <v>N</v>
      </c>
      <c r="X93" s="89">
        <f t="shared" si="46"/>
        <v>1</v>
      </c>
      <c r="Y93" s="86">
        <f t="shared" si="47"/>
        <v>23.297699999999999</v>
      </c>
      <c r="Z93" s="86">
        <f t="shared" si="39"/>
        <v>1.7399999999999999E-2</v>
      </c>
      <c r="AA93" s="86">
        <f t="shared" si="40"/>
        <v>23.2803</v>
      </c>
      <c r="AB93" s="83" t="e">
        <f>VLOOKUP(A93,Enforcements!$C$7:$J$24,8,0)</f>
        <v>#N/A</v>
      </c>
      <c r="AC93" s="79" t="e">
        <f>VLOOKUP(A93,Enforcements!$C$7:$E$24,3,0)</f>
        <v>#N/A</v>
      </c>
      <c r="AD93" s="80" t="str">
        <f t="shared" si="41"/>
        <v>0186-25</v>
      </c>
      <c r="AE93" s="72" t="str">
        <f t="shared" si="42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93" s="72" t="str">
        <f t="shared" si="43"/>
        <v>"C:\Program Files (x86)\AstroGrep\AstroGrep.exe" /spath="C:\Users\stu\Documents\Analysis\2016-02-23 RTDC Observations" /stypes="*4013*20160725*" /stext=" 21:.+((prompt.+disp)|(slice.+state.+chan)|(ment ac)|(system.+state.+chan)|(\|lc)|(penalty)|(\[timeout))" /e /r /s</v>
      </c>
      <c r="AG93" s="1" t="str">
        <f t="shared" si="44"/>
        <v>EC</v>
      </c>
    </row>
    <row r="94" spans="1:33" x14ac:dyDescent="0.25">
      <c r="A94" s="46" t="s">
        <v>503</v>
      </c>
      <c r="B94" s="7">
        <v>4009</v>
      </c>
      <c r="C94" s="26" t="s">
        <v>269</v>
      </c>
      <c r="D94" s="26" t="s">
        <v>169</v>
      </c>
      <c r="E94" s="16">
        <v>42576.598877314813</v>
      </c>
      <c r="F94" s="16">
        <v>42576.600046296298</v>
      </c>
      <c r="G94" s="7">
        <v>1</v>
      </c>
      <c r="H94" s="16" t="s">
        <v>271</v>
      </c>
      <c r="I94" s="16">
        <v>42576.628969907404</v>
      </c>
      <c r="J94" s="7">
        <v>0</v>
      </c>
      <c r="K94" s="26" t="str">
        <f t="shared" si="34"/>
        <v>4009/4010</v>
      </c>
      <c r="L94" s="26" t="str">
        <f>VLOOKUP(A94,'Trips&amp;Operators'!$C$1:$E$10000,3,FALSE)</f>
        <v>LOCKLEAR</v>
      </c>
      <c r="M94" s="6">
        <f t="shared" si="35"/>
        <v>2.8923611105710734E-2</v>
      </c>
      <c r="N94" s="7">
        <f t="shared" si="36"/>
        <v>41.649999992223457</v>
      </c>
      <c r="O94" s="7"/>
      <c r="P94" s="7"/>
      <c r="Q94" s="27"/>
      <c r="R94" s="27"/>
      <c r="S94" s="42">
        <f t="shared" si="37"/>
        <v>1</v>
      </c>
      <c r="T94" s="66" t="str">
        <f t="shared" si="38"/>
        <v>NorthBound</v>
      </c>
      <c r="U94" s="93">
        <f>COUNTIFS(Variables!$M$2:$M$19,IF(T94="NorthBound","&gt;=","&lt;=")&amp;Y94,Variables!$M$2:$M$19,IF(T94="NorthBound","&lt;=","&gt;=")&amp;Z94)</f>
        <v>12</v>
      </c>
      <c r="V9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13:22:23-0600',mode:absolute,to:'2016-07-25 16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94" s="71" t="str">
        <f t="shared" si="45"/>
        <v>N</v>
      </c>
      <c r="X94" s="89">
        <f t="shared" si="46"/>
        <v>1</v>
      </c>
      <c r="Y94" s="86">
        <f t="shared" si="47"/>
        <v>4.4900000000000002E-2</v>
      </c>
      <c r="Z94" s="86">
        <f t="shared" si="39"/>
        <v>23.334700000000002</v>
      </c>
      <c r="AA94" s="86">
        <f t="shared" si="40"/>
        <v>23.289800000000003</v>
      </c>
      <c r="AB94" s="83" t="e">
        <f>VLOOKUP(A94,Enforcements!$C$7:$J$24,8,0)</f>
        <v>#N/A</v>
      </c>
      <c r="AC94" s="79" t="e">
        <f>VLOOKUP(A94,Enforcements!$C$7:$E$24,3,0)</f>
        <v>#N/A</v>
      </c>
      <c r="AD94" s="80" t="str">
        <f t="shared" si="41"/>
        <v>0187-25</v>
      </c>
      <c r="AE94" s="72" t="str">
        <f t="shared" si="42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94" s="72" t="str">
        <f t="shared" si="43"/>
        <v>"C:\Program Files (x86)\AstroGrep\AstroGrep.exe" /spath="C:\Users\stu\Documents\Analysis\2016-02-23 RTDC Observations" /stypes="*4009*20160725*" /stext=" 21:.+((prompt.+disp)|(slice.+state.+chan)|(ment ac)|(system.+state.+chan)|(\|lc)|(penalty)|(\[timeout))" /e /r /s</v>
      </c>
      <c r="AG94" s="1" t="str">
        <f t="shared" si="44"/>
        <v>EC</v>
      </c>
    </row>
    <row r="95" spans="1:33" x14ac:dyDescent="0.25">
      <c r="A95" s="46" t="s">
        <v>504</v>
      </c>
      <c r="B95" s="7">
        <v>4010</v>
      </c>
      <c r="C95" s="26" t="s">
        <v>269</v>
      </c>
      <c r="D95" s="26" t="s">
        <v>505</v>
      </c>
      <c r="E95" s="16">
        <v>42576.639363425929</v>
      </c>
      <c r="F95" s="16">
        <v>42576.643148148149</v>
      </c>
      <c r="G95" s="7">
        <v>5</v>
      </c>
      <c r="H95" s="16" t="s">
        <v>164</v>
      </c>
      <c r="I95" s="16">
        <v>42576.67015046296</v>
      </c>
      <c r="J95" s="7">
        <v>0</v>
      </c>
      <c r="K95" s="26" t="str">
        <f t="shared" si="34"/>
        <v>4009/4010</v>
      </c>
      <c r="L95" s="26" t="str">
        <f>VLOOKUP(A95,'Trips&amp;Operators'!$C$1:$E$10000,3,FALSE)</f>
        <v>LOCKLEAR</v>
      </c>
      <c r="M95" s="6">
        <f t="shared" si="35"/>
        <v>2.700231481139781E-2</v>
      </c>
      <c r="N95" s="7">
        <f t="shared" si="36"/>
        <v>38.883333328412846</v>
      </c>
      <c r="O95" s="7"/>
      <c r="P95" s="7"/>
      <c r="Q95" s="27"/>
      <c r="R95" s="27"/>
      <c r="S95" s="42">
        <f t="shared" si="37"/>
        <v>1</v>
      </c>
      <c r="T95" s="66" t="str">
        <f t="shared" si="38"/>
        <v>Southbound</v>
      </c>
      <c r="U95" s="93">
        <f>COUNTIFS(Variables!$M$2:$M$19,IF(T95="NorthBound","&gt;=","&lt;=")&amp;Y95,Variables!$M$2:$M$19,IF(T95="NorthBound","&lt;=","&gt;=")&amp;Z95)</f>
        <v>12</v>
      </c>
      <c r="V9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14:20:41-0600',mode:absolute,to:'2016-07-25 17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95" s="71" t="str">
        <f t="shared" si="45"/>
        <v>N</v>
      </c>
      <c r="X95" s="89">
        <f t="shared" si="46"/>
        <v>1</v>
      </c>
      <c r="Y95" s="86">
        <f t="shared" si="47"/>
        <v>23.301500000000001</v>
      </c>
      <c r="Z95" s="86">
        <f t="shared" si="39"/>
        <v>1.41E-2</v>
      </c>
      <c r="AA95" s="86">
        <f t="shared" si="40"/>
        <v>23.287400000000002</v>
      </c>
      <c r="AB95" s="83" t="e">
        <f>VLOOKUP(A95,Enforcements!$C$7:$J$24,8,0)</f>
        <v>#N/A</v>
      </c>
      <c r="AC95" s="79" t="e">
        <f>VLOOKUP(A95,Enforcements!$C$7:$E$24,3,0)</f>
        <v>#N/A</v>
      </c>
      <c r="AD95" s="80" t="str">
        <f t="shared" si="41"/>
        <v>0188-25</v>
      </c>
      <c r="AE95" s="72" t="str">
        <f t="shared" si="42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95" s="72" t="str">
        <f t="shared" si="43"/>
        <v>"C:\Program Files (x86)\AstroGrep\AstroGrep.exe" /spath="C:\Users\stu\Documents\Analysis\2016-02-23 RTDC Observations" /stypes="*4010*20160725*" /stext=" 22:.+((prompt.+disp)|(slice.+state.+chan)|(ment ac)|(system.+state.+chan)|(\|lc)|(penalty)|(\[timeout))" /e /r /s</v>
      </c>
      <c r="AG95" s="1" t="str">
        <f t="shared" si="44"/>
        <v>EC</v>
      </c>
    </row>
    <row r="96" spans="1:33" x14ac:dyDescent="0.25">
      <c r="A96" s="46" t="s">
        <v>506</v>
      </c>
      <c r="B96" s="7">
        <v>4016</v>
      </c>
      <c r="C96" s="26" t="s">
        <v>269</v>
      </c>
      <c r="D96" s="26" t="s">
        <v>106</v>
      </c>
      <c r="E96" s="16">
        <v>42576.60396990741</v>
      </c>
      <c r="F96" s="16">
        <v>42576.606157407405</v>
      </c>
      <c r="G96" s="7">
        <v>3</v>
      </c>
      <c r="H96" s="16" t="s">
        <v>507</v>
      </c>
      <c r="I96" s="16">
        <v>42576.641006944446</v>
      </c>
      <c r="J96" s="7">
        <v>0</v>
      </c>
      <c r="K96" s="26" t="str">
        <f t="shared" si="34"/>
        <v>4015/4016</v>
      </c>
      <c r="L96" s="26" t="str">
        <f>VLOOKUP(A96,'Trips&amp;Operators'!$C$1:$E$10000,3,FALSE)</f>
        <v>SHOOK</v>
      </c>
      <c r="M96" s="6">
        <f t="shared" si="35"/>
        <v>3.4849537041736767E-2</v>
      </c>
      <c r="N96" s="7">
        <f t="shared" si="36"/>
        <v>50.183333340100944</v>
      </c>
      <c r="O96" s="7"/>
      <c r="P96" s="7"/>
      <c r="Q96" s="27"/>
      <c r="R96" s="27"/>
      <c r="S96" s="42">
        <f t="shared" si="37"/>
        <v>1</v>
      </c>
      <c r="T96" s="66" t="str">
        <f t="shared" si="38"/>
        <v>NorthBound</v>
      </c>
      <c r="U96" s="93">
        <f>COUNTIFS(Variables!$M$2:$M$19,IF(T96="NorthBound","&gt;=","&lt;=")&amp;Y96,Variables!$M$2:$M$19,IF(T96="NorthBound","&lt;=","&gt;=")&amp;Z96)</f>
        <v>12</v>
      </c>
      <c r="V9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13:29:43-0600',mode:absolute,to:'2016-07-25 16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96" s="71" t="str">
        <f t="shared" si="45"/>
        <v>N</v>
      </c>
      <c r="X96" s="89">
        <f t="shared" si="46"/>
        <v>1</v>
      </c>
      <c r="Y96" s="86">
        <f t="shared" si="47"/>
        <v>4.5100000000000001E-2</v>
      </c>
      <c r="Z96" s="86">
        <f t="shared" si="39"/>
        <v>23.339300000000001</v>
      </c>
      <c r="AA96" s="86">
        <f t="shared" si="40"/>
        <v>23.2942</v>
      </c>
      <c r="AB96" s="83" t="e">
        <f>VLOOKUP(A96,Enforcements!$C$7:$J$24,8,0)</f>
        <v>#N/A</v>
      </c>
      <c r="AC96" s="79" t="e">
        <f>VLOOKUP(A96,Enforcements!$C$7:$E$24,3,0)</f>
        <v>#N/A</v>
      </c>
      <c r="AD96" s="80" t="str">
        <f t="shared" si="41"/>
        <v>0189-25</v>
      </c>
      <c r="AE96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96" s="72" t="str">
        <f t="shared" si="43"/>
        <v>"C:\Program Files (x86)\AstroGrep\AstroGrep.exe" /spath="C:\Users\stu\Documents\Analysis\2016-02-23 RTDC Observations" /stypes="*4016*20160725*" /stext=" 21:.+((prompt.+disp)|(slice.+state.+chan)|(ment ac)|(system.+state.+chan)|(\|lc)|(penalty)|(\[timeout))" /e /r /s</v>
      </c>
      <c r="AG96" s="1" t="str">
        <f t="shared" si="44"/>
        <v>EC</v>
      </c>
    </row>
    <row r="97" spans="1:33" x14ac:dyDescent="0.25">
      <c r="A97" s="46" t="s">
        <v>508</v>
      </c>
      <c r="B97" s="7">
        <v>4015</v>
      </c>
      <c r="C97" s="26" t="s">
        <v>269</v>
      </c>
      <c r="D97" s="26" t="s">
        <v>509</v>
      </c>
      <c r="E97" s="16">
        <v>42576.65053240741</v>
      </c>
      <c r="F97" s="16">
        <v>42576.651550925926</v>
      </c>
      <c r="G97" s="7">
        <v>1</v>
      </c>
      <c r="H97" s="16" t="s">
        <v>152</v>
      </c>
      <c r="I97" s="16">
        <v>42576.682152777779</v>
      </c>
      <c r="J97" s="7">
        <v>0</v>
      </c>
      <c r="K97" s="26" t="str">
        <f t="shared" si="34"/>
        <v>4015/4016</v>
      </c>
      <c r="L97" s="26" t="str">
        <f>VLOOKUP(A97,'Trips&amp;Operators'!$C$1:$E$10000,3,FALSE)</f>
        <v>SHOOK</v>
      </c>
      <c r="M97" s="6">
        <f t="shared" si="35"/>
        <v>3.0601851853134576E-2</v>
      </c>
      <c r="N97" s="7">
        <f t="shared" si="36"/>
        <v>44.06666666851379</v>
      </c>
      <c r="O97" s="7"/>
      <c r="P97" s="7"/>
      <c r="Q97" s="27"/>
      <c r="R97" s="27"/>
      <c r="S97" s="42">
        <f t="shared" si="37"/>
        <v>1</v>
      </c>
      <c r="T97" s="66" t="str">
        <f t="shared" si="38"/>
        <v>Southbound</v>
      </c>
      <c r="U97" s="93">
        <f>COUNTIFS(Variables!$M$2:$M$19,IF(T97="NorthBound","&gt;=","&lt;=")&amp;Y97,Variables!$M$2:$M$19,IF(T97="NorthBound","&lt;=","&gt;=")&amp;Z97)</f>
        <v>12</v>
      </c>
      <c r="V9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14:36:46-0600',mode:absolute,to:'2016-07-25 17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97" s="71" t="str">
        <f t="shared" si="45"/>
        <v>N</v>
      </c>
      <c r="X97" s="89">
        <f t="shared" si="46"/>
        <v>1</v>
      </c>
      <c r="Y97" s="86">
        <f t="shared" si="47"/>
        <v>23.3064</v>
      </c>
      <c r="Z97" s="86">
        <f t="shared" si="39"/>
        <v>1.3899999999999999E-2</v>
      </c>
      <c r="AA97" s="86">
        <f t="shared" si="40"/>
        <v>23.2925</v>
      </c>
      <c r="AB97" s="83" t="e">
        <f>VLOOKUP(A97,Enforcements!$C$7:$J$24,8,0)</f>
        <v>#N/A</v>
      </c>
      <c r="AC97" s="79" t="e">
        <f>VLOOKUP(A97,Enforcements!$C$7:$E$24,3,0)</f>
        <v>#N/A</v>
      </c>
      <c r="AD97" s="80" t="str">
        <f t="shared" si="41"/>
        <v>0190-25</v>
      </c>
      <c r="AE97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97" s="72" t="str">
        <f t="shared" si="43"/>
        <v>"C:\Program Files (x86)\AstroGrep\AstroGrep.exe" /spath="C:\Users\stu\Documents\Analysis\2016-02-23 RTDC Observations" /stypes="*4015*20160725*" /stext=" 22:.+((prompt.+disp)|(slice.+state.+chan)|(ment ac)|(system.+state.+chan)|(\|lc)|(penalty)|(\[timeout))" /e /r /s</v>
      </c>
      <c r="AG97" s="1" t="str">
        <f t="shared" si="44"/>
        <v>EC</v>
      </c>
    </row>
    <row r="98" spans="1:33" x14ac:dyDescent="0.25">
      <c r="A98" s="46" t="s">
        <v>510</v>
      </c>
      <c r="B98" s="7">
        <v>4007</v>
      </c>
      <c r="C98" s="26" t="s">
        <v>269</v>
      </c>
      <c r="D98" s="26" t="s">
        <v>273</v>
      </c>
      <c r="E98" s="16">
        <v>42576.611956018518</v>
      </c>
      <c r="F98" s="16">
        <v>42576.619733796295</v>
      </c>
      <c r="G98" s="7">
        <v>11</v>
      </c>
      <c r="H98" s="16" t="s">
        <v>402</v>
      </c>
      <c r="I98" s="16">
        <v>42576.650104166663</v>
      </c>
      <c r="J98" s="7">
        <v>0</v>
      </c>
      <c r="K98" s="26" t="str">
        <f t="shared" si="34"/>
        <v>4007/4008</v>
      </c>
      <c r="L98" s="26" t="str">
        <f>VLOOKUP(A98,'Trips&amp;Operators'!$C$1:$E$10000,3,FALSE)</f>
        <v>STEWART</v>
      </c>
      <c r="M98" s="6">
        <f t="shared" si="35"/>
        <v>3.0370370368473232E-2</v>
      </c>
      <c r="N98" s="7">
        <f t="shared" si="36"/>
        <v>43.733333330601454</v>
      </c>
      <c r="O98" s="7"/>
      <c r="P98" s="7"/>
      <c r="Q98" s="27"/>
      <c r="R98" s="27"/>
      <c r="S98" s="42">
        <f t="shared" si="37"/>
        <v>1</v>
      </c>
      <c r="T98" s="66" t="str">
        <f t="shared" si="38"/>
        <v>NorthBound</v>
      </c>
      <c r="U98" s="93">
        <f>COUNTIFS(Variables!$M$2:$M$19,IF(T98="NorthBound","&gt;=","&lt;=")&amp;Y98,Variables!$M$2:$M$19,IF(T98="NorthBound","&lt;=","&gt;=")&amp;Z98)</f>
        <v>12</v>
      </c>
      <c r="V9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13:41:13-0600',mode:absolute,to:'2016-07-25 16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98" s="71" t="str">
        <f t="shared" si="45"/>
        <v>N</v>
      </c>
      <c r="X98" s="89">
        <f t="shared" si="46"/>
        <v>1</v>
      </c>
      <c r="Y98" s="86">
        <f t="shared" si="47"/>
        <v>4.4699999999999997E-2</v>
      </c>
      <c r="Z98" s="86">
        <f t="shared" si="39"/>
        <v>23.329699999999999</v>
      </c>
      <c r="AA98" s="86">
        <f t="shared" si="40"/>
        <v>23.285</v>
      </c>
      <c r="AB98" s="83" t="e">
        <f>VLOOKUP(A98,Enforcements!$C$7:$J$24,8,0)</f>
        <v>#N/A</v>
      </c>
      <c r="AC98" s="79" t="e">
        <f>VLOOKUP(A98,Enforcements!$C$7:$E$24,3,0)</f>
        <v>#N/A</v>
      </c>
      <c r="AD98" s="80" t="str">
        <f t="shared" si="41"/>
        <v>0191-25</v>
      </c>
      <c r="AE98" s="72" t="str">
        <f t="shared" si="42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98" s="72" t="str">
        <f t="shared" si="43"/>
        <v>"C:\Program Files (x86)\AstroGrep\AstroGrep.exe" /spath="C:\Users\stu\Documents\Analysis\2016-02-23 RTDC Observations" /stypes="*4007*20160725*" /stext=" 21:.+((prompt.+disp)|(slice.+state.+chan)|(ment ac)|(system.+state.+chan)|(\|lc)|(penalty)|(\[timeout))" /e /r /s</v>
      </c>
      <c r="AG98" s="1" t="str">
        <f t="shared" si="44"/>
        <v>EC</v>
      </c>
    </row>
    <row r="99" spans="1:33" x14ac:dyDescent="0.25">
      <c r="A99" s="46" t="s">
        <v>511</v>
      </c>
      <c r="B99" s="7">
        <v>4008</v>
      </c>
      <c r="C99" s="26" t="s">
        <v>269</v>
      </c>
      <c r="D99" s="26" t="s">
        <v>278</v>
      </c>
      <c r="E99" s="16">
        <v>42576.66065972222</v>
      </c>
      <c r="F99" s="16">
        <v>42576.661689814813</v>
      </c>
      <c r="G99" s="7">
        <v>1</v>
      </c>
      <c r="H99" s="16" t="s">
        <v>149</v>
      </c>
      <c r="I99" s="16">
        <v>42576.695104166669</v>
      </c>
      <c r="J99" s="7">
        <v>0</v>
      </c>
      <c r="K99" s="26" t="str">
        <f t="shared" si="34"/>
        <v>4007/4008</v>
      </c>
      <c r="L99" s="26" t="str">
        <f>VLOOKUP(A99,'Trips&amp;Operators'!$C$1:$E$10000,3,FALSE)</f>
        <v>STEWART</v>
      </c>
      <c r="M99" s="6">
        <f t="shared" si="35"/>
        <v>3.3414351855753921E-2</v>
      </c>
      <c r="N99" s="7">
        <f t="shared" si="36"/>
        <v>48.116666672285646</v>
      </c>
      <c r="O99" s="7"/>
      <c r="P99" s="7"/>
      <c r="Q99" s="27"/>
      <c r="R99" s="27"/>
      <c r="S99" s="42">
        <f t="shared" si="37"/>
        <v>1</v>
      </c>
      <c r="T99" s="66" t="str">
        <f t="shared" si="38"/>
        <v>Southbound</v>
      </c>
      <c r="U99" s="93">
        <f>COUNTIFS(Variables!$M$2:$M$19,IF(T99="NorthBound","&gt;=","&lt;=")&amp;Y99,Variables!$M$2:$M$19,IF(T99="NorthBound","&lt;=","&gt;=")&amp;Z99)</f>
        <v>12</v>
      </c>
      <c r="V9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14:51:21-0600',mode:absolute,to:'2016-07-25 17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99" s="71" t="str">
        <f t="shared" si="45"/>
        <v>N</v>
      </c>
      <c r="X99" s="89">
        <f t="shared" si="46"/>
        <v>1</v>
      </c>
      <c r="Y99" s="86">
        <f t="shared" si="47"/>
        <v>23.299199999999999</v>
      </c>
      <c r="Z99" s="86">
        <f t="shared" si="39"/>
        <v>1.54E-2</v>
      </c>
      <c r="AA99" s="86">
        <f t="shared" si="40"/>
        <v>23.283799999999999</v>
      </c>
      <c r="AB99" s="83" t="e">
        <f>VLOOKUP(A99,Enforcements!$C$7:$J$24,8,0)</f>
        <v>#N/A</v>
      </c>
      <c r="AC99" s="79" t="e">
        <f>VLOOKUP(A99,Enforcements!$C$7:$E$24,3,0)</f>
        <v>#N/A</v>
      </c>
      <c r="AD99" s="80" t="str">
        <f t="shared" si="41"/>
        <v>0192-25</v>
      </c>
      <c r="AE99" s="72" t="str">
        <f t="shared" si="42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99" s="72" t="str">
        <f t="shared" si="43"/>
        <v>"C:\Program Files (x86)\AstroGrep\AstroGrep.exe" /spath="C:\Users\stu\Documents\Analysis\2016-02-23 RTDC Observations" /stypes="*4008*20160725*" /stext=" 22:.+((prompt.+disp)|(slice.+state.+chan)|(ment ac)|(system.+state.+chan)|(\|lc)|(penalty)|(\[timeout))" /e /r /s</v>
      </c>
      <c r="AG99" s="1" t="str">
        <f t="shared" si="44"/>
        <v>EC</v>
      </c>
    </row>
    <row r="100" spans="1:33" x14ac:dyDescent="0.25">
      <c r="A100" s="46" t="s">
        <v>512</v>
      </c>
      <c r="B100" s="7">
        <v>4018</v>
      </c>
      <c r="C100" s="26" t="s">
        <v>269</v>
      </c>
      <c r="D100" s="26" t="s">
        <v>243</v>
      </c>
      <c r="E100" s="16">
        <v>42576.623680555553</v>
      </c>
      <c r="F100" s="16">
        <v>42576.6250462963</v>
      </c>
      <c r="G100" s="7">
        <v>1</v>
      </c>
      <c r="H100" s="16" t="s">
        <v>158</v>
      </c>
      <c r="I100" s="16">
        <v>42576.661365740743</v>
      </c>
      <c r="J100" s="7">
        <v>0</v>
      </c>
      <c r="K100" s="26" t="str">
        <f t="shared" si="34"/>
        <v>4017/4018</v>
      </c>
      <c r="L100" s="26" t="str">
        <f>VLOOKUP(A100,'Trips&amp;Operators'!$C$1:$E$10000,3,FALSE)</f>
        <v>BARTLETT</v>
      </c>
      <c r="M100" s="6">
        <f t="shared" si="35"/>
        <v>3.6319444443506654E-2</v>
      </c>
      <c r="N100" s="7">
        <f t="shared" si="36"/>
        <v>52.299999998649582</v>
      </c>
      <c r="O100" s="7"/>
      <c r="P100" s="7"/>
      <c r="Q100" s="27"/>
      <c r="R100" s="27"/>
      <c r="S100" s="42">
        <f t="shared" si="37"/>
        <v>1</v>
      </c>
      <c r="T100" s="66" t="str">
        <f t="shared" si="38"/>
        <v>NorthBound</v>
      </c>
      <c r="U100" s="93">
        <f>COUNTIFS(Variables!$M$2:$M$19,IF(T100="NorthBound","&gt;=","&lt;=")&amp;Y100,Variables!$M$2:$M$19,IF(T100="NorthBound","&lt;=","&gt;=")&amp;Z100)</f>
        <v>12</v>
      </c>
      <c r="V10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13:58:06-0600',mode:absolute,to:'2016-07-25 16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100" s="71" t="str">
        <f t="shared" si="45"/>
        <v>N</v>
      </c>
      <c r="X100" s="89">
        <f t="shared" si="46"/>
        <v>1</v>
      </c>
      <c r="Y100" s="86">
        <f t="shared" si="47"/>
        <v>4.53E-2</v>
      </c>
      <c r="Z100" s="86">
        <f t="shared" si="39"/>
        <v>23.331199999999999</v>
      </c>
      <c r="AA100" s="86">
        <f t="shared" si="40"/>
        <v>23.285899999999998</v>
      </c>
      <c r="AB100" s="83" t="e">
        <f>VLOOKUP(A100,Enforcements!$C$7:$J$24,8,0)</f>
        <v>#N/A</v>
      </c>
      <c r="AC100" s="79" t="e">
        <f>VLOOKUP(A100,Enforcements!$C$7:$E$24,3,0)</f>
        <v>#N/A</v>
      </c>
      <c r="AD100" s="80" t="str">
        <f t="shared" si="41"/>
        <v>0193-25</v>
      </c>
      <c r="AE100" s="72" t="str">
        <f t="shared" si="42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100" s="72" t="str">
        <f t="shared" si="43"/>
        <v>"C:\Program Files (x86)\AstroGrep\AstroGrep.exe" /spath="C:\Users\stu\Documents\Analysis\2016-02-23 RTDC Observations" /stypes="*4018*20160725*" /stext=" 21:.+((prompt.+disp)|(slice.+state.+chan)|(ment ac)|(system.+state.+chan)|(\|lc)|(penalty)|(\[timeout))" /e /r /s</v>
      </c>
      <c r="AG100" s="1" t="str">
        <f t="shared" si="44"/>
        <v>EC</v>
      </c>
    </row>
    <row r="101" spans="1:33" x14ac:dyDescent="0.25">
      <c r="A101" s="46" t="s">
        <v>513</v>
      </c>
      <c r="B101" s="7">
        <v>4017</v>
      </c>
      <c r="C101" s="26" t="s">
        <v>269</v>
      </c>
      <c r="D101" s="26" t="s">
        <v>256</v>
      </c>
      <c r="E101" s="16">
        <v>42576.671481481484</v>
      </c>
      <c r="F101" s="16">
        <v>42576.672511574077</v>
      </c>
      <c r="G101" s="7">
        <v>1</v>
      </c>
      <c r="H101" s="16" t="s">
        <v>115</v>
      </c>
      <c r="I101" s="16">
        <v>42576.703067129631</v>
      </c>
      <c r="J101" s="7">
        <v>0</v>
      </c>
      <c r="K101" s="26" t="str">
        <f t="shared" si="34"/>
        <v>4017/4018</v>
      </c>
      <c r="L101" s="26" t="str">
        <f>VLOOKUP(A101,'Trips&amp;Operators'!$C$1:$E$10000,3,FALSE)</f>
        <v>BARTLETT</v>
      </c>
      <c r="M101" s="6">
        <f t="shared" si="35"/>
        <v>3.0555555553291924E-2</v>
      </c>
      <c r="N101" s="7">
        <f t="shared" si="36"/>
        <v>43.999999996740371</v>
      </c>
      <c r="O101" s="7"/>
      <c r="P101" s="7"/>
      <c r="Q101" s="27"/>
      <c r="R101" s="27"/>
      <c r="S101" s="42">
        <f t="shared" si="37"/>
        <v>1</v>
      </c>
      <c r="T101" s="66" t="str">
        <f t="shared" si="38"/>
        <v>Southbound</v>
      </c>
      <c r="U101" s="93">
        <f>COUNTIFS(Variables!$M$2:$M$19,IF(T101="NorthBound","&gt;=","&lt;=")&amp;Y101,Variables!$M$2:$M$19,IF(T101="NorthBound","&lt;=","&gt;=")&amp;Z101)</f>
        <v>12</v>
      </c>
      <c r="V10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15:06:56-0600',mode:absolute,to:'2016-07-25 17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101" s="71" t="str">
        <f t="shared" si="45"/>
        <v>N</v>
      </c>
      <c r="X101" s="89">
        <f t="shared" si="46"/>
        <v>1</v>
      </c>
      <c r="Y101" s="86">
        <f t="shared" si="47"/>
        <v>23.299099999999999</v>
      </c>
      <c r="Z101" s="86">
        <f t="shared" si="39"/>
        <v>1.5599999999999999E-2</v>
      </c>
      <c r="AA101" s="86">
        <f t="shared" si="40"/>
        <v>23.2835</v>
      </c>
      <c r="AB101" s="83" t="e">
        <f>VLOOKUP(A101,Enforcements!$C$7:$J$24,8,0)</f>
        <v>#N/A</v>
      </c>
      <c r="AC101" s="79" t="e">
        <f>VLOOKUP(A101,Enforcements!$C$7:$E$24,3,0)</f>
        <v>#N/A</v>
      </c>
      <c r="AD101" s="80" t="str">
        <f t="shared" si="41"/>
        <v>0194-25</v>
      </c>
      <c r="AE101" s="72" t="str">
        <f t="shared" si="42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101" s="72" t="str">
        <f t="shared" si="43"/>
        <v>"C:\Program Files (x86)\AstroGrep\AstroGrep.exe" /spath="C:\Users\stu\Documents\Analysis\2016-02-23 RTDC Observations" /stypes="*4017*20160725*" /stext=" 22:.+((prompt.+disp)|(slice.+state.+chan)|(ment ac)|(system.+state.+chan)|(\|lc)|(penalty)|(\[timeout))" /e /r /s</v>
      </c>
      <c r="AG101" s="1" t="str">
        <f t="shared" si="44"/>
        <v>EC</v>
      </c>
    </row>
    <row r="102" spans="1:33" x14ac:dyDescent="0.25">
      <c r="A102" s="46" t="s">
        <v>514</v>
      </c>
      <c r="B102" s="7">
        <v>4038</v>
      </c>
      <c r="C102" s="26" t="s">
        <v>269</v>
      </c>
      <c r="D102" s="26" t="s">
        <v>153</v>
      </c>
      <c r="E102" s="16">
        <v>42576.643599537034</v>
      </c>
      <c r="F102" s="16">
        <v>42576.644560185188</v>
      </c>
      <c r="G102" s="7">
        <v>1</v>
      </c>
      <c r="H102" s="16" t="s">
        <v>257</v>
      </c>
      <c r="I102" s="16">
        <v>42576.672407407408</v>
      </c>
      <c r="J102" s="7">
        <v>0</v>
      </c>
      <c r="K102" s="26" t="str">
        <f t="shared" si="34"/>
        <v>4037/4038</v>
      </c>
      <c r="L102" s="26" t="str">
        <f>VLOOKUP(A102,'Trips&amp;Operators'!$C$1:$E$10000,3,FALSE)</f>
        <v>BONDS</v>
      </c>
      <c r="M102" s="6">
        <f t="shared" si="35"/>
        <v>2.7847222219861578E-2</v>
      </c>
      <c r="N102" s="7">
        <f t="shared" si="36"/>
        <v>40.099999996600673</v>
      </c>
      <c r="O102" s="7"/>
      <c r="P102" s="7"/>
      <c r="Q102" s="27"/>
      <c r="R102" s="27"/>
      <c r="S102" s="42">
        <f t="shared" si="37"/>
        <v>1</v>
      </c>
      <c r="T102" s="66" t="str">
        <f t="shared" si="38"/>
        <v>NorthBound</v>
      </c>
      <c r="U102" s="93">
        <f>COUNTIFS(Variables!$M$2:$M$19,IF(T102="NorthBound","&gt;=","&lt;=")&amp;Y102,Variables!$M$2:$M$19,IF(T102="NorthBound","&lt;=","&gt;=")&amp;Z102)</f>
        <v>12</v>
      </c>
      <c r="V10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14:26:47-0600',mode:absolute,to:'2016-07-25 17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02" s="71" t="str">
        <f t="shared" si="45"/>
        <v>N</v>
      </c>
      <c r="X102" s="89">
        <f t="shared" si="46"/>
        <v>1</v>
      </c>
      <c r="Y102" s="86">
        <f t="shared" si="47"/>
        <v>4.6199999999999998E-2</v>
      </c>
      <c r="Z102" s="86">
        <f t="shared" si="39"/>
        <v>23.331600000000002</v>
      </c>
      <c r="AA102" s="86">
        <f t="shared" si="40"/>
        <v>23.285400000000003</v>
      </c>
      <c r="AB102" s="83" t="e">
        <f>VLOOKUP(A102,Enforcements!$C$7:$J$24,8,0)</f>
        <v>#N/A</v>
      </c>
      <c r="AC102" s="79" t="e">
        <f>VLOOKUP(A102,Enforcements!$C$7:$E$24,3,0)</f>
        <v>#N/A</v>
      </c>
      <c r="AD102" s="80" t="str">
        <f t="shared" si="41"/>
        <v>0195-25</v>
      </c>
      <c r="AE102" s="72" t="str">
        <f t="shared" si="42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02" s="72" t="str">
        <f t="shared" si="43"/>
        <v>"C:\Program Files (x86)\AstroGrep\AstroGrep.exe" /spath="C:\Users\stu\Documents\Analysis\2016-02-23 RTDC Observations" /stypes="*4038*20160725*" /stext=" 22:.+((prompt.+disp)|(slice.+state.+chan)|(ment ac)|(system.+state.+chan)|(\|lc)|(penalty)|(\[timeout))" /e /r /s</v>
      </c>
      <c r="AG102" s="1" t="str">
        <f t="shared" si="44"/>
        <v>EC</v>
      </c>
    </row>
    <row r="103" spans="1:33" x14ac:dyDescent="0.25">
      <c r="A103" s="46" t="s">
        <v>515</v>
      </c>
      <c r="B103" s="7">
        <v>4037</v>
      </c>
      <c r="C103" s="26" t="s">
        <v>269</v>
      </c>
      <c r="D103" s="26" t="s">
        <v>67</v>
      </c>
      <c r="E103" s="16">
        <v>42576.67864583333</v>
      </c>
      <c r="F103" s="16">
        <v>42576.679513888892</v>
      </c>
      <c r="G103" s="7">
        <v>1</v>
      </c>
      <c r="H103" s="16" t="s">
        <v>115</v>
      </c>
      <c r="I103" s="16">
        <v>42576.714675925927</v>
      </c>
      <c r="J103" s="7">
        <v>0</v>
      </c>
      <c r="K103" s="26" t="str">
        <f t="shared" si="34"/>
        <v>4037/4038</v>
      </c>
      <c r="L103" s="26" t="str">
        <f>VLOOKUP(A103,'Trips&amp;Operators'!$C$1:$E$10000,3,FALSE)</f>
        <v>BONDS</v>
      </c>
      <c r="M103" s="6">
        <f t="shared" si="35"/>
        <v>3.5162037034751847E-2</v>
      </c>
      <c r="N103" s="7">
        <f t="shared" si="36"/>
        <v>50.63333333004266</v>
      </c>
      <c r="O103" s="7"/>
      <c r="P103" s="7"/>
      <c r="Q103" s="27"/>
      <c r="R103" s="27"/>
      <c r="S103" s="42">
        <f t="shared" si="37"/>
        <v>1</v>
      </c>
      <c r="T103" s="66" t="str">
        <f t="shared" si="38"/>
        <v>Southbound</v>
      </c>
      <c r="U103" s="93">
        <f>COUNTIFS(Variables!$M$2:$M$19,IF(T103="NorthBound","&gt;=","&lt;=")&amp;Y103,Variables!$M$2:$M$19,IF(T103="NorthBound","&lt;=","&gt;=")&amp;Z103)</f>
        <v>12</v>
      </c>
      <c r="V10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15:17:15-0600',mode:absolute,to:'2016-07-25 18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103" s="71" t="str">
        <f t="shared" si="45"/>
        <v>N</v>
      </c>
      <c r="X103" s="89">
        <f t="shared" si="46"/>
        <v>1</v>
      </c>
      <c r="Y103" s="86">
        <f t="shared" si="47"/>
        <v>23.297699999999999</v>
      </c>
      <c r="Z103" s="86">
        <f t="shared" si="39"/>
        <v>1.5599999999999999E-2</v>
      </c>
      <c r="AA103" s="86">
        <f t="shared" si="40"/>
        <v>23.2821</v>
      </c>
      <c r="AB103" s="83" t="e">
        <f>VLOOKUP(A103,Enforcements!$C$7:$J$24,8,0)</f>
        <v>#N/A</v>
      </c>
      <c r="AC103" s="79" t="e">
        <f>VLOOKUP(A103,Enforcements!$C$7:$E$24,3,0)</f>
        <v>#N/A</v>
      </c>
      <c r="AD103" s="80" t="str">
        <f t="shared" si="41"/>
        <v>0196-25</v>
      </c>
      <c r="AE103" s="72" t="str">
        <f t="shared" si="42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103" s="72" t="str">
        <f t="shared" si="43"/>
        <v>"C:\Program Files (x86)\AstroGrep\AstroGrep.exe" /spath="C:\Users\stu\Documents\Analysis\2016-02-23 RTDC Observations" /stypes="*4037*20160725*" /stext=" 23:.+((prompt.+disp)|(slice.+state.+chan)|(ment ac)|(system.+state.+chan)|(\|lc)|(penalty)|(\[timeout))" /e /r /s</v>
      </c>
      <c r="AG103" s="1" t="str">
        <f t="shared" si="44"/>
        <v>EC</v>
      </c>
    </row>
    <row r="104" spans="1:33" x14ac:dyDescent="0.25">
      <c r="A104" s="46" t="s">
        <v>516</v>
      </c>
      <c r="B104" s="7">
        <v>4027</v>
      </c>
      <c r="C104" s="26" t="s">
        <v>269</v>
      </c>
      <c r="D104" s="26" t="s">
        <v>247</v>
      </c>
      <c r="E104" s="16">
        <v>42576.652175925927</v>
      </c>
      <c r="F104" s="16">
        <v>42576.656504629631</v>
      </c>
      <c r="G104" s="7">
        <v>6</v>
      </c>
      <c r="H104" s="16" t="s">
        <v>517</v>
      </c>
      <c r="I104" s="16">
        <v>42576.688750000001</v>
      </c>
      <c r="J104" s="7">
        <v>0</v>
      </c>
      <c r="K104" s="26" t="str">
        <f t="shared" si="34"/>
        <v>4027/4028</v>
      </c>
      <c r="L104" s="26" t="str">
        <f>VLOOKUP(A104,'Trips&amp;Operators'!$C$1:$E$10000,3,FALSE)</f>
        <v>MAYBERRY</v>
      </c>
      <c r="M104" s="6">
        <f t="shared" si="35"/>
        <v>3.2245370370219462E-2</v>
      </c>
      <c r="N104" s="7">
        <f t="shared" si="36"/>
        <v>46.433333333116025</v>
      </c>
      <c r="O104" s="7"/>
      <c r="P104" s="7"/>
      <c r="Q104" s="27"/>
      <c r="R104" s="27" t="s">
        <v>820</v>
      </c>
      <c r="S104" s="42">
        <f t="shared" si="37"/>
        <v>1</v>
      </c>
      <c r="T104" s="66" t="str">
        <f t="shared" si="38"/>
        <v>NorthBound</v>
      </c>
      <c r="U104" s="93">
        <f>COUNTIFS(Variables!$M$2:$M$19,IF(T104="NorthBound","&gt;=","&lt;=")&amp;Y104,Variables!$M$2:$M$19,IF(T104="NorthBound","&lt;=","&gt;=")&amp;Z104)</f>
        <v>12</v>
      </c>
      <c r="V10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14:39:08-0600',mode:absolute,to:'2016-07-25 17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104" s="71" t="str">
        <f t="shared" si="45"/>
        <v>N</v>
      </c>
      <c r="X104" s="89">
        <f t="shared" si="46"/>
        <v>1</v>
      </c>
      <c r="Y104" s="86">
        <f t="shared" si="47"/>
        <v>4.7500000000000001E-2</v>
      </c>
      <c r="Z104" s="86">
        <v>23.3</v>
      </c>
      <c r="AA104" s="86">
        <f t="shared" si="40"/>
        <v>23.252500000000001</v>
      </c>
      <c r="AB104" s="83">
        <f>VLOOKUP(A104,Enforcements!$C$7:$J$24,8,0)</f>
        <v>63995</v>
      </c>
      <c r="AC104" s="79" t="str">
        <f>VLOOKUP(A104,Enforcements!$C$7:$E$24,3,0)</f>
        <v>SIGNAL</v>
      </c>
      <c r="AD104" s="80" t="str">
        <f t="shared" si="41"/>
        <v>0197-25</v>
      </c>
      <c r="AE104" s="72" t="str">
        <f t="shared" si="42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104" s="72" t="str">
        <f t="shared" si="43"/>
        <v>"C:\Program Files (x86)\AstroGrep\AstroGrep.exe" /spath="C:\Users\stu\Documents\Analysis\2016-02-23 RTDC Observations" /stypes="*4027*20160725*" /stext=" 22:.+((prompt.+disp)|(slice.+state.+chan)|(ment ac)|(system.+state.+chan)|(\|lc)|(penalty)|(\[timeout))" /e /r /s</v>
      </c>
      <c r="AG104" s="1" t="str">
        <f t="shared" si="44"/>
        <v>EC</v>
      </c>
    </row>
    <row r="105" spans="1:33" x14ac:dyDescent="0.25">
      <c r="A105" s="46" t="s">
        <v>518</v>
      </c>
      <c r="B105" s="7">
        <v>4028</v>
      </c>
      <c r="C105" s="26" t="s">
        <v>269</v>
      </c>
      <c r="D105" s="26" t="s">
        <v>283</v>
      </c>
      <c r="E105" s="16">
        <v>42576.692812499998</v>
      </c>
      <c r="F105" s="16">
        <v>42576.694062499999</v>
      </c>
      <c r="G105" s="7">
        <v>1</v>
      </c>
      <c r="H105" s="16" t="s">
        <v>150</v>
      </c>
      <c r="I105" s="16">
        <v>42576.721284722225</v>
      </c>
      <c r="J105" s="7">
        <v>0</v>
      </c>
      <c r="K105" s="26" t="str">
        <f t="shared" si="34"/>
        <v>4027/4028</v>
      </c>
      <c r="L105" s="26" t="str">
        <f>VLOOKUP(A105,'Trips&amp;Operators'!$C$1:$E$10000,3,FALSE)</f>
        <v>MAYBERRY</v>
      </c>
      <c r="M105" s="6">
        <f t="shared" si="35"/>
        <v>2.7222222226555459E-2</v>
      </c>
      <c r="N105" s="7">
        <f t="shared" si="36"/>
        <v>39.200000006239861</v>
      </c>
      <c r="O105" s="7"/>
      <c r="P105" s="7"/>
      <c r="Q105" s="27"/>
      <c r="R105" s="27"/>
      <c r="S105" s="42">
        <f t="shared" si="37"/>
        <v>1</v>
      </c>
      <c r="T105" s="66" t="str">
        <f t="shared" si="38"/>
        <v>Southbound</v>
      </c>
      <c r="U105" s="93">
        <f>COUNTIFS(Variables!$M$2:$M$19,IF(T105="NorthBound","&gt;=","&lt;=")&amp;Y105,Variables!$M$2:$M$19,IF(T105="NorthBound","&lt;=","&gt;=")&amp;Z105)</f>
        <v>12</v>
      </c>
      <c r="V10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15:37:39-0600',mode:absolute,to:'2016-07-25 18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105" s="71" t="str">
        <f t="shared" si="45"/>
        <v>N</v>
      </c>
      <c r="X105" s="89">
        <f t="shared" si="46"/>
        <v>1</v>
      </c>
      <c r="Y105" s="86">
        <f t="shared" si="47"/>
        <v>23.2972</v>
      </c>
      <c r="Z105" s="86">
        <f t="shared" si="39"/>
        <v>1.4999999999999999E-2</v>
      </c>
      <c r="AA105" s="86">
        <f t="shared" si="40"/>
        <v>23.2822</v>
      </c>
      <c r="AB105" s="83" t="e">
        <f>VLOOKUP(A105,Enforcements!$C$7:$J$24,8,0)</f>
        <v>#N/A</v>
      </c>
      <c r="AC105" s="79" t="e">
        <f>VLOOKUP(A105,Enforcements!$C$7:$E$24,3,0)</f>
        <v>#N/A</v>
      </c>
      <c r="AD105" s="80" t="str">
        <f t="shared" si="41"/>
        <v>0198-25</v>
      </c>
      <c r="AE105" s="72" t="str">
        <f t="shared" si="42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105" s="72" t="str">
        <f t="shared" si="43"/>
        <v>"C:\Program Files (x86)\AstroGrep\AstroGrep.exe" /spath="C:\Users\stu\Documents\Analysis\2016-02-23 RTDC Observations" /stypes="*4028*20160725*" /stext=" 23:.+((prompt.+disp)|(slice.+state.+chan)|(ment ac)|(system.+state.+chan)|(\|lc)|(penalty)|(\[timeout))" /e /r /s</v>
      </c>
      <c r="AG105" s="1" t="str">
        <f t="shared" si="44"/>
        <v>EC</v>
      </c>
    </row>
    <row r="106" spans="1:33" x14ac:dyDescent="0.25">
      <c r="A106" s="46" t="s">
        <v>519</v>
      </c>
      <c r="B106" s="7">
        <v>4014</v>
      </c>
      <c r="C106" s="26" t="s">
        <v>269</v>
      </c>
      <c r="D106" s="26" t="s">
        <v>487</v>
      </c>
      <c r="E106" s="16">
        <v>42576.6640625</v>
      </c>
      <c r="F106" s="16">
        <v>42576.665069444447</v>
      </c>
      <c r="G106" s="7">
        <v>1</v>
      </c>
      <c r="H106" s="16" t="s">
        <v>285</v>
      </c>
      <c r="I106" s="16">
        <v>42576.695590277777</v>
      </c>
      <c r="J106" s="7">
        <v>0</v>
      </c>
      <c r="K106" s="26" t="str">
        <f t="shared" si="34"/>
        <v>4013/4014</v>
      </c>
      <c r="L106" s="26" t="str">
        <f>VLOOKUP(A106,'Trips&amp;Operators'!$C$1:$E$10000,3,FALSE)</f>
        <v>YOUNG</v>
      </c>
      <c r="M106" s="6">
        <f t="shared" si="35"/>
        <v>3.0520833330228925E-2</v>
      </c>
      <c r="N106" s="7">
        <f t="shared" si="36"/>
        <v>43.949999995529652</v>
      </c>
      <c r="O106" s="7"/>
      <c r="P106" s="7"/>
      <c r="Q106" s="27"/>
      <c r="R106" s="27"/>
      <c r="S106" s="42">
        <f t="shared" si="37"/>
        <v>1</v>
      </c>
      <c r="T106" s="66" t="str">
        <f t="shared" si="38"/>
        <v>NorthBound</v>
      </c>
      <c r="U106" s="93">
        <f>COUNTIFS(Variables!$M$2:$M$19,IF(T106="NorthBound","&gt;=","&lt;=")&amp;Y106,Variables!$M$2:$M$19,IF(T106="NorthBound","&lt;=","&gt;=")&amp;Z106)</f>
        <v>12</v>
      </c>
      <c r="V10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14:56:15-0600',mode:absolute,to:'2016-07-25 17:41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106" s="71" t="str">
        <f t="shared" si="45"/>
        <v>N</v>
      </c>
      <c r="X106" s="89">
        <f t="shared" si="46"/>
        <v>1</v>
      </c>
      <c r="Y106" s="86">
        <f t="shared" si="47"/>
        <v>4.6899999999999997E-2</v>
      </c>
      <c r="Z106" s="86">
        <f t="shared" si="39"/>
        <v>23.3307</v>
      </c>
      <c r="AA106" s="86">
        <f t="shared" si="40"/>
        <v>23.283799999999999</v>
      </c>
      <c r="AB106" s="83" t="e">
        <f>VLOOKUP(A106,Enforcements!$C$7:$J$24,8,0)</f>
        <v>#N/A</v>
      </c>
      <c r="AC106" s="79" t="e">
        <f>VLOOKUP(A106,Enforcements!$C$7:$E$24,3,0)</f>
        <v>#N/A</v>
      </c>
      <c r="AD106" s="80" t="str">
        <f t="shared" si="41"/>
        <v>0199-25</v>
      </c>
      <c r="AE106" s="72" t="str">
        <f t="shared" si="42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106" s="72" t="str">
        <f t="shared" si="43"/>
        <v>"C:\Program Files (x86)\AstroGrep\AstroGrep.exe" /spath="C:\Users\stu\Documents\Analysis\2016-02-23 RTDC Observations" /stypes="*4014*20160725*" /stext=" 22:.+((prompt.+disp)|(slice.+state.+chan)|(ment ac)|(system.+state.+chan)|(\|lc)|(penalty)|(\[timeout))" /e /r /s</v>
      </c>
      <c r="AG106" s="1" t="str">
        <f t="shared" si="44"/>
        <v>EC</v>
      </c>
    </row>
    <row r="107" spans="1:33" x14ac:dyDescent="0.25">
      <c r="A107" s="46" t="s">
        <v>520</v>
      </c>
      <c r="B107" s="7">
        <v>4013</v>
      </c>
      <c r="C107" s="26" t="s">
        <v>269</v>
      </c>
      <c r="D107" s="26" t="s">
        <v>239</v>
      </c>
      <c r="E107" s="16">
        <v>42576.701701388891</v>
      </c>
      <c r="F107" s="16">
        <v>42576.702719907407</v>
      </c>
      <c r="G107" s="7">
        <v>1</v>
      </c>
      <c r="H107" s="16" t="s">
        <v>521</v>
      </c>
      <c r="I107" s="16">
        <v>42576.73574074074</v>
      </c>
      <c r="J107" s="7">
        <v>0</v>
      </c>
      <c r="K107" s="26" t="str">
        <f t="shared" si="34"/>
        <v>4013/4014</v>
      </c>
      <c r="L107" s="26" t="str">
        <f>VLOOKUP(A107,'Trips&amp;Operators'!$C$1:$E$10000,3,FALSE)</f>
        <v>YOUNG</v>
      </c>
      <c r="M107" s="6">
        <f t="shared" si="35"/>
        <v>3.3020833332557231E-2</v>
      </c>
      <c r="N107" s="7">
        <f t="shared" si="36"/>
        <v>47.549999998882413</v>
      </c>
      <c r="O107" s="7"/>
      <c r="P107" s="7"/>
      <c r="Q107" s="27"/>
      <c r="R107" s="27"/>
      <c r="S107" s="42">
        <f t="shared" si="37"/>
        <v>1</v>
      </c>
      <c r="T107" s="66" t="str">
        <f t="shared" si="38"/>
        <v>Southbound</v>
      </c>
      <c r="U107" s="93">
        <f>COUNTIFS(Variables!$M$2:$M$19,IF(T107="NorthBound","&gt;=","&lt;=")&amp;Y107,Variables!$M$2:$M$19,IF(T107="NorthBound","&lt;=","&gt;=")&amp;Z107)</f>
        <v>12</v>
      </c>
      <c r="V10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15:50:27-0600',mode:absolute,to:'2016-07-25 18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107" s="71" t="str">
        <f t="shared" si="45"/>
        <v>N</v>
      </c>
      <c r="X107" s="89">
        <f t="shared" si="46"/>
        <v>1</v>
      </c>
      <c r="Y107" s="86">
        <f t="shared" si="47"/>
        <v>23.297499999999999</v>
      </c>
      <c r="Z107" s="86">
        <f t="shared" si="39"/>
        <v>2.1100000000000001E-2</v>
      </c>
      <c r="AA107" s="86">
        <f t="shared" si="40"/>
        <v>23.276399999999999</v>
      </c>
      <c r="AB107" s="83" t="e">
        <f>VLOOKUP(A107,Enforcements!$C$7:$J$24,8,0)</f>
        <v>#N/A</v>
      </c>
      <c r="AC107" s="79" t="e">
        <f>VLOOKUP(A107,Enforcements!$C$7:$E$24,3,0)</f>
        <v>#N/A</v>
      </c>
      <c r="AD107" s="80" t="str">
        <f t="shared" si="41"/>
        <v>0200-25</v>
      </c>
      <c r="AE107" s="72" t="str">
        <f t="shared" si="42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107" s="72" t="str">
        <f t="shared" si="43"/>
        <v>"C:\Program Files (x86)\AstroGrep\AstroGrep.exe" /spath="C:\Users\stu\Documents\Analysis\2016-02-23 RTDC Observations" /stypes="*4013*20160725*" /stext=" 23:.+((prompt.+disp)|(slice.+state.+chan)|(ment ac)|(system.+state.+chan)|(\|lc)|(penalty)|(\[timeout))" /e /r /s</v>
      </c>
      <c r="AG107" s="1" t="str">
        <f t="shared" si="44"/>
        <v>EC</v>
      </c>
    </row>
    <row r="108" spans="1:33" x14ac:dyDescent="0.25">
      <c r="A108" s="46" t="s">
        <v>522</v>
      </c>
      <c r="B108" s="7">
        <v>4009</v>
      </c>
      <c r="C108" s="26" t="s">
        <v>269</v>
      </c>
      <c r="D108" s="26" t="s">
        <v>272</v>
      </c>
      <c r="E108" s="16">
        <v>42576.673518518517</v>
      </c>
      <c r="F108" s="16">
        <v>42576.674305555556</v>
      </c>
      <c r="G108" s="7">
        <v>1</v>
      </c>
      <c r="H108" s="16" t="s">
        <v>523</v>
      </c>
      <c r="I108" s="16">
        <v>42576.702199074076</v>
      </c>
      <c r="J108" s="7">
        <v>0</v>
      </c>
      <c r="K108" s="26" t="str">
        <f t="shared" si="34"/>
        <v>4009/4010</v>
      </c>
      <c r="L108" s="26" t="str">
        <f>VLOOKUP(A108,'Trips&amp;Operators'!$C$1:$E$10000,3,FALSE)</f>
        <v>LOCKLEAR</v>
      </c>
      <c r="M108" s="6">
        <f t="shared" si="35"/>
        <v>2.789351851970423E-2</v>
      </c>
      <c r="N108" s="7">
        <f t="shared" si="36"/>
        <v>40.166666668374091</v>
      </c>
      <c r="O108" s="7"/>
      <c r="P108" s="7"/>
      <c r="Q108" s="27"/>
      <c r="R108" s="27"/>
      <c r="S108" s="42">
        <f t="shared" si="37"/>
        <v>1</v>
      </c>
      <c r="T108" s="66" t="str">
        <f t="shared" si="38"/>
        <v>NorthBound</v>
      </c>
      <c r="U108" s="93">
        <f>COUNTIFS(Variables!$M$2:$M$19,IF(T108="NorthBound","&gt;=","&lt;=")&amp;Y108,Variables!$M$2:$M$19,IF(T108="NorthBound","&lt;=","&gt;=")&amp;Z108)</f>
        <v>12</v>
      </c>
      <c r="V10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15:09:52-0600',mode:absolute,to:'2016-07-25 17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108" s="71" t="str">
        <f t="shared" si="45"/>
        <v>N</v>
      </c>
      <c r="X108" s="89">
        <f t="shared" si="46"/>
        <v>1</v>
      </c>
      <c r="Y108" s="86">
        <f t="shared" si="47"/>
        <v>4.5699999999999998E-2</v>
      </c>
      <c r="Z108" s="86">
        <f t="shared" si="39"/>
        <v>23.334599999999998</v>
      </c>
      <c r="AA108" s="86">
        <f t="shared" si="40"/>
        <v>23.288899999999998</v>
      </c>
      <c r="AB108" s="83" t="e">
        <f>VLOOKUP(A108,Enforcements!$C$7:$J$24,8,0)</f>
        <v>#N/A</v>
      </c>
      <c r="AC108" s="79" t="e">
        <f>VLOOKUP(A108,Enforcements!$C$7:$E$24,3,0)</f>
        <v>#N/A</v>
      </c>
      <c r="AD108" s="80" t="str">
        <f t="shared" si="41"/>
        <v>0201-25</v>
      </c>
      <c r="AE108" s="72" t="str">
        <f t="shared" si="42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108" s="72" t="str">
        <f t="shared" si="43"/>
        <v>"C:\Program Files (x86)\AstroGrep\AstroGrep.exe" /spath="C:\Users\stu\Documents\Analysis\2016-02-23 RTDC Observations" /stypes="*4009*20160725*" /stext=" 22:.+((prompt.+disp)|(slice.+state.+chan)|(ment ac)|(system.+state.+chan)|(\|lc)|(penalty)|(\[timeout))" /e /r /s</v>
      </c>
      <c r="AG108" s="1" t="str">
        <f t="shared" si="44"/>
        <v>EC</v>
      </c>
    </row>
    <row r="109" spans="1:33" x14ac:dyDescent="0.25">
      <c r="A109" s="46" t="s">
        <v>524</v>
      </c>
      <c r="B109" s="7">
        <v>4010</v>
      </c>
      <c r="C109" s="26" t="s">
        <v>269</v>
      </c>
      <c r="D109" s="26" t="s">
        <v>497</v>
      </c>
      <c r="E109" s="16">
        <v>42576.715462962966</v>
      </c>
      <c r="F109" s="16">
        <v>42576.716331018521</v>
      </c>
      <c r="G109" s="7">
        <v>1</v>
      </c>
      <c r="H109" s="16" t="s">
        <v>170</v>
      </c>
      <c r="I109" s="16">
        <v>42576.744490740741</v>
      </c>
      <c r="J109" s="7">
        <v>0</v>
      </c>
      <c r="K109" s="26" t="str">
        <f t="shared" si="34"/>
        <v>4009/4010</v>
      </c>
      <c r="L109" s="26" t="str">
        <f>VLOOKUP(A109,'Trips&amp;Operators'!$C$1:$E$10000,3,FALSE)</f>
        <v>LOCKLEAR</v>
      </c>
      <c r="M109" s="6">
        <f t="shared" si="35"/>
        <v>2.8159722220152617E-2</v>
      </c>
      <c r="N109" s="7">
        <f t="shared" si="36"/>
        <v>40.549999997019768</v>
      </c>
      <c r="O109" s="7"/>
      <c r="P109" s="7"/>
      <c r="Q109" s="27"/>
      <c r="R109" s="27"/>
      <c r="S109" s="42">
        <f t="shared" si="37"/>
        <v>1</v>
      </c>
      <c r="T109" s="66" t="str">
        <f t="shared" si="38"/>
        <v>Southbound</v>
      </c>
      <c r="U109" s="93">
        <f>COUNTIFS(Variables!$M$2:$M$19,IF(T109="NorthBound","&gt;=","&lt;=")&amp;Y109,Variables!$M$2:$M$19,IF(T109="NorthBound","&lt;=","&gt;=")&amp;Z109)</f>
        <v>12</v>
      </c>
      <c r="V10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16:10:16-0600',mode:absolute,to:'2016-07-25 18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109" s="71" t="str">
        <f t="shared" si="45"/>
        <v>N</v>
      </c>
      <c r="X109" s="89">
        <f t="shared" si="46"/>
        <v>1</v>
      </c>
      <c r="Y109" s="86">
        <f t="shared" si="47"/>
        <v>23.303599999999999</v>
      </c>
      <c r="Z109" s="86">
        <f t="shared" si="39"/>
        <v>1.6E-2</v>
      </c>
      <c r="AA109" s="86">
        <f t="shared" si="40"/>
        <v>23.287600000000001</v>
      </c>
      <c r="AB109" s="83" t="e">
        <f>VLOOKUP(A109,Enforcements!$C$7:$J$24,8,0)</f>
        <v>#N/A</v>
      </c>
      <c r="AC109" s="79" t="e">
        <f>VLOOKUP(A109,Enforcements!$C$7:$E$24,3,0)</f>
        <v>#N/A</v>
      </c>
      <c r="AD109" s="80" t="str">
        <f t="shared" si="41"/>
        <v>0202-25</v>
      </c>
      <c r="AE109" s="72" t="str">
        <f t="shared" si="42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109" s="72" t="str">
        <f t="shared" si="43"/>
        <v>"C:\Program Files (x86)\AstroGrep\AstroGrep.exe" /spath="C:\Users\stu\Documents\Analysis\2016-02-23 RTDC Observations" /stypes="*4010*20160725*" /stext=" 23:.+((prompt.+disp)|(slice.+state.+chan)|(ment ac)|(system.+state.+chan)|(\|lc)|(penalty)|(\[timeout))" /e /r /s</v>
      </c>
      <c r="AG109" s="1" t="str">
        <f t="shared" si="44"/>
        <v>EC</v>
      </c>
    </row>
    <row r="110" spans="1:33" x14ac:dyDescent="0.25">
      <c r="A110" s="46" t="s">
        <v>525</v>
      </c>
      <c r="B110" s="7">
        <v>4016</v>
      </c>
      <c r="C110" s="26" t="s">
        <v>269</v>
      </c>
      <c r="D110" s="26" t="s">
        <v>272</v>
      </c>
      <c r="E110" s="16">
        <v>42576.683877314812</v>
      </c>
      <c r="F110" s="16">
        <v>42576.684918981482</v>
      </c>
      <c r="G110" s="7">
        <v>1</v>
      </c>
      <c r="H110" s="16" t="s">
        <v>526</v>
      </c>
      <c r="I110" s="16">
        <v>42576.713738425926</v>
      </c>
      <c r="J110" s="7">
        <v>1</v>
      </c>
      <c r="K110" s="26" t="str">
        <f t="shared" si="34"/>
        <v>4015/4016</v>
      </c>
      <c r="L110" s="26" t="str">
        <f>VLOOKUP(A110,'Trips&amp;Operators'!$C$1:$E$10000,3,FALSE)</f>
        <v>SHOOK</v>
      </c>
      <c r="M110" s="6">
        <f t="shared" si="35"/>
        <v>2.8819444443797693E-2</v>
      </c>
      <c r="N110" s="7">
        <f t="shared" si="36"/>
        <v>41.499999999068677</v>
      </c>
      <c r="O110" s="7"/>
      <c r="P110" s="7"/>
      <c r="Q110" s="27"/>
      <c r="R110" s="27"/>
      <c r="S110" s="42">
        <f t="shared" si="37"/>
        <v>1</v>
      </c>
      <c r="T110" s="66" t="str">
        <f t="shared" si="38"/>
        <v>NorthBound</v>
      </c>
      <c r="U110" s="93">
        <f>COUNTIFS(Variables!$M$2:$M$19,IF(T110="NorthBound","&gt;=","&lt;=")&amp;Y110,Variables!$M$2:$M$19,IF(T110="NorthBound","&lt;=","&gt;=")&amp;Z110)</f>
        <v>12</v>
      </c>
      <c r="V11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15:24:47-0600',mode:absolute,to:'2016-07-25 18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10" s="71" t="str">
        <f t="shared" si="45"/>
        <v>N</v>
      </c>
      <c r="X110" s="89">
        <f t="shared" si="46"/>
        <v>1</v>
      </c>
      <c r="Y110" s="86">
        <f t="shared" si="47"/>
        <v>4.5699999999999998E-2</v>
      </c>
      <c r="Z110" s="86">
        <f t="shared" si="39"/>
        <v>23.338699999999999</v>
      </c>
      <c r="AA110" s="86">
        <f t="shared" si="40"/>
        <v>23.292999999999999</v>
      </c>
      <c r="AB110" s="83" t="e">
        <f>VLOOKUP(A110,Enforcements!$C$7:$J$24,8,0)</f>
        <v>#N/A</v>
      </c>
      <c r="AC110" s="79" t="e">
        <f>VLOOKUP(A110,Enforcements!$C$7:$E$24,3,0)</f>
        <v>#N/A</v>
      </c>
      <c r="AD110" s="80" t="str">
        <f t="shared" si="41"/>
        <v>0203-25</v>
      </c>
      <c r="AE110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10" s="72" t="str">
        <f t="shared" si="43"/>
        <v>"C:\Program Files (x86)\AstroGrep\AstroGrep.exe" /spath="C:\Users\stu\Documents\Analysis\2016-02-23 RTDC Observations" /stypes="*4016*20160725*" /stext=" 23:.+((prompt.+disp)|(slice.+state.+chan)|(ment ac)|(system.+state.+chan)|(\|lc)|(penalty)|(\[timeout))" /e /r /s</v>
      </c>
      <c r="AG110" s="1" t="str">
        <f t="shared" si="44"/>
        <v>EC</v>
      </c>
    </row>
    <row r="111" spans="1:33" x14ac:dyDescent="0.25">
      <c r="A111" s="46" t="s">
        <v>527</v>
      </c>
      <c r="B111" s="7">
        <v>4015</v>
      </c>
      <c r="C111" s="26" t="s">
        <v>269</v>
      </c>
      <c r="D111" s="26" t="s">
        <v>528</v>
      </c>
      <c r="E111" s="16">
        <v>42576.721261574072</v>
      </c>
      <c r="F111" s="16">
        <v>42576.722141203703</v>
      </c>
      <c r="G111" s="7">
        <v>1</v>
      </c>
      <c r="H111" s="16" t="s">
        <v>150</v>
      </c>
      <c r="I111" s="16">
        <v>42576.754837962966</v>
      </c>
      <c r="J111" s="7">
        <v>0</v>
      </c>
      <c r="K111" s="26" t="str">
        <f t="shared" si="34"/>
        <v>4015/4016</v>
      </c>
      <c r="L111" s="26" t="str">
        <f>VLOOKUP(A111,'Trips&amp;Operators'!$C$1:$E$10000,3,FALSE)</f>
        <v>SHOOK</v>
      </c>
      <c r="M111" s="6">
        <f t="shared" si="35"/>
        <v>3.2696759262762498E-2</v>
      </c>
      <c r="N111" s="7">
        <f t="shared" si="36"/>
        <v>47.083333338377997</v>
      </c>
      <c r="O111" s="7"/>
      <c r="P111" s="7"/>
      <c r="Q111" s="27"/>
      <c r="R111" s="27"/>
      <c r="S111" s="42">
        <f t="shared" si="37"/>
        <v>1</v>
      </c>
      <c r="T111" s="66" t="str">
        <f t="shared" si="38"/>
        <v>Southbound</v>
      </c>
      <c r="U111" s="93">
        <f>COUNTIFS(Variables!$M$2:$M$19,IF(T111="NorthBound","&gt;=","&lt;=")&amp;Y111,Variables!$M$2:$M$19,IF(T111="NorthBound","&lt;=","&gt;=")&amp;Z111)</f>
        <v>12</v>
      </c>
      <c r="V11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16:18:37-0600',mode:absolute,to:'2016-07-25 19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111" s="71" t="str">
        <f t="shared" si="45"/>
        <v>N</v>
      </c>
      <c r="X111" s="89">
        <f t="shared" si="46"/>
        <v>1</v>
      </c>
      <c r="Y111" s="86">
        <f t="shared" si="47"/>
        <v>23.305700000000002</v>
      </c>
      <c r="Z111" s="86">
        <f t="shared" si="39"/>
        <v>1.4999999999999999E-2</v>
      </c>
      <c r="AA111" s="86">
        <f t="shared" si="40"/>
        <v>23.290700000000001</v>
      </c>
      <c r="AB111" s="83" t="e">
        <f>VLOOKUP(A111,Enforcements!$C$7:$J$24,8,0)</f>
        <v>#N/A</v>
      </c>
      <c r="AC111" s="79" t="e">
        <f>VLOOKUP(A111,Enforcements!$C$7:$E$24,3,0)</f>
        <v>#N/A</v>
      </c>
      <c r="AD111" s="80" t="str">
        <f t="shared" si="41"/>
        <v>0204-25</v>
      </c>
      <c r="AE111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111" s="72" t="str">
        <f t="shared" si="43"/>
        <v>"C:\Program Files (x86)\AstroGrep\AstroGrep.exe" /spath="C:\Users\stu\Documents\Analysis\2016-02-23 RTDC Observations" /stypes="*4015*20160726*" /stext=" 00:.+((prompt.+disp)|(slice.+state.+chan)|(ment ac)|(system.+state.+chan)|(\|lc)|(penalty)|(\[timeout))" /e /r /s</v>
      </c>
      <c r="AG111" s="1" t="str">
        <f t="shared" si="44"/>
        <v>EC</v>
      </c>
    </row>
    <row r="112" spans="1:33" x14ac:dyDescent="0.25">
      <c r="A112" s="46" t="s">
        <v>529</v>
      </c>
      <c r="B112" s="7">
        <v>4007</v>
      </c>
      <c r="C112" s="26" t="s">
        <v>269</v>
      </c>
      <c r="D112" s="26" t="s">
        <v>462</v>
      </c>
      <c r="E112" s="16">
        <v>42576.69871527778</v>
      </c>
      <c r="F112" s="16">
        <v>42576.699629629627</v>
      </c>
      <c r="G112" s="7">
        <v>1</v>
      </c>
      <c r="H112" s="16" t="s">
        <v>260</v>
      </c>
      <c r="I112" s="16">
        <v>42576.730543981481</v>
      </c>
      <c r="J112" s="7">
        <v>0</v>
      </c>
      <c r="K112" s="26" t="str">
        <f t="shared" si="34"/>
        <v>4007/4008</v>
      </c>
      <c r="L112" s="26" t="str">
        <f>VLOOKUP(A112,'Trips&amp;Operators'!$C$1:$E$10000,3,FALSE)</f>
        <v>STEWART</v>
      </c>
      <c r="M112" s="6">
        <f t="shared" si="35"/>
        <v>3.0914351853425615E-2</v>
      </c>
      <c r="N112" s="7">
        <f t="shared" si="36"/>
        <v>44.516666668932885</v>
      </c>
      <c r="O112" s="7"/>
      <c r="P112" s="7"/>
      <c r="Q112" s="27"/>
      <c r="R112" s="27"/>
      <c r="S112" s="42">
        <f t="shared" si="37"/>
        <v>1</v>
      </c>
      <c r="T112" s="66" t="str">
        <f t="shared" si="38"/>
        <v>NorthBound</v>
      </c>
      <c r="U112" s="93">
        <f>COUNTIFS(Variables!$M$2:$M$19,IF(T112="NorthBound","&gt;=","&lt;=")&amp;Y112,Variables!$M$2:$M$19,IF(T112="NorthBound","&lt;=","&gt;=")&amp;Z112)</f>
        <v>12</v>
      </c>
      <c r="V11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15:46:09-0600',mode:absolute,to:'2016-07-25 18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12" s="71" t="str">
        <f t="shared" si="45"/>
        <v>N</v>
      </c>
      <c r="X112" s="89">
        <f t="shared" si="46"/>
        <v>1</v>
      </c>
      <c r="Y112" s="86">
        <f t="shared" si="47"/>
        <v>4.4400000000000002E-2</v>
      </c>
      <c r="Z112" s="86">
        <f t="shared" si="39"/>
        <v>23.328499999999998</v>
      </c>
      <c r="AA112" s="86">
        <f t="shared" si="40"/>
        <v>23.284099999999999</v>
      </c>
      <c r="AB112" s="83" t="e">
        <f>VLOOKUP(A112,Enforcements!$C$7:$J$24,8,0)</f>
        <v>#N/A</v>
      </c>
      <c r="AC112" s="79" t="e">
        <f>VLOOKUP(A112,Enforcements!$C$7:$E$24,3,0)</f>
        <v>#N/A</v>
      </c>
      <c r="AD112" s="80" t="str">
        <f t="shared" si="41"/>
        <v>0205-25</v>
      </c>
      <c r="AE112" s="72" t="str">
        <f t="shared" si="42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112" s="72" t="str">
        <f t="shared" si="43"/>
        <v>"C:\Program Files (x86)\AstroGrep\AstroGrep.exe" /spath="C:\Users\stu\Documents\Analysis\2016-02-23 RTDC Observations" /stypes="*4007*20160725*" /stext=" 23:.+((prompt.+disp)|(slice.+state.+chan)|(ment ac)|(system.+state.+chan)|(\|lc)|(penalty)|(\[timeout))" /e /r /s</v>
      </c>
      <c r="AG112" s="1" t="str">
        <f t="shared" si="44"/>
        <v>EC</v>
      </c>
    </row>
    <row r="113" spans="1:33" x14ac:dyDescent="0.25">
      <c r="A113" s="46" t="s">
        <v>530</v>
      </c>
      <c r="B113" s="7">
        <v>4008</v>
      </c>
      <c r="C113" s="26" t="s">
        <v>269</v>
      </c>
      <c r="D113" s="26" t="s">
        <v>531</v>
      </c>
      <c r="E113" s="16">
        <v>42576.733888888892</v>
      </c>
      <c r="F113" s="16">
        <v>42576.735208333332</v>
      </c>
      <c r="G113" s="7">
        <v>1</v>
      </c>
      <c r="H113" s="16" t="s">
        <v>150</v>
      </c>
      <c r="I113" s="16">
        <v>42576.763425925928</v>
      </c>
      <c r="J113" s="7">
        <v>0</v>
      </c>
      <c r="K113" s="26" t="str">
        <f t="shared" si="34"/>
        <v>4007/4008</v>
      </c>
      <c r="L113" s="26" t="str">
        <f>VLOOKUP(A113,'Trips&amp;Operators'!$C$1:$E$10000,3,FALSE)</f>
        <v>STEWART</v>
      </c>
      <c r="M113" s="6">
        <f t="shared" si="35"/>
        <v>2.8217592596774921E-2</v>
      </c>
      <c r="N113" s="7">
        <f t="shared" si="36"/>
        <v>40.633333339355886</v>
      </c>
      <c r="O113" s="7"/>
      <c r="P113" s="7"/>
      <c r="Q113" s="27"/>
      <c r="R113" s="27"/>
      <c r="S113" s="42">
        <f t="shared" si="37"/>
        <v>1</v>
      </c>
      <c r="T113" s="66" t="str">
        <f t="shared" si="38"/>
        <v>Southbound</v>
      </c>
      <c r="U113" s="93">
        <f>COUNTIFS(Variables!$M$2:$M$19,IF(T113="NorthBound","&gt;=","&lt;=")&amp;Y113,Variables!$M$2:$M$19,IF(T113="NorthBound","&lt;=","&gt;=")&amp;Z113)</f>
        <v>12</v>
      </c>
      <c r="V11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16:36:48-0600',mode:absolute,to:'2016-07-25 19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113" s="71" t="str">
        <f t="shared" si="45"/>
        <v>N</v>
      </c>
      <c r="X113" s="89">
        <f t="shared" si="46"/>
        <v>1</v>
      </c>
      <c r="Y113" s="86">
        <f t="shared" si="47"/>
        <v>23.296600000000002</v>
      </c>
      <c r="Z113" s="86">
        <f t="shared" si="39"/>
        <v>1.4999999999999999E-2</v>
      </c>
      <c r="AA113" s="86">
        <f t="shared" si="40"/>
        <v>23.281600000000001</v>
      </c>
      <c r="AB113" s="83" t="e">
        <f>VLOOKUP(A113,Enforcements!$C$7:$J$24,8,0)</f>
        <v>#N/A</v>
      </c>
      <c r="AC113" s="79" t="e">
        <f>VLOOKUP(A113,Enforcements!$C$7:$E$24,3,0)</f>
        <v>#N/A</v>
      </c>
      <c r="AD113" s="80" t="str">
        <f t="shared" si="41"/>
        <v>0206-25</v>
      </c>
      <c r="AE113" s="72" t="str">
        <f t="shared" si="42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113" s="72" t="str">
        <f t="shared" si="43"/>
        <v>"C:\Program Files (x86)\AstroGrep\AstroGrep.exe" /spath="C:\Users\stu\Documents\Analysis\2016-02-23 RTDC Observations" /stypes="*4008*20160726*" /stext=" 00:.+((prompt.+disp)|(slice.+state.+chan)|(ment ac)|(system.+state.+chan)|(\|lc)|(penalty)|(\[timeout))" /e /r /s</v>
      </c>
      <c r="AG113" s="1" t="str">
        <f t="shared" si="44"/>
        <v>EC</v>
      </c>
    </row>
    <row r="114" spans="1:33" x14ac:dyDescent="0.25">
      <c r="A114" s="46" t="s">
        <v>532</v>
      </c>
      <c r="B114" s="7">
        <v>4018</v>
      </c>
      <c r="C114" s="26" t="s">
        <v>269</v>
      </c>
      <c r="D114" s="26" t="s">
        <v>171</v>
      </c>
      <c r="E114" s="16">
        <v>42576.704467592594</v>
      </c>
      <c r="F114" s="16">
        <v>42576.705393518518</v>
      </c>
      <c r="G114" s="7">
        <v>1</v>
      </c>
      <c r="H114" s="16" t="s">
        <v>276</v>
      </c>
      <c r="I114" s="16">
        <v>42576.734606481485</v>
      </c>
      <c r="J114" s="7">
        <v>0</v>
      </c>
      <c r="K114" s="26" t="str">
        <f t="shared" si="34"/>
        <v>4017/4018</v>
      </c>
      <c r="L114" s="26" t="str">
        <f>VLOOKUP(A114,'Trips&amp;Operators'!$C$1:$E$10000,3,FALSE)</f>
        <v>BARTLETT</v>
      </c>
      <c r="M114" s="6">
        <f t="shared" si="35"/>
        <v>2.9212962966994382E-2</v>
      </c>
      <c r="N114" s="7">
        <f t="shared" si="36"/>
        <v>42.066666672471911</v>
      </c>
      <c r="O114" s="7"/>
      <c r="P114" s="7"/>
      <c r="Q114" s="27"/>
      <c r="R114" s="27"/>
      <c r="S114" s="42">
        <f t="shared" si="37"/>
        <v>1</v>
      </c>
      <c r="T114" s="66" t="str">
        <f t="shared" si="38"/>
        <v>NorthBound</v>
      </c>
      <c r="U114" s="93">
        <f>COUNTIFS(Variables!$M$2:$M$19,IF(T114="NorthBound","&gt;=","&lt;=")&amp;Y114,Variables!$M$2:$M$19,IF(T114="NorthBound","&lt;=","&gt;=")&amp;Z114)</f>
        <v>12</v>
      </c>
      <c r="V11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15:54:26-0600',mode:absolute,to:'2016-07-25 18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4018%22')),sort:!(Time,asc))</v>
      </c>
      <c r="W114" s="71" t="str">
        <f t="shared" si="45"/>
        <v>N</v>
      </c>
      <c r="X114" s="89">
        <f t="shared" si="46"/>
        <v>1</v>
      </c>
      <c r="Y114" s="86">
        <f t="shared" si="47"/>
        <v>4.7300000000000002E-2</v>
      </c>
      <c r="Z114" s="86">
        <f t="shared" si="39"/>
        <v>23.3309</v>
      </c>
      <c r="AA114" s="86">
        <f t="shared" si="40"/>
        <v>23.2836</v>
      </c>
      <c r="AB114" s="83" t="e">
        <f>VLOOKUP(A114,Enforcements!$C$7:$J$24,8,0)</f>
        <v>#N/A</v>
      </c>
      <c r="AC114" s="79" t="e">
        <f>VLOOKUP(A114,Enforcements!$C$7:$E$24,3,0)</f>
        <v>#N/A</v>
      </c>
      <c r="AD114" s="80" t="str">
        <f t="shared" si="41"/>
        <v>0207-25</v>
      </c>
      <c r="AE114" s="72" t="str">
        <f t="shared" si="42"/>
        <v>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 &amp; aws s3 cp s3://rtdc.mdm.uploadarchive/RTDC4018/2016-07-26/ "C:\Users\stu\Documents\Analysis\2016-02-23 RTDC Observations"\RTDC4018\2016-07-26 --recursive &amp; "C:\Users\stu\Documents\GitHub\mrs-test-scripts\Headless Mode &amp; Sideloading\WalkAndUnGZ.bat" "C:\Users\stu\Documents\Analysis\2016-02-23 RTDC Observations"\RTDC4018\2016-07-26</v>
      </c>
      <c r="AF114" s="72" t="str">
        <f t="shared" si="43"/>
        <v>"C:\Program Files (x86)\AstroGrep\AstroGrep.exe" /spath="C:\Users\stu\Documents\Analysis\2016-02-23 RTDC Observations" /stypes="*4018*20160725*" /stext=" 23:.+((prompt.+disp)|(slice.+state.+chan)|(ment ac)|(system.+state.+chan)|(\|lc)|(penalty)|(\[timeout))" /e /r /s</v>
      </c>
      <c r="AG114" s="1" t="str">
        <f t="shared" si="44"/>
        <v>EC</v>
      </c>
    </row>
    <row r="115" spans="1:33" x14ac:dyDescent="0.25">
      <c r="A115" s="46" t="s">
        <v>533</v>
      </c>
      <c r="B115" s="7">
        <v>4017</v>
      </c>
      <c r="C115" s="26" t="s">
        <v>269</v>
      </c>
      <c r="D115" s="26" t="s">
        <v>335</v>
      </c>
      <c r="E115" s="16">
        <v>42576.743495370371</v>
      </c>
      <c r="F115" s="16">
        <v>42576.744814814818</v>
      </c>
      <c r="G115" s="7">
        <v>1</v>
      </c>
      <c r="H115" s="16" t="s">
        <v>115</v>
      </c>
      <c r="I115" s="16">
        <v>42576.774583333332</v>
      </c>
      <c r="J115" s="7">
        <v>0</v>
      </c>
      <c r="K115" s="26" t="str">
        <f t="shared" si="34"/>
        <v>4017/4018</v>
      </c>
      <c r="L115" s="26" t="str">
        <f>VLOOKUP(A115,'Trips&amp;Operators'!$C$1:$E$10000,3,FALSE)</f>
        <v>BARTLETT</v>
      </c>
      <c r="M115" s="6">
        <f t="shared" si="35"/>
        <v>2.9768518514174502E-2</v>
      </c>
      <c r="N115" s="7">
        <f t="shared" si="36"/>
        <v>42.866666660411283</v>
      </c>
      <c r="O115" s="7"/>
      <c r="P115" s="7"/>
      <c r="Q115" s="27"/>
      <c r="R115" s="27"/>
      <c r="S115" s="42">
        <f t="shared" si="37"/>
        <v>1</v>
      </c>
      <c r="T115" s="66" t="str">
        <f t="shared" si="38"/>
        <v>Southbound</v>
      </c>
      <c r="U115" s="93">
        <f>COUNTIFS(Variables!$M$2:$M$19,IF(T115="NorthBound","&gt;=","&lt;=")&amp;Y115,Variables!$M$2:$M$19,IF(T115="NorthBound","&lt;=","&gt;=")&amp;Z115)</f>
        <v>12</v>
      </c>
      <c r="V11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16:50:38-0600',mode:absolute,to:'2016-07-25 19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4017%22')),sort:!(Time,asc))</v>
      </c>
      <c r="W115" s="71" t="str">
        <f t="shared" si="45"/>
        <v>N</v>
      </c>
      <c r="X115" s="89">
        <f t="shared" si="46"/>
        <v>1</v>
      </c>
      <c r="Y115" s="86">
        <f t="shared" si="47"/>
        <v>23.298999999999999</v>
      </c>
      <c r="Z115" s="86">
        <f t="shared" si="39"/>
        <v>1.5599999999999999E-2</v>
      </c>
      <c r="AA115" s="86">
        <f t="shared" si="40"/>
        <v>23.2834</v>
      </c>
      <c r="AB115" s="83" t="e">
        <f>VLOOKUP(A115,Enforcements!$C$7:$J$24,8,0)</f>
        <v>#N/A</v>
      </c>
      <c r="AC115" s="79" t="e">
        <f>VLOOKUP(A115,Enforcements!$C$7:$E$24,3,0)</f>
        <v>#N/A</v>
      </c>
      <c r="AD115" s="80" t="str">
        <f t="shared" si="41"/>
        <v>0208-25</v>
      </c>
      <c r="AE115" s="72" t="str">
        <f t="shared" si="42"/>
        <v>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 &amp; aws s3 cp s3://rtdc.mdm.uploadarchive/RTDC4017/2016-07-26/ "C:\Users\stu\Documents\Analysis\2016-02-23 RTDC Observations"\RTDC4017\2016-07-26 --recursive &amp; "C:\Users\stu\Documents\GitHub\mrs-test-scripts\Headless Mode &amp; Sideloading\WalkAndUnGZ.bat" "C:\Users\stu\Documents\Analysis\2016-02-23 RTDC Observations"\RTDC4017\2016-07-26</v>
      </c>
      <c r="AF115" s="72" t="str">
        <f t="shared" si="43"/>
        <v>"C:\Program Files (x86)\AstroGrep\AstroGrep.exe" /spath="C:\Users\stu\Documents\Analysis\2016-02-23 RTDC Observations" /stypes="*4017*20160726*" /stext=" 00:.+((prompt.+disp)|(slice.+state.+chan)|(ment ac)|(system.+state.+chan)|(\|lc)|(penalty)|(\[timeout))" /e /r /s</v>
      </c>
      <c r="AG115" s="1" t="str">
        <f t="shared" si="44"/>
        <v>EC</v>
      </c>
    </row>
    <row r="116" spans="1:33" x14ac:dyDescent="0.25">
      <c r="A116" s="46" t="s">
        <v>534</v>
      </c>
      <c r="B116" s="7">
        <v>4038</v>
      </c>
      <c r="C116" s="26" t="s">
        <v>269</v>
      </c>
      <c r="D116" s="26" t="s">
        <v>66</v>
      </c>
      <c r="E116" s="16">
        <v>42576.716909722221</v>
      </c>
      <c r="F116" s="16">
        <v>42576.717997685184</v>
      </c>
      <c r="G116" s="7">
        <v>1</v>
      </c>
      <c r="H116" s="16" t="s">
        <v>535</v>
      </c>
      <c r="I116" s="16">
        <v>42576.744456018518</v>
      </c>
      <c r="J116" s="7">
        <v>0</v>
      </c>
      <c r="K116" s="26" t="str">
        <f t="shared" si="34"/>
        <v>4037/4038</v>
      </c>
      <c r="L116" s="26" t="str">
        <f>VLOOKUP(A116,'Trips&amp;Operators'!$C$1:$E$10000,3,FALSE)</f>
        <v>LEVERE</v>
      </c>
      <c r="M116" s="6">
        <f t="shared" si="35"/>
        <v>2.6458333333721384E-2</v>
      </c>
      <c r="N116" s="7">
        <f t="shared" si="36"/>
        <v>38.100000000558794</v>
      </c>
      <c r="O116" s="7"/>
      <c r="P116" s="7"/>
      <c r="Q116" s="27"/>
      <c r="R116" s="27"/>
      <c r="S116" s="42">
        <f t="shared" si="37"/>
        <v>1</v>
      </c>
      <c r="T116" s="66" t="str">
        <f t="shared" si="38"/>
        <v>NorthBound</v>
      </c>
      <c r="U116" s="93">
        <f>COUNTIFS(Variables!$M$2:$M$19,IF(T116="NorthBound","&gt;=","&lt;=")&amp;Y116,Variables!$M$2:$M$19,IF(T116="NorthBound","&lt;=","&gt;=")&amp;Z116)</f>
        <v>12</v>
      </c>
      <c r="V11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16:12:21-0600',mode:absolute,to:'2016-07-25 18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16" s="71" t="str">
        <f t="shared" si="45"/>
        <v>N</v>
      </c>
      <c r="X116" s="89">
        <f t="shared" si="46"/>
        <v>1</v>
      </c>
      <c r="Y116" s="86">
        <f t="shared" si="47"/>
        <v>4.5999999999999999E-2</v>
      </c>
      <c r="Z116" s="86">
        <f t="shared" si="39"/>
        <v>23.331399999999999</v>
      </c>
      <c r="AA116" s="86">
        <f t="shared" si="40"/>
        <v>23.285399999999999</v>
      </c>
      <c r="AB116" s="83" t="e">
        <f>VLOOKUP(A116,Enforcements!$C$7:$J$24,8,0)</f>
        <v>#N/A</v>
      </c>
      <c r="AC116" s="79" t="e">
        <f>VLOOKUP(A116,Enforcements!$C$7:$E$24,3,0)</f>
        <v>#N/A</v>
      </c>
      <c r="AD116" s="80" t="str">
        <f t="shared" si="41"/>
        <v>0209-25</v>
      </c>
      <c r="AE116" s="72" t="str">
        <f t="shared" si="42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16" s="72" t="str">
        <f t="shared" si="43"/>
        <v>"C:\Program Files (x86)\AstroGrep\AstroGrep.exe" /spath="C:\Users\stu\Documents\Analysis\2016-02-23 RTDC Observations" /stypes="*4038*20160725*" /stext=" 23:.+((prompt.+disp)|(slice.+state.+chan)|(ment ac)|(system.+state.+chan)|(\|lc)|(penalty)|(\[timeout))" /e /r /s</v>
      </c>
      <c r="AG116" s="1" t="str">
        <f t="shared" si="44"/>
        <v>EC</v>
      </c>
    </row>
    <row r="117" spans="1:33" x14ac:dyDescent="0.25">
      <c r="A117" s="46" t="s">
        <v>536</v>
      </c>
      <c r="B117" s="7">
        <v>4037</v>
      </c>
      <c r="C117" s="26" t="s">
        <v>269</v>
      </c>
      <c r="D117" s="26" t="s">
        <v>409</v>
      </c>
      <c r="E117" s="16">
        <v>42576.750775462962</v>
      </c>
      <c r="F117" s="16">
        <v>42576.752106481479</v>
      </c>
      <c r="G117" s="7">
        <v>1</v>
      </c>
      <c r="H117" s="16" t="s">
        <v>61</v>
      </c>
      <c r="I117" s="16">
        <v>42576.78570601852</v>
      </c>
      <c r="J117" s="7">
        <v>0</v>
      </c>
      <c r="K117" s="26" t="str">
        <f t="shared" si="34"/>
        <v>4037/4038</v>
      </c>
      <c r="L117" s="26" t="str">
        <f>VLOOKUP(A117,'Trips&amp;Operators'!$C$1:$E$10000,3,FALSE)</f>
        <v>LEVERE</v>
      </c>
      <c r="M117" s="6">
        <f t="shared" si="35"/>
        <v>3.3599537040572613E-2</v>
      </c>
      <c r="N117" s="7">
        <f t="shared" si="36"/>
        <v>48.383333338424563</v>
      </c>
      <c r="O117" s="7"/>
      <c r="P117" s="7"/>
      <c r="Q117" s="27"/>
      <c r="R117" s="27"/>
      <c r="S117" s="42">
        <f t="shared" si="37"/>
        <v>1</v>
      </c>
      <c r="T117" s="66" t="str">
        <f t="shared" si="38"/>
        <v>Southbound</v>
      </c>
      <c r="U117" s="93">
        <f>COUNTIFS(Variables!$M$2:$M$19,IF(T117="NorthBound","&gt;=","&lt;=")&amp;Y117,Variables!$M$2:$M$19,IF(T117="NorthBound","&lt;=","&gt;=")&amp;Z117)</f>
        <v>12</v>
      </c>
      <c r="V11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17:01:07-0600',mode:absolute,to:'2016-07-25 19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117" s="71" t="str">
        <f t="shared" si="45"/>
        <v>N</v>
      </c>
      <c r="X117" s="89">
        <f t="shared" si="46"/>
        <v>1</v>
      </c>
      <c r="Y117" s="86">
        <f t="shared" si="47"/>
        <v>23.3</v>
      </c>
      <c r="Z117" s="86">
        <f t="shared" si="39"/>
        <v>1.52E-2</v>
      </c>
      <c r="AA117" s="86">
        <f t="shared" si="40"/>
        <v>23.284800000000001</v>
      </c>
      <c r="AB117" s="83" t="e">
        <f>VLOOKUP(A117,Enforcements!$C$7:$J$24,8,0)</f>
        <v>#N/A</v>
      </c>
      <c r="AC117" s="79" t="e">
        <f>VLOOKUP(A117,Enforcements!$C$7:$E$24,3,0)</f>
        <v>#N/A</v>
      </c>
      <c r="AD117" s="80" t="str">
        <f t="shared" si="41"/>
        <v>0210-25</v>
      </c>
      <c r="AE117" s="72" t="str">
        <f t="shared" si="42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117" s="72" t="str">
        <f t="shared" si="43"/>
        <v>"C:\Program Files (x86)\AstroGrep\AstroGrep.exe" /spath="C:\Users\stu\Documents\Analysis\2016-02-23 RTDC Observations" /stypes="*4037*20160726*" /stext=" 00:.+((prompt.+disp)|(slice.+state.+chan)|(ment ac)|(system.+state.+chan)|(\|lc)|(penalty)|(\[timeout))" /e /r /s</v>
      </c>
      <c r="AG117" s="1" t="str">
        <f t="shared" si="44"/>
        <v>EC</v>
      </c>
    </row>
    <row r="118" spans="1:33" x14ac:dyDescent="0.25">
      <c r="A118" s="46" t="s">
        <v>537</v>
      </c>
      <c r="B118" s="7">
        <v>4027</v>
      </c>
      <c r="C118" s="26" t="s">
        <v>269</v>
      </c>
      <c r="D118" s="26" t="s">
        <v>243</v>
      </c>
      <c r="E118" s="16">
        <v>42576.724259259259</v>
      </c>
      <c r="F118" s="16">
        <v>42576.726354166669</v>
      </c>
      <c r="G118" s="7">
        <v>3</v>
      </c>
      <c r="H118" s="16" t="s">
        <v>238</v>
      </c>
      <c r="I118" s="16">
        <v>42576.75439814815</v>
      </c>
      <c r="J118" s="7">
        <v>0</v>
      </c>
      <c r="K118" s="26" t="str">
        <f t="shared" si="34"/>
        <v>4027/4028</v>
      </c>
      <c r="L118" s="26" t="str">
        <f>VLOOKUP(A118,'Trips&amp;Operators'!$C$1:$E$10000,3,FALSE)</f>
        <v>KILLION</v>
      </c>
      <c r="M118" s="6">
        <f t="shared" si="35"/>
        <v>2.8043981481459923E-2</v>
      </c>
      <c r="N118" s="7">
        <f t="shared" si="36"/>
        <v>40.383333333302289</v>
      </c>
      <c r="O118" s="7"/>
      <c r="P118" s="7"/>
      <c r="Q118" s="27"/>
      <c r="R118" s="27"/>
      <c r="S118" s="42">
        <f t="shared" si="37"/>
        <v>1</v>
      </c>
      <c r="T118" s="66" t="str">
        <f t="shared" si="38"/>
        <v>NorthBound</v>
      </c>
      <c r="U118" s="93">
        <f>COUNTIFS(Variables!$M$2:$M$19,IF(T118="NorthBound","&gt;=","&lt;=")&amp;Y118,Variables!$M$2:$M$19,IF(T118="NorthBound","&lt;=","&gt;=")&amp;Z118)</f>
        <v>12</v>
      </c>
      <c r="V11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16:22:56-0600',mode:absolute,to:'2016-07-25 19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W118" s="71" t="str">
        <f t="shared" si="45"/>
        <v>N</v>
      </c>
      <c r="X118" s="89">
        <f t="shared" si="46"/>
        <v>1</v>
      </c>
      <c r="Y118" s="86">
        <f t="shared" si="47"/>
        <v>4.53E-2</v>
      </c>
      <c r="Z118" s="86">
        <f t="shared" si="39"/>
        <v>23.328600000000002</v>
      </c>
      <c r="AA118" s="86">
        <f t="shared" si="40"/>
        <v>23.283300000000001</v>
      </c>
      <c r="AB118" s="83" t="e">
        <f>VLOOKUP(A118,Enforcements!$C$7:$J$24,8,0)</f>
        <v>#N/A</v>
      </c>
      <c r="AC118" s="79" t="e">
        <f>VLOOKUP(A118,Enforcements!$C$7:$E$24,3,0)</f>
        <v>#N/A</v>
      </c>
      <c r="AD118" s="80" t="str">
        <f t="shared" si="41"/>
        <v>0211-25</v>
      </c>
      <c r="AE118" s="72" t="str">
        <f t="shared" si="42"/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AF118" s="72" t="str">
        <f t="shared" si="43"/>
        <v>"C:\Program Files (x86)\AstroGrep\AstroGrep.exe" /spath="C:\Users\stu\Documents\Analysis\2016-02-23 RTDC Observations" /stypes="*4027*20160726*" /stext=" 00:.+((prompt.+disp)|(slice.+state.+chan)|(ment ac)|(system.+state.+chan)|(\|lc)|(penalty)|(\[timeout))" /e /r /s</v>
      </c>
      <c r="AG118" s="1" t="str">
        <f t="shared" si="44"/>
        <v>EC</v>
      </c>
    </row>
    <row r="119" spans="1:33" x14ac:dyDescent="0.25">
      <c r="A119" s="46" t="s">
        <v>538</v>
      </c>
      <c r="B119" s="7">
        <v>4028</v>
      </c>
      <c r="C119" s="26" t="s">
        <v>269</v>
      </c>
      <c r="D119" s="26" t="s">
        <v>242</v>
      </c>
      <c r="E119" s="16">
        <v>42576.761157407411</v>
      </c>
      <c r="F119" s="16">
        <v>42576.762523148151</v>
      </c>
      <c r="G119" s="7">
        <v>1</v>
      </c>
      <c r="H119" s="16" t="s">
        <v>61</v>
      </c>
      <c r="I119" s="16">
        <v>42576.797905092593</v>
      </c>
      <c r="J119" s="7">
        <v>0</v>
      </c>
      <c r="K119" s="26" t="str">
        <f t="shared" si="34"/>
        <v>4027/4028</v>
      </c>
      <c r="L119" s="26" t="str">
        <f>VLOOKUP(A119,'Trips&amp;Operators'!$C$1:$E$10000,3,FALSE)</f>
        <v>KILLION</v>
      </c>
      <c r="M119" s="6">
        <f t="shared" si="35"/>
        <v>3.5381944442633539E-2</v>
      </c>
      <c r="N119" s="7">
        <f t="shared" si="36"/>
        <v>50.949999997392297</v>
      </c>
      <c r="O119" s="7"/>
      <c r="P119" s="7"/>
      <c r="Q119" s="27"/>
      <c r="R119" s="27"/>
      <c r="S119" s="42">
        <f t="shared" si="37"/>
        <v>1</v>
      </c>
      <c r="T119" s="66" t="str">
        <f t="shared" si="38"/>
        <v>Southbound</v>
      </c>
      <c r="U119" s="93">
        <f>COUNTIFS(Variables!$M$2:$M$19,IF(T119="NorthBound","&gt;=","&lt;=")&amp;Y119,Variables!$M$2:$M$19,IF(T119="NorthBound","&lt;=","&gt;=")&amp;Z119)</f>
        <v>12</v>
      </c>
      <c r="V11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17:16:04-0600',mode:absolute,to:'2016-07-25 20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W119" s="71" t="str">
        <f t="shared" si="45"/>
        <v>N</v>
      </c>
      <c r="X119" s="89">
        <f t="shared" si="46"/>
        <v>1</v>
      </c>
      <c r="Y119" s="86">
        <f t="shared" si="47"/>
        <v>23.296900000000001</v>
      </c>
      <c r="Z119" s="86">
        <f t="shared" si="39"/>
        <v>1.52E-2</v>
      </c>
      <c r="AA119" s="86">
        <f t="shared" si="40"/>
        <v>23.281700000000001</v>
      </c>
      <c r="AB119" s="83" t="e">
        <f>VLOOKUP(A119,Enforcements!$C$7:$J$24,8,0)</f>
        <v>#N/A</v>
      </c>
      <c r="AC119" s="79" t="e">
        <f>VLOOKUP(A119,Enforcements!$C$7:$E$24,3,0)</f>
        <v>#N/A</v>
      </c>
      <c r="AD119" s="80" t="str">
        <f t="shared" si="41"/>
        <v>0212-25</v>
      </c>
      <c r="AE119" s="72" t="str">
        <f t="shared" si="42"/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AF119" s="72" t="str">
        <f t="shared" si="43"/>
        <v>"C:\Program Files (x86)\AstroGrep\AstroGrep.exe" /spath="C:\Users\stu\Documents\Analysis\2016-02-23 RTDC Observations" /stypes="*4028*20160726*" /stext=" 01:.+((prompt.+disp)|(slice.+state.+chan)|(ment ac)|(system.+state.+chan)|(\|lc)|(penalty)|(\[timeout))" /e /r /s</v>
      </c>
      <c r="AG119" s="1" t="str">
        <f t="shared" si="44"/>
        <v>EC</v>
      </c>
    </row>
    <row r="120" spans="1:33" x14ac:dyDescent="0.25">
      <c r="A120" s="46" t="s">
        <v>539</v>
      </c>
      <c r="B120" s="7">
        <v>4014</v>
      </c>
      <c r="C120" s="26" t="s">
        <v>269</v>
      </c>
      <c r="D120" s="26" t="s">
        <v>540</v>
      </c>
      <c r="E120" s="16">
        <v>42576.739282407405</v>
      </c>
      <c r="F120" s="16">
        <v>42576.740185185183</v>
      </c>
      <c r="G120" s="7">
        <v>1</v>
      </c>
      <c r="H120" s="16" t="s">
        <v>535</v>
      </c>
      <c r="I120" s="16">
        <v>42576.765381944446</v>
      </c>
      <c r="J120" s="7">
        <v>0</v>
      </c>
      <c r="K120" s="26" t="str">
        <f t="shared" si="34"/>
        <v>4013/4014</v>
      </c>
      <c r="L120" s="26" t="str">
        <f>VLOOKUP(A120,'Trips&amp;Operators'!$C$1:$E$10000,3,FALSE)</f>
        <v>NEWELL</v>
      </c>
      <c r="M120" s="6">
        <f t="shared" si="35"/>
        <v>2.5196759263053536E-2</v>
      </c>
      <c r="N120" s="7">
        <f t="shared" si="36"/>
        <v>36.283333338797092</v>
      </c>
      <c r="O120" s="7"/>
      <c r="P120" s="7"/>
      <c r="Q120" s="27"/>
      <c r="R120" s="27"/>
      <c r="S120" s="42">
        <f t="shared" si="37"/>
        <v>1</v>
      </c>
      <c r="T120" s="66" t="str">
        <f t="shared" si="38"/>
        <v>NorthBound</v>
      </c>
      <c r="U120" s="93">
        <f>COUNTIFS(Variables!$M$2:$M$19,IF(T120="NorthBound","&gt;=","&lt;=")&amp;Y120,Variables!$M$2:$M$19,IF(T120="NorthBound","&lt;=","&gt;=")&amp;Z120)</f>
        <v>12</v>
      </c>
      <c r="V12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16:44:34-0600',mode:absolute,to:'2016-07-25 19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120" s="71" t="str">
        <f t="shared" si="45"/>
        <v>N</v>
      </c>
      <c r="X120" s="89">
        <f t="shared" si="46"/>
        <v>1</v>
      </c>
      <c r="Y120" s="86">
        <f t="shared" si="47"/>
        <v>5.2900000000000003E-2</v>
      </c>
      <c r="Z120" s="86">
        <f t="shared" si="39"/>
        <v>23.331399999999999</v>
      </c>
      <c r="AA120" s="86">
        <f t="shared" si="40"/>
        <v>23.278499999999998</v>
      </c>
      <c r="AB120" s="83" t="e">
        <f>VLOOKUP(A120,Enforcements!$C$7:$J$24,8,0)</f>
        <v>#N/A</v>
      </c>
      <c r="AC120" s="79" t="e">
        <f>VLOOKUP(A120,Enforcements!$C$7:$E$24,3,0)</f>
        <v>#N/A</v>
      </c>
      <c r="AD120" s="80" t="str">
        <f t="shared" si="41"/>
        <v>0213-25</v>
      </c>
      <c r="AE120" s="72" t="str">
        <f t="shared" si="42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120" s="72" t="str">
        <f t="shared" si="43"/>
        <v>"C:\Program Files (x86)\AstroGrep\AstroGrep.exe" /spath="C:\Users\stu\Documents\Analysis\2016-02-23 RTDC Observations" /stypes="*4014*20160726*" /stext=" 00:.+((prompt.+disp)|(slice.+state.+chan)|(ment ac)|(system.+state.+chan)|(\|lc)|(penalty)|(\[timeout))" /e /r /s</v>
      </c>
      <c r="AG120" s="1" t="str">
        <f t="shared" si="44"/>
        <v>EC</v>
      </c>
    </row>
    <row r="121" spans="1:33" x14ac:dyDescent="0.25">
      <c r="A121" s="46" t="s">
        <v>541</v>
      </c>
      <c r="B121" s="7">
        <v>4013</v>
      </c>
      <c r="C121" s="26" t="s">
        <v>269</v>
      </c>
      <c r="D121" s="26" t="s">
        <v>251</v>
      </c>
      <c r="E121" s="16">
        <v>42576.769143518519</v>
      </c>
      <c r="F121" s="16">
        <v>42576.770289351851</v>
      </c>
      <c r="G121" s="7">
        <v>1</v>
      </c>
      <c r="H121" s="16" t="s">
        <v>103</v>
      </c>
      <c r="I121" s="16">
        <v>42576.804710648146</v>
      </c>
      <c r="J121" s="7">
        <v>0</v>
      </c>
      <c r="K121" s="26" t="str">
        <f t="shared" si="34"/>
        <v>4013/4014</v>
      </c>
      <c r="L121" s="26" t="str">
        <f>VLOOKUP(A121,'Trips&amp;Operators'!$C$1:$E$10000,3,FALSE)</f>
        <v>NEWELL</v>
      </c>
      <c r="M121" s="6">
        <f t="shared" si="35"/>
        <v>3.4421296295477077E-2</v>
      </c>
      <c r="N121" s="7">
        <f t="shared" si="36"/>
        <v>49.566666665486991</v>
      </c>
      <c r="O121" s="7"/>
      <c r="P121" s="7"/>
      <c r="Q121" s="27"/>
      <c r="R121" s="27"/>
      <c r="S121" s="42">
        <f t="shared" si="37"/>
        <v>1</v>
      </c>
      <c r="T121" s="66" t="str">
        <f t="shared" si="38"/>
        <v>Southbound</v>
      </c>
      <c r="U121" s="93">
        <f>COUNTIFS(Variables!$M$2:$M$19,IF(T121="NorthBound","&gt;=","&lt;=")&amp;Y121,Variables!$M$2:$M$19,IF(T121="NorthBound","&lt;=","&gt;=")&amp;Z121)</f>
        <v>12</v>
      </c>
      <c r="V12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17:27:34-0600',mode:absolute,to:'2016-07-25 20:18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121" s="71" t="str">
        <f t="shared" si="45"/>
        <v>N</v>
      </c>
      <c r="X121" s="89">
        <f t="shared" si="46"/>
        <v>1</v>
      </c>
      <c r="Y121" s="86">
        <f t="shared" si="47"/>
        <v>23.298500000000001</v>
      </c>
      <c r="Z121" s="86">
        <f t="shared" si="39"/>
        <v>1.43E-2</v>
      </c>
      <c r="AA121" s="86">
        <f t="shared" si="40"/>
        <v>23.284200000000002</v>
      </c>
      <c r="AB121" s="83" t="e">
        <f>VLOOKUP(A121,Enforcements!$C$7:$J$24,8,0)</f>
        <v>#N/A</v>
      </c>
      <c r="AC121" s="79" t="e">
        <f>VLOOKUP(A121,Enforcements!$C$7:$E$24,3,0)</f>
        <v>#N/A</v>
      </c>
      <c r="AD121" s="80" t="str">
        <f t="shared" si="41"/>
        <v>0214-25</v>
      </c>
      <c r="AE121" s="72" t="str">
        <f t="shared" si="42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121" s="72" t="str">
        <f t="shared" si="43"/>
        <v>"C:\Program Files (x86)\AstroGrep\AstroGrep.exe" /spath="C:\Users\stu\Documents\Analysis\2016-02-23 RTDC Observations" /stypes="*4013*20160726*" /stext=" 01:.+((prompt.+disp)|(slice.+state.+chan)|(ment ac)|(system.+state.+chan)|(\|lc)|(penalty)|(\[timeout))" /e /r /s</v>
      </c>
      <c r="AG121" s="1" t="str">
        <f t="shared" si="44"/>
        <v>EC</v>
      </c>
    </row>
    <row r="122" spans="1:33" s="25" customFormat="1" x14ac:dyDescent="0.25">
      <c r="A122" s="46" t="s">
        <v>542</v>
      </c>
      <c r="B122" s="7">
        <v>4009</v>
      </c>
      <c r="C122" s="26" t="s">
        <v>269</v>
      </c>
      <c r="D122" s="26" t="s">
        <v>272</v>
      </c>
      <c r="E122" s="16">
        <v>42576.747175925928</v>
      </c>
      <c r="F122" s="16">
        <v>42576.749120370368</v>
      </c>
      <c r="G122" s="7">
        <v>2</v>
      </c>
      <c r="H122" s="16" t="s">
        <v>400</v>
      </c>
      <c r="I122" s="16">
        <v>42576.778564814813</v>
      </c>
      <c r="J122" s="7">
        <v>0</v>
      </c>
      <c r="K122" s="26" t="str">
        <f t="shared" si="34"/>
        <v>4009/4010</v>
      </c>
      <c r="L122" s="26" t="str">
        <f>VLOOKUP(A122,'Trips&amp;Operators'!$C$1:$E$10000,3,FALSE)</f>
        <v>YOUNG</v>
      </c>
      <c r="M122" s="6">
        <f t="shared" si="35"/>
        <v>2.9444444444379769E-2</v>
      </c>
      <c r="N122" s="7">
        <f t="shared" si="36"/>
        <v>42.399999999906868</v>
      </c>
      <c r="O122" s="7"/>
      <c r="P122" s="7"/>
      <c r="Q122" s="27"/>
      <c r="R122" s="27"/>
      <c r="S122" s="42">
        <f t="shared" si="37"/>
        <v>1</v>
      </c>
      <c r="T122" s="66" t="str">
        <f t="shared" si="38"/>
        <v>NorthBound</v>
      </c>
      <c r="U122" s="93">
        <f>COUNTIFS(Variables!$M$2:$M$19,IF(T122="NorthBound","&gt;=","&lt;=")&amp;Y122,Variables!$M$2:$M$19,IF(T122="NorthBound","&lt;=","&gt;=")&amp;Z122)</f>
        <v>12</v>
      </c>
      <c r="V12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16:55:56-0600',mode:absolute,to:'2016-07-25 19:41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4009%22')),sort:!(Time,asc))</v>
      </c>
      <c r="W122" s="71" t="str">
        <f t="shared" si="45"/>
        <v>N</v>
      </c>
      <c r="X122" s="89">
        <f t="shared" si="46"/>
        <v>1</v>
      </c>
      <c r="Y122" s="86">
        <f t="shared" si="47"/>
        <v>4.5699999999999998E-2</v>
      </c>
      <c r="Z122" s="86">
        <f t="shared" si="39"/>
        <v>23.332799999999999</v>
      </c>
      <c r="AA122" s="86">
        <f t="shared" si="40"/>
        <v>23.287099999999999</v>
      </c>
      <c r="AB122" s="83" t="e">
        <f>VLOOKUP(A122,Enforcements!$C$7:$J$24,8,0)</f>
        <v>#N/A</v>
      </c>
      <c r="AC122" s="79" t="e">
        <f>VLOOKUP(A122,Enforcements!$C$7:$E$24,3,0)</f>
        <v>#N/A</v>
      </c>
      <c r="AD122" s="80" t="str">
        <f t="shared" si="41"/>
        <v>0215-25</v>
      </c>
      <c r="AE122" s="72" t="str">
        <f t="shared" si="42"/>
        <v>aws s3 cp s3://rtdc.mdm.uploadarchive/RTDC4009/2016-07-25/ "C:\Users\stu\Documents\Analysis\2016-02-23 RTDC Observations"\RTDC4009\2016-07-25 --recursive &amp; "C:\Users\stu\Documents\GitHub\mrs-test-scripts\Headless Mode &amp; Sideloading\WalkAndUnGZ.bat" "C:\Users\stu\Documents\Analysis\2016-02-23 RTDC Observations"\RTDC4009\2016-07-25 &amp; aws s3 cp s3://rtdc.mdm.uploadarchive/RTDC4009/2016-07-26/ "C:\Users\stu\Documents\Analysis\2016-02-23 RTDC Observations"\RTDC4009\2016-07-26 --recursive &amp; "C:\Users\stu\Documents\GitHub\mrs-test-scripts\Headless Mode &amp; Sideloading\WalkAndUnGZ.bat" "C:\Users\stu\Documents\Analysis\2016-02-23 RTDC Observations"\RTDC4009\2016-07-26</v>
      </c>
      <c r="AF122" s="72" t="str">
        <f t="shared" si="43"/>
        <v>"C:\Program Files (x86)\AstroGrep\AstroGrep.exe" /spath="C:\Users\stu\Documents\Analysis\2016-02-23 RTDC Observations" /stypes="*4009*20160726*" /stext=" 00:.+((prompt.+disp)|(slice.+state.+chan)|(ment ac)|(system.+state.+chan)|(\|lc)|(penalty)|(\[timeout))" /e /r /s</v>
      </c>
      <c r="AG122" s="1" t="str">
        <f t="shared" si="44"/>
        <v>EC</v>
      </c>
    </row>
    <row r="123" spans="1:33" s="25" customFormat="1" x14ac:dyDescent="0.25">
      <c r="A123" s="46" t="s">
        <v>543</v>
      </c>
      <c r="B123" s="7">
        <v>4010</v>
      </c>
      <c r="C123" s="26" t="s">
        <v>269</v>
      </c>
      <c r="D123" s="26" t="s">
        <v>248</v>
      </c>
      <c r="E123" s="16">
        <v>42576.782986111109</v>
      </c>
      <c r="F123" s="16">
        <v>42576.782939814817</v>
      </c>
      <c r="G123" s="7">
        <v>3</v>
      </c>
      <c r="H123" s="16" t="s">
        <v>155</v>
      </c>
      <c r="I123" s="16">
        <v>42576.789594907408</v>
      </c>
      <c r="J123" s="7">
        <v>1</v>
      </c>
      <c r="K123" s="26" t="str">
        <f t="shared" si="34"/>
        <v>4009/4010</v>
      </c>
      <c r="L123" s="26" t="str">
        <f>VLOOKUP(A123,'Trips&amp;Operators'!$C$1:$E$10000,3,FALSE)</f>
        <v>YOUNG</v>
      </c>
      <c r="M123" s="6">
        <f t="shared" si="35"/>
        <v>6.655092591245193E-3</v>
      </c>
      <c r="N123" s="7"/>
      <c r="O123" s="7"/>
      <c r="P123" s="7">
        <f t="shared" si="36"/>
        <v>9.583333331393078</v>
      </c>
      <c r="Q123" s="27"/>
      <c r="R123" s="27" t="s">
        <v>818</v>
      </c>
      <c r="S123" s="42">
        <f t="shared" si="37"/>
        <v>1</v>
      </c>
      <c r="T123" s="66" t="str">
        <f t="shared" si="38"/>
        <v>Southbound</v>
      </c>
      <c r="U123" s="93">
        <f>COUNTIFS(Variables!$M$2:$M$19,IF(T123="NorthBound","&gt;=","&lt;=")&amp;Y123,Variables!$M$2:$M$19,IF(T123="NorthBound","&lt;=","&gt;=")&amp;Z123)</f>
        <v>12</v>
      </c>
      <c r="V12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17:47:30-0600',mode:absolute,to:'2016-07-25 19:57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4010%22')),sort:!(Time,asc))</v>
      </c>
      <c r="W123" s="71" t="str">
        <f t="shared" si="45"/>
        <v>N</v>
      </c>
      <c r="X123" s="89">
        <f t="shared" si="46"/>
        <v>1</v>
      </c>
      <c r="Y123" s="86">
        <f t="shared" si="47"/>
        <v>23.299399999999999</v>
      </c>
      <c r="Z123" s="86">
        <f t="shared" si="39"/>
        <v>1.38E-2</v>
      </c>
      <c r="AA123" s="86">
        <f t="shared" si="40"/>
        <v>23.285599999999999</v>
      </c>
      <c r="AB123" s="83" t="e">
        <f>VLOOKUP(A123,Enforcements!$C$7:$J$24,8,0)</f>
        <v>#N/A</v>
      </c>
      <c r="AC123" s="79" t="e">
        <f>VLOOKUP(A123,Enforcements!$C$7:$E$24,3,0)</f>
        <v>#N/A</v>
      </c>
      <c r="AD123" s="80" t="str">
        <f t="shared" si="41"/>
        <v>0216-25</v>
      </c>
      <c r="AE123" s="72" t="str">
        <f t="shared" si="42"/>
        <v>aws s3 cp s3://rtdc.mdm.uploadarchive/RTDC4010/2016-07-25/ "C:\Users\stu\Documents\Analysis\2016-02-23 RTDC Observations"\RTDC4010\2016-07-25 --recursive &amp; "C:\Users\stu\Documents\GitHub\mrs-test-scripts\Headless Mode &amp; Sideloading\WalkAndUnGZ.bat" "C:\Users\stu\Documents\Analysis\2016-02-23 RTDC Observations"\RTDC4010\2016-07-25 &amp; aws s3 cp s3://rtdc.mdm.uploadarchive/RTDC4010/2016-07-26/ "C:\Users\stu\Documents\Analysis\2016-02-23 RTDC Observations"\RTDC4010\2016-07-26 --recursive &amp; "C:\Users\stu\Documents\GitHub\mrs-test-scripts\Headless Mode &amp; Sideloading\WalkAndUnGZ.bat" "C:\Users\stu\Documents\Analysis\2016-02-23 RTDC Observations"\RTDC4010\2016-07-26</v>
      </c>
      <c r="AF123" s="72" t="str">
        <f t="shared" si="43"/>
        <v>"C:\Program Files (x86)\AstroGrep\AstroGrep.exe" /spath="C:\Users\stu\Documents\Analysis\2016-02-23 RTDC Observations" /stypes="*4010*20160726*" /stext=" 00:.+((prompt.+disp)|(slice.+state.+chan)|(ment ac)|(system.+state.+chan)|(\|lc)|(penalty)|(\[timeout))" /e /r /s</v>
      </c>
      <c r="AG123" s="1" t="str">
        <f t="shared" si="44"/>
        <v>EC</v>
      </c>
    </row>
    <row r="124" spans="1:33" s="25" customFormat="1" x14ac:dyDescent="0.25">
      <c r="A124" s="46" t="s">
        <v>544</v>
      </c>
      <c r="B124" s="7">
        <v>4016</v>
      </c>
      <c r="C124" s="26" t="s">
        <v>269</v>
      </c>
      <c r="D124" s="26" t="s">
        <v>172</v>
      </c>
      <c r="E124" s="16">
        <v>42576.759456018517</v>
      </c>
      <c r="F124" s="16">
        <v>42576.760439814818</v>
      </c>
      <c r="G124" s="7">
        <v>1</v>
      </c>
      <c r="H124" s="16" t="s">
        <v>277</v>
      </c>
      <c r="I124" s="16">
        <v>42576.786180555559</v>
      </c>
      <c r="J124" s="7">
        <v>0</v>
      </c>
      <c r="K124" s="26" t="str">
        <f t="shared" si="34"/>
        <v>4015/4016</v>
      </c>
      <c r="L124" s="26" t="str">
        <f>VLOOKUP(A124,'Trips&amp;Operators'!$C$1:$E$10000,3,FALSE)</f>
        <v>CHANDLER</v>
      </c>
      <c r="M124" s="6">
        <f t="shared" si="35"/>
        <v>2.5740740740729962E-2</v>
      </c>
      <c r="N124" s="7">
        <f t="shared" si="36"/>
        <v>37.066666666651145</v>
      </c>
      <c r="O124" s="7"/>
      <c r="P124" s="7"/>
      <c r="Q124" s="27"/>
      <c r="R124" s="27"/>
      <c r="S124" s="42">
        <f t="shared" si="37"/>
        <v>1</v>
      </c>
      <c r="T124" s="66" t="str">
        <f t="shared" si="38"/>
        <v>NorthBound</v>
      </c>
      <c r="U124" s="93">
        <f>COUNTIFS(Variables!$M$2:$M$19,IF(T124="NorthBound","&gt;=","&lt;=")&amp;Y124,Variables!$M$2:$M$19,IF(T124="NorthBound","&lt;=","&gt;=")&amp;Z124)</f>
        <v>12</v>
      </c>
      <c r="V12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17:13:37-0600',mode:absolute,to:'2016-07-25 19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24" s="71" t="str">
        <f t="shared" si="45"/>
        <v>N</v>
      </c>
      <c r="X124" s="89">
        <f t="shared" si="46"/>
        <v>1</v>
      </c>
      <c r="Y124" s="86">
        <f t="shared" si="47"/>
        <v>4.6699999999999998E-2</v>
      </c>
      <c r="Z124" s="86">
        <f t="shared" si="39"/>
        <v>23.3291</v>
      </c>
      <c r="AA124" s="86">
        <f t="shared" si="40"/>
        <v>23.282399999999999</v>
      </c>
      <c r="AB124" s="83" t="e">
        <f>VLOOKUP(A124,Enforcements!$C$7:$J$24,8,0)</f>
        <v>#N/A</v>
      </c>
      <c r="AC124" s="79" t="e">
        <f>VLOOKUP(A124,Enforcements!$C$7:$E$24,3,0)</f>
        <v>#N/A</v>
      </c>
      <c r="AD124" s="80" t="str">
        <f t="shared" si="41"/>
        <v>0217-25</v>
      </c>
      <c r="AE124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24" s="72" t="str">
        <f t="shared" si="43"/>
        <v>"C:\Program Files (x86)\AstroGrep\AstroGrep.exe" /spath="C:\Users\stu\Documents\Analysis\2016-02-23 RTDC Observations" /stypes="*4016*20160726*" /stext=" 00:.+((prompt.+disp)|(slice.+state.+chan)|(ment ac)|(system.+state.+chan)|(\|lc)|(penalty)|(\[timeout))" /e /r /s</v>
      </c>
      <c r="AG124" s="1" t="str">
        <f t="shared" si="44"/>
        <v>EC</v>
      </c>
    </row>
    <row r="125" spans="1:33" s="25" customFormat="1" x14ac:dyDescent="0.25">
      <c r="A125" s="46" t="s">
        <v>545</v>
      </c>
      <c r="B125" s="7">
        <v>4015</v>
      </c>
      <c r="C125" s="26" t="s">
        <v>269</v>
      </c>
      <c r="D125" s="26" t="s">
        <v>279</v>
      </c>
      <c r="E125" s="16">
        <v>42576.797233796293</v>
      </c>
      <c r="F125" s="16">
        <v>42576.798495370371</v>
      </c>
      <c r="G125" s="7">
        <v>1</v>
      </c>
      <c r="H125" s="16" t="s">
        <v>61</v>
      </c>
      <c r="I125" s="16">
        <v>42576.826458333337</v>
      </c>
      <c r="J125" s="7">
        <v>0</v>
      </c>
      <c r="K125" s="26" t="str">
        <f t="shared" si="34"/>
        <v>4015/4016</v>
      </c>
      <c r="L125" s="26" t="str">
        <f>VLOOKUP(A125,'Trips&amp;Operators'!$C$1:$E$10000,3,FALSE)</f>
        <v>CHANDLER</v>
      </c>
      <c r="M125" s="6">
        <f t="shared" si="35"/>
        <v>2.7962962965830229E-2</v>
      </c>
      <c r="N125" s="7">
        <f t="shared" si="36"/>
        <v>40.26666667079553</v>
      </c>
      <c r="O125" s="7"/>
      <c r="P125" s="7"/>
      <c r="Q125" s="27"/>
      <c r="R125" s="27"/>
      <c r="S125" s="42">
        <f t="shared" si="37"/>
        <v>1</v>
      </c>
      <c r="T125" s="66" t="str">
        <f t="shared" si="38"/>
        <v>Southbound</v>
      </c>
      <c r="U125" s="93">
        <f>COUNTIFS(Variables!$M$2:$M$19,IF(T125="NorthBound","&gt;=","&lt;=")&amp;Y125,Variables!$M$2:$M$19,IF(T125="NorthBound","&lt;=","&gt;=")&amp;Z125)</f>
        <v>12</v>
      </c>
      <c r="V12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18:08:01-0600',mode:absolute,to:'2016-07-25 20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125" s="71" t="str">
        <f t="shared" si="45"/>
        <v>N</v>
      </c>
      <c r="X125" s="89">
        <f t="shared" si="46"/>
        <v>1</v>
      </c>
      <c r="Y125" s="86">
        <f t="shared" si="47"/>
        <v>23.2989</v>
      </c>
      <c r="Z125" s="86">
        <f t="shared" si="39"/>
        <v>1.52E-2</v>
      </c>
      <c r="AA125" s="86">
        <f t="shared" si="40"/>
        <v>23.2837</v>
      </c>
      <c r="AB125" s="83" t="e">
        <f>VLOOKUP(A125,Enforcements!$C$7:$J$24,8,0)</f>
        <v>#N/A</v>
      </c>
      <c r="AC125" s="79" t="e">
        <f>VLOOKUP(A125,Enforcements!$C$7:$E$24,3,0)</f>
        <v>#N/A</v>
      </c>
      <c r="AD125" s="80" t="str">
        <f t="shared" si="41"/>
        <v>0218-25</v>
      </c>
      <c r="AE125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125" s="72" t="str">
        <f t="shared" si="43"/>
        <v>"C:\Program Files (x86)\AstroGrep\AstroGrep.exe" /spath="C:\Users\stu\Documents\Analysis\2016-02-23 RTDC Observations" /stypes="*4015*20160726*" /stext=" 01:.+((prompt.+disp)|(slice.+state.+chan)|(ment ac)|(system.+state.+chan)|(\|lc)|(penalty)|(\[timeout))" /e /r /s</v>
      </c>
      <c r="AG125" s="1" t="str">
        <f t="shared" si="44"/>
        <v>EC</v>
      </c>
    </row>
    <row r="126" spans="1:33" s="25" customFormat="1" x14ac:dyDescent="0.25">
      <c r="A126" s="46" t="s">
        <v>546</v>
      </c>
      <c r="B126" s="7">
        <v>4007</v>
      </c>
      <c r="C126" s="26" t="s">
        <v>269</v>
      </c>
      <c r="D126" s="26" t="s">
        <v>241</v>
      </c>
      <c r="E126" s="16">
        <v>42576.766574074078</v>
      </c>
      <c r="F126" s="16">
        <v>42576.767812500002</v>
      </c>
      <c r="G126" s="7">
        <v>1</v>
      </c>
      <c r="H126" s="16" t="s">
        <v>258</v>
      </c>
      <c r="I126" s="16">
        <v>42576.796006944445</v>
      </c>
      <c r="J126" s="7">
        <v>1</v>
      </c>
      <c r="K126" s="26" t="str">
        <f t="shared" si="34"/>
        <v>4007/4008</v>
      </c>
      <c r="L126" s="26" t="str">
        <f>VLOOKUP(A126,'Trips&amp;Operators'!$C$1:$E$10000,3,FALSE)</f>
        <v>YANAI</v>
      </c>
      <c r="M126" s="6">
        <f t="shared" si="35"/>
        <v>2.8194444443215616E-2</v>
      </c>
      <c r="N126" s="7">
        <f t="shared" si="36"/>
        <v>40.599999998230487</v>
      </c>
      <c r="O126" s="7"/>
      <c r="P126" s="7"/>
      <c r="Q126" s="27"/>
      <c r="R126" s="27"/>
      <c r="S126" s="42">
        <f t="shared" si="37"/>
        <v>1</v>
      </c>
      <c r="T126" s="66" t="str">
        <f t="shared" si="38"/>
        <v>NorthBound</v>
      </c>
      <c r="U126" s="93">
        <f>COUNTIFS(Variables!$M$2:$M$19,IF(T126="NorthBound","&gt;=","&lt;=")&amp;Y126,Variables!$M$2:$M$19,IF(T126="NorthBound","&lt;=","&gt;=")&amp;Z126)</f>
        <v>12</v>
      </c>
      <c r="V12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17:23:52-0600',mode:absolute,to:'2016-07-25 20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26" s="71" t="str">
        <f t="shared" si="45"/>
        <v>N</v>
      </c>
      <c r="X126" s="89">
        <f t="shared" si="46"/>
        <v>1</v>
      </c>
      <c r="Y126" s="86">
        <f t="shared" si="47"/>
        <v>4.5499999999999999E-2</v>
      </c>
      <c r="Z126" s="86">
        <f t="shared" si="39"/>
        <v>23.328800000000001</v>
      </c>
      <c r="AA126" s="86">
        <f t="shared" si="40"/>
        <v>23.283300000000001</v>
      </c>
      <c r="AB126" s="83">
        <f>VLOOKUP(A126,Enforcements!$C$7:$J$24,8,0)</f>
        <v>1692</v>
      </c>
      <c r="AC126" s="79" t="str">
        <f>VLOOKUP(A126,Enforcements!$C$7:$E$24,3,0)</f>
        <v>SIGNAL</v>
      </c>
      <c r="AD126" s="80" t="str">
        <f t="shared" si="41"/>
        <v>0219-25</v>
      </c>
      <c r="AE126" s="72" t="str">
        <f t="shared" si="42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126" s="72" t="str">
        <f t="shared" si="43"/>
        <v>"C:\Program Files (x86)\AstroGrep\AstroGrep.exe" /spath="C:\Users\stu\Documents\Analysis\2016-02-23 RTDC Observations" /stypes="*4007*20160726*" /stext=" 01:.+((prompt.+disp)|(slice.+state.+chan)|(ment ac)|(system.+state.+chan)|(\|lc)|(penalty)|(\[timeout))" /e /r /s</v>
      </c>
      <c r="AG126" s="1" t="str">
        <f t="shared" si="44"/>
        <v>EC</v>
      </c>
    </row>
    <row r="127" spans="1:33" s="25" customFormat="1" x14ac:dyDescent="0.25">
      <c r="A127" s="46" t="s">
        <v>547</v>
      </c>
      <c r="B127" s="7">
        <v>4008</v>
      </c>
      <c r="C127" s="26" t="s">
        <v>269</v>
      </c>
      <c r="D127" s="26" t="s">
        <v>548</v>
      </c>
      <c r="E127" s="16">
        <v>42576.807164351849</v>
      </c>
      <c r="F127" s="16">
        <v>42576.808530092596</v>
      </c>
      <c r="G127" s="7">
        <v>1</v>
      </c>
      <c r="H127" s="16" t="s">
        <v>103</v>
      </c>
      <c r="I127" s="16">
        <v>42576.836655092593</v>
      </c>
      <c r="J127" s="7">
        <v>0</v>
      </c>
      <c r="K127" s="26" t="str">
        <f t="shared" si="34"/>
        <v>4007/4008</v>
      </c>
      <c r="L127" s="26" t="str">
        <f>VLOOKUP(A127,'Trips&amp;Operators'!$C$1:$E$10000,3,FALSE)</f>
        <v>YANAI</v>
      </c>
      <c r="M127" s="6">
        <f t="shared" si="35"/>
        <v>2.8124999997089617E-2</v>
      </c>
      <c r="N127" s="7">
        <f t="shared" si="36"/>
        <v>40.499999995809048</v>
      </c>
      <c r="O127" s="7"/>
      <c r="P127" s="7"/>
      <c r="Q127" s="27"/>
      <c r="R127" s="27"/>
      <c r="S127" s="42">
        <f t="shared" si="37"/>
        <v>1</v>
      </c>
      <c r="T127" s="66" t="str">
        <f t="shared" si="38"/>
        <v>Southbound</v>
      </c>
      <c r="U127" s="93">
        <f>COUNTIFS(Variables!$M$2:$M$19,IF(T127="NorthBound","&gt;=","&lt;=")&amp;Y127,Variables!$M$2:$M$19,IF(T127="NorthBound","&lt;=","&gt;=")&amp;Z127)</f>
        <v>12</v>
      </c>
      <c r="V12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18:22:19-0600',mode:absolute,to:'2016-07-25 21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127" s="71" t="str">
        <f t="shared" si="45"/>
        <v>N</v>
      </c>
      <c r="X127" s="89">
        <f t="shared" si="46"/>
        <v>1</v>
      </c>
      <c r="Y127" s="86">
        <f t="shared" si="47"/>
        <v>23.296500000000002</v>
      </c>
      <c r="Z127" s="86">
        <f t="shared" si="39"/>
        <v>1.43E-2</v>
      </c>
      <c r="AA127" s="86">
        <f t="shared" si="40"/>
        <v>23.282200000000003</v>
      </c>
      <c r="AB127" s="83" t="e">
        <f>VLOOKUP(A127,Enforcements!$C$7:$J$24,8,0)</f>
        <v>#N/A</v>
      </c>
      <c r="AC127" s="79" t="e">
        <f>VLOOKUP(A127,Enforcements!$C$7:$E$24,3,0)</f>
        <v>#N/A</v>
      </c>
      <c r="AD127" s="80" t="str">
        <f t="shared" si="41"/>
        <v>0220-25</v>
      </c>
      <c r="AE127" s="72" t="str">
        <f t="shared" si="42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127" s="72" t="str">
        <f t="shared" si="43"/>
        <v>"C:\Program Files (x86)\AstroGrep\AstroGrep.exe" /spath="C:\Users\stu\Documents\Analysis\2016-02-23 RTDC Observations" /stypes="*4008*20160726*" /stext=" 02:.+((prompt.+disp)|(slice.+state.+chan)|(ment ac)|(system.+state.+chan)|(\|lc)|(penalty)|(\[timeout))" /e /r /s</v>
      </c>
      <c r="AG127" s="1" t="str">
        <f t="shared" si="44"/>
        <v>EC</v>
      </c>
    </row>
    <row r="128" spans="1:33" s="25" customFormat="1" x14ac:dyDescent="0.25">
      <c r="A128" s="46" t="s">
        <v>549</v>
      </c>
      <c r="B128" s="7">
        <v>4038</v>
      </c>
      <c r="C128" s="26" t="s">
        <v>269</v>
      </c>
      <c r="D128" s="26" t="s">
        <v>125</v>
      </c>
      <c r="E128" s="16">
        <v>42576.787986111114</v>
      </c>
      <c r="F128" s="16">
        <v>42576.790347222224</v>
      </c>
      <c r="G128" s="7">
        <v>3</v>
      </c>
      <c r="H128" s="16" t="s">
        <v>550</v>
      </c>
      <c r="I128" s="16">
        <v>42576.817696759259</v>
      </c>
      <c r="J128" s="7">
        <v>0</v>
      </c>
      <c r="K128" s="26" t="str">
        <f t="shared" si="34"/>
        <v>4037/4038</v>
      </c>
      <c r="L128" s="26" t="str">
        <f>VLOOKUP(A128,'Trips&amp;Operators'!$C$1:$E$10000,3,FALSE)</f>
        <v>LEVERE</v>
      </c>
      <c r="M128" s="6">
        <f t="shared" si="35"/>
        <v>2.7349537034751847E-2</v>
      </c>
      <c r="N128" s="7">
        <f t="shared" si="36"/>
        <v>39.38333333004266</v>
      </c>
      <c r="O128" s="7"/>
      <c r="P128" s="7"/>
      <c r="Q128" s="27"/>
      <c r="R128" s="27"/>
      <c r="S128" s="42">
        <f t="shared" si="37"/>
        <v>1</v>
      </c>
      <c r="T128" s="66" t="str">
        <f t="shared" si="38"/>
        <v>NorthBound</v>
      </c>
      <c r="U128" s="93">
        <f>COUNTIFS(Variables!$M$2:$M$19,IF(T128="NorthBound","&gt;=","&lt;=")&amp;Y128,Variables!$M$2:$M$19,IF(T128="NorthBound","&lt;=","&gt;=")&amp;Z128)</f>
        <v>12</v>
      </c>
      <c r="V12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17:54:42-0600',mode:absolute,to:'2016-07-25 20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28" s="71" t="str">
        <f t="shared" si="45"/>
        <v>N</v>
      </c>
      <c r="X128" s="89">
        <f t="shared" si="46"/>
        <v>1</v>
      </c>
      <c r="Y128" s="86">
        <f t="shared" si="47"/>
        <v>4.58E-2</v>
      </c>
      <c r="Z128" s="86">
        <f t="shared" si="39"/>
        <v>23.322600000000001</v>
      </c>
      <c r="AA128" s="86">
        <f t="shared" si="40"/>
        <v>23.276800000000001</v>
      </c>
      <c r="AB128" s="83" t="e">
        <f>VLOOKUP(A128,Enforcements!$C$7:$J$24,8,0)</f>
        <v>#N/A</v>
      </c>
      <c r="AC128" s="79" t="e">
        <f>VLOOKUP(A128,Enforcements!$C$7:$E$24,3,0)</f>
        <v>#N/A</v>
      </c>
      <c r="AD128" s="80" t="str">
        <f t="shared" si="41"/>
        <v>0221-25</v>
      </c>
      <c r="AE128" s="72" t="str">
        <f t="shared" si="42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28" s="72" t="str">
        <f t="shared" si="43"/>
        <v>"C:\Program Files (x86)\AstroGrep\AstroGrep.exe" /spath="C:\Users\stu\Documents\Analysis\2016-02-23 RTDC Observations" /stypes="*4038*20160726*" /stext=" 01:.+((prompt.+disp)|(slice.+state.+chan)|(ment ac)|(system.+state.+chan)|(\|lc)|(penalty)|(\[timeout))" /e /r /s</v>
      </c>
      <c r="AG128" s="1" t="str">
        <f t="shared" si="44"/>
        <v>EC</v>
      </c>
    </row>
    <row r="129" spans="1:33" s="25" customFormat="1" x14ac:dyDescent="0.25">
      <c r="A129" s="46" t="s">
        <v>551</v>
      </c>
      <c r="B129" s="7">
        <v>4037</v>
      </c>
      <c r="C129" s="26" t="s">
        <v>269</v>
      </c>
      <c r="D129" s="26" t="s">
        <v>552</v>
      </c>
      <c r="E129" s="16">
        <v>42576.823125000003</v>
      </c>
      <c r="F129" s="16">
        <v>42576.824745370373</v>
      </c>
      <c r="G129" s="7">
        <v>2</v>
      </c>
      <c r="H129" s="16" t="s">
        <v>553</v>
      </c>
      <c r="I129" s="16">
        <v>42576.85974537037</v>
      </c>
      <c r="J129" s="7">
        <v>1</v>
      </c>
      <c r="K129" s="26" t="str">
        <f t="shared" si="34"/>
        <v>4037/4038</v>
      </c>
      <c r="L129" s="26" t="str">
        <f>VLOOKUP(A129,'Trips&amp;Operators'!$C$1:$E$10000,3,FALSE)</f>
        <v>LEVERE</v>
      </c>
      <c r="M129" s="6">
        <f t="shared" si="35"/>
        <v>3.4999999996216502E-2</v>
      </c>
      <c r="N129" s="7">
        <f t="shared" si="36"/>
        <v>50.399999994551763</v>
      </c>
      <c r="O129" s="7"/>
      <c r="P129" s="7"/>
      <c r="Q129" s="27"/>
      <c r="R129" s="27"/>
      <c r="S129" s="42">
        <f t="shared" si="37"/>
        <v>1</v>
      </c>
      <c r="T129" s="66" t="str">
        <f t="shared" si="38"/>
        <v>Southbound</v>
      </c>
      <c r="U129" s="93">
        <f>COUNTIFS(Variables!$M$2:$M$19,IF(T129="NorthBound","&gt;=","&lt;=")&amp;Y129,Variables!$M$2:$M$19,IF(T129="NorthBound","&lt;=","&gt;=")&amp;Z129)</f>
        <v>12</v>
      </c>
      <c r="V12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18:45:18-0600',mode:absolute,to:'2016-07-25 21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129" s="71" t="str">
        <f t="shared" si="45"/>
        <v>N</v>
      </c>
      <c r="X129" s="89">
        <f t="shared" si="46"/>
        <v>1</v>
      </c>
      <c r="Y129" s="86">
        <f t="shared" si="47"/>
        <v>23.293600000000001</v>
      </c>
      <c r="Z129" s="86">
        <f t="shared" si="39"/>
        <v>1.9400000000000001E-2</v>
      </c>
      <c r="AA129" s="86">
        <f t="shared" si="40"/>
        <v>23.2742</v>
      </c>
      <c r="AB129" s="83">
        <f>VLOOKUP(A129,Enforcements!$C$7:$J$24,8,0)</f>
        <v>229055</v>
      </c>
      <c r="AC129" s="79" t="str">
        <f>VLOOKUP(A129,Enforcements!$C$7:$E$24,3,0)</f>
        <v>PERMANENT SPEED RESTRICTION</v>
      </c>
      <c r="AD129" s="80" t="str">
        <f t="shared" si="41"/>
        <v>0222-25</v>
      </c>
      <c r="AE129" s="72" t="str">
        <f t="shared" si="42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129" s="72" t="str">
        <f t="shared" si="43"/>
        <v>"C:\Program Files (x86)\AstroGrep\AstroGrep.exe" /spath="C:\Users\stu\Documents\Analysis\2016-02-23 RTDC Observations" /stypes="*4037*20160726*" /stext=" 02:.+((prompt.+disp)|(slice.+state.+chan)|(ment ac)|(system.+state.+chan)|(\|lc)|(penalty)|(\[timeout))" /e /r /s</v>
      </c>
      <c r="AG129" s="1" t="str">
        <f t="shared" si="44"/>
        <v>EC</v>
      </c>
    </row>
    <row r="130" spans="1:33" s="25" customFormat="1" x14ac:dyDescent="0.25">
      <c r="A130" s="46" t="s">
        <v>554</v>
      </c>
      <c r="B130" s="7">
        <v>4014</v>
      </c>
      <c r="C130" s="26" t="s">
        <v>269</v>
      </c>
      <c r="D130" s="26" t="s">
        <v>555</v>
      </c>
      <c r="E130" s="16">
        <v>42576.807638888888</v>
      </c>
      <c r="F130" s="16">
        <v>42576.80878472222</v>
      </c>
      <c r="G130" s="7">
        <v>1</v>
      </c>
      <c r="H130" s="16" t="s">
        <v>277</v>
      </c>
      <c r="I130" s="16">
        <v>42576.837280092594</v>
      </c>
      <c r="J130" s="7">
        <v>0</v>
      </c>
      <c r="K130" s="26" t="str">
        <f t="shared" si="34"/>
        <v>4013/4014</v>
      </c>
      <c r="L130" s="26" t="str">
        <f>VLOOKUP(A130,'Trips&amp;Operators'!$C$1:$E$10000,3,FALSE)</f>
        <v>NEWELL</v>
      </c>
      <c r="M130" s="6">
        <f t="shared" si="35"/>
        <v>2.849537037400296E-2</v>
      </c>
      <c r="N130" s="7">
        <f t="shared" si="36"/>
        <v>41.033333338564262</v>
      </c>
      <c r="O130" s="7"/>
      <c r="P130" s="7"/>
      <c r="Q130" s="27"/>
      <c r="R130" s="27"/>
      <c r="S130" s="42">
        <f t="shared" si="37"/>
        <v>1</v>
      </c>
      <c r="T130" s="66" t="str">
        <f t="shared" si="38"/>
        <v>NorthBound</v>
      </c>
      <c r="U130" s="93">
        <f>COUNTIFS(Variables!$M$2:$M$19,IF(T130="NorthBound","&gt;=","&lt;=")&amp;Y130,Variables!$M$2:$M$19,IF(T130="NorthBound","&lt;=","&gt;=")&amp;Z130)</f>
        <v>12</v>
      </c>
      <c r="V13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18:23:00-0600',mode:absolute,to:'2016-07-25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130" s="71" t="str">
        <f t="shared" si="45"/>
        <v>N</v>
      </c>
      <c r="X130" s="89">
        <f t="shared" si="46"/>
        <v>1</v>
      </c>
      <c r="Y130" s="86">
        <f t="shared" si="47"/>
        <v>4.24E-2</v>
      </c>
      <c r="Z130" s="86">
        <f t="shared" si="39"/>
        <v>23.3291</v>
      </c>
      <c r="AA130" s="86">
        <f t="shared" si="40"/>
        <v>23.2867</v>
      </c>
      <c r="AB130" s="83" t="e">
        <f>VLOOKUP(A130,Enforcements!$C$7:$J$24,8,0)</f>
        <v>#N/A</v>
      </c>
      <c r="AC130" s="79" t="e">
        <f>VLOOKUP(A130,Enforcements!$C$7:$E$24,3,0)</f>
        <v>#N/A</v>
      </c>
      <c r="AD130" s="80" t="str">
        <f t="shared" si="41"/>
        <v>0223-25</v>
      </c>
      <c r="AE130" s="72" t="str">
        <f t="shared" si="42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130" s="72" t="str">
        <f t="shared" si="43"/>
        <v>"C:\Program Files (x86)\AstroGrep\AstroGrep.exe" /spath="C:\Users\stu\Documents\Analysis\2016-02-23 RTDC Observations" /stypes="*4014*20160726*" /stext=" 02:.+((prompt.+disp)|(slice.+state.+chan)|(ment ac)|(system.+state.+chan)|(\|lc)|(penalty)|(\[timeout))" /e /r /s</v>
      </c>
      <c r="AG130" s="1" t="str">
        <f t="shared" si="44"/>
        <v>EC</v>
      </c>
    </row>
    <row r="131" spans="1:33" s="25" customFormat="1" x14ac:dyDescent="0.25">
      <c r="A131" s="46" t="s">
        <v>556</v>
      </c>
      <c r="B131" s="7">
        <v>4013</v>
      </c>
      <c r="C131" s="26" t="s">
        <v>269</v>
      </c>
      <c r="D131" s="26" t="s">
        <v>252</v>
      </c>
      <c r="E131" s="16">
        <v>42576.843946759262</v>
      </c>
      <c r="F131" s="16">
        <v>42576.844756944447</v>
      </c>
      <c r="G131" s="7">
        <v>1</v>
      </c>
      <c r="H131" s="16" t="s">
        <v>164</v>
      </c>
      <c r="I131" s="16">
        <v>42576.877893518518</v>
      </c>
      <c r="J131" s="7">
        <v>0</v>
      </c>
      <c r="K131" s="26" t="str">
        <f t="shared" si="34"/>
        <v>4013/4014</v>
      </c>
      <c r="L131" s="26" t="str">
        <f>VLOOKUP(A131,'Trips&amp;Operators'!$C$1:$E$10000,3,FALSE)</f>
        <v>NEWELL</v>
      </c>
      <c r="M131" s="6">
        <f t="shared" si="35"/>
        <v>3.3136574071249925E-2</v>
      </c>
      <c r="N131" s="7">
        <f t="shared" si="36"/>
        <v>47.716666662599891</v>
      </c>
      <c r="O131" s="7"/>
      <c r="P131" s="7"/>
      <c r="Q131" s="27"/>
      <c r="R131" s="27"/>
      <c r="S131" s="42">
        <f t="shared" si="37"/>
        <v>1</v>
      </c>
      <c r="T131" s="66" t="str">
        <f t="shared" si="38"/>
        <v>Southbound</v>
      </c>
      <c r="U131" s="93">
        <f>COUNTIFS(Variables!$M$2:$M$19,IF(T131="NorthBound","&gt;=","&lt;=")&amp;Y131,Variables!$M$2:$M$19,IF(T131="NorthBound","&lt;=","&gt;=")&amp;Z131)</f>
        <v>12</v>
      </c>
      <c r="V131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19:15:17-0600',mode:absolute,to:'2016-07-25 22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131" s="71" t="str">
        <f t="shared" si="45"/>
        <v>N</v>
      </c>
      <c r="X131" s="89">
        <f t="shared" si="46"/>
        <v>1</v>
      </c>
      <c r="Y131" s="86">
        <f t="shared" si="47"/>
        <v>23.2971</v>
      </c>
      <c r="Z131" s="86">
        <f t="shared" si="39"/>
        <v>1.41E-2</v>
      </c>
      <c r="AA131" s="86">
        <f t="shared" si="40"/>
        <v>23.283000000000001</v>
      </c>
      <c r="AB131" s="83" t="e">
        <f>VLOOKUP(A131,Enforcements!$C$7:$J$24,8,0)</f>
        <v>#N/A</v>
      </c>
      <c r="AC131" s="79" t="e">
        <f>VLOOKUP(A131,Enforcements!$C$7:$E$24,3,0)</f>
        <v>#N/A</v>
      </c>
      <c r="AD131" s="80" t="str">
        <f t="shared" si="41"/>
        <v>0224-25</v>
      </c>
      <c r="AE131" s="72" t="str">
        <f t="shared" si="42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131" s="72" t="str">
        <f t="shared" si="43"/>
        <v>"C:\Program Files (x86)\AstroGrep\AstroGrep.exe" /spath="C:\Users\stu\Documents\Analysis\2016-02-23 RTDC Observations" /stypes="*4013*20160726*" /stext=" 03:.+((prompt.+disp)|(slice.+state.+chan)|(ment ac)|(system.+state.+chan)|(\|lc)|(penalty)|(\[timeout))" /e /r /s</v>
      </c>
      <c r="AG131" s="1" t="str">
        <f t="shared" si="44"/>
        <v>EC</v>
      </c>
    </row>
    <row r="132" spans="1:33" s="25" customFormat="1" x14ac:dyDescent="0.25">
      <c r="A132" s="46" t="s">
        <v>557</v>
      </c>
      <c r="B132" s="7">
        <v>4016</v>
      </c>
      <c r="C132" s="26" t="s">
        <v>269</v>
      </c>
      <c r="D132" s="26" t="s">
        <v>281</v>
      </c>
      <c r="E132" s="16">
        <v>42576.83</v>
      </c>
      <c r="F132" s="16">
        <v>42576.831053240741</v>
      </c>
      <c r="G132" s="7">
        <v>1</v>
      </c>
      <c r="H132" s="16" t="s">
        <v>317</v>
      </c>
      <c r="I132" s="16">
        <v>42576.858495370368</v>
      </c>
      <c r="J132" s="7">
        <v>0</v>
      </c>
      <c r="K132" s="26" t="str">
        <f t="shared" si="34"/>
        <v>4015/4016</v>
      </c>
      <c r="L132" s="26" t="str">
        <f>VLOOKUP(A132,'Trips&amp;Operators'!$C$1:$E$10000,3,FALSE)</f>
        <v>CHANDLER</v>
      </c>
      <c r="M132" s="6">
        <f t="shared" si="35"/>
        <v>2.7442129627161194E-2</v>
      </c>
      <c r="N132" s="7">
        <f t="shared" si="36"/>
        <v>39.516666663112119</v>
      </c>
      <c r="O132" s="7"/>
      <c r="P132" s="7"/>
      <c r="Q132" s="27"/>
      <c r="R132" s="27"/>
      <c r="S132" s="42">
        <f t="shared" si="37"/>
        <v>1</v>
      </c>
      <c r="T132" s="66" t="str">
        <f t="shared" si="38"/>
        <v>NorthBound</v>
      </c>
      <c r="U132" s="93">
        <f>COUNTIFS(Variables!$M$2:$M$19,IF(T132="NorthBound","&gt;=","&lt;=")&amp;Y132,Variables!$M$2:$M$19,IF(T132="NorthBound","&lt;=","&gt;=")&amp;Z132)</f>
        <v>12</v>
      </c>
      <c r="V132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18:55:12-0600',mode:absolute,to:'2016-07-25 21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32" s="71" t="str">
        <f t="shared" si="45"/>
        <v>N</v>
      </c>
      <c r="X132" s="89">
        <f t="shared" si="46"/>
        <v>1</v>
      </c>
      <c r="Y132" s="86">
        <f t="shared" si="47"/>
        <v>4.7699999999999999E-2</v>
      </c>
      <c r="Z132" s="86">
        <f t="shared" si="39"/>
        <v>23.327999999999999</v>
      </c>
      <c r="AA132" s="86">
        <f t="shared" si="40"/>
        <v>23.2803</v>
      </c>
      <c r="AB132" s="83" t="e">
        <f>VLOOKUP(A132,Enforcements!$C$7:$J$24,8,0)</f>
        <v>#N/A</v>
      </c>
      <c r="AC132" s="79" t="e">
        <f>VLOOKUP(A132,Enforcements!$C$7:$E$24,3,0)</f>
        <v>#N/A</v>
      </c>
      <c r="AD132" s="80" t="str">
        <f t="shared" si="41"/>
        <v>0225-25</v>
      </c>
      <c r="AE132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32" s="72" t="str">
        <f t="shared" si="43"/>
        <v>"C:\Program Files (x86)\AstroGrep\AstroGrep.exe" /spath="C:\Users\stu\Documents\Analysis\2016-02-23 RTDC Observations" /stypes="*4016*20160726*" /stext=" 02:.+((prompt.+disp)|(slice.+state.+chan)|(ment ac)|(system.+state.+chan)|(\|lc)|(penalty)|(\[timeout))" /e /r /s</v>
      </c>
      <c r="AG132" s="1" t="str">
        <f t="shared" si="44"/>
        <v>EC</v>
      </c>
    </row>
    <row r="133" spans="1:33" s="25" customFormat="1" x14ac:dyDescent="0.25">
      <c r="A133" s="26" t="s">
        <v>558</v>
      </c>
      <c r="B133" s="106">
        <v>4015</v>
      </c>
      <c r="C133" s="107" t="s">
        <v>269</v>
      </c>
      <c r="D133" s="107" t="s">
        <v>239</v>
      </c>
      <c r="E133" s="108">
        <v>42576.870173611111</v>
      </c>
      <c r="F133" s="108">
        <v>42576.871122685188</v>
      </c>
      <c r="G133" s="106">
        <v>1</v>
      </c>
      <c r="H133" s="108" t="s">
        <v>115</v>
      </c>
      <c r="I133" s="108">
        <v>42576.899375000001</v>
      </c>
      <c r="J133" s="106">
        <v>0</v>
      </c>
      <c r="K133" s="26" t="str">
        <f t="shared" si="34"/>
        <v>4015/4016</v>
      </c>
      <c r="L133" s="26" t="str">
        <f>VLOOKUP(A133,'Trips&amp;Operators'!$C$1:$E$10000,3,FALSE)</f>
        <v>CHANDLER</v>
      </c>
      <c r="M133" s="6">
        <f t="shared" si="35"/>
        <v>2.8252314812561963E-2</v>
      </c>
      <c r="N133" s="7">
        <f t="shared" si="36"/>
        <v>40.683333330089226</v>
      </c>
      <c r="O133" s="7"/>
      <c r="P133" s="7"/>
      <c r="Q133" s="27"/>
      <c r="R133" s="27"/>
      <c r="S133" s="42">
        <f t="shared" si="37"/>
        <v>1</v>
      </c>
      <c r="T133" s="66" t="str">
        <f t="shared" si="38"/>
        <v>Southbound</v>
      </c>
      <c r="U133" s="93">
        <f>COUNTIFS(Variables!$M$2:$M$19,IF(T133="NorthBound","&gt;=","&lt;=")&amp;Y133,Variables!$M$2:$M$19,IF(T133="NorthBound","&lt;=","&gt;=")&amp;Z133)</f>
        <v>12</v>
      </c>
      <c r="V133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19:53:03-0600',mode:absolute,to:'2016-07-25 22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133" s="71" t="str">
        <f t="shared" si="45"/>
        <v>N</v>
      </c>
      <c r="X133" s="89">
        <f t="shared" si="46"/>
        <v>1</v>
      </c>
      <c r="Y133" s="86">
        <f t="shared" si="47"/>
        <v>23.297499999999999</v>
      </c>
      <c r="Z133" s="86">
        <f t="shared" si="39"/>
        <v>1.5599999999999999E-2</v>
      </c>
      <c r="AA133" s="86">
        <f t="shared" si="40"/>
        <v>23.2819</v>
      </c>
      <c r="AB133" s="83" t="e">
        <f>VLOOKUP(A133,Enforcements!$C$7:$J$24,8,0)</f>
        <v>#N/A</v>
      </c>
      <c r="AC133" s="79" t="e">
        <f>VLOOKUP(A133,Enforcements!$C$7:$E$24,3,0)</f>
        <v>#N/A</v>
      </c>
      <c r="AD133" s="80" t="str">
        <f t="shared" si="41"/>
        <v>0226-25</v>
      </c>
      <c r="AE133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133" s="72" t="str">
        <f t="shared" si="43"/>
        <v>"C:\Program Files (x86)\AstroGrep\AstroGrep.exe" /spath="C:\Users\stu\Documents\Analysis\2016-02-23 RTDC Observations" /stypes="*4015*20160726*" /stext=" 03:.+((prompt.+disp)|(slice.+state.+chan)|(ment ac)|(system.+state.+chan)|(\|lc)|(penalty)|(\[timeout))" /e /r /s</v>
      </c>
      <c r="AG133" s="1" t="str">
        <f t="shared" si="44"/>
        <v>EC</v>
      </c>
    </row>
    <row r="134" spans="1:33" s="25" customFormat="1" x14ac:dyDescent="0.25">
      <c r="A134" s="26" t="s">
        <v>559</v>
      </c>
      <c r="B134" s="106">
        <v>4007</v>
      </c>
      <c r="C134" s="107" t="s">
        <v>269</v>
      </c>
      <c r="D134" s="107" t="s">
        <v>560</v>
      </c>
      <c r="E134" s="108">
        <v>42576.838171296295</v>
      </c>
      <c r="F134" s="108">
        <v>42576.839155092595</v>
      </c>
      <c r="G134" s="106">
        <v>1</v>
      </c>
      <c r="H134" s="108" t="s">
        <v>322</v>
      </c>
      <c r="I134" s="108">
        <v>42576.879143518519</v>
      </c>
      <c r="J134" s="106">
        <v>0</v>
      </c>
      <c r="K134" s="26" t="str">
        <f t="shared" si="34"/>
        <v>4007/4008</v>
      </c>
      <c r="L134" s="26" t="str">
        <f>VLOOKUP(A134,'Trips&amp;Operators'!$C$1:$E$10000,3,FALSE)</f>
        <v>YANAI</v>
      </c>
      <c r="M134" s="6">
        <f t="shared" si="35"/>
        <v>3.9988425924093463E-2</v>
      </c>
      <c r="N134" s="7">
        <f t="shared" si="36"/>
        <v>57.583333330694586</v>
      </c>
      <c r="O134" s="7"/>
      <c r="P134" s="7"/>
      <c r="Q134" s="27"/>
      <c r="R134" s="27"/>
      <c r="S134" s="42">
        <f t="shared" si="37"/>
        <v>1</v>
      </c>
      <c r="T134" s="66" t="str">
        <f t="shared" si="38"/>
        <v>NorthBound</v>
      </c>
      <c r="U134" s="93">
        <f>COUNTIFS(Variables!$M$2:$M$19,IF(T134="NorthBound","&gt;=","&lt;=")&amp;Y134,Variables!$M$2:$M$19,IF(T134="NorthBound","&lt;=","&gt;=")&amp;Z134)</f>
        <v>12</v>
      </c>
      <c r="V134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19:06:58-0600',mode:absolute,to:'2016-07-25 22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34" s="71" t="str">
        <f t="shared" si="45"/>
        <v>N</v>
      </c>
      <c r="X134" s="89">
        <f t="shared" si="46"/>
        <v>1</v>
      </c>
      <c r="Y134" s="86">
        <f t="shared" si="47"/>
        <v>4.4200000000000003E-2</v>
      </c>
      <c r="Z134" s="86">
        <f t="shared" si="39"/>
        <v>23.3264</v>
      </c>
      <c r="AA134" s="86">
        <f t="shared" si="40"/>
        <v>23.2822</v>
      </c>
      <c r="AB134" s="83" t="e">
        <f>VLOOKUP(A134,Enforcements!$C$7:$J$24,8,0)</f>
        <v>#N/A</v>
      </c>
      <c r="AC134" s="79" t="e">
        <f>VLOOKUP(A134,Enforcements!$C$7:$E$24,3,0)</f>
        <v>#N/A</v>
      </c>
      <c r="AD134" s="80" t="str">
        <f t="shared" si="41"/>
        <v>0227-25</v>
      </c>
      <c r="AE134" s="72" t="str">
        <f t="shared" si="42"/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134" s="72" t="str">
        <f t="shared" si="43"/>
        <v>"C:\Program Files (x86)\AstroGrep\AstroGrep.exe" /spath="C:\Users\stu\Documents\Analysis\2016-02-23 RTDC Observations" /stypes="*4007*20160726*" /stext=" 03:.+((prompt.+disp)|(slice.+state.+chan)|(ment ac)|(system.+state.+chan)|(\|lc)|(penalty)|(\[timeout))" /e /r /s</v>
      </c>
      <c r="AG134" s="1" t="str">
        <f t="shared" si="44"/>
        <v>EC</v>
      </c>
    </row>
    <row r="135" spans="1:33" s="25" customFormat="1" x14ac:dyDescent="0.25">
      <c r="A135" s="26" t="s">
        <v>561</v>
      </c>
      <c r="B135" s="106">
        <v>4008</v>
      </c>
      <c r="C135" s="107" t="s">
        <v>269</v>
      </c>
      <c r="D135" s="107" t="s">
        <v>562</v>
      </c>
      <c r="E135" s="108">
        <v>42576.890335648146</v>
      </c>
      <c r="F135" s="108">
        <v>42576.891319444447</v>
      </c>
      <c r="G135" s="106">
        <v>1</v>
      </c>
      <c r="H135" s="108" t="s">
        <v>155</v>
      </c>
      <c r="I135" s="108">
        <v>42576.921932870369</v>
      </c>
      <c r="J135" s="106">
        <v>0</v>
      </c>
      <c r="K135" s="26" t="str">
        <f t="shared" si="34"/>
        <v>4007/4008</v>
      </c>
      <c r="L135" s="26" t="str">
        <f>VLOOKUP(A135,'Trips&amp;Operators'!$C$1:$E$10000,3,FALSE)</f>
        <v>YANAI</v>
      </c>
      <c r="M135" s="6">
        <f t="shared" si="35"/>
        <v>3.0613425922638271E-2</v>
      </c>
      <c r="N135" s="7">
        <f t="shared" si="36"/>
        <v>44.08333332859911</v>
      </c>
      <c r="O135" s="7"/>
      <c r="P135" s="7"/>
      <c r="Q135" s="27"/>
      <c r="R135" s="27"/>
      <c r="S135" s="42">
        <f t="shared" si="37"/>
        <v>1</v>
      </c>
      <c r="T135" s="66" t="str">
        <f t="shared" si="38"/>
        <v>Southbound</v>
      </c>
      <c r="U135" s="93">
        <f>COUNTIFS(Variables!$M$2:$M$19,IF(T135="NorthBound","&gt;=","&lt;=")&amp;Y135,Variables!$M$2:$M$19,IF(T135="NorthBound","&lt;=","&gt;=")&amp;Z135)</f>
        <v>12</v>
      </c>
      <c r="V135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20:22:05-0600',mode:absolute,to:'2016-07-25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135" s="71" t="str">
        <f t="shared" si="45"/>
        <v>N</v>
      </c>
      <c r="X135" s="89">
        <f t="shared" si="46"/>
        <v>1</v>
      </c>
      <c r="Y135" s="86">
        <f t="shared" si="47"/>
        <v>23.294799999999999</v>
      </c>
      <c r="Z135" s="86">
        <f t="shared" si="39"/>
        <v>1.38E-2</v>
      </c>
      <c r="AA135" s="86">
        <f t="shared" si="40"/>
        <v>23.280999999999999</v>
      </c>
      <c r="AB135" s="83" t="e">
        <f>VLOOKUP(A135,Enforcements!$C$7:$J$24,8,0)</f>
        <v>#N/A</v>
      </c>
      <c r="AC135" s="79" t="e">
        <f>VLOOKUP(A135,Enforcements!$C$7:$E$24,3,0)</f>
        <v>#N/A</v>
      </c>
      <c r="AD135" s="80" t="str">
        <f t="shared" si="41"/>
        <v>0228-25</v>
      </c>
      <c r="AE135" s="72" t="str">
        <f t="shared" si="42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135" s="72" t="str">
        <f t="shared" si="43"/>
        <v>"C:\Program Files (x86)\AstroGrep\AstroGrep.exe" /spath="C:\Users\stu\Documents\Analysis\2016-02-23 RTDC Observations" /stypes="*4008*20160726*" /stext=" 04:.+((prompt.+disp)|(slice.+state.+chan)|(ment ac)|(system.+state.+chan)|(\|lc)|(penalty)|(\[timeout))" /e /r /s</v>
      </c>
      <c r="AG135" s="1" t="str">
        <f t="shared" si="44"/>
        <v>EC</v>
      </c>
    </row>
    <row r="136" spans="1:33" s="25" customFormat="1" x14ac:dyDescent="0.25">
      <c r="A136" s="26" t="s">
        <v>563</v>
      </c>
      <c r="B136" s="106">
        <v>4038</v>
      </c>
      <c r="C136" s="107" t="s">
        <v>269</v>
      </c>
      <c r="D136" s="107" t="s">
        <v>564</v>
      </c>
      <c r="E136" s="108">
        <v>42576.868078703701</v>
      </c>
      <c r="F136" s="108">
        <v>42576.870625000003</v>
      </c>
      <c r="G136" s="106">
        <v>3</v>
      </c>
      <c r="H136" s="108" t="s">
        <v>565</v>
      </c>
      <c r="I136" s="108">
        <v>42576.903032407405</v>
      </c>
      <c r="J136" s="106">
        <v>0</v>
      </c>
      <c r="K136" s="26" t="str">
        <f t="shared" si="34"/>
        <v>4037/4038</v>
      </c>
      <c r="L136" s="26" t="str">
        <f>VLOOKUP(A136,'Trips&amp;Operators'!$C$1:$E$10000,3,FALSE)</f>
        <v>LEVERE</v>
      </c>
      <c r="M136" s="6">
        <f t="shared" si="35"/>
        <v>3.2407407401478849E-2</v>
      </c>
      <c r="N136" s="7">
        <f t="shared" si="36"/>
        <v>46.666666658129543</v>
      </c>
      <c r="O136" s="7"/>
      <c r="P136" s="7"/>
      <c r="Q136" s="27"/>
      <c r="R136" s="27"/>
      <c r="S136" s="42">
        <f t="shared" si="37"/>
        <v>1</v>
      </c>
      <c r="T136" s="66" t="str">
        <f t="shared" si="38"/>
        <v>NorthBound</v>
      </c>
      <c r="U136" s="93">
        <f>COUNTIFS(Variables!$M$2:$M$19,IF(T136="NorthBound","&gt;=","&lt;=")&amp;Y136,Variables!$M$2:$M$19,IF(T136="NorthBound","&lt;=","&gt;=")&amp;Z136)</f>
        <v>12</v>
      </c>
      <c r="V136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19:50:02-0600',mode:absolute,to:'2016-07-25 22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36" s="71" t="str">
        <f t="shared" si="45"/>
        <v>N</v>
      </c>
      <c r="X136" s="89">
        <f t="shared" si="46"/>
        <v>1</v>
      </c>
      <c r="Y136" s="86">
        <f t="shared" si="47"/>
        <v>5.1999999999999998E-2</v>
      </c>
      <c r="Z136" s="86">
        <f t="shared" si="39"/>
        <v>23.325500000000002</v>
      </c>
      <c r="AA136" s="86">
        <f t="shared" si="40"/>
        <v>23.273500000000002</v>
      </c>
      <c r="AB136" s="83" t="e">
        <f>VLOOKUP(A136,Enforcements!$C$7:$J$24,8,0)</f>
        <v>#N/A</v>
      </c>
      <c r="AC136" s="79" t="e">
        <f>VLOOKUP(A136,Enforcements!$C$7:$E$24,3,0)</f>
        <v>#N/A</v>
      </c>
      <c r="AD136" s="80" t="str">
        <f t="shared" si="41"/>
        <v>0229-25</v>
      </c>
      <c r="AE136" s="72" t="str">
        <f t="shared" si="42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36" s="72" t="str">
        <f t="shared" si="43"/>
        <v>"C:\Program Files (x86)\AstroGrep\AstroGrep.exe" /spath="C:\Users\stu\Documents\Analysis\2016-02-23 RTDC Observations" /stypes="*4038*20160726*" /stext=" 03:.+((prompt.+disp)|(slice.+state.+chan)|(ment ac)|(system.+state.+chan)|(\|lc)|(penalty)|(\[timeout))" /e /r /s</v>
      </c>
      <c r="AG136" s="1" t="str">
        <f t="shared" si="44"/>
        <v>EC</v>
      </c>
    </row>
    <row r="137" spans="1:33" s="25" customFormat="1" x14ac:dyDescent="0.25">
      <c r="A137" s="26" t="s">
        <v>566</v>
      </c>
      <c r="B137" s="106">
        <v>4037</v>
      </c>
      <c r="C137" s="107" t="s">
        <v>269</v>
      </c>
      <c r="D137" s="107" t="s">
        <v>567</v>
      </c>
      <c r="E137" s="108">
        <v>42576.909490740742</v>
      </c>
      <c r="F137" s="108">
        <v>42576.910636574074</v>
      </c>
      <c r="G137" s="106">
        <v>1</v>
      </c>
      <c r="H137" s="108" t="s">
        <v>170</v>
      </c>
      <c r="I137" s="108">
        <v>42576.943865740737</v>
      </c>
      <c r="J137" s="106">
        <v>3</v>
      </c>
      <c r="K137" s="26" t="str">
        <f t="shared" si="34"/>
        <v>4037/4038</v>
      </c>
      <c r="L137" s="26" t="str">
        <f>VLOOKUP(A137,'Trips&amp;Operators'!$C$1:$E$10000,3,FALSE)</f>
        <v>LEVERE</v>
      </c>
      <c r="M137" s="6">
        <f t="shared" si="35"/>
        <v>3.3229166663659271E-2</v>
      </c>
      <c r="N137" s="7">
        <f t="shared" si="36"/>
        <v>47.84999999566935</v>
      </c>
      <c r="O137" s="7"/>
      <c r="P137" s="7"/>
      <c r="Q137" s="27"/>
      <c r="R137" s="27"/>
      <c r="S137" s="42">
        <f t="shared" si="37"/>
        <v>1</v>
      </c>
      <c r="T137" s="66" t="str">
        <f t="shared" si="38"/>
        <v>Southbound</v>
      </c>
      <c r="U137" s="93">
        <f>COUNTIFS(Variables!$M$2:$M$19,IF(T137="NorthBound","&gt;=","&lt;=")&amp;Y137,Variables!$M$2:$M$19,IF(T137="NorthBound","&lt;=","&gt;=")&amp;Z137)</f>
        <v>12</v>
      </c>
      <c r="V137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20:49:40-0600',mode:absolute,to:'2016-07-25 23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137" s="71" t="str">
        <f t="shared" si="45"/>
        <v>N</v>
      </c>
      <c r="X137" s="89">
        <f t="shared" si="46"/>
        <v>1</v>
      </c>
      <c r="Y137" s="86">
        <f t="shared" si="47"/>
        <v>23.292899999999999</v>
      </c>
      <c r="Z137" s="86">
        <f t="shared" si="39"/>
        <v>1.6E-2</v>
      </c>
      <c r="AA137" s="86">
        <f t="shared" si="40"/>
        <v>23.276900000000001</v>
      </c>
      <c r="AB137" s="83">
        <f>VLOOKUP(A137,Enforcements!$C$7:$J$24,8,0)</f>
        <v>63309</v>
      </c>
      <c r="AC137" s="79" t="str">
        <f>VLOOKUP(A137,Enforcements!$C$7:$E$24,3,0)</f>
        <v>GRADE CROSSING</v>
      </c>
      <c r="AD137" s="80" t="str">
        <f t="shared" si="41"/>
        <v>0230-25</v>
      </c>
      <c r="AE137" s="72" t="str">
        <f t="shared" si="42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137" s="72" t="str">
        <f t="shared" si="43"/>
        <v>"C:\Program Files (x86)\AstroGrep\AstroGrep.exe" /spath="C:\Users\stu\Documents\Analysis\2016-02-23 RTDC Observations" /stypes="*4037*20160726*" /stext=" 04:.+((prompt.+disp)|(slice.+state.+chan)|(ment ac)|(system.+state.+chan)|(\|lc)|(penalty)|(\[timeout))" /e /r /s</v>
      </c>
      <c r="AG137" s="1" t="str">
        <f t="shared" si="44"/>
        <v>EC</v>
      </c>
    </row>
    <row r="138" spans="1:33" s="25" customFormat="1" x14ac:dyDescent="0.25">
      <c r="A138" s="26" t="s">
        <v>568</v>
      </c>
      <c r="B138" s="106">
        <v>4014</v>
      </c>
      <c r="C138" s="107" t="s">
        <v>269</v>
      </c>
      <c r="D138" s="107" t="s">
        <v>245</v>
      </c>
      <c r="E138" s="108">
        <v>42576.890787037039</v>
      </c>
      <c r="F138" s="108">
        <v>42576.891909722224</v>
      </c>
      <c r="G138" s="106">
        <v>1</v>
      </c>
      <c r="H138" s="108" t="s">
        <v>427</v>
      </c>
      <c r="I138" s="108">
        <v>42576.921782407408</v>
      </c>
      <c r="J138" s="106">
        <v>0</v>
      </c>
      <c r="K138" s="26" t="str">
        <f t="shared" si="34"/>
        <v>4013/4014</v>
      </c>
      <c r="L138" s="26" t="str">
        <f>VLOOKUP(A138,'Trips&amp;Operators'!$C$1:$E$10000,3,FALSE)</f>
        <v>NEWELL</v>
      </c>
      <c r="M138" s="6">
        <f t="shared" si="35"/>
        <v>2.9872685183363501E-2</v>
      </c>
      <c r="N138" s="7">
        <f t="shared" si="36"/>
        <v>43.016666664043441</v>
      </c>
      <c r="O138" s="7"/>
      <c r="P138" s="7"/>
      <c r="Q138" s="27"/>
      <c r="R138" s="27"/>
      <c r="S138" s="42">
        <f t="shared" si="37"/>
        <v>1</v>
      </c>
      <c r="T138" s="66" t="str">
        <f t="shared" si="38"/>
        <v>NorthBound</v>
      </c>
      <c r="U138" s="93">
        <f>COUNTIFS(Variables!$M$2:$M$19,IF(T138="NorthBound","&gt;=","&lt;=")&amp;Y138,Variables!$M$2:$M$19,IF(T138="NorthBound","&lt;=","&gt;=")&amp;Z138)</f>
        <v>12</v>
      </c>
      <c r="V138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20:22:44-0600',mode:absolute,to:'2016-07-25 23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138" s="71" t="str">
        <f t="shared" si="45"/>
        <v>N</v>
      </c>
      <c r="X138" s="89">
        <f t="shared" si="46"/>
        <v>1</v>
      </c>
      <c r="Y138" s="86">
        <f t="shared" si="47"/>
        <v>4.4600000000000001E-2</v>
      </c>
      <c r="Z138" s="86">
        <f t="shared" si="39"/>
        <v>23.331099999999999</v>
      </c>
      <c r="AA138" s="86">
        <f t="shared" si="40"/>
        <v>23.2865</v>
      </c>
      <c r="AB138" s="83" t="e">
        <f>VLOOKUP(A138,Enforcements!$C$7:$J$24,8,0)</f>
        <v>#N/A</v>
      </c>
      <c r="AC138" s="79" t="e">
        <f>VLOOKUP(A138,Enforcements!$C$7:$E$24,3,0)</f>
        <v>#N/A</v>
      </c>
      <c r="AD138" s="80" t="str">
        <f t="shared" si="41"/>
        <v>0231-25</v>
      </c>
      <c r="AE138" s="72" t="str">
        <f t="shared" si="42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138" s="72" t="str">
        <f t="shared" si="43"/>
        <v>"C:\Program Files (x86)\AstroGrep\AstroGrep.exe" /spath="C:\Users\stu\Documents\Analysis\2016-02-23 RTDC Observations" /stypes="*4014*20160726*" /stext=" 04:.+((prompt.+disp)|(slice.+state.+chan)|(ment ac)|(system.+state.+chan)|(\|lc)|(penalty)|(\[timeout))" /e /r /s</v>
      </c>
      <c r="AG138" s="1" t="str">
        <f t="shared" si="44"/>
        <v>EC</v>
      </c>
    </row>
    <row r="139" spans="1:33" s="25" customFormat="1" x14ac:dyDescent="0.25">
      <c r="A139" s="26" t="s">
        <v>569</v>
      </c>
      <c r="B139" s="106">
        <v>4013</v>
      </c>
      <c r="C139" s="107" t="s">
        <v>269</v>
      </c>
      <c r="D139" s="107" t="s">
        <v>161</v>
      </c>
      <c r="E139" s="108">
        <v>42576.931689814817</v>
      </c>
      <c r="F139" s="108">
        <v>42576.932812500003</v>
      </c>
      <c r="G139" s="106">
        <v>1</v>
      </c>
      <c r="H139" s="108" t="s">
        <v>103</v>
      </c>
      <c r="I139" s="108">
        <v>42576.961168981485</v>
      </c>
      <c r="J139" s="106">
        <v>0</v>
      </c>
      <c r="K139" s="26" t="str">
        <f t="shared" si="34"/>
        <v>4013/4014</v>
      </c>
      <c r="L139" s="26" t="str">
        <f>VLOOKUP(A139,'Trips&amp;Operators'!$C$1:$E$10000,3,FALSE)</f>
        <v>NEWELL</v>
      </c>
      <c r="M139" s="6">
        <f t="shared" si="35"/>
        <v>2.8356481481750961E-2</v>
      </c>
      <c r="N139" s="7">
        <f t="shared" si="36"/>
        <v>40.833333333721384</v>
      </c>
      <c r="O139" s="7"/>
      <c r="P139" s="7"/>
      <c r="Q139" s="27"/>
      <c r="R139" s="27"/>
      <c r="S139" s="42">
        <f t="shared" si="37"/>
        <v>1</v>
      </c>
      <c r="T139" s="66" t="str">
        <f t="shared" si="38"/>
        <v>Southbound</v>
      </c>
      <c r="U139" s="93">
        <f>COUNTIFS(Variables!$M$2:$M$19,IF(T139="NorthBound","&gt;=","&lt;=")&amp;Y139,Variables!$M$2:$M$19,IF(T139="NorthBound","&lt;=","&gt;=")&amp;Z139)</f>
        <v>12</v>
      </c>
      <c r="V139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21:21:38-0600',mode:absolute,to:'2016-07-26 00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139" s="71" t="str">
        <f t="shared" si="45"/>
        <v>N</v>
      </c>
      <c r="X139" s="89">
        <f t="shared" si="46"/>
        <v>1</v>
      </c>
      <c r="Y139" s="86">
        <f t="shared" si="47"/>
        <v>23.298400000000001</v>
      </c>
      <c r="Z139" s="86">
        <f t="shared" si="39"/>
        <v>1.43E-2</v>
      </c>
      <c r="AA139" s="86">
        <f t="shared" si="40"/>
        <v>23.284100000000002</v>
      </c>
      <c r="AB139" s="83" t="e">
        <f>VLOOKUP(A139,Enforcements!$C$7:$J$24,8,0)</f>
        <v>#N/A</v>
      </c>
      <c r="AC139" s="79" t="e">
        <f>VLOOKUP(A139,Enforcements!$C$7:$E$24,3,0)</f>
        <v>#N/A</v>
      </c>
      <c r="AD139" s="80" t="str">
        <f t="shared" si="41"/>
        <v>0232-25</v>
      </c>
      <c r="AE139" s="72" t="str">
        <f t="shared" si="42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139" s="72" t="str">
        <f t="shared" si="43"/>
        <v>"C:\Program Files (x86)\AstroGrep\AstroGrep.exe" /spath="C:\Users\stu\Documents\Analysis\2016-02-23 RTDC Observations" /stypes="*4013*20160726*" /stext=" 05:.+((prompt.+disp)|(slice.+state.+chan)|(ment ac)|(system.+state.+chan)|(\|lc)|(penalty)|(\[timeout))" /e /r /s</v>
      </c>
      <c r="AG139" s="1" t="str">
        <f t="shared" si="44"/>
        <v>EC</v>
      </c>
    </row>
    <row r="140" spans="1:33" s="25" customFormat="1" x14ac:dyDescent="0.25">
      <c r="A140" s="26" t="s">
        <v>570</v>
      </c>
      <c r="B140" s="106">
        <v>4016</v>
      </c>
      <c r="C140" s="107" t="s">
        <v>269</v>
      </c>
      <c r="D140" s="107" t="s">
        <v>243</v>
      </c>
      <c r="E140" s="108">
        <v>42576.912766203706</v>
      </c>
      <c r="F140" s="108">
        <v>42576.914097222223</v>
      </c>
      <c r="G140" s="106">
        <v>1</v>
      </c>
      <c r="H140" s="108" t="s">
        <v>535</v>
      </c>
      <c r="I140" s="108">
        <v>42576.942326388889</v>
      </c>
      <c r="J140" s="106">
        <v>0</v>
      </c>
      <c r="K140" s="26" t="str">
        <f t="shared" si="34"/>
        <v>4015/4016</v>
      </c>
      <c r="L140" s="26" t="str">
        <f>VLOOKUP(A140,'Trips&amp;Operators'!$C$1:$E$10000,3,FALSE)</f>
        <v>CHANDLER</v>
      </c>
      <c r="M140" s="6">
        <f t="shared" si="35"/>
        <v>2.8229166666278616E-2</v>
      </c>
      <c r="N140" s="7">
        <f t="shared" si="36"/>
        <v>40.649999999441206</v>
      </c>
      <c r="O140" s="7"/>
      <c r="P140" s="7"/>
      <c r="Q140" s="27"/>
      <c r="R140" s="27"/>
      <c r="S140" s="42">
        <f t="shared" si="37"/>
        <v>1</v>
      </c>
      <c r="T140" s="66" t="str">
        <f t="shared" si="38"/>
        <v>NorthBound</v>
      </c>
      <c r="U140" s="93">
        <f>COUNTIFS(Variables!$M$2:$M$19,IF(T140="NorthBound","&gt;=","&lt;=")&amp;Y140,Variables!$M$2:$M$19,IF(T140="NorthBound","&lt;=","&gt;=")&amp;Z140)</f>
        <v>12</v>
      </c>
      <c r="V140" s="71" t="str">
        <f t="shared" si="33"/>
        <v>https://search-rtdc-monitor-bjffxe2xuh6vdkpspy63sjmuny.us-east-1.es.amazonaws.com/_plugin/kibana/#/discover/Steve-Slow-Train-Analysis-(2080s-and-2083s)?_g=(refreshInterval:(display:Off,section:0,value:0),time:(from:'2016-07-25 20:54:23-0600',mode:absolute,to:'2016-07-25 23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40" s="71" t="str">
        <f t="shared" si="45"/>
        <v>N</v>
      </c>
      <c r="X140" s="89">
        <f t="shared" si="46"/>
        <v>1</v>
      </c>
      <c r="Y140" s="86">
        <f t="shared" si="47"/>
        <v>4.53E-2</v>
      </c>
      <c r="Z140" s="86">
        <f t="shared" si="39"/>
        <v>23.331399999999999</v>
      </c>
      <c r="AA140" s="86">
        <f t="shared" si="40"/>
        <v>23.286099999999998</v>
      </c>
      <c r="AB140" s="83" t="e">
        <f>VLOOKUP(A140,Enforcements!$C$7:$J$24,8,0)</f>
        <v>#N/A</v>
      </c>
      <c r="AC140" s="79" t="e">
        <f>VLOOKUP(A140,Enforcements!$C$7:$E$24,3,0)</f>
        <v>#N/A</v>
      </c>
      <c r="AD140" s="80" t="str">
        <f t="shared" si="41"/>
        <v>0233-25</v>
      </c>
      <c r="AE140" s="72" t="str">
        <f t="shared" si="42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40" s="72" t="str">
        <f t="shared" si="43"/>
        <v>"C:\Program Files (x86)\AstroGrep\AstroGrep.exe" /spath="C:\Users\stu\Documents\Analysis\2016-02-23 RTDC Observations" /stypes="*4016*20160726*" /stext=" 04:.+((prompt.+disp)|(slice.+state.+chan)|(ment ac)|(system.+state.+chan)|(\|lc)|(penalty)|(\[timeout))" /e /r /s</v>
      </c>
      <c r="AG140" s="1" t="str">
        <f t="shared" si="44"/>
        <v>EC</v>
      </c>
    </row>
    <row r="141" spans="1:33" s="25" customFormat="1" x14ac:dyDescent="0.25">
      <c r="A141" s="26" t="s">
        <v>571</v>
      </c>
      <c r="B141" s="106">
        <v>4015</v>
      </c>
      <c r="C141" s="107" t="s">
        <v>269</v>
      </c>
      <c r="D141" s="107" t="s">
        <v>251</v>
      </c>
      <c r="E141" s="108">
        <v>42576.955081018517</v>
      </c>
      <c r="F141" s="108">
        <v>42576.956064814818</v>
      </c>
      <c r="G141" s="106">
        <v>1</v>
      </c>
      <c r="H141" s="108" t="s">
        <v>174</v>
      </c>
      <c r="I141" s="108">
        <v>42576.983182870368</v>
      </c>
      <c r="J141" s="106">
        <v>0</v>
      </c>
      <c r="K141" s="26" t="str">
        <f t="shared" si="34"/>
        <v>4015/4016</v>
      </c>
      <c r="L141" s="26" t="str">
        <f>VLOOKUP(A141,'Trips&amp;Operators'!$C$1:$E$10000,3,FALSE)</f>
        <v>CHANDLER</v>
      </c>
      <c r="M141" s="6">
        <f t="shared" si="35"/>
        <v>2.7118055550090503E-2</v>
      </c>
      <c r="N141" s="7">
        <f t="shared" si="36"/>
        <v>39.049999992130324</v>
      </c>
      <c r="O141" s="7"/>
      <c r="P141" s="7"/>
      <c r="Q141" s="27"/>
      <c r="R141" s="27"/>
      <c r="S141" s="42">
        <f t="shared" si="37"/>
        <v>1</v>
      </c>
      <c r="T141" s="66" t="str">
        <f t="shared" si="38"/>
        <v>Southbound</v>
      </c>
      <c r="U141" s="93">
        <f>COUNTIFS(Variables!$M$2:$M$19,IF(T141="NorthBound","&gt;=","&lt;=")&amp;Y141,Variables!$M$2:$M$19,IF(T141="NorthBound","&lt;=","&gt;=")&amp;Z141)</f>
        <v>12</v>
      </c>
      <c r="V141" s="71" t="str">
        <f t="shared" ref="V141:V204" si="48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https://search-rtdc-monitor-bjffxe2xuh6vdkpspy63sjmuny.us-east-1.es.amazonaws.com/_plugin/kibana/#/discover/Steve-Slow-Train-Analysis-(2080s-and-2083s)?_g=(refreshInterval:(display:Off,section:0,value:0),time:(from:'2016-07-25 21:55:19-0600',mode:absolute,to:'2016-07-26 00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141" s="71" t="str">
        <f t="shared" si="45"/>
        <v>N</v>
      </c>
      <c r="X141" s="89">
        <f t="shared" si="46"/>
        <v>1</v>
      </c>
      <c r="Y141" s="86">
        <f t="shared" si="47"/>
        <v>23.298500000000001</v>
      </c>
      <c r="Z141" s="86">
        <f t="shared" si="39"/>
        <v>1.6299999999999999E-2</v>
      </c>
      <c r="AA141" s="86">
        <f t="shared" si="40"/>
        <v>23.2822</v>
      </c>
      <c r="AB141" s="83" t="e">
        <f>VLOOKUP(A141,Enforcements!$C$7:$J$24,8,0)</f>
        <v>#N/A</v>
      </c>
      <c r="AC141" s="79" t="e">
        <f>VLOOKUP(A141,Enforcements!$C$7:$E$24,3,0)</f>
        <v>#N/A</v>
      </c>
      <c r="AD141" s="80" t="str">
        <f t="shared" si="41"/>
        <v>0234-25</v>
      </c>
      <c r="AE141" s="72" t="str">
        <f t="shared" si="42"/>
        <v>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 &amp; 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</v>
      </c>
      <c r="AF141" s="72" t="str">
        <f t="shared" si="43"/>
        <v>"C:\Program Files (x86)\AstroGrep\AstroGrep.exe" /spath="C:\Users\stu\Documents\Analysis\2016-02-23 RTDC Observations" /stypes="*4015*20160726*" /stext=" 05:.+((prompt.+disp)|(slice.+state.+chan)|(ment ac)|(system.+state.+chan)|(\|lc)|(penalty)|(\[timeout))" /e /r /s</v>
      </c>
      <c r="AG141" s="1" t="str">
        <f t="shared" si="44"/>
        <v>EC</v>
      </c>
    </row>
    <row r="142" spans="1:33" s="25" customFormat="1" x14ac:dyDescent="0.25">
      <c r="A142" s="26" t="s">
        <v>572</v>
      </c>
      <c r="B142" s="106">
        <v>4007</v>
      </c>
      <c r="C142" s="107" t="s">
        <v>269</v>
      </c>
      <c r="D142" s="107" t="s">
        <v>273</v>
      </c>
      <c r="E142" s="108">
        <v>42576.923032407409</v>
      </c>
      <c r="F142" s="108">
        <v>42576.927106481482</v>
      </c>
      <c r="G142" s="106">
        <v>5</v>
      </c>
      <c r="H142" s="108" t="s">
        <v>277</v>
      </c>
      <c r="I142" s="108">
        <v>42576.962002314816</v>
      </c>
      <c r="J142" s="106">
        <v>0</v>
      </c>
      <c r="K142" s="26" t="str">
        <f t="shared" ref="K142:K151" si="49">IF(ISEVEN(B142),(B142-1)&amp;"/"&amp;B142,B142&amp;"/"&amp;(B142+1))</f>
        <v>4007/4008</v>
      </c>
      <c r="L142" s="26" t="str">
        <f>VLOOKUP(A142,'Trips&amp;Operators'!$C$1:$E$10000,3,FALSE)</f>
        <v>YANAI</v>
      </c>
      <c r="M142" s="6">
        <f t="shared" ref="M142:M151" si="50">I142-F142</f>
        <v>3.4895833334303461E-2</v>
      </c>
      <c r="N142" s="7">
        <f t="shared" ref="N142:N151" si="51">24*60*SUM($M142:$M142)</f>
        <v>50.250000001396984</v>
      </c>
      <c r="O142" s="7"/>
      <c r="P142" s="7"/>
      <c r="Q142" s="27"/>
      <c r="R142" s="27"/>
      <c r="S142" s="42">
        <f t="shared" ref="S142:S151" si="52">SUM(U142:U142)/12</f>
        <v>1</v>
      </c>
      <c r="T142" s="66" t="str">
        <f t="shared" ref="T142:T151" si="53">IF(ISEVEN(LEFT(A142,3)),"Southbound","NorthBound")</f>
        <v>NorthBound</v>
      </c>
      <c r="U142" s="93">
        <f>COUNTIFS(Variables!$M$2:$M$19,IF(T142="NorthBound","&gt;=","&lt;=")&amp;Y142,Variables!$M$2:$M$19,IF(T142="NorthBound","&lt;=","&gt;=")&amp;Z142)</f>
        <v>12</v>
      </c>
      <c r="V14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21:09:10-0600',mode:absolute,to:'2016-07-26 00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42" s="71" t="str">
        <f t="shared" ref="W142:W151" si="54">IF(AA142&lt;23,"Y","N")</f>
        <v>N</v>
      </c>
      <c r="X142" s="89">
        <f t="shared" ref="X142:X151" si="55">VALUE(LEFT(A142,3))-VALUE(LEFT(A141,3))</f>
        <v>1</v>
      </c>
      <c r="Y142" s="86">
        <f t="shared" ref="Y142:Y151" si="56">RIGHT(D142,LEN(D142)-4)/10000</f>
        <v>4.4699999999999997E-2</v>
      </c>
      <c r="Z142" s="86">
        <f t="shared" ref="Z142:Z151" si="57">RIGHT(H142,LEN(H142)-4)/10000</f>
        <v>23.3291</v>
      </c>
      <c r="AA142" s="86">
        <f t="shared" ref="AA142:AA151" si="58">ABS(Z142-Y142)</f>
        <v>23.284400000000002</v>
      </c>
      <c r="AB142" s="83" t="e">
        <f>VLOOKUP(A142,Enforcements!$C$7:$J$24,8,0)</f>
        <v>#N/A</v>
      </c>
      <c r="AC142" s="79" t="e">
        <f>VLOOKUP(A142,Enforcements!$C$7:$E$24,3,0)</f>
        <v>#N/A</v>
      </c>
      <c r="AD142" s="80" t="str">
        <f t="shared" ref="AD142:AD151" si="59">IF(LEN(A142)=6,"0"&amp;A142,A142)</f>
        <v>0235-25</v>
      </c>
      <c r="AE142" s="72" t="str">
        <f t="shared" ref="AE142:AE151" si="60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AF142" s="72" t="str">
        <f t="shared" ref="AF142:AF151" si="61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/stypes="*4007*20160726*" /stext=" 05:.+((prompt.+disp)|(slice.+state.+chan)|(ment ac)|(system.+state.+chan)|(\|lc)|(penalty)|(\[timeout))" /e /r /s</v>
      </c>
      <c r="AG142" s="1" t="str">
        <f t="shared" ref="AG142:AG151" si="62">IF(VALUE(LEFT(AD142,4))&lt;300,"EC","NWGL")</f>
        <v>EC</v>
      </c>
    </row>
    <row r="143" spans="1:33" s="25" customFormat="1" x14ac:dyDescent="0.25">
      <c r="A143" s="26" t="s">
        <v>573</v>
      </c>
      <c r="B143" s="106">
        <v>4008</v>
      </c>
      <c r="C143" s="107" t="s">
        <v>269</v>
      </c>
      <c r="D143" s="107" t="s">
        <v>239</v>
      </c>
      <c r="E143" s="108">
        <v>42576.97451388889</v>
      </c>
      <c r="F143" s="108">
        <v>42576.975416666668</v>
      </c>
      <c r="G143" s="106">
        <v>1</v>
      </c>
      <c r="H143" s="108" t="s">
        <v>155</v>
      </c>
      <c r="I143" s="108">
        <v>42577.003842592596</v>
      </c>
      <c r="J143" s="106">
        <v>0</v>
      </c>
      <c r="K143" s="26" t="str">
        <f t="shared" si="49"/>
        <v>4007/4008</v>
      </c>
      <c r="L143" s="26" t="str">
        <f>VLOOKUP(A143,'Trips&amp;Operators'!$C$1:$E$10000,3,FALSE)</f>
        <v>YANAI</v>
      </c>
      <c r="M143" s="6">
        <f t="shared" si="50"/>
        <v>2.842592592787696E-2</v>
      </c>
      <c r="N143" s="7">
        <f t="shared" si="51"/>
        <v>40.933333336142823</v>
      </c>
      <c r="O143" s="7"/>
      <c r="P143" s="7"/>
      <c r="Q143" s="27"/>
      <c r="R143" s="27"/>
      <c r="S143" s="42">
        <f t="shared" si="52"/>
        <v>1</v>
      </c>
      <c r="T143" s="66" t="str">
        <f t="shared" si="53"/>
        <v>Southbound</v>
      </c>
      <c r="U143" s="93">
        <f>COUNTIFS(Variables!$M$2:$M$19,IF(T143="NorthBound","&gt;=","&lt;=")&amp;Y143,Variables!$M$2:$M$19,IF(T143="NorthBound","&lt;=","&gt;=")&amp;Z143)</f>
        <v>12</v>
      </c>
      <c r="V14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22:23:18-0600',mode:absolute,to:'2016-07-26 01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143" s="71" t="str">
        <f t="shared" si="54"/>
        <v>N</v>
      </c>
      <c r="X143" s="89">
        <f t="shared" si="55"/>
        <v>1</v>
      </c>
      <c r="Y143" s="86">
        <f t="shared" si="56"/>
        <v>23.297499999999999</v>
      </c>
      <c r="Z143" s="86">
        <f t="shared" si="57"/>
        <v>1.38E-2</v>
      </c>
      <c r="AA143" s="86">
        <f t="shared" si="58"/>
        <v>23.2837</v>
      </c>
      <c r="AB143" s="83" t="e">
        <f>VLOOKUP(A143,Enforcements!$C$7:$J$24,8,0)</f>
        <v>#N/A</v>
      </c>
      <c r="AC143" s="79" t="e">
        <f>VLOOKUP(A143,Enforcements!$C$7:$E$24,3,0)</f>
        <v>#N/A</v>
      </c>
      <c r="AD143" s="80" t="str">
        <f t="shared" si="59"/>
        <v>0236-25</v>
      </c>
      <c r="AE143" s="72" t="str">
        <f t="shared" si="60"/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AF143" s="72" t="str">
        <f t="shared" si="61"/>
        <v>"C:\Program Files (x86)\AstroGrep\AstroGrep.exe" /spath="C:\Users\stu\Documents\Analysis\2016-02-23 RTDC Observations" /stypes="*4008*20160726*" /stext=" 06:.+((prompt.+disp)|(slice.+state.+chan)|(ment ac)|(system.+state.+chan)|(\|lc)|(penalty)|(\[timeout))" /e /r /s</v>
      </c>
      <c r="AG143" s="1" t="str">
        <f t="shared" si="62"/>
        <v>EC</v>
      </c>
    </row>
    <row r="144" spans="1:33" x14ac:dyDescent="0.25">
      <c r="A144" s="26" t="s">
        <v>574</v>
      </c>
      <c r="B144" s="106">
        <v>4038</v>
      </c>
      <c r="C144" s="107" t="s">
        <v>269</v>
      </c>
      <c r="D144" s="107" t="s">
        <v>281</v>
      </c>
      <c r="E144" s="108">
        <v>42576.955648148149</v>
      </c>
      <c r="F144" s="108">
        <v>42576.956643518519</v>
      </c>
      <c r="G144" s="106">
        <v>1</v>
      </c>
      <c r="H144" s="108" t="s">
        <v>575</v>
      </c>
      <c r="I144" s="108">
        <v>42576.986018518517</v>
      </c>
      <c r="J144" s="106">
        <v>1</v>
      </c>
      <c r="K144" s="26" t="str">
        <f t="shared" si="49"/>
        <v>4037/4038</v>
      </c>
      <c r="L144" s="26" t="str">
        <f>VLOOKUP(A144,'Trips&amp;Operators'!$C$1:$E$10000,3,FALSE)</f>
        <v>LEVERE</v>
      </c>
      <c r="M144" s="6">
        <f t="shared" si="50"/>
        <v>2.937499999825377E-2</v>
      </c>
      <c r="N144" s="7">
        <f t="shared" si="51"/>
        <v>42.299999997485429</v>
      </c>
      <c r="O144" s="7"/>
      <c r="P144" s="7"/>
      <c r="Q144" s="27"/>
      <c r="R144" s="27"/>
      <c r="S144" s="42">
        <f t="shared" si="52"/>
        <v>1</v>
      </c>
      <c r="T144" s="66" t="str">
        <f t="shared" si="53"/>
        <v>NorthBound</v>
      </c>
      <c r="U144" s="93">
        <f>COUNTIFS(Variables!$M$2:$M$19,IF(T144="NorthBound","&gt;=","&lt;=")&amp;Y144,Variables!$M$2:$M$19,IF(T144="NorthBound","&lt;=","&gt;=")&amp;Z144)</f>
        <v>12</v>
      </c>
      <c r="V14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21:56:08-0600',mode:absolute,to:'2016-07-26 00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W144" s="71" t="str">
        <f t="shared" si="54"/>
        <v>N</v>
      </c>
      <c r="X144" s="89">
        <f t="shared" si="55"/>
        <v>1</v>
      </c>
      <c r="Y144" s="86">
        <f t="shared" si="56"/>
        <v>4.7699999999999999E-2</v>
      </c>
      <c r="Z144" s="86">
        <f t="shared" si="57"/>
        <v>23.325700000000001</v>
      </c>
      <c r="AA144" s="86">
        <f t="shared" si="58"/>
        <v>23.278000000000002</v>
      </c>
      <c r="AB144" s="83">
        <f>VLOOKUP(A144,Enforcements!$C$7:$J$24,8,0)</f>
        <v>4677</v>
      </c>
      <c r="AC144" s="79" t="str">
        <f>VLOOKUP(A144,Enforcements!$C$7:$E$24,3,0)</f>
        <v>PERMANENT SPEED RESTRICTION</v>
      </c>
      <c r="AD144" s="80" t="str">
        <f t="shared" si="59"/>
        <v>0237-25</v>
      </c>
      <c r="AE144" s="72" t="str">
        <f t="shared" si="60"/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AF144" s="72" t="str">
        <f t="shared" si="61"/>
        <v>"C:\Program Files (x86)\AstroGrep\AstroGrep.exe" /spath="C:\Users\stu\Documents\Analysis\2016-02-23 RTDC Observations" /stypes="*4038*20160726*" /stext=" 05:.+((prompt.+disp)|(slice.+state.+chan)|(ment ac)|(system.+state.+chan)|(\|lc)|(penalty)|(\[timeout))" /e /r /s</v>
      </c>
      <c r="AG144" s="1" t="str">
        <f t="shared" si="62"/>
        <v>EC</v>
      </c>
    </row>
    <row r="145" spans="1:33" x14ac:dyDescent="0.25">
      <c r="A145" s="26" t="s">
        <v>576</v>
      </c>
      <c r="B145" s="106">
        <v>4037</v>
      </c>
      <c r="C145" s="107" t="s">
        <v>269</v>
      </c>
      <c r="D145" s="107" t="s">
        <v>577</v>
      </c>
      <c r="E145" s="108">
        <v>42576.990706018521</v>
      </c>
      <c r="F145" s="108">
        <v>42576.992847222224</v>
      </c>
      <c r="G145" s="106">
        <v>3</v>
      </c>
      <c r="H145" s="108" t="s">
        <v>176</v>
      </c>
      <c r="I145" s="108">
        <v>42577.026597222219</v>
      </c>
      <c r="J145" s="106">
        <v>0</v>
      </c>
      <c r="K145" s="26" t="str">
        <f t="shared" si="49"/>
        <v>4037/4038</v>
      </c>
      <c r="L145" s="26" t="str">
        <f>VLOOKUP(A145,'Trips&amp;Operators'!$C$1:$E$10000,3,FALSE)</f>
        <v>LEVERE</v>
      </c>
      <c r="M145" s="6">
        <f t="shared" si="50"/>
        <v>3.3749999995052349E-2</v>
      </c>
      <c r="N145" s="7">
        <f t="shared" si="51"/>
        <v>48.599999992875382</v>
      </c>
      <c r="O145" s="7"/>
      <c r="P145" s="7"/>
      <c r="Q145" s="27"/>
      <c r="R145" s="27"/>
      <c r="S145" s="42">
        <f t="shared" si="52"/>
        <v>1</v>
      </c>
      <c r="T145" s="66" t="str">
        <f t="shared" si="53"/>
        <v>Southbound</v>
      </c>
      <c r="U145" s="93">
        <f>COUNTIFS(Variables!$M$2:$M$19,IF(T145="NorthBound","&gt;=","&lt;=")&amp;Y145,Variables!$M$2:$M$19,IF(T145="NorthBound","&lt;=","&gt;=")&amp;Z145)</f>
        <v>12</v>
      </c>
      <c r="V14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22:46:37-0600',mode:absolute,to:'2016-07-26 01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W145" s="71" t="str">
        <f t="shared" si="54"/>
        <v>N</v>
      </c>
      <c r="X145" s="89">
        <f t="shared" si="55"/>
        <v>1</v>
      </c>
      <c r="Y145" s="86">
        <f t="shared" si="56"/>
        <v>23.2928</v>
      </c>
      <c r="Z145" s="86">
        <f t="shared" si="57"/>
        <v>1.6899999999999998E-2</v>
      </c>
      <c r="AA145" s="86">
        <f t="shared" si="58"/>
        <v>23.2759</v>
      </c>
      <c r="AB145" s="83" t="e">
        <f>VLOOKUP(A145,Enforcements!$C$7:$J$24,8,0)</f>
        <v>#N/A</v>
      </c>
      <c r="AC145" s="79" t="e">
        <f>VLOOKUP(A145,Enforcements!$C$7:$E$24,3,0)</f>
        <v>#N/A</v>
      </c>
      <c r="AD145" s="80" t="str">
        <f t="shared" si="59"/>
        <v>0238-25</v>
      </c>
      <c r="AE145" s="72" t="str">
        <f t="shared" si="60"/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AF145" s="72" t="str">
        <f t="shared" si="61"/>
        <v>"C:\Program Files (x86)\AstroGrep\AstroGrep.exe" /spath="C:\Users\stu\Documents\Analysis\2016-02-23 RTDC Observations" /stypes="*4037*20160726*" /stext=" 06:.+((prompt.+disp)|(slice.+state.+chan)|(ment ac)|(system.+state.+chan)|(\|lc)|(penalty)|(\[timeout))" /e /r /s</v>
      </c>
      <c r="AG145" s="1" t="str">
        <f t="shared" si="62"/>
        <v>EC</v>
      </c>
    </row>
    <row r="146" spans="1:33" x14ac:dyDescent="0.25">
      <c r="A146" s="26" t="s">
        <v>578</v>
      </c>
      <c r="B146" s="106">
        <v>4014</v>
      </c>
      <c r="C146" s="107" t="s">
        <v>269</v>
      </c>
      <c r="D146" s="107" t="s">
        <v>106</v>
      </c>
      <c r="E146" s="108">
        <v>42576.974722222221</v>
      </c>
      <c r="F146" s="108">
        <v>42576.978912037041</v>
      </c>
      <c r="G146" s="106">
        <v>6</v>
      </c>
      <c r="H146" s="108" t="s">
        <v>175</v>
      </c>
      <c r="I146" s="108">
        <v>42577.003969907404</v>
      </c>
      <c r="J146" s="106">
        <v>0</v>
      </c>
      <c r="K146" s="26" t="str">
        <f t="shared" si="49"/>
        <v>4013/4014</v>
      </c>
      <c r="L146" s="26" t="str">
        <f>VLOOKUP(A146,'Trips&amp;Operators'!$C$1:$E$10000,3,FALSE)</f>
        <v>NEWELL</v>
      </c>
      <c r="M146" s="6">
        <f t="shared" si="50"/>
        <v>2.5057870363525581E-2</v>
      </c>
      <c r="N146" s="7">
        <f t="shared" si="51"/>
        <v>36.083333323476836</v>
      </c>
      <c r="O146" s="7"/>
      <c r="P146" s="7"/>
      <c r="Q146" s="27"/>
      <c r="R146" s="27"/>
      <c r="S146" s="42">
        <f t="shared" si="52"/>
        <v>1</v>
      </c>
      <c r="T146" s="66" t="str">
        <f t="shared" si="53"/>
        <v>NorthBound</v>
      </c>
      <c r="U146" s="93">
        <f>COUNTIFS(Variables!$M$2:$M$19,IF(T146="NorthBound","&gt;=","&lt;=")&amp;Y146,Variables!$M$2:$M$19,IF(T146="NorthBound","&lt;=","&gt;=")&amp;Z146)</f>
        <v>12</v>
      </c>
      <c r="V14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22:23:36-0600',mode:absolute,to:'2016-07-26 01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4014%22')),sort:!(Time,asc))</v>
      </c>
      <c r="W146" s="71" t="str">
        <f t="shared" si="54"/>
        <v>N</v>
      </c>
      <c r="X146" s="89">
        <f t="shared" si="55"/>
        <v>1</v>
      </c>
      <c r="Y146" s="86">
        <f t="shared" si="56"/>
        <v>4.5100000000000001E-2</v>
      </c>
      <c r="Z146" s="86">
        <f t="shared" si="57"/>
        <v>23.330300000000001</v>
      </c>
      <c r="AA146" s="86">
        <f t="shared" si="58"/>
        <v>23.2852</v>
      </c>
      <c r="AB146" s="83" t="e">
        <f>VLOOKUP(A146,Enforcements!$C$7:$J$24,8,0)</f>
        <v>#N/A</v>
      </c>
      <c r="AC146" s="79" t="e">
        <f>VLOOKUP(A146,Enforcements!$C$7:$E$24,3,0)</f>
        <v>#N/A</v>
      </c>
      <c r="AD146" s="80" t="str">
        <f t="shared" si="59"/>
        <v>0239-25</v>
      </c>
      <c r="AE146" s="72" t="str">
        <f t="shared" si="60"/>
        <v>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 &amp; aws s3 cp s3://rtdc.mdm.uploadarchive/RTDC4014/2016-07-26/ "C:\Users\stu\Documents\Analysis\2016-02-23 RTDC Observations"\RTDC4014\2016-07-26 --recursive &amp; "C:\Users\stu\Documents\GitHub\mrs-test-scripts\Headless Mode &amp; Sideloading\WalkAndUnGZ.bat" "C:\Users\stu\Documents\Analysis\2016-02-23 RTDC Observations"\RTDC4014\2016-07-26</v>
      </c>
      <c r="AF146" s="72" t="str">
        <f t="shared" si="61"/>
        <v>"C:\Program Files (x86)\AstroGrep\AstroGrep.exe" /spath="C:\Users\stu\Documents\Analysis\2016-02-23 RTDC Observations" /stypes="*4014*20160726*" /stext=" 06:.+((prompt.+disp)|(slice.+state.+chan)|(ment ac)|(system.+state.+chan)|(\|lc)|(penalty)|(\[timeout))" /e /r /s</v>
      </c>
      <c r="AG146" s="1" t="str">
        <f t="shared" si="62"/>
        <v>EC</v>
      </c>
    </row>
    <row r="147" spans="1:33" x14ac:dyDescent="0.25">
      <c r="A147" s="26" t="s">
        <v>579</v>
      </c>
      <c r="B147" s="106">
        <v>4013</v>
      </c>
      <c r="C147" s="107" t="s">
        <v>269</v>
      </c>
      <c r="D147" s="107" t="s">
        <v>154</v>
      </c>
      <c r="E147" s="108">
        <v>42577.014756944445</v>
      </c>
      <c r="F147" s="108">
        <v>42577.015486111108</v>
      </c>
      <c r="G147" s="106">
        <v>1</v>
      </c>
      <c r="H147" s="108" t="s">
        <v>338</v>
      </c>
      <c r="I147" s="108">
        <v>42577.044756944444</v>
      </c>
      <c r="J147" s="106">
        <v>1</v>
      </c>
      <c r="K147" s="26" t="str">
        <f t="shared" si="49"/>
        <v>4013/4014</v>
      </c>
      <c r="L147" s="26" t="str">
        <f>VLOOKUP(A147,'Trips&amp;Operators'!$C$1:$E$10000,3,FALSE)</f>
        <v>NEWELL</v>
      </c>
      <c r="M147" s="6">
        <f t="shared" si="50"/>
        <v>2.9270833336340729E-2</v>
      </c>
      <c r="N147" s="7">
        <f t="shared" si="51"/>
        <v>42.15000000433065</v>
      </c>
      <c r="O147" s="7"/>
      <c r="P147" s="7"/>
      <c r="Q147" s="27"/>
      <c r="R147" s="27"/>
      <c r="S147" s="42">
        <f t="shared" si="52"/>
        <v>1</v>
      </c>
      <c r="T147" s="66" t="str">
        <f t="shared" si="53"/>
        <v>Southbound</v>
      </c>
      <c r="U147" s="93">
        <f>COUNTIFS(Variables!$M$2:$M$19,IF(T147="NorthBound","&gt;=","&lt;=")&amp;Y147,Variables!$M$2:$M$19,IF(T147="NorthBound","&lt;=","&gt;=")&amp;Z147)</f>
        <v>12</v>
      </c>
      <c r="V14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23:21:15-0600',mode:absolute,to:'2016-07-26 02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W147" s="71" t="str">
        <f t="shared" si="54"/>
        <v>N</v>
      </c>
      <c r="X147" s="89">
        <f t="shared" si="55"/>
        <v>1</v>
      </c>
      <c r="Y147" s="86">
        <f t="shared" si="56"/>
        <v>23.298200000000001</v>
      </c>
      <c r="Z147" s="86">
        <f t="shared" si="57"/>
        <v>1.67E-2</v>
      </c>
      <c r="AA147" s="86">
        <f t="shared" si="58"/>
        <v>23.281500000000001</v>
      </c>
      <c r="AB147" s="83" t="e">
        <f>VLOOKUP(A147,Enforcements!$C$7:$J$24,8,0)</f>
        <v>#N/A</v>
      </c>
      <c r="AC147" s="79" t="e">
        <f>VLOOKUP(A147,Enforcements!$C$7:$E$24,3,0)</f>
        <v>#N/A</v>
      </c>
      <c r="AD147" s="80" t="str">
        <f t="shared" si="59"/>
        <v>0240-25</v>
      </c>
      <c r="AE147" s="72" t="str">
        <f t="shared" si="60"/>
        <v>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 &amp; aws s3 cp s3://rtdc.mdm.uploadarchive/RTDC4013/2016-07-27/ "C:\Users\stu\Documents\Analysis\2016-02-23 RTDC Observations"\RTDC4013\2016-07-27 --recursive &amp; "C:\Users\stu\Documents\GitHub\mrs-test-scripts\Headless Mode &amp; Sideloading\WalkAndUnGZ.bat" "C:\Users\stu\Documents\Analysis\2016-02-23 RTDC Observations"\RTDC4013\2016-07-27</v>
      </c>
      <c r="AF147" s="72" t="str">
        <f t="shared" si="61"/>
        <v>"C:\Program Files (x86)\AstroGrep\AstroGrep.exe" /spath="C:\Users\stu\Documents\Analysis\2016-02-23 RTDC Observations" /stypes="*4013*20160726*" /stext=" 07:.+((prompt.+disp)|(slice.+state.+chan)|(ment ac)|(system.+state.+chan)|(\|lc)|(penalty)|(\[timeout))" /e /r /s</v>
      </c>
      <c r="AG147" s="1" t="str">
        <f t="shared" si="62"/>
        <v>EC</v>
      </c>
    </row>
    <row r="148" spans="1:33" x14ac:dyDescent="0.25">
      <c r="A148" s="26" t="s">
        <v>580</v>
      </c>
      <c r="B148" s="106">
        <v>4016</v>
      </c>
      <c r="C148" s="107" t="s">
        <v>269</v>
      </c>
      <c r="D148" s="107" t="s">
        <v>171</v>
      </c>
      <c r="E148" s="108">
        <v>42576.997314814813</v>
      </c>
      <c r="F148" s="108">
        <v>42576.998368055552</v>
      </c>
      <c r="G148" s="106">
        <v>1</v>
      </c>
      <c r="H148" s="108" t="s">
        <v>181</v>
      </c>
      <c r="I148" s="108">
        <v>42577.033263888887</v>
      </c>
      <c r="J148" s="106">
        <v>0</v>
      </c>
      <c r="K148" s="26" t="str">
        <f t="shared" si="49"/>
        <v>4015/4016</v>
      </c>
      <c r="L148" s="26" t="str">
        <f>VLOOKUP(A148,'Trips&amp;Operators'!$C$1:$E$10000,3,FALSE)</f>
        <v>CHANDLER</v>
      </c>
      <c r="M148" s="6">
        <f t="shared" si="50"/>
        <v>3.4895833334303461E-2</v>
      </c>
      <c r="N148" s="7">
        <f t="shared" si="51"/>
        <v>50.250000001396984</v>
      </c>
      <c r="O148" s="7"/>
      <c r="P148" s="7"/>
      <c r="Q148" s="27"/>
      <c r="R148" s="27"/>
      <c r="S148" s="42">
        <f t="shared" si="52"/>
        <v>1</v>
      </c>
      <c r="T148" s="66" t="str">
        <f t="shared" si="53"/>
        <v>NorthBound</v>
      </c>
      <c r="U148" s="93">
        <f>COUNTIFS(Variables!$M$2:$M$19,IF(T148="NorthBound","&gt;=","&lt;=")&amp;Y148,Variables!$M$2:$M$19,IF(T148="NorthBound","&lt;=","&gt;=")&amp;Z148)</f>
        <v>12</v>
      </c>
      <c r="V14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22:56:08-0600',mode:absolute,to:'2016-07-26 01:47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W148" s="71" t="str">
        <f t="shared" si="54"/>
        <v>N</v>
      </c>
      <c r="X148" s="89">
        <f t="shared" si="55"/>
        <v>1</v>
      </c>
      <c r="Y148" s="86">
        <f t="shared" si="56"/>
        <v>4.7300000000000002E-2</v>
      </c>
      <c r="Z148" s="86">
        <f t="shared" si="57"/>
        <v>23.329499999999999</v>
      </c>
      <c r="AA148" s="86">
        <f t="shared" si="58"/>
        <v>23.2822</v>
      </c>
      <c r="AB148" s="83" t="e">
        <f>VLOOKUP(A148,Enforcements!$C$7:$J$24,8,0)</f>
        <v>#N/A</v>
      </c>
      <c r="AC148" s="79" t="e">
        <f>VLOOKUP(A148,Enforcements!$C$7:$E$24,3,0)</f>
        <v>#N/A</v>
      </c>
      <c r="AD148" s="80" t="str">
        <f t="shared" si="59"/>
        <v>0241-25</v>
      </c>
      <c r="AE148" s="72" t="str">
        <f t="shared" si="60"/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AF148" s="72" t="str">
        <f t="shared" si="61"/>
        <v>"C:\Program Files (x86)\AstroGrep\AstroGrep.exe" /spath="C:\Users\stu\Documents\Analysis\2016-02-23 RTDC Observations" /stypes="*4016*20160726*" /stext=" 06:.+((prompt.+disp)|(slice.+state.+chan)|(ment ac)|(system.+state.+chan)|(\|lc)|(penalty)|(\[timeout))" /e /r /s</v>
      </c>
      <c r="AG148" s="1" t="str">
        <f t="shared" si="62"/>
        <v>EC</v>
      </c>
    </row>
    <row r="149" spans="1:33" x14ac:dyDescent="0.25">
      <c r="A149" s="26" t="s">
        <v>581</v>
      </c>
      <c r="B149" s="106">
        <v>4015</v>
      </c>
      <c r="C149" s="107" t="s">
        <v>269</v>
      </c>
      <c r="D149" s="107" t="s">
        <v>256</v>
      </c>
      <c r="E149" s="108">
        <v>42577.038217592592</v>
      </c>
      <c r="F149" s="108">
        <v>42577.039097222223</v>
      </c>
      <c r="G149" s="106">
        <v>1</v>
      </c>
      <c r="H149" s="108" t="s">
        <v>423</v>
      </c>
      <c r="I149" s="108">
        <v>42577.066134259258</v>
      </c>
      <c r="J149" s="106">
        <v>0</v>
      </c>
      <c r="K149" s="26" t="str">
        <f t="shared" si="49"/>
        <v>4015/4016</v>
      </c>
      <c r="L149" s="26" t="str">
        <f>VLOOKUP(A149,'Trips&amp;Operators'!$C$1:$E$10000,3,FALSE)</f>
        <v>CHANDLER</v>
      </c>
      <c r="M149" s="6">
        <f t="shared" si="50"/>
        <v>2.7037037034460809E-2</v>
      </c>
      <c r="N149" s="7">
        <f t="shared" si="51"/>
        <v>38.933333329623565</v>
      </c>
      <c r="O149" s="7"/>
      <c r="P149" s="7"/>
      <c r="Q149" s="27"/>
      <c r="R149" s="27"/>
      <c r="S149" s="42">
        <f t="shared" si="52"/>
        <v>1</v>
      </c>
      <c r="T149" s="66" t="str">
        <f t="shared" si="53"/>
        <v>Southbound</v>
      </c>
      <c r="U149" s="93">
        <f>COUNTIFS(Variables!$M$2:$M$19,IF(T149="NorthBound","&gt;=","&lt;=")&amp;Y149,Variables!$M$2:$M$19,IF(T149="NorthBound","&lt;=","&gt;=")&amp;Z149)</f>
        <v>12</v>
      </c>
      <c r="V14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23:55:02-0600',mode:absolute,to:'2016-07-26 02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4015%22')),sort:!(Time,asc))</v>
      </c>
      <c r="W149" s="71" t="str">
        <f t="shared" si="54"/>
        <v>N</v>
      </c>
      <c r="X149" s="89">
        <f t="shared" si="55"/>
        <v>1</v>
      </c>
      <c r="Y149" s="86">
        <f t="shared" si="56"/>
        <v>23.299099999999999</v>
      </c>
      <c r="Z149" s="86">
        <f t="shared" si="57"/>
        <v>1.8100000000000002E-2</v>
      </c>
      <c r="AA149" s="86">
        <f t="shared" si="58"/>
        <v>23.280999999999999</v>
      </c>
      <c r="AB149" s="83" t="e">
        <f>VLOOKUP(A149,Enforcements!$C$7:$J$24,8,0)</f>
        <v>#N/A</v>
      </c>
      <c r="AC149" s="79" t="e">
        <f>VLOOKUP(A149,Enforcements!$C$7:$E$24,3,0)</f>
        <v>#N/A</v>
      </c>
      <c r="AD149" s="80" t="str">
        <f t="shared" si="59"/>
        <v>0242-25</v>
      </c>
      <c r="AE149" s="72" t="str">
        <f t="shared" si="60"/>
        <v>aws s3 cp s3://rtdc.mdm.uploadarchive/RTDC4015/2016-07-26/ "C:\Users\stu\Documents\Analysis\2016-02-23 RTDC Observations"\RTDC4015\2016-07-26 --recursive &amp; "C:\Users\stu\Documents\GitHub\mrs-test-scripts\Headless Mode &amp; Sideloading\WalkAndUnGZ.bat" "C:\Users\stu\Documents\Analysis\2016-02-23 RTDC Observations"\RTDC4015\2016-07-26 &amp; aws s3 cp s3://rtdc.mdm.uploadarchive/RTDC4015/2016-07-27/ "C:\Users\stu\Documents\Analysis\2016-02-23 RTDC Observations"\RTDC4015\2016-07-27 --recursive &amp; "C:\Users\stu\Documents\GitHub\mrs-test-scripts\Headless Mode &amp; Sideloading\WalkAndUnGZ.bat" "C:\Users\stu\Documents\Analysis\2016-02-23 RTDC Observations"\RTDC4015\2016-07-27</v>
      </c>
      <c r="AF149" s="72" t="str">
        <f t="shared" si="61"/>
        <v>"C:\Program Files (x86)\AstroGrep\AstroGrep.exe" /spath="C:\Users\stu\Documents\Analysis\2016-02-23 RTDC Observations" /stypes="*4015*20160726*" /stext=" 07:.+((prompt.+disp)|(slice.+state.+chan)|(ment ac)|(system.+state.+chan)|(\|lc)|(penalty)|(\[timeout))" /e /r /s</v>
      </c>
      <c r="AG149" s="1" t="str">
        <f t="shared" si="62"/>
        <v>EC</v>
      </c>
    </row>
    <row r="150" spans="1:33" x14ac:dyDescent="0.25">
      <c r="A150" s="26" t="s">
        <v>582</v>
      </c>
      <c r="B150" s="106">
        <v>4007</v>
      </c>
      <c r="C150" s="107" t="s">
        <v>269</v>
      </c>
      <c r="D150" s="107" t="s">
        <v>244</v>
      </c>
      <c r="E150" s="108">
        <v>42577.006504629629</v>
      </c>
      <c r="F150" s="108">
        <v>42577.007453703707</v>
      </c>
      <c r="G150" s="106">
        <v>1</v>
      </c>
      <c r="H150" s="108" t="s">
        <v>175</v>
      </c>
      <c r="I150" s="108">
        <v>42577.045474537037</v>
      </c>
      <c r="J150" s="106">
        <v>0</v>
      </c>
      <c r="K150" s="26" t="str">
        <f t="shared" si="49"/>
        <v>4007/4008</v>
      </c>
      <c r="L150" s="26" t="str">
        <f>VLOOKUP(A150,'Trips&amp;Operators'!$C$1:$E$10000,3,FALSE)</f>
        <v>YANAI</v>
      </c>
      <c r="M150" s="6">
        <f t="shared" si="50"/>
        <v>3.8020833329937886E-2</v>
      </c>
      <c r="N150" s="7">
        <f t="shared" si="51"/>
        <v>54.749999995110556</v>
      </c>
      <c r="O150" s="7"/>
      <c r="P150" s="7"/>
      <c r="Q150" s="27"/>
      <c r="R150" s="27"/>
      <c r="S150" s="42">
        <f t="shared" si="52"/>
        <v>1</v>
      </c>
      <c r="T150" s="66" t="str">
        <f t="shared" si="53"/>
        <v>NorthBound</v>
      </c>
      <c r="U150" s="93">
        <f>COUNTIFS(Variables!$M$2:$M$19,IF(T150="NorthBound","&gt;=","&lt;=")&amp;Y150,Variables!$M$2:$M$19,IF(T150="NorthBound","&lt;=","&gt;=")&amp;Z150)</f>
        <v>12</v>
      </c>
      <c r="V15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23:09:22-0600',mode:absolute,to:'2016-07-26 02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W150" s="71" t="str">
        <f t="shared" si="54"/>
        <v>N</v>
      </c>
      <c r="X150" s="89">
        <f t="shared" si="55"/>
        <v>1</v>
      </c>
      <c r="Y150" s="86">
        <f t="shared" si="56"/>
        <v>4.7100000000000003E-2</v>
      </c>
      <c r="Z150" s="86">
        <f t="shared" si="57"/>
        <v>23.330300000000001</v>
      </c>
      <c r="AA150" s="86">
        <f t="shared" si="58"/>
        <v>23.283200000000001</v>
      </c>
      <c r="AB150" s="83" t="e">
        <f>VLOOKUP(A150,Enforcements!$C$7:$J$24,8,0)</f>
        <v>#N/A</v>
      </c>
      <c r="AC150" s="79" t="e">
        <f>VLOOKUP(A150,Enforcements!$C$7:$E$24,3,0)</f>
        <v>#N/A</v>
      </c>
      <c r="AD150" s="80" t="str">
        <f t="shared" si="59"/>
        <v>0243-25</v>
      </c>
      <c r="AE150" s="72" t="str">
        <f t="shared" si="60"/>
        <v>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 &amp; aws s3 cp s3://rtdc.mdm.uploadarchive/RTDC4007/2016-07-27/ "C:\Users\stu\Documents\Analysis\2016-02-23 RTDC Observations"\RTDC4007\2016-07-27 --recursive &amp; "C:\Users\stu\Documents\GitHub\mrs-test-scripts\Headless Mode &amp; Sideloading\WalkAndUnGZ.bat" "C:\Users\stu\Documents\Analysis\2016-02-23 RTDC Observations"\RTDC4007\2016-07-27</v>
      </c>
      <c r="AF150" s="72" t="str">
        <f t="shared" si="61"/>
        <v>"C:\Program Files (x86)\AstroGrep\AstroGrep.exe" /spath="C:\Users\stu\Documents\Analysis\2016-02-23 RTDC Observations" /stypes="*4007*20160726*" /stext=" 07:.+((prompt.+disp)|(slice.+state.+chan)|(ment ac)|(system.+state.+chan)|(\|lc)|(penalty)|(\[timeout))" /e /r /s</v>
      </c>
      <c r="AG150" s="1" t="str">
        <f t="shared" si="62"/>
        <v>EC</v>
      </c>
    </row>
    <row r="151" spans="1:33" x14ac:dyDescent="0.25">
      <c r="A151" s="26" t="s">
        <v>583</v>
      </c>
      <c r="B151" s="106">
        <v>4008</v>
      </c>
      <c r="C151" s="107" t="s">
        <v>269</v>
      </c>
      <c r="D151" s="107" t="s">
        <v>237</v>
      </c>
      <c r="E151" s="108">
        <v>42577.057222222225</v>
      </c>
      <c r="F151" s="108">
        <v>42577.058240740742</v>
      </c>
      <c r="G151" s="106">
        <v>1</v>
      </c>
      <c r="H151" s="108" t="s">
        <v>176</v>
      </c>
      <c r="I151" s="108">
        <v>42577.086608796293</v>
      </c>
      <c r="J151" s="106">
        <v>0</v>
      </c>
      <c r="K151" s="26" t="str">
        <f t="shared" si="49"/>
        <v>4007/4008</v>
      </c>
      <c r="L151" s="26" t="str">
        <f>VLOOKUP(A151,'Trips&amp;Operators'!$C$1:$E$10000,3,FALSE)</f>
        <v>YANAI</v>
      </c>
      <c r="M151" s="6">
        <f t="shared" si="50"/>
        <v>2.8368055551254656E-2</v>
      </c>
      <c r="N151" s="7">
        <f t="shared" si="51"/>
        <v>40.849999993806705</v>
      </c>
      <c r="O151" s="7"/>
      <c r="P151" s="7"/>
      <c r="Q151" s="27"/>
      <c r="R151" s="27"/>
      <c r="S151" s="42">
        <f t="shared" si="52"/>
        <v>1</v>
      </c>
      <c r="T151" s="66" t="str">
        <f t="shared" si="53"/>
        <v>Southbound</v>
      </c>
      <c r="U151" s="93">
        <f>COUNTIFS(Variables!$M$2:$M$19,IF(T151="NorthBound","&gt;=","&lt;=")&amp;Y151,Variables!$M$2:$M$19,IF(T151="NorthBound","&lt;=","&gt;=")&amp;Z151)</f>
        <v>12</v>
      </c>
      <c r="V15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https://search-rtdc-monitor-bjffxe2xuh6vdkpspy63sjmuny.us-east-1.es.amazonaws.com/_plugin/kibana/#/discover/Steve-Slow-Train-Analysis-(2080s-and-2083s)?_g=(refreshInterval:(display:Off,section:0,value:0),time:(from:'2016-07-26 00:22:24-0600',mode:absolute,to:'2016-07-26 03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W151" s="71" t="str">
        <f t="shared" si="54"/>
        <v>N</v>
      </c>
      <c r="X151" s="89">
        <f t="shared" si="55"/>
        <v>1</v>
      </c>
      <c r="Y151" s="86">
        <f t="shared" si="56"/>
        <v>23.299800000000001</v>
      </c>
      <c r="Z151" s="86">
        <f t="shared" si="57"/>
        <v>1.6899999999999998E-2</v>
      </c>
      <c r="AA151" s="86">
        <f t="shared" si="58"/>
        <v>23.282900000000001</v>
      </c>
      <c r="AB151" s="83" t="e">
        <f>VLOOKUP(A151,Enforcements!$C$7:$J$24,8,0)</f>
        <v>#N/A</v>
      </c>
      <c r="AC151" s="79" t="e">
        <f>VLOOKUP(A151,Enforcements!$C$7:$E$24,3,0)</f>
        <v>#N/A</v>
      </c>
      <c r="AD151" s="80" t="str">
        <f t="shared" si="59"/>
        <v>0244-25</v>
      </c>
      <c r="AE151" s="72" t="str">
        <f t="shared" si="60"/>
        <v>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 &amp; aws s3 cp s3://rtdc.mdm.uploadarchive/RTDC4008/2016-07-27/ "C:\Users\stu\Documents\Analysis\2016-02-23 RTDC Observations"\RTDC4008\2016-07-27 --recursive &amp; "C:\Users\stu\Documents\GitHub\mrs-test-scripts\Headless Mode &amp; Sideloading\WalkAndUnGZ.bat" "C:\Users\stu\Documents\Analysis\2016-02-23 RTDC Observations"\RTDC4008\2016-07-27</v>
      </c>
      <c r="AF151" s="72" t="str">
        <f t="shared" si="61"/>
        <v>"C:\Program Files (x86)\AstroGrep\AstroGrep.exe" /spath="C:\Users\stu\Documents\Analysis\2016-02-23 RTDC Observations" /stypes="*4008*20160726*" /stext=" 08:.+((prompt.+disp)|(slice.+state.+chan)|(ment ac)|(system.+state.+chan)|(\|lc)|(penalty)|(\[timeout))" /e /r /s</v>
      </c>
      <c r="AG151" s="1" t="str">
        <f t="shared" si="62"/>
        <v>EC</v>
      </c>
    </row>
    <row r="152" spans="1:33" x14ac:dyDescent="0.25">
      <c r="A152" s="26" t="s">
        <v>584</v>
      </c>
      <c r="B152" s="106">
        <v>4032</v>
      </c>
      <c r="C152" s="107" t="s">
        <v>269</v>
      </c>
      <c r="D152" s="107" t="s">
        <v>585</v>
      </c>
      <c r="E152" s="108">
        <v>42576.419224537036</v>
      </c>
      <c r="F152" s="108">
        <v>42576.421840277777</v>
      </c>
      <c r="G152" s="106">
        <v>3</v>
      </c>
      <c r="H152" s="108" t="s">
        <v>586</v>
      </c>
      <c r="I152" s="108">
        <v>42576.454502314817</v>
      </c>
      <c r="J152" s="106">
        <v>0</v>
      </c>
      <c r="K152" s="26" t="str">
        <f t="shared" ref="K152:K157" si="63">IF(ISEVEN(B152),(B152-1)&amp;"/"&amp;B152,B152&amp;"/"&amp;(B152+1))</f>
        <v>4031/4032</v>
      </c>
      <c r="L152" s="26" t="str">
        <f>VLOOKUP(A152,'Trips&amp;Operators'!$C$1:$E$10000,3,FALSE)</f>
        <v>ROCHA</v>
      </c>
      <c r="M152" s="6">
        <f t="shared" ref="M152:M157" si="64">I152-F152</f>
        <v>3.2662037039699499E-2</v>
      </c>
      <c r="N152" s="7"/>
      <c r="O152" s="7"/>
      <c r="P152" s="7"/>
      <c r="Q152" s="27"/>
      <c r="R152" s="27"/>
      <c r="S152" s="42"/>
      <c r="T152" s="66"/>
      <c r="U152" s="93"/>
      <c r="V15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09:03:41-0600',mode:absolute,to:'2016-07-25 11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52" s="71"/>
      <c r="X152" s="89"/>
      <c r="Y152" s="86">
        <f t="shared" ref="Y152:Y157" si="65">RIGHT(D152,LEN(D152)-4)/10000</f>
        <v>5.7317999999999998</v>
      </c>
      <c r="Z152" s="86">
        <f t="shared" ref="Z152:Z157" si="66">RIGHT(H152,LEN(H152)-4)/10000</f>
        <v>6.3299999999999995E-2</v>
      </c>
      <c r="AA152" s="86">
        <f t="shared" ref="AA152:AA157" si="67">ABS(Z152-Y152)</f>
        <v>5.6684999999999999</v>
      </c>
      <c r="AB152" s="83" t="e">
        <f>VLOOKUP(A152,Enforcements!$C$7:$J$24,8,0)</f>
        <v>#N/A</v>
      </c>
      <c r="AC152" s="79" t="e">
        <f>VLOOKUP(A152,Enforcements!$C$7:$E$24,3,0)</f>
        <v>#N/A</v>
      </c>
      <c r="AD152" s="80" t="str">
        <f t="shared" ref="AD152:AD157" si="68">IF(LEN(A152)=6,"0"&amp;A152,A152)</f>
        <v>0800-25</v>
      </c>
      <c r="AE152" s="72" t="str">
        <f t="shared" ref="AE152:AE172" si="69">"aws s3 cp "&amp;s3_bucket&amp;"/RTDC"&amp;B152&amp;"/"&amp;TEXT(F152,"YYYY-MM-DD")&amp;"/ "&amp;search_path&amp;"\RTDC"&amp;B152&amp;"\"&amp;TEXT(F152,"YYYY-MM-DD")&amp;" --recursive &amp; """&amp;walkandungz&amp;""" "&amp;search_path&amp;"\RTDC"&amp;B152&amp;"\"&amp;TEXT(F152,"YYYY-MM-DD")
&amp;" &amp; "&amp;"aws s3 cp "&amp;s3_bucket&amp;"/RTDC"&amp;B152&amp;"/"&amp;TEXT(F152+1,"YYYY-MM-DD")&amp;"/ "&amp;search_path&amp;"\RTDC"&amp;B152&amp;"\"&amp;TEXT(F152+1,"YYYY-MM-DD")&amp;" --recursive &amp; """&amp;walkandungz&amp;""" "&amp;search_path&amp;"\RTDC"&amp;B152&amp;"\"&amp;TEXT(F152+1,"YYYY-MM-DD")</f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52" s="72" t="str">
        <f t="shared" ref="AF152:AF172" si="70">astrogrep_path&amp;" /spath="&amp;search_path&amp;" /stypes=""*"&amp;B152&amp;"*"&amp;TEXT(I152-utc_offset/24,"YYYYMMDD")&amp;"*"" /stext="" "&amp;TEXT(I152-utc_offset/24,"HH")&amp;search_regexp&amp;""" /e /r /s"</f>
        <v>"C:\Program Files (x86)\AstroGrep\AstroGrep.exe" /spath="C:\Users\stu\Documents\Analysis\2016-02-23 RTDC Observations" /stypes="*4032*20160725*" /stext=" 16:.+((prompt.+disp)|(slice.+state.+chan)|(ment ac)|(system.+state.+chan)|(\|lc)|(penalty)|(\[timeout))" /e /r /s</v>
      </c>
      <c r="AG152" s="1" t="str">
        <f t="shared" ref="AG152:AG157" si="71">IF(VALUE(LEFT(AD152,4))&lt;300,"EC","NWGL")</f>
        <v>NWGL</v>
      </c>
    </row>
    <row r="153" spans="1:33" x14ac:dyDescent="0.25">
      <c r="A153" s="26" t="s">
        <v>587</v>
      </c>
      <c r="B153" s="106">
        <v>4042</v>
      </c>
      <c r="C153" s="107" t="s">
        <v>269</v>
      </c>
      <c r="D153" s="107" t="s">
        <v>351</v>
      </c>
      <c r="E153" s="108">
        <v>42576.430497685185</v>
      </c>
      <c r="F153" s="108">
        <v>42576.431689814817</v>
      </c>
      <c r="G153" s="106">
        <v>1</v>
      </c>
      <c r="H153" s="108" t="s">
        <v>588</v>
      </c>
      <c r="I153" s="108">
        <v>42576.454467592594</v>
      </c>
      <c r="J153" s="106">
        <v>1</v>
      </c>
      <c r="K153" s="26" t="str">
        <f t="shared" si="63"/>
        <v>4041/4042</v>
      </c>
      <c r="L153" s="26" t="str">
        <f>VLOOKUP(A153,'Trips&amp;Operators'!$C$1:$E$10000,3,FALSE)</f>
        <v>ADANE</v>
      </c>
      <c r="M153" s="6">
        <f t="shared" si="64"/>
        <v>2.2777777776354924E-2</v>
      </c>
      <c r="N153" s="7"/>
      <c r="O153" s="7"/>
      <c r="P153" s="7"/>
      <c r="Q153" s="27"/>
      <c r="R153" s="27"/>
      <c r="S153" s="42"/>
      <c r="T153" s="66"/>
      <c r="U153" s="93"/>
      <c r="V15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09:19:55-0600',mode:absolute,to:'2016-07-25 11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53" s="71"/>
      <c r="X153" s="89"/>
      <c r="Y153" s="86">
        <f t="shared" si="65"/>
        <v>9.1999999999999998E-2</v>
      </c>
      <c r="Z153" s="86">
        <f t="shared" si="66"/>
        <v>5.7622</v>
      </c>
      <c r="AA153" s="86">
        <f t="shared" si="67"/>
        <v>5.6702000000000004</v>
      </c>
      <c r="AB153" s="83" t="e">
        <f>VLOOKUP(A153,Enforcements!$C$7:$J$24,8,0)</f>
        <v>#N/A</v>
      </c>
      <c r="AC153" s="79" t="e">
        <f>VLOOKUP(A153,Enforcements!$C$7:$E$24,3,0)</f>
        <v>#N/A</v>
      </c>
      <c r="AD153" s="80" t="str">
        <f t="shared" si="68"/>
        <v>0801-25</v>
      </c>
      <c r="AE153" s="72" t="str">
        <f t="shared" si="6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53" s="72" t="str">
        <f t="shared" si="70"/>
        <v>"C:\Program Files (x86)\AstroGrep\AstroGrep.exe" /spath="C:\Users\stu\Documents\Analysis\2016-02-23 RTDC Observations" /stypes="*4042*20160725*" /stext=" 16:.+((prompt.+disp)|(slice.+state.+chan)|(ment ac)|(system.+state.+chan)|(\|lc)|(penalty)|(\[timeout))" /e /r /s</v>
      </c>
      <c r="AG153" s="1" t="str">
        <f t="shared" si="71"/>
        <v>NWGL</v>
      </c>
    </row>
    <row r="154" spans="1:33" x14ac:dyDescent="0.25">
      <c r="A154" s="26" t="s">
        <v>589</v>
      </c>
      <c r="B154" s="106">
        <v>4026</v>
      </c>
      <c r="C154" s="107" t="s">
        <v>59</v>
      </c>
      <c r="D154" s="107" t="s">
        <v>590</v>
      </c>
      <c r="E154" s="108">
        <v>42576.453564814816</v>
      </c>
      <c r="F154" s="108">
        <v>42576.45449074074</v>
      </c>
      <c r="G154" s="106">
        <v>1</v>
      </c>
      <c r="H154" s="108" t="s">
        <v>591</v>
      </c>
      <c r="I154" s="108">
        <v>42576.468043981484</v>
      </c>
      <c r="J154" s="106">
        <v>0</v>
      </c>
      <c r="K154" s="26" t="str">
        <f t="shared" si="63"/>
        <v>4025/4026</v>
      </c>
      <c r="L154" s="26" t="str">
        <f>VLOOKUP(A154,'Trips&amp;Operators'!$C$1:$E$10000,3,FALSE)</f>
        <v>REBOLETTI</v>
      </c>
      <c r="M154" s="6">
        <f t="shared" si="64"/>
        <v>1.3553240743931383E-2</v>
      </c>
      <c r="N154" s="7"/>
      <c r="O154" s="7"/>
      <c r="P154" s="7"/>
      <c r="Q154" s="27"/>
      <c r="R154" s="27"/>
      <c r="S154" s="42"/>
      <c r="T154" s="66"/>
      <c r="U154" s="93"/>
      <c r="V15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09:53:08-0600',mode:absolute,to:'2016-07-25 12:13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54" s="71"/>
      <c r="X154" s="89"/>
      <c r="Y154" s="86">
        <f t="shared" si="65"/>
        <v>5.8696000000000002</v>
      </c>
      <c r="Z154" s="86">
        <f t="shared" si="66"/>
        <v>6.3600000000000004E-2</v>
      </c>
      <c r="AA154" s="86">
        <f t="shared" si="67"/>
        <v>5.806</v>
      </c>
      <c r="AB154" s="83" t="e">
        <f>VLOOKUP(A154,Enforcements!$C$7:$J$24,8,0)</f>
        <v>#N/A</v>
      </c>
      <c r="AC154" s="79" t="e">
        <f>VLOOKUP(A154,Enforcements!$C$7:$E$24,3,0)</f>
        <v>#N/A</v>
      </c>
      <c r="AD154" s="80" t="str">
        <f t="shared" si="68"/>
        <v>0802-25</v>
      </c>
      <c r="AE154" s="72" t="str">
        <f t="shared" si="6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54" s="72" t="str">
        <f t="shared" si="70"/>
        <v>"C:\Program Files (x86)\AstroGrep\AstroGrep.exe" /spath="C:\Users\stu\Documents\Analysis\2016-02-23 RTDC Observations" /stypes="*4026*20160725*" /stext=" 17:.+((prompt.+disp)|(slice.+state.+chan)|(ment ac)|(system.+state.+chan)|(\|lc)|(penalty)|(\[timeout))" /e /r /s</v>
      </c>
      <c r="AG154" s="1" t="str">
        <f t="shared" si="71"/>
        <v>NWGL</v>
      </c>
    </row>
    <row r="155" spans="1:33" x14ac:dyDescent="0.25">
      <c r="A155" s="26" t="s">
        <v>592</v>
      </c>
      <c r="B155" s="106">
        <v>4031</v>
      </c>
      <c r="C155" s="107" t="s">
        <v>269</v>
      </c>
      <c r="D155" s="107" t="s">
        <v>593</v>
      </c>
      <c r="E155" s="108">
        <v>42576.456759259258</v>
      </c>
      <c r="F155" s="108">
        <v>42576.457569444443</v>
      </c>
      <c r="G155" s="106">
        <v>1</v>
      </c>
      <c r="H155" s="108" t="s">
        <v>594</v>
      </c>
      <c r="I155" s="108">
        <v>42576.468958333331</v>
      </c>
      <c r="J155" s="106">
        <v>0</v>
      </c>
      <c r="K155" s="26" t="str">
        <f t="shared" si="63"/>
        <v>4031/4032</v>
      </c>
      <c r="L155" s="26" t="str">
        <f>VLOOKUP(A155,'Trips&amp;Operators'!$C$1:$E$10000,3,FALSE)</f>
        <v>ROCHA</v>
      </c>
      <c r="M155" s="6">
        <f t="shared" si="64"/>
        <v>1.1388888888177462E-2</v>
      </c>
      <c r="N155" s="7"/>
      <c r="O155" s="7"/>
      <c r="P155" s="7"/>
      <c r="Q155" s="27"/>
      <c r="R155" s="27"/>
      <c r="S155" s="42"/>
      <c r="T155" s="66"/>
      <c r="U155" s="93"/>
      <c r="V15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09:57:44-0600',mode:absolute,to:'2016-07-25 12:15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55" s="71"/>
      <c r="X155" s="89"/>
      <c r="Y155" s="86">
        <f t="shared" si="65"/>
        <v>9.2299999999999993E-2</v>
      </c>
      <c r="Z155" s="86">
        <f t="shared" si="66"/>
        <v>5.8921999999999999</v>
      </c>
      <c r="AA155" s="86">
        <f t="shared" si="67"/>
        <v>5.7999000000000001</v>
      </c>
      <c r="AB155" s="83" t="e">
        <f>VLOOKUP(A155,Enforcements!$C$7:$J$24,8,0)</f>
        <v>#N/A</v>
      </c>
      <c r="AC155" s="79" t="e">
        <f>VLOOKUP(A155,Enforcements!$C$7:$E$24,3,0)</f>
        <v>#N/A</v>
      </c>
      <c r="AD155" s="80" t="str">
        <f t="shared" si="68"/>
        <v>0803-25</v>
      </c>
      <c r="AE155" s="72" t="str">
        <f t="shared" si="69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55" s="72" t="str">
        <f t="shared" si="70"/>
        <v>"C:\Program Files (x86)\AstroGrep\AstroGrep.exe" /spath="C:\Users\stu\Documents\Analysis\2016-02-23 RTDC Observations" /stypes="*4031*20160725*" /stext=" 17:.+((prompt.+disp)|(slice.+state.+chan)|(ment ac)|(system.+state.+chan)|(\|lc)|(penalty)|(\[timeout))" /e /r /s</v>
      </c>
      <c r="AG155" s="1" t="str">
        <f t="shared" si="71"/>
        <v>NWGL</v>
      </c>
    </row>
    <row r="156" spans="1:33" x14ac:dyDescent="0.25">
      <c r="A156" s="26" t="s">
        <v>595</v>
      </c>
      <c r="B156" s="106">
        <v>4041</v>
      </c>
      <c r="C156" s="107" t="s">
        <v>269</v>
      </c>
      <c r="D156" s="107" t="s">
        <v>596</v>
      </c>
      <c r="E156" s="108">
        <v>42576.467129629629</v>
      </c>
      <c r="F156" s="108">
        <v>42576.468101851853</v>
      </c>
      <c r="G156" s="106">
        <v>1</v>
      </c>
      <c r="H156" s="108" t="s">
        <v>597</v>
      </c>
      <c r="I156" s="108">
        <v>42576.480891203704</v>
      </c>
      <c r="J156" s="106">
        <v>1</v>
      </c>
      <c r="K156" s="26" t="str">
        <f t="shared" si="63"/>
        <v>4041/4042</v>
      </c>
      <c r="L156" s="26" t="str">
        <f>VLOOKUP(A156,'Trips&amp;Operators'!$C$1:$E$10000,3,FALSE)</f>
        <v>ADANE</v>
      </c>
      <c r="M156" s="6">
        <f t="shared" si="64"/>
        <v>1.2789351851097308E-2</v>
      </c>
      <c r="N156" s="7"/>
      <c r="O156" s="7"/>
      <c r="P156" s="7"/>
      <c r="Q156" s="27"/>
      <c r="R156" s="27"/>
      <c r="S156" s="42"/>
      <c r="T156" s="66"/>
      <c r="U156" s="93"/>
      <c r="V15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10:12:40-0600',mode:absolute,to:'2016-07-25 12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56" s="71"/>
      <c r="X156" s="89"/>
      <c r="Y156" s="86">
        <f t="shared" si="65"/>
        <v>5.8592000000000004</v>
      </c>
      <c r="Z156" s="86">
        <f t="shared" si="66"/>
        <v>0.191</v>
      </c>
      <c r="AA156" s="86">
        <f t="shared" si="67"/>
        <v>5.6682000000000006</v>
      </c>
      <c r="AB156" s="83" t="e">
        <f>VLOOKUP(A156,Enforcements!$C$7:$J$24,8,0)</f>
        <v>#N/A</v>
      </c>
      <c r="AC156" s="79" t="e">
        <f>VLOOKUP(A156,Enforcements!$C$7:$E$24,3,0)</f>
        <v>#N/A</v>
      </c>
      <c r="AD156" s="80" t="str">
        <f t="shared" si="68"/>
        <v>0804-25</v>
      </c>
      <c r="AE156" s="72" t="str">
        <f t="shared" si="6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56" s="72" t="str">
        <f t="shared" si="70"/>
        <v>"C:\Program Files (x86)\AstroGrep\AstroGrep.exe" /spath="C:\Users\stu\Documents\Analysis\2016-02-23 RTDC Observations" /stypes="*4041*20160725*" /stext=" 17:.+((prompt.+disp)|(slice.+state.+chan)|(ment ac)|(system.+state.+chan)|(\|lc)|(penalty)|(\[timeout))" /e /r /s</v>
      </c>
      <c r="AG156" s="1" t="str">
        <f t="shared" si="71"/>
        <v>NWGL</v>
      </c>
    </row>
    <row r="157" spans="1:33" x14ac:dyDescent="0.25">
      <c r="A157" s="26" t="s">
        <v>598</v>
      </c>
      <c r="B157" s="106">
        <v>4025</v>
      </c>
      <c r="C157" s="107" t="s">
        <v>59</v>
      </c>
      <c r="D157" s="107" t="s">
        <v>599</v>
      </c>
      <c r="E157" s="108">
        <v>42576.469583333332</v>
      </c>
      <c r="F157" s="108">
        <v>42576.470625000002</v>
      </c>
      <c r="G157" s="106">
        <v>1</v>
      </c>
      <c r="H157" s="108" t="s">
        <v>600</v>
      </c>
      <c r="I157" s="108">
        <v>42576.483344907407</v>
      </c>
      <c r="J157" s="106">
        <v>0</v>
      </c>
      <c r="K157" s="26" t="str">
        <f t="shared" si="63"/>
        <v>4025/4026</v>
      </c>
      <c r="L157" s="26" t="str">
        <f>VLOOKUP(A157,'Trips&amp;Operators'!$C$1:$E$10000,3,FALSE)</f>
        <v>REBOLETTI</v>
      </c>
      <c r="M157" s="6">
        <f t="shared" si="64"/>
        <v>1.2719907404971309E-2</v>
      </c>
      <c r="N157" s="7"/>
      <c r="O157" s="7"/>
      <c r="P157" s="7"/>
      <c r="Q157" s="27"/>
      <c r="R157" s="27"/>
      <c r="S157" s="42"/>
      <c r="T157" s="66"/>
      <c r="U157" s="93"/>
      <c r="V15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10:16:12-0600',mode:absolute,to:'2016-07-25 12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57" s="71"/>
      <c r="X157" s="89"/>
      <c r="Y157" s="86">
        <f t="shared" si="65"/>
        <v>9.2700000000000005E-2</v>
      </c>
      <c r="Z157" s="86">
        <f t="shared" si="66"/>
        <v>5.8952</v>
      </c>
      <c r="AA157" s="86">
        <f t="shared" si="67"/>
        <v>5.8025000000000002</v>
      </c>
      <c r="AB157" s="83" t="e">
        <f>VLOOKUP(A157,Enforcements!$C$7:$J$24,8,0)</f>
        <v>#N/A</v>
      </c>
      <c r="AC157" s="79" t="e">
        <f>VLOOKUP(A157,Enforcements!$C$7:$E$24,3,0)</f>
        <v>#N/A</v>
      </c>
      <c r="AD157" s="80" t="str">
        <f t="shared" si="68"/>
        <v>0805-25</v>
      </c>
      <c r="AE157" s="72" t="str">
        <f t="shared" si="6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57" s="72" t="str">
        <f t="shared" si="70"/>
        <v>"C:\Program Files (x86)\AstroGrep\AstroGrep.exe" /spath="C:\Users\stu\Documents\Analysis\2016-02-23 RTDC Observations" /stypes="*4025*20160725*" /stext=" 17:.+((prompt.+disp)|(slice.+state.+chan)|(ment ac)|(system.+state.+chan)|(\|lc)|(penalty)|(\[timeout))" /e /r /s</v>
      </c>
      <c r="AG157" s="1" t="str">
        <f t="shared" si="71"/>
        <v>NWGL</v>
      </c>
    </row>
    <row r="158" spans="1:33" x14ac:dyDescent="0.25">
      <c r="A158" s="26" t="s">
        <v>601</v>
      </c>
      <c r="B158" s="106">
        <v>4032</v>
      </c>
      <c r="C158" s="107" t="s">
        <v>269</v>
      </c>
      <c r="D158" s="107" t="s">
        <v>302</v>
      </c>
      <c r="E158" s="108">
        <v>42576.481608796297</v>
      </c>
      <c r="F158" s="108">
        <v>42576.482534722221</v>
      </c>
      <c r="G158" s="106">
        <v>1</v>
      </c>
      <c r="H158" s="108" t="s">
        <v>602</v>
      </c>
      <c r="I158" s="108">
        <v>42576.495763888888</v>
      </c>
      <c r="J158" s="106">
        <v>1</v>
      </c>
      <c r="K158" s="26" t="str">
        <f t="shared" ref="K158:K191" si="72">IF(ISEVEN(B158),(B158-1)&amp;"/"&amp;B158,B158&amp;"/"&amp;(B158+1))</f>
        <v>4031/4032</v>
      </c>
      <c r="L158" s="26" t="str">
        <f>VLOOKUP(A158,'Trips&amp;Operators'!$C$1:$E$10000,3,FALSE)</f>
        <v>ROCHA</v>
      </c>
      <c r="M158" s="6">
        <f t="shared" ref="M158:M191" si="73">I158-F158</f>
        <v>1.3229166666860692E-2</v>
      </c>
      <c r="N158" s="7"/>
      <c r="O158" s="7"/>
      <c r="P158" s="7"/>
      <c r="Q158" s="27"/>
      <c r="R158" s="27"/>
      <c r="S158" s="42"/>
      <c r="T158" s="66"/>
      <c r="U158" s="93"/>
      <c r="V15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10:33:31-0600',mode:absolute,to:'2016-07-25 12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58" s="71"/>
      <c r="X158" s="89"/>
      <c r="Y158" s="86">
        <f t="shared" ref="Y158:Y191" si="74">RIGHT(D158,LEN(D158)-4)/10000</f>
        <v>5.86</v>
      </c>
      <c r="Z158" s="86">
        <f t="shared" ref="Z158:Z191" si="75">RIGHT(H158,LEN(H158)-4)/10000</f>
        <v>6.7500000000000004E-2</v>
      </c>
      <c r="AA158" s="86">
        <f t="shared" ref="AA158:AA191" si="76">ABS(Z158-Y158)</f>
        <v>5.7925000000000004</v>
      </c>
      <c r="AB158" s="83" t="e">
        <f>VLOOKUP(A158,Enforcements!$C$7:$J$24,8,0)</f>
        <v>#N/A</v>
      </c>
      <c r="AC158" s="79" t="e">
        <f>VLOOKUP(A158,Enforcements!$C$7:$E$24,3,0)</f>
        <v>#N/A</v>
      </c>
      <c r="AD158" s="80" t="str">
        <f t="shared" ref="AD158:AD191" si="77">IF(LEN(A158)=6,"0"&amp;A158,A158)</f>
        <v>0806-25</v>
      </c>
      <c r="AE158" s="72" t="str">
        <f t="shared" si="6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58" s="72" t="str">
        <f t="shared" si="70"/>
        <v>"C:\Program Files (x86)\AstroGrep\AstroGrep.exe" /spath="C:\Users\stu\Documents\Analysis\2016-02-23 RTDC Observations" /stypes="*4032*20160725*" /stext=" 17:.+((prompt.+disp)|(slice.+state.+chan)|(ment ac)|(system.+state.+chan)|(\|lc)|(penalty)|(\[timeout))" /e /r /s</v>
      </c>
      <c r="AG158" s="1" t="str">
        <f t="shared" ref="AG158:AG191" si="78">IF(VALUE(LEFT(AD158,4))&lt;300,"EC","NWGL")</f>
        <v>NWGL</v>
      </c>
    </row>
    <row r="159" spans="1:33" x14ac:dyDescent="0.25">
      <c r="A159" s="26" t="s">
        <v>603</v>
      </c>
      <c r="B159" s="106">
        <v>4042</v>
      </c>
      <c r="C159" s="107" t="s">
        <v>269</v>
      </c>
      <c r="D159" s="107" t="s">
        <v>604</v>
      </c>
      <c r="E159" s="108">
        <v>42576.483182870368</v>
      </c>
      <c r="F159" s="108">
        <v>42576.484212962961</v>
      </c>
      <c r="G159" s="106">
        <v>1</v>
      </c>
      <c r="H159" s="108" t="s">
        <v>605</v>
      </c>
      <c r="I159" s="108">
        <v>42576.496134259258</v>
      </c>
      <c r="J159" s="106">
        <v>1</v>
      </c>
      <c r="K159" s="26" t="str">
        <f t="shared" si="72"/>
        <v>4041/4042</v>
      </c>
      <c r="L159" s="26" t="str">
        <f>VLOOKUP(A159,'Trips&amp;Operators'!$C$1:$E$10000,3,FALSE)</f>
        <v>ADANE</v>
      </c>
      <c r="M159" s="6">
        <f t="shared" si="73"/>
        <v>1.1921296296350192E-2</v>
      </c>
      <c r="N159" s="7"/>
      <c r="O159" s="7"/>
      <c r="P159" s="7"/>
      <c r="Q159" s="27"/>
      <c r="R159" s="27"/>
      <c r="S159" s="42"/>
      <c r="T159" s="66"/>
      <c r="U159" s="93"/>
      <c r="V15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10:35:47-0600',mode:absolute,to:'2016-07-25 12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59" s="71"/>
      <c r="X159" s="89"/>
      <c r="Y159" s="86">
        <f t="shared" si="74"/>
        <v>8.9899999999999994E-2</v>
      </c>
      <c r="Z159" s="86">
        <f t="shared" si="75"/>
        <v>5.7603</v>
      </c>
      <c r="AA159" s="86">
        <f t="shared" si="76"/>
        <v>5.6703999999999999</v>
      </c>
      <c r="AB159" s="83" t="e">
        <f>VLOOKUP(A159,Enforcements!$C$7:$J$24,8,0)</f>
        <v>#N/A</v>
      </c>
      <c r="AC159" s="79" t="e">
        <f>VLOOKUP(A159,Enforcements!$C$7:$E$24,3,0)</f>
        <v>#N/A</v>
      </c>
      <c r="AD159" s="80" t="str">
        <f t="shared" si="77"/>
        <v>0807-25</v>
      </c>
      <c r="AE159" s="72" t="str">
        <f t="shared" si="6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59" s="72" t="str">
        <f t="shared" si="70"/>
        <v>"C:\Program Files (x86)\AstroGrep\AstroGrep.exe" /spath="C:\Users\stu\Documents\Analysis\2016-02-23 RTDC Observations" /stypes="*4042*20160725*" /stext=" 17:.+((prompt.+disp)|(slice.+state.+chan)|(ment ac)|(system.+state.+chan)|(\|lc)|(penalty)|(\[timeout))" /e /r /s</v>
      </c>
      <c r="AG159" s="1" t="str">
        <f t="shared" si="78"/>
        <v>NWGL</v>
      </c>
    </row>
    <row r="160" spans="1:33" x14ac:dyDescent="0.25">
      <c r="A160" s="26" t="s">
        <v>606</v>
      </c>
      <c r="B160" s="106">
        <v>4026</v>
      </c>
      <c r="C160" s="107" t="s">
        <v>59</v>
      </c>
      <c r="D160" s="107" t="s">
        <v>607</v>
      </c>
      <c r="E160" s="108">
        <v>42576.490300925929</v>
      </c>
      <c r="F160" s="108">
        <v>42576.491331018522</v>
      </c>
      <c r="G160" s="106">
        <v>1</v>
      </c>
      <c r="H160" s="108" t="s">
        <v>608</v>
      </c>
      <c r="I160" s="108">
        <v>42576.509502314817</v>
      </c>
      <c r="J160" s="106">
        <v>1</v>
      </c>
      <c r="K160" s="26" t="str">
        <f t="shared" si="72"/>
        <v>4025/4026</v>
      </c>
      <c r="L160" s="26" t="str">
        <f>VLOOKUP(A160,'Trips&amp;Operators'!$C$1:$E$10000,3,FALSE)</f>
        <v>REBOLETTI</v>
      </c>
      <c r="M160" s="6">
        <f t="shared" si="73"/>
        <v>1.8171296294895001E-2</v>
      </c>
      <c r="N160" s="7"/>
      <c r="O160" s="7"/>
      <c r="P160" s="7"/>
      <c r="Q160" s="27"/>
      <c r="R160" s="27"/>
      <c r="S160" s="42"/>
      <c r="T160" s="66"/>
      <c r="U160" s="93"/>
      <c r="V16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10:46:02-0600',mode:absolute,to:'2016-07-25 13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60" s="71"/>
      <c r="X160" s="89"/>
      <c r="Y160" s="86">
        <f t="shared" si="74"/>
        <v>5.8635999999999999</v>
      </c>
      <c r="Z160" s="86">
        <f t="shared" si="75"/>
        <v>6.4699999999999994E-2</v>
      </c>
      <c r="AA160" s="86">
        <f t="shared" si="76"/>
        <v>5.7988999999999997</v>
      </c>
      <c r="AB160" s="83" t="e">
        <f>VLOOKUP(A160,Enforcements!$C$7:$J$24,8,0)</f>
        <v>#N/A</v>
      </c>
      <c r="AC160" s="79" t="e">
        <f>VLOOKUP(A160,Enforcements!$C$7:$E$24,3,0)</f>
        <v>#N/A</v>
      </c>
      <c r="AD160" s="80" t="str">
        <f t="shared" si="77"/>
        <v>0808-25</v>
      </c>
      <c r="AE160" s="72" t="str">
        <f t="shared" si="6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60" s="72" t="str">
        <f t="shared" si="70"/>
        <v>"C:\Program Files (x86)\AstroGrep\AstroGrep.exe" /spath="C:\Users\stu\Documents\Analysis\2016-02-23 RTDC Observations" /stypes="*4026*20160725*" /stext=" 18:.+((prompt.+disp)|(slice.+state.+chan)|(ment ac)|(system.+state.+chan)|(\|lc)|(penalty)|(\[timeout))" /e /r /s</v>
      </c>
      <c r="AG160" s="1" t="str">
        <f t="shared" si="78"/>
        <v>NWGL</v>
      </c>
    </row>
    <row r="161" spans="1:33" x14ac:dyDescent="0.25">
      <c r="A161" s="26" t="s">
        <v>609</v>
      </c>
      <c r="B161" s="106">
        <v>4031</v>
      </c>
      <c r="C161" s="107" t="s">
        <v>269</v>
      </c>
      <c r="D161" s="107" t="s">
        <v>610</v>
      </c>
      <c r="E161" s="108">
        <v>42576.497997685183</v>
      </c>
      <c r="F161" s="108">
        <v>42576.499282407407</v>
      </c>
      <c r="G161" s="106">
        <v>1</v>
      </c>
      <c r="H161" s="108" t="s">
        <v>611</v>
      </c>
      <c r="I161" s="108">
        <v>42576.510509259257</v>
      </c>
      <c r="J161" s="106">
        <v>0</v>
      </c>
      <c r="K161" s="26" t="str">
        <f t="shared" si="72"/>
        <v>4031/4032</v>
      </c>
      <c r="L161" s="26" t="str">
        <f>VLOOKUP(A161,'Trips&amp;Operators'!$C$1:$E$10000,3,FALSE)</f>
        <v>ROCHA</v>
      </c>
      <c r="M161" s="6">
        <f t="shared" si="73"/>
        <v>1.1226851849642117E-2</v>
      </c>
      <c r="N161" s="7"/>
      <c r="O161" s="7"/>
      <c r="P161" s="7"/>
      <c r="Q161" s="27"/>
      <c r="R161" s="27"/>
      <c r="S161" s="42"/>
      <c r="T161" s="66"/>
      <c r="U161" s="93"/>
      <c r="V16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10:57:07-0600',mode:absolute,to:'2016-07-25 13:15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61" s="71"/>
      <c r="X161" s="89"/>
      <c r="Y161" s="86">
        <f t="shared" si="74"/>
        <v>9.7799999999999998E-2</v>
      </c>
      <c r="Z161" s="86">
        <f t="shared" si="75"/>
        <v>5.8948</v>
      </c>
      <c r="AA161" s="86">
        <f t="shared" si="76"/>
        <v>5.7969999999999997</v>
      </c>
      <c r="AB161" s="83" t="e">
        <f>VLOOKUP(A161,Enforcements!$C$7:$J$24,8,0)</f>
        <v>#N/A</v>
      </c>
      <c r="AC161" s="79" t="e">
        <f>VLOOKUP(A161,Enforcements!$C$7:$E$24,3,0)</f>
        <v>#N/A</v>
      </c>
      <c r="AD161" s="80" t="str">
        <f t="shared" si="77"/>
        <v>0809-25</v>
      </c>
      <c r="AE161" s="72" t="str">
        <f t="shared" si="69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61" s="72" t="str">
        <f t="shared" si="70"/>
        <v>"C:\Program Files (x86)\AstroGrep\AstroGrep.exe" /spath="C:\Users\stu\Documents\Analysis\2016-02-23 RTDC Observations" /stypes="*4031*20160725*" /stext=" 18:.+((prompt.+disp)|(slice.+state.+chan)|(ment ac)|(system.+state.+chan)|(\|lc)|(penalty)|(\[timeout))" /e /r /s</v>
      </c>
      <c r="AG161" s="1" t="str">
        <f t="shared" si="78"/>
        <v>NWGL</v>
      </c>
    </row>
    <row r="162" spans="1:33" x14ac:dyDescent="0.25">
      <c r="A162" s="26" t="s">
        <v>612</v>
      </c>
      <c r="B162" s="106">
        <v>4041</v>
      </c>
      <c r="C162" s="107" t="s">
        <v>269</v>
      </c>
      <c r="D162" s="107" t="s">
        <v>263</v>
      </c>
      <c r="E162" s="108">
        <v>42576.506412037037</v>
      </c>
      <c r="F162" s="108">
        <v>42576.508425925924</v>
      </c>
      <c r="G162" s="106">
        <v>2</v>
      </c>
      <c r="H162" s="108" t="s">
        <v>613</v>
      </c>
      <c r="I162" s="108">
        <v>42576.51866898148</v>
      </c>
      <c r="J162" s="106">
        <v>2</v>
      </c>
      <c r="K162" s="26" t="str">
        <f t="shared" si="72"/>
        <v>4041/4042</v>
      </c>
      <c r="L162" s="26" t="str">
        <f>VLOOKUP(A162,'Trips&amp;Operators'!$C$1:$E$10000,3,FALSE)</f>
        <v>ADANE</v>
      </c>
      <c r="M162" s="6">
        <f t="shared" si="73"/>
        <v>1.0243055556202307E-2</v>
      </c>
      <c r="N162" s="7"/>
      <c r="O162" s="7"/>
      <c r="P162" s="7"/>
      <c r="Q162" s="27"/>
      <c r="R162" s="27"/>
      <c r="S162" s="42"/>
      <c r="T162" s="66"/>
      <c r="U162" s="93"/>
      <c r="V16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11:09:14-0600',mode:absolute,to:'2016-07-25 13:26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62" s="71"/>
      <c r="X162" s="89"/>
      <c r="Y162" s="86">
        <f t="shared" si="74"/>
        <v>5.8634000000000004</v>
      </c>
      <c r="Z162" s="86">
        <f t="shared" si="75"/>
        <v>2.3666999999999998</v>
      </c>
      <c r="AA162" s="86">
        <f t="shared" si="76"/>
        <v>3.4967000000000006</v>
      </c>
      <c r="AB162" s="83" t="e">
        <f>VLOOKUP(A162,Enforcements!$C$7:$J$24,8,0)</f>
        <v>#N/A</v>
      </c>
      <c r="AC162" s="79" t="e">
        <f>VLOOKUP(A162,Enforcements!$C$7:$E$24,3,0)</f>
        <v>#N/A</v>
      </c>
      <c r="AD162" s="80" t="str">
        <f t="shared" si="77"/>
        <v>0810-25</v>
      </c>
      <c r="AE162" s="72" t="str">
        <f t="shared" si="6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62" s="72" t="str">
        <f t="shared" si="70"/>
        <v>"C:\Program Files (x86)\AstroGrep\AstroGrep.exe" /spath="C:\Users\stu\Documents\Analysis\2016-02-23 RTDC Observations" /stypes="*4041*20160725*" /stext=" 18:.+((prompt.+disp)|(slice.+state.+chan)|(ment ac)|(system.+state.+chan)|(\|lc)|(penalty)|(\[timeout))" /e /r /s</v>
      </c>
      <c r="AG162" s="1" t="str">
        <f t="shared" si="78"/>
        <v>NWGL</v>
      </c>
    </row>
    <row r="163" spans="1:33" x14ac:dyDescent="0.25">
      <c r="A163" s="26" t="s">
        <v>614</v>
      </c>
      <c r="B163" s="106">
        <v>4025</v>
      </c>
      <c r="C163" s="107" t="s">
        <v>59</v>
      </c>
      <c r="D163" s="107" t="s">
        <v>599</v>
      </c>
      <c r="E163" s="108">
        <v>42576.511018518519</v>
      </c>
      <c r="F163" s="108">
        <v>42576.511956018519</v>
      </c>
      <c r="G163" s="106">
        <v>1</v>
      </c>
      <c r="H163" s="108" t="s">
        <v>262</v>
      </c>
      <c r="I163" s="108">
        <v>42576.524583333332</v>
      </c>
      <c r="J163" s="106">
        <v>0</v>
      </c>
      <c r="K163" s="26" t="str">
        <f t="shared" si="72"/>
        <v>4025/4026</v>
      </c>
      <c r="L163" s="26" t="str">
        <f>VLOOKUP(A163,'Trips&amp;Operators'!$C$1:$E$10000,3,FALSE)</f>
        <v>REBOLETTI</v>
      </c>
      <c r="M163" s="6">
        <f t="shared" si="73"/>
        <v>1.2627314812561963E-2</v>
      </c>
      <c r="N163" s="7"/>
      <c r="O163" s="7"/>
      <c r="P163" s="7"/>
      <c r="Q163" s="27"/>
      <c r="R163" s="27"/>
      <c r="S163" s="42"/>
      <c r="T163" s="66"/>
      <c r="U163" s="93"/>
      <c r="V16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11:15:52-0600',mode:absolute,to:'2016-07-25 13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63" s="71"/>
      <c r="X163" s="89"/>
      <c r="Y163" s="86">
        <f t="shared" si="74"/>
        <v>9.2700000000000005E-2</v>
      </c>
      <c r="Z163" s="86">
        <f t="shared" si="75"/>
        <v>5.8956</v>
      </c>
      <c r="AA163" s="86">
        <f t="shared" si="76"/>
        <v>5.8029000000000002</v>
      </c>
      <c r="AB163" s="83" t="e">
        <f>VLOOKUP(A163,Enforcements!$C$7:$J$24,8,0)</f>
        <v>#N/A</v>
      </c>
      <c r="AC163" s="79" t="e">
        <f>VLOOKUP(A163,Enforcements!$C$7:$E$24,3,0)</f>
        <v>#N/A</v>
      </c>
      <c r="AD163" s="80" t="str">
        <f t="shared" si="77"/>
        <v>0811-25</v>
      </c>
      <c r="AE163" s="72" t="str">
        <f t="shared" si="6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63" s="72" t="str">
        <f t="shared" si="70"/>
        <v>"C:\Program Files (x86)\AstroGrep\AstroGrep.exe" /spath="C:\Users\stu\Documents\Analysis\2016-02-23 RTDC Observations" /stypes="*4025*20160725*" /stext=" 18:.+((prompt.+disp)|(slice.+state.+chan)|(ment ac)|(system.+state.+chan)|(\|lc)|(penalty)|(\[timeout))" /e /r /s</v>
      </c>
      <c r="AG163" s="1" t="str">
        <f t="shared" si="78"/>
        <v>NWGL</v>
      </c>
    </row>
    <row r="164" spans="1:33" x14ac:dyDescent="0.25">
      <c r="A164" s="26" t="s">
        <v>615</v>
      </c>
      <c r="B164" s="106">
        <v>4032</v>
      </c>
      <c r="C164" s="107" t="s">
        <v>269</v>
      </c>
      <c r="D164" s="107" t="s">
        <v>263</v>
      </c>
      <c r="E164" s="108">
        <v>42576.51152777778</v>
      </c>
      <c r="F164" s="108">
        <v>42576.51284722222</v>
      </c>
      <c r="G164" s="106">
        <v>1</v>
      </c>
      <c r="H164" s="108" t="s">
        <v>305</v>
      </c>
      <c r="I164" s="108">
        <v>42576.536539351851</v>
      </c>
      <c r="J164" s="106">
        <v>0</v>
      </c>
      <c r="K164" s="26" t="str">
        <f t="shared" si="72"/>
        <v>4031/4032</v>
      </c>
      <c r="L164" s="26" t="str">
        <f>VLOOKUP(A164,'Trips&amp;Operators'!$C$1:$E$10000,3,FALSE)</f>
        <v>ROCHA</v>
      </c>
      <c r="M164" s="6">
        <f t="shared" si="73"/>
        <v>2.3692129630944692E-2</v>
      </c>
      <c r="N164" s="7"/>
      <c r="O164" s="7"/>
      <c r="P164" s="7"/>
      <c r="Q164" s="27"/>
      <c r="R164" s="27"/>
      <c r="S164" s="42"/>
      <c r="T164" s="66"/>
      <c r="U164" s="93"/>
      <c r="V16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11:16:36-0600',mode:absolute,to:'2016-07-25 13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64" s="71"/>
      <c r="X164" s="89"/>
      <c r="Y164" s="86">
        <f t="shared" si="74"/>
        <v>5.8634000000000004</v>
      </c>
      <c r="Z164" s="86">
        <f t="shared" si="75"/>
        <v>6.4299999999999996E-2</v>
      </c>
      <c r="AA164" s="86">
        <f t="shared" si="76"/>
        <v>5.7991000000000001</v>
      </c>
      <c r="AB164" s="83" t="e">
        <f>VLOOKUP(A164,Enforcements!$C$7:$J$24,8,0)</f>
        <v>#N/A</v>
      </c>
      <c r="AC164" s="79" t="e">
        <f>VLOOKUP(A164,Enforcements!$C$7:$E$24,3,0)</f>
        <v>#N/A</v>
      </c>
      <c r="AD164" s="80" t="str">
        <f t="shared" si="77"/>
        <v>0812-25</v>
      </c>
      <c r="AE164" s="72" t="str">
        <f t="shared" si="6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64" s="72" t="str">
        <f t="shared" si="70"/>
        <v>"C:\Program Files (x86)\AstroGrep\AstroGrep.exe" /spath="C:\Users\stu\Documents\Analysis\2016-02-23 RTDC Observations" /stypes="*4032*20160725*" /stext=" 18:.+((prompt.+disp)|(slice.+state.+chan)|(ment ac)|(system.+state.+chan)|(\|lc)|(penalty)|(\[timeout))" /e /r /s</v>
      </c>
      <c r="AG164" s="1" t="str">
        <f t="shared" si="78"/>
        <v>NWGL</v>
      </c>
    </row>
    <row r="165" spans="1:33" x14ac:dyDescent="0.25">
      <c r="A165" s="26" t="s">
        <v>616</v>
      </c>
      <c r="B165" s="106">
        <v>4042</v>
      </c>
      <c r="C165" s="107" t="s">
        <v>269</v>
      </c>
      <c r="D165" s="107" t="s">
        <v>617</v>
      </c>
      <c r="E165" s="108">
        <v>42576.525150462963</v>
      </c>
      <c r="F165" s="108">
        <v>42576.526122685187</v>
      </c>
      <c r="G165" s="106">
        <v>1</v>
      </c>
      <c r="H165" s="108" t="s">
        <v>618</v>
      </c>
      <c r="I165" s="108">
        <v>42576.537812499999</v>
      </c>
      <c r="J165" s="106">
        <v>0</v>
      </c>
      <c r="K165" s="26" t="str">
        <f t="shared" si="72"/>
        <v>4041/4042</v>
      </c>
      <c r="L165" s="26" t="str">
        <f>VLOOKUP(A165,'Trips&amp;Operators'!$C$1:$E$10000,3,FALSE)</f>
        <v>ADANE</v>
      </c>
      <c r="M165" s="6">
        <f t="shared" si="73"/>
        <v>1.1689814811688848E-2</v>
      </c>
      <c r="N165" s="7"/>
      <c r="O165" s="7"/>
      <c r="P165" s="7"/>
      <c r="Q165" s="27"/>
      <c r="R165" s="27"/>
      <c r="S165" s="42"/>
      <c r="T165" s="66"/>
      <c r="U165" s="93"/>
      <c r="V16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11:36:13-0600',mode:absolute,to:'2016-07-25 13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65" s="71"/>
      <c r="X165" s="89"/>
      <c r="Y165" s="86">
        <f t="shared" si="74"/>
        <v>8.7599999999999997E-2</v>
      </c>
      <c r="Z165" s="86">
        <f t="shared" si="75"/>
        <v>5.7624000000000004</v>
      </c>
      <c r="AA165" s="86">
        <f t="shared" si="76"/>
        <v>5.6748000000000003</v>
      </c>
      <c r="AB165" s="83" t="e">
        <f>VLOOKUP(A165,Enforcements!$C$7:$J$24,8,0)</f>
        <v>#N/A</v>
      </c>
      <c r="AC165" s="79" t="e">
        <f>VLOOKUP(A165,Enforcements!$C$7:$E$24,3,0)</f>
        <v>#N/A</v>
      </c>
      <c r="AD165" s="80" t="str">
        <f t="shared" si="77"/>
        <v>0813-25</v>
      </c>
      <c r="AE165" s="72" t="str">
        <f t="shared" si="6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65" s="72" t="str">
        <f t="shared" si="70"/>
        <v>"C:\Program Files (x86)\AstroGrep\AstroGrep.exe" /spath="C:\Users\stu\Documents\Analysis\2016-02-23 RTDC Observations" /stypes="*4042*20160725*" /stext=" 18:.+((prompt.+disp)|(slice.+state.+chan)|(ment ac)|(system.+state.+chan)|(\|lc)|(penalty)|(\[timeout))" /e /r /s</v>
      </c>
      <c r="AG165" s="1" t="str">
        <f t="shared" si="78"/>
        <v>NWGL</v>
      </c>
    </row>
    <row r="166" spans="1:33" x14ac:dyDescent="0.25">
      <c r="A166" s="26" t="s">
        <v>619</v>
      </c>
      <c r="B166" s="106">
        <v>4026</v>
      </c>
      <c r="C166" s="107" t="s">
        <v>59</v>
      </c>
      <c r="D166" s="107" t="s">
        <v>290</v>
      </c>
      <c r="E166" s="108">
        <v>42576.536307870374</v>
      </c>
      <c r="F166" s="108">
        <v>42576.537199074075</v>
      </c>
      <c r="G166" s="106">
        <v>1</v>
      </c>
      <c r="H166" s="108" t="s">
        <v>620</v>
      </c>
      <c r="I166" s="108">
        <v>42576.550694444442</v>
      </c>
      <c r="J166" s="106">
        <v>0</v>
      </c>
      <c r="K166" s="26" t="str">
        <f t="shared" si="72"/>
        <v>4025/4026</v>
      </c>
      <c r="L166" s="26" t="str">
        <f>VLOOKUP(A166,'Trips&amp;Operators'!$C$1:$E$10000,3,FALSE)</f>
        <v>REBOLETTI</v>
      </c>
      <c r="M166" s="6">
        <f t="shared" si="73"/>
        <v>1.3495370367309079E-2</v>
      </c>
      <c r="N166" s="7"/>
      <c r="O166" s="7"/>
      <c r="P166" s="7"/>
      <c r="Q166" s="27"/>
      <c r="R166" s="27"/>
      <c r="S166" s="42"/>
      <c r="T166" s="66"/>
      <c r="U166" s="93"/>
      <c r="V16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11:52:17-0600',mode:absolute,to:'2016-07-25 14:13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66" s="71"/>
      <c r="X166" s="89"/>
      <c r="Y166" s="86">
        <f t="shared" si="74"/>
        <v>5.8651</v>
      </c>
      <c r="Z166" s="86">
        <f t="shared" si="75"/>
        <v>6.5199999999999994E-2</v>
      </c>
      <c r="AA166" s="86">
        <f t="shared" si="76"/>
        <v>5.7999000000000001</v>
      </c>
      <c r="AB166" s="83" t="e">
        <f>VLOOKUP(A166,Enforcements!$C$7:$J$24,8,0)</f>
        <v>#N/A</v>
      </c>
      <c r="AC166" s="79" t="e">
        <f>VLOOKUP(A166,Enforcements!$C$7:$E$24,3,0)</f>
        <v>#N/A</v>
      </c>
      <c r="AD166" s="80" t="str">
        <f t="shared" si="77"/>
        <v>0814-25</v>
      </c>
      <c r="AE166" s="72" t="str">
        <f t="shared" si="6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66" s="72" t="str">
        <f t="shared" si="70"/>
        <v>"C:\Program Files (x86)\AstroGrep\AstroGrep.exe" /spath="C:\Users\stu\Documents\Analysis\2016-02-23 RTDC Observations" /stypes="*4026*20160725*" /stext=" 19:.+((prompt.+disp)|(slice.+state.+chan)|(ment ac)|(system.+state.+chan)|(\|lc)|(penalty)|(\[timeout))" /e /r /s</v>
      </c>
      <c r="AG166" s="1" t="str">
        <f t="shared" si="78"/>
        <v>NWGL</v>
      </c>
    </row>
    <row r="167" spans="1:33" x14ac:dyDescent="0.25">
      <c r="A167" s="46" t="s">
        <v>621</v>
      </c>
      <c r="B167" s="7">
        <v>4031</v>
      </c>
      <c r="C167" s="26" t="s">
        <v>269</v>
      </c>
      <c r="D167" s="26" t="s">
        <v>622</v>
      </c>
      <c r="E167" s="16">
        <v>42576.5387962963</v>
      </c>
      <c r="F167" s="16">
        <v>42576.539652777778</v>
      </c>
      <c r="G167" s="7">
        <v>1</v>
      </c>
      <c r="H167" s="16" t="s">
        <v>295</v>
      </c>
      <c r="I167" s="16">
        <v>42576.553333333337</v>
      </c>
      <c r="J167" s="7">
        <v>1</v>
      </c>
      <c r="K167" s="26" t="str">
        <f t="shared" si="72"/>
        <v>4031/4032</v>
      </c>
      <c r="L167" s="26" t="str">
        <f>VLOOKUP(A167,'Trips&amp;Operators'!$C$1:$E$10000,3,FALSE)</f>
        <v>ROCHA</v>
      </c>
      <c r="M167" s="6">
        <f t="shared" si="73"/>
        <v>1.3680555559403729E-2</v>
      </c>
      <c r="N167" s="7"/>
      <c r="O167" s="7"/>
      <c r="P167" s="7"/>
      <c r="Q167" s="27"/>
      <c r="R167" s="27"/>
      <c r="S167" s="42"/>
      <c r="T167" s="66"/>
      <c r="U167" s="93"/>
      <c r="V16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11:55:52-0600',mode:absolute,to:'2016-07-25 14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67" s="71"/>
      <c r="X167" s="89"/>
      <c r="Y167" s="86">
        <f t="shared" si="74"/>
        <v>9.3200000000000005E-2</v>
      </c>
      <c r="Z167" s="86">
        <f t="shared" si="75"/>
        <v>5.8960999999999997</v>
      </c>
      <c r="AA167" s="86">
        <f t="shared" si="76"/>
        <v>5.8028999999999993</v>
      </c>
      <c r="AB167" s="83" t="e">
        <f>VLOOKUP(A167,Enforcements!$C$7:$J$24,8,0)</f>
        <v>#N/A</v>
      </c>
      <c r="AC167" s="79" t="e">
        <f>VLOOKUP(A167,Enforcements!$C$7:$E$24,3,0)</f>
        <v>#N/A</v>
      </c>
      <c r="AD167" s="80" t="str">
        <f t="shared" si="77"/>
        <v>0815-25</v>
      </c>
      <c r="AE167" s="72" t="str">
        <f t="shared" si="69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67" s="72" t="str">
        <f t="shared" si="70"/>
        <v>"C:\Program Files (x86)\AstroGrep\AstroGrep.exe" /spath="C:\Users\stu\Documents\Analysis\2016-02-23 RTDC Observations" /stypes="*4031*20160725*" /stext=" 19:.+((prompt.+disp)|(slice.+state.+chan)|(ment ac)|(system.+state.+chan)|(\|lc)|(penalty)|(\[timeout))" /e /r /s</v>
      </c>
      <c r="AG167" s="1" t="str">
        <f t="shared" si="78"/>
        <v>NWGL</v>
      </c>
    </row>
    <row r="168" spans="1:33" x14ac:dyDescent="0.25">
      <c r="A168" s="46" t="s">
        <v>623</v>
      </c>
      <c r="B168" s="7">
        <v>4041</v>
      </c>
      <c r="C168" s="26" t="s">
        <v>269</v>
      </c>
      <c r="D168" s="26" t="s">
        <v>350</v>
      </c>
      <c r="E168" s="16">
        <v>42576.550358796296</v>
      </c>
      <c r="F168" s="16">
        <v>42576.551388888889</v>
      </c>
      <c r="G168" s="7">
        <v>1</v>
      </c>
      <c r="H168" s="16" t="s">
        <v>624</v>
      </c>
      <c r="I168" s="16">
        <v>42576.56386574074</v>
      </c>
      <c r="J168" s="7">
        <v>0</v>
      </c>
      <c r="K168" s="26" t="str">
        <f t="shared" si="72"/>
        <v>4041/4042</v>
      </c>
      <c r="L168" s="26" t="str">
        <f>VLOOKUP(A168,'Trips&amp;Operators'!$C$1:$E$10000,3,FALSE)</f>
        <v>ADANE</v>
      </c>
      <c r="M168" s="6">
        <f t="shared" si="73"/>
        <v>1.247685185080627E-2</v>
      </c>
      <c r="N168" s="7"/>
      <c r="O168" s="7"/>
      <c r="P168" s="7"/>
      <c r="Q168" s="27"/>
      <c r="R168" s="27"/>
      <c r="S168" s="42"/>
      <c r="T168" s="66"/>
      <c r="U168" s="93"/>
      <c r="V16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12:12:31-0600',mode:absolute,to:'2016-07-25 14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68" s="71"/>
      <c r="X168" s="89"/>
      <c r="Y168" s="86">
        <f t="shared" si="74"/>
        <v>5.8644999999999996</v>
      </c>
      <c r="Z168" s="86">
        <f t="shared" si="75"/>
        <v>8.5500000000000007E-2</v>
      </c>
      <c r="AA168" s="86">
        <f t="shared" si="76"/>
        <v>5.7789999999999999</v>
      </c>
      <c r="AB168" s="83" t="e">
        <f>VLOOKUP(A168,Enforcements!$C$7:$J$24,8,0)</f>
        <v>#N/A</v>
      </c>
      <c r="AC168" s="79" t="e">
        <f>VLOOKUP(A168,Enforcements!$C$7:$E$24,3,0)</f>
        <v>#N/A</v>
      </c>
      <c r="AD168" s="80" t="str">
        <f t="shared" si="77"/>
        <v>0816-25</v>
      </c>
      <c r="AE168" s="72" t="str">
        <f t="shared" si="6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68" s="72" t="str">
        <f t="shared" si="70"/>
        <v>"C:\Program Files (x86)\AstroGrep\AstroGrep.exe" /spath="C:\Users\stu\Documents\Analysis\2016-02-23 RTDC Observations" /stypes="*4041*20160725*" /stext=" 19:.+((prompt.+disp)|(slice.+state.+chan)|(ment ac)|(system.+state.+chan)|(\|lc)|(penalty)|(\[timeout))" /e /r /s</v>
      </c>
      <c r="AG168" s="1" t="str">
        <f t="shared" si="78"/>
        <v>NWGL</v>
      </c>
    </row>
    <row r="169" spans="1:33" x14ac:dyDescent="0.25">
      <c r="A169" s="46" t="s">
        <v>625</v>
      </c>
      <c r="B169" s="7">
        <v>4025</v>
      </c>
      <c r="C169" s="26" t="s">
        <v>59</v>
      </c>
      <c r="D169" s="26" t="s">
        <v>626</v>
      </c>
      <c r="E169" s="16">
        <v>42576.552256944444</v>
      </c>
      <c r="F169" s="16">
        <v>42576.553240740737</v>
      </c>
      <c r="G169" s="7">
        <v>1</v>
      </c>
      <c r="H169" s="16" t="s">
        <v>347</v>
      </c>
      <c r="I169" s="16">
        <v>42576.566562499997</v>
      </c>
      <c r="J169" s="7">
        <v>0</v>
      </c>
      <c r="K169" s="26" t="str">
        <f t="shared" si="72"/>
        <v>4025/4026</v>
      </c>
      <c r="L169" s="26" t="str">
        <f>VLOOKUP(A169,'Trips&amp;Operators'!$C$1:$E$10000,3,FALSE)</f>
        <v>REBOLETTI</v>
      </c>
      <c r="M169" s="6">
        <f t="shared" si="73"/>
        <v>1.3321759259270038E-2</v>
      </c>
      <c r="N169" s="7"/>
      <c r="O169" s="7"/>
      <c r="P169" s="7"/>
      <c r="Q169" s="27"/>
      <c r="R169" s="27"/>
      <c r="S169" s="42"/>
      <c r="T169" s="66"/>
      <c r="U169" s="93"/>
      <c r="V16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12:15:15-0600',mode:absolute,to:'2016-07-25 14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69" s="71"/>
      <c r="X169" s="89"/>
      <c r="Y169" s="86">
        <f t="shared" si="74"/>
        <v>9.2999999999999999E-2</v>
      </c>
      <c r="Z169" s="86">
        <f t="shared" si="75"/>
        <v>5.8963000000000001</v>
      </c>
      <c r="AA169" s="86">
        <f t="shared" si="76"/>
        <v>5.8033000000000001</v>
      </c>
      <c r="AB169" s="83" t="e">
        <f>VLOOKUP(A169,Enforcements!$C$7:$J$24,8,0)</f>
        <v>#N/A</v>
      </c>
      <c r="AC169" s="79" t="e">
        <f>VLOOKUP(A169,Enforcements!$C$7:$E$24,3,0)</f>
        <v>#N/A</v>
      </c>
      <c r="AD169" s="80" t="str">
        <f t="shared" si="77"/>
        <v>0817-25</v>
      </c>
      <c r="AE169" s="72" t="str">
        <f t="shared" si="6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69" s="72" t="str">
        <f t="shared" si="70"/>
        <v>"C:\Program Files (x86)\AstroGrep\AstroGrep.exe" /spath="C:\Users\stu\Documents\Analysis\2016-02-23 RTDC Observations" /stypes="*4025*20160725*" /stext=" 19:.+((prompt.+disp)|(slice.+state.+chan)|(ment ac)|(system.+state.+chan)|(\|lc)|(penalty)|(\[timeout))" /e /r /s</v>
      </c>
      <c r="AG169" s="1" t="str">
        <f t="shared" si="78"/>
        <v>NWGL</v>
      </c>
    </row>
    <row r="170" spans="1:33" x14ac:dyDescent="0.25">
      <c r="A170" s="46" t="s">
        <v>627</v>
      </c>
      <c r="B170" s="7">
        <v>4032</v>
      </c>
      <c r="C170" s="26" t="s">
        <v>269</v>
      </c>
      <c r="D170" s="26" t="s">
        <v>314</v>
      </c>
      <c r="E170" s="16">
        <v>42576.554398148146</v>
      </c>
      <c r="F170" s="16">
        <v>42576.55537037037</v>
      </c>
      <c r="G170" s="7">
        <v>1</v>
      </c>
      <c r="H170" s="16" t="s">
        <v>591</v>
      </c>
      <c r="I170" s="16">
        <v>42576.578310185185</v>
      </c>
      <c r="J170" s="7">
        <v>0</v>
      </c>
      <c r="K170" s="26" t="str">
        <f t="shared" si="72"/>
        <v>4031/4032</v>
      </c>
      <c r="L170" s="26" t="str">
        <f>VLOOKUP(A170,'Trips&amp;Operators'!$C$1:$E$10000,3,FALSE)</f>
        <v>ROCHA</v>
      </c>
      <c r="M170" s="6">
        <f t="shared" si="73"/>
        <v>2.2939814814890269E-2</v>
      </c>
      <c r="N170" s="7"/>
      <c r="O170" s="7"/>
      <c r="P170" s="7"/>
      <c r="Q170" s="27"/>
      <c r="R170" s="27"/>
      <c r="S170" s="42"/>
      <c r="T170" s="66"/>
      <c r="U170" s="93"/>
      <c r="V17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12:18:20-0600',mode:absolute,to:'2016-07-25 14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70" s="71"/>
      <c r="X170" s="89"/>
      <c r="Y170" s="86">
        <f t="shared" si="74"/>
        <v>5.8639999999999999</v>
      </c>
      <c r="Z170" s="86">
        <f t="shared" si="75"/>
        <v>6.3600000000000004E-2</v>
      </c>
      <c r="AA170" s="86">
        <f t="shared" si="76"/>
        <v>5.8003999999999998</v>
      </c>
      <c r="AB170" s="83" t="e">
        <f>VLOOKUP(A170,Enforcements!$C$7:$J$24,8,0)</f>
        <v>#N/A</v>
      </c>
      <c r="AC170" s="79" t="e">
        <f>VLOOKUP(A170,Enforcements!$C$7:$E$24,3,0)</f>
        <v>#N/A</v>
      </c>
      <c r="AD170" s="80" t="str">
        <f t="shared" si="77"/>
        <v>0818-25</v>
      </c>
      <c r="AE170" s="72" t="str">
        <f t="shared" si="6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70" s="72" t="str">
        <f t="shared" si="70"/>
        <v>"C:\Program Files (x86)\AstroGrep\AstroGrep.exe" /spath="C:\Users\stu\Documents\Analysis\2016-02-23 RTDC Observations" /stypes="*4032*20160725*" /stext=" 19:.+((prompt.+disp)|(slice.+state.+chan)|(ment ac)|(system.+state.+chan)|(\|lc)|(penalty)|(\[timeout))" /e /r /s</v>
      </c>
      <c r="AG170" s="1" t="str">
        <f t="shared" si="78"/>
        <v>NWGL</v>
      </c>
    </row>
    <row r="171" spans="1:33" x14ac:dyDescent="0.25">
      <c r="A171" s="46" t="s">
        <v>628</v>
      </c>
      <c r="B171" s="7">
        <v>4042</v>
      </c>
      <c r="C171" s="26" t="s">
        <v>269</v>
      </c>
      <c r="D171" s="26" t="s">
        <v>629</v>
      </c>
      <c r="E171" s="16">
        <v>42576.568344907406</v>
      </c>
      <c r="F171" s="16">
        <v>42576.569340277776</v>
      </c>
      <c r="G171" s="7">
        <v>1</v>
      </c>
      <c r="H171" s="16" t="s">
        <v>605</v>
      </c>
      <c r="I171" s="16">
        <v>42576.579918981479</v>
      </c>
      <c r="J171" s="7">
        <v>0</v>
      </c>
      <c r="K171" s="26" t="str">
        <f t="shared" si="72"/>
        <v>4041/4042</v>
      </c>
      <c r="L171" s="26" t="str">
        <f>VLOOKUP(A171,'Trips&amp;Operators'!$C$1:$E$10000,3,FALSE)</f>
        <v>ADANE</v>
      </c>
      <c r="M171" s="6">
        <f t="shared" si="73"/>
        <v>1.0578703702776693E-2</v>
      </c>
      <c r="N171" s="7"/>
      <c r="O171" s="7"/>
      <c r="P171" s="7"/>
      <c r="Q171" s="27"/>
      <c r="R171" s="27"/>
      <c r="S171" s="42"/>
      <c r="T171" s="66"/>
      <c r="U171" s="93"/>
      <c r="V17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12:38:25-0600',mode:absolute,to:'2016-07-25 14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71" s="71"/>
      <c r="X171" s="89"/>
      <c r="Y171" s="86">
        <f t="shared" si="74"/>
        <v>8.9700000000000002E-2</v>
      </c>
      <c r="Z171" s="86">
        <f t="shared" si="75"/>
        <v>5.7603</v>
      </c>
      <c r="AA171" s="86">
        <f t="shared" si="76"/>
        <v>5.6706000000000003</v>
      </c>
      <c r="AB171" s="83" t="e">
        <f>VLOOKUP(A171,Enforcements!$C$7:$J$24,8,0)</f>
        <v>#N/A</v>
      </c>
      <c r="AC171" s="79" t="e">
        <f>VLOOKUP(A171,Enforcements!$C$7:$E$24,3,0)</f>
        <v>#N/A</v>
      </c>
      <c r="AD171" s="80" t="str">
        <f t="shared" si="77"/>
        <v>0819-25</v>
      </c>
      <c r="AE171" s="72" t="str">
        <f t="shared" si="6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71" s="72" t="str">
        <f t="shared" si="70"/>
        <v>"C:\Program Files (x86)\AstroGrep\AstroGrep.exe" /spath="C:\Users\stu\Documents\Analysis\2016-02-23 RTDC Observations" /stypes="*4042*20160725*" /stext=" 19:.+((prompt.+disp)|(slice.+state.+chan)|(ment ac)|(system.+state.+chan)|(\|lc)|(penalty)|(\[timeout))" /e /r /s</v>
      </c>
      <c r="AG171" s="1" t="str">
        <f t="shared" si="78"/>
        <v>NWGL</v>
      </c>
    </row>
    <row r="172" spans="1:33" x14ac:dyDescent="0.25">
      <c r="A172" s="46" t="s">
        <v>630</v>
      </c>
      <c r="B172" s="7">
        <v>4026</v>
      </c>
      <c r="C172" s="26" t="s">
        <v>59</v>
      </c>
      <c r="D172" s="26" t="s">
        <v>263</v>
      </c>
      <c r="E172" s="16">
        <v>42576.574675925927</v>
      </c>
      <c r="F172" s="16">
        <v>42576.575671296298</v>
      </c>
      <c r="G172" s="7">
        <v>1</v>
      </c>
      <c r="H172" s="16" t="s">
        <v>608</v>
      </c>
      <c r="I172" s="16">
        <v>42576.593101851853</v>
      </c>
      <c r="J172" s="7">
        <v>0</v>
      </c>
      <c r="K172" s="26" t="str">
        <f t="shared" si="72"/>
        <v>4025/4026</v>
      </c>
      <c r="L172" s="26" t="str">
        <f>VLOOKUP(A172,'Trips&amp;Operators'!$C$1:$E$10000,3,FALSE)</f>
        <v>REBOLETTI</v>
      </c>
      <c r="M172" s="6">
        <f t="shared" si="73"/>
        <v>1.7430555555620231E-2</v>
      </c>
      <c r="N172" s="7"/>
      <c r="O172" s="7"/>
      <c r="P172" s="7"/>
      <c r="Q172" s="27"/>
      <c r="R172" s="27"/>
      <c r="S172" s="42"/>
      <c r="T172" s="66"/>
      <c r="U172" s="93"/>
      <c r="V17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12:47:32-0600',mode:absolute,to:'2016-07-25 15:14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72" s="71"/>
      <c r="X172" s="89"/>
      <c r="Y172" s="86">
        <f t="shared" si="74"/>
        <v>5.8634000000000004</v>
      </c>
      <c r="Z172" s="86">
        <f t="shared" si="75"/>
        <v>6.4699999999999994E-2</v>
      </c>
      <c r="AA172" s="86">
        <f t="shared" si="76"/>
        <v>5.7987000000000002</v>
      </c>
      <c r="AB172" s="83" t="e">
        <f>VLOOKUP(A172,Enforcements!$C$7:$J$24,8,0)</f>
        <v>#N/A</v>
      </c>
      <c r="AC172" s="79" t="e">
        <f>VLOOKUP(A172,Enforcements!$C$7:$E$24,3,0)</f>
        <v>#N/A</v>
      </c>
      <c r="AD172" s="80" t="str">
        <f t="shared" si="77"/>
        <v>0820-25</v>
      </c>
      <c r="AE172" s="72" t="str">
        <f t="shared" si="6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72" s="72" t="str">
        <f t="shared" si="70"/>
        <v>"C:\Program Files (x86)\AstroGrep\AstroGrep.exe" /spath="C:\Users\stu\Documents\Analysis\2016-02-23 RTDC Observations" /stypes="*4026*20160725*" /stext=" 20:.+((prompt.+disp)|(slice.+state.+chan)|(ment ac)|(system.+state.+chan)|(\|lc)|(penalty)|(\[timeout))" /e /r /s</v>
      </c>
      <c r="AG172" s="1" t="str">
        <f t="shared" si="78"/>
        <v>NWGL</v>
      </c>
    </row>
    <row r="173" spans="1:33" x14ac:dyDescent="0.25">
      <c r="A173" s="46" t="s">
        <v>631</v>
      </c>
      <c r="B173" s="7">
        <v>4031</v>
      </c>
      <c r="C173" s="26" t="s">
        <v>269</v>
      </c>
      <c r="D173" s="26" t="s">
        <v>632</v>
      </c>
      <c r="E173" s="16">
        <v>42576.579687500001</v>
      </c>
      <c r="F173" s="16">
        <v>42576.581388888888</v>
      </c>
      <c r="G173" s="7">
        <v>2</v>
      </c>
      <c r="H173" s="16" t="s">
        <v>633</v>
      </c>
      <c r="I173" s="16">
        <v>42576.595856481479</v>
      </c>
      <c r="J173" s="7">
        <v>4</v>
      </c>
      <c r="K173" s="26" t="str">
        <f t="shared" si="72"/>
        <v>4031/4032</v>
      </c>
      <c r="L173" s="26" t="str">
        <f>VLOOKUP(A173,'Trips&amp;Operators'!$C$1:$E$10000,3,FALSE)</f>
        <v>ROCHA</v>
      </c>
      <c r="M173" s="6">
        <f t="shared" si="73"/>
        <v>1.4467592591245193E-2</v>
      </c>
      <c r="N173" s="7"/>
      <c r="O173" s="7"/>
      <c r="P173" s="7"/>
      <c r="Q173" s="27"/>
      <c r="R173" s="27"/>
      <c r="S173" s="42"/>
      <c r="T173" s="66"/>
      <c r="U173" s="93"/>
      <c r="V17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12:54:45-0600',mode:absolute,to:'2016-07-25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73" s="71"/>
      <c r="X173" s="89"/>
      <c r="Y173" s="86">
        <f t="shared" si="74"/>
        <v>9.2499999999999999E-2</v>
      </c>
      <c r="Z173" s="86">
        <f t="shared" si="75"/>
        <v>5.8949999999999996</v>
      </c>
      <c r="AA173" s="86">
        <f t="shared" si="76"/>
        <v>5.8024999999999993</v>
      </c>
      <c r="AB173" s="83" t="e">
        <f>VLOOKUP(A173,Enforcements!$C$7:$J$24,8,0)</f>
        <v>#N/A</v>
      </c>
      <c r="AC173" s="79" t="e">
        <f>VLOOKUP(A173,Enforcements!$C$7:$E$24,3,0)</f>
        <v>#N/A</v>
      </c>
      <c r="AD173" s="80" t="str">
        <f t="shared" si="77"/>
        <v>0821-25</v>
      </c>
      <c r="AE173" s="72" t="str">
        <f t="shared" ref="AE173:AE191" si="79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73" s="72" t="str">
        <f t="shared" ref="AF173:AF191" si="80">astrogrep_path&amp;" /spath="&amp;search_path&amp;" /stypes=""*"&amp;B173&amp;"*"&amp;TEXT(I173-utc_offset/24,"YYYYMMDD")&amp;"*"" /stext="" "&amp;TEXT(I173-utc_offset/24,"HH")&amp;search_regexp&amp;""" /e /r /s"</f>
        <v>"C:\Program Files (x86)\AstroGrep\AstroGrep.exe" /spath="C:\Users\stu\Documents\Analysis\2016-02-23 RTDC Observations" /stypes="*4031*20160725*" /stext=" 20:.+((prompt.+disp)|(slice.+state.+chan)|(ment ac)|(system.+state.+chan)|(\|lc)|(penalty)|(\[timeout))" /e /r /s</v>
      </c>
      <c r="AG173" s="1" t="str">
        <f t="shared" si="78"/>
        <v>NWGL</v>
      </c>
    </row>
    <row r="174" spans="1:33" x14ac:dyDescent="0.25">
      <c r="A174" s="46" t="s">
        <v>634</v>
      </c>
      <c r="B174" s="7">
        <v>4041</v>
      </c>
      <c r="C174" s="26" t="s">
        <v>269</v>
      </c>
      <c r="D174" s="26" t="s">
        <v>635</v>
      </c>
      <c r="E174" s="16">
        <v>42576.590648148151</v>
      </c>
      <c r="F174" s="16">
        <v>42576.591446759259</v>
      </c>
      <c r="G174" s="7">
        <v>1</v>
      </c>
      <c r="H174" s="16" t="s">
        <v>636</v>
      </c>
      <c r="I174" s="16">
        <v>42576.60564814815</v>
      </c>
      <c r="J174" s="7">
        <v>0</v>
      </c>
      <c r="K174" s="26" t="str">
        <f t="shared" si="72"/>
        <v>4041/4042</v>
      </c>
      <c r="L174" s="26" t="str">
        <f>VLOOKUP(A174,'Trips&amp;Operators'!$C$1:$E$10000,3,FALSE)</f>
        <v>ADANE</v>
      </c>
      <c r="M174" s="6">
        <f t="shared" si="73"/>
        <v>1.4201388890796807E-2</v>
      </c>
      <c r="N174" s="7"/>
      <c r="O174" s="7"/>
      <c r="P174" s="7"/>
      <c r="Q174" s="27"/>
      <c r="R174" s="27"/>
      <c r="S174" s="42"/>
      <c r="T174" s="66"/>
      <c r="U174" s="93"/>
      <c r="V17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13:10:32-0600',mode:absolute,to:'2016-07-25 15:32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74" s="71"/>
      <c r="X174" s="89"/>
      <c r="Y174" s="86">
        <f t="shared" si="74"/>
        <v>5.8647</v>
      </c>
      <c r="Z174" s="86">
        <f t="shared" si="75"/>
        <v>6.6600000000000006E-2</v>
      </c>
      <c r="AA174" s="86">
        <f t="shared" si="76"/>
        <v>5.7980999999999998</v>
      </c>
      <c r="AB174" s="83" t="e">
        <f>VLOOKUP(A174,Enforcements!$C$7:$J$24,8,0)</f>
        <v>#N/A</v>
      </c>
      <c r="AC174" s="79" t="e">
        <f>VLOOKUP(A174,Enforcements!$C$7:$E$24,3,0)</f>
        <v>#N/A</v>
      </c>
      <c r="AD174" s="80" t="str">
        <f t="shared" si="77"/>
        <v>0822-25</v>
      </c>
      <c r="AE174" s="72" t="str">
        <f t="shared" si="7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74" s="72" t="str">
        <f t="shared" si="80"/>
        <v>"C:\Program Files (x86)\AstroGrep\AstroGrep.exe" /spath="C:\Users\stu\Documents\Analysis\2016-02-23 RTDC Observations" /stypes="*4041*20160725*" /stext=" 20:.+((prompt.+disp)|(slice.+state.+chan)|(ment ac)|(system.+state.+chan)|(\|lc)|(penalty)|(\[timeout))" /e /r /s</v>
      </c>
      <c r="AG174" s="1" t="str">
        <f t="shared" si="78"/>
        <v>NWGL</v>
      </c>
    </row>
    <row r="175" spans="1:33" x14ac:dyDescent="0.25">
      <c r="A175" s="46" t="s">
        <v>637</v>
      </c>
      <c r="B175" s="7">
        <v>4025</v>
      </c>
      <c r="C175" s="26" t="s">
        <v>59</v>
      </c>
      <c r="D175" s="26" t="s">
        <v>638</v>
      </c>
      <c r="E175" s="16">
        <v>42576.595625000002</v>
      </c>
      <c r="F175" s="16">
        <v>42576.596585648149</v>
      </c>
      <c r="G175" s="7">
        <v>1</v>
      </c>
      <c r="H175" s="16" t="s">
        <v>639</v>
      </c>
      <c r="I175" s="16">
        <v>42576.609085648146</v>
      </c>
      <c r="J175" s="7">
        <v>1</v>
      </c>
      <c r="K175" s="26" t="str">
        <f t="shared" si="72"/>
        <v>4025/4026</v>
      </c>
      <c r="L175" s="26" t="str">
        <f>VLOOKUP(A175,'Trips&amp;Operators'!$C$1:$E$10000,3,FALSE)</f>
        <v>REBOLETTI</v>
      </c>
      <c r="M175" s="6">
        <f t="shared" si="73"/>
        <v>1.2499999997089617E-2</v>
      </c>
      <c r="N175" s="7"/>
      <c r="O175" s="7"/>
      <c r="P175" s="7"/>
      <c r="Q175" s="27"/>
      <c r="R175" s="27"/>
      <c r="S175" s="42"/>
      <c r="T175" s="66"/>
      <c r="U175" s="93"/>
      <c r="V17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13:17:42-0600',mode:absolute,to:'2016-07-25 15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75" s="71"/>
      <c r="X175" s="89"/>
      <c r="Y175" s="86">
        <f t="shared" si="74"/>
        <v>9.4399999999999998E-2</v>
      </c>
      <c r="Z175" s="86">
        <f t="shared" si="75"/>
        <v>5.8068</v>
      </c>
      <c r="AA175" s="86">
        <f t="shared" si="76"/>
        <v>5.7123999999999997</v>
      </c>
      <c r="AB175" s="83" t="e">
        <f>VLOOKUP(A175,Enforcements!$C$7:$J$24,8,0)</f>
        <v>#N/A</v>
      </c>
      <c r="AC175" s="79" t="e">
        <f>VLOOKUP(A175,Enforcements!$C$7:$E$24,3,0)</f>
        <v>#N/A</v>
      </c>
      <c r="AD175" s="80" t="str">
        <f t="shared" si="77"/>
        <v>0823-25</v>
      </c>
      <c r="AE175" s="72" t="str">
        <f t="shared" si="7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75" s="72" t="str">
        <f t="shared" si="80"/>
        <v>"C:\Program Files (x86)\AstroGrep\AstroGrep.exe" /spath="C:\Users\stu\Documents\Analysis\2016-02-23 RTDC Observations" /stypes="*4025*20160725*" /stext=" 20:.+((prompt.+disp)|(slice.+state.+chan)|(ment ac)|(system.+state.+chan)|(\|lc)|(penalty)|(\[timeout))" /e /r /s</v>
      </c>
      <c r="AG175" s="1" t="str">
        <f t="shared" si="78"/>
        <v>NWGL</v>
      </c>
    </row>
    <row r="176" spans="1:33" x14ac:dyDescent="0.25">
      <c r="A176" s="46" t="s">
        <v>640</v>
      </c>
      <c r="B176" s="7">
        <v>4032</v>
      </c>
      <c r="C176" s="26" t="s">
        <v>269</v>
      </c>
      <c r="D176" s="26" t="s">
        <v>641</v>
      </c>
      <c r="E176" s="16">
        <v>42576.612349537034</v>
      </c>
      <c r="F176" s="16">
        <v>42576.61314814815</v>
      </c>
      <c r="G176" s="7">
        <v>1</v>
      </c>
      <c r="H176" s="16" t="s">
        <v>642</v>
      </c>
      <c r="I176" s="16">
        <v>42576.623391203706</v>
      </c>
      <c r="J176" s="7">
        <v>1</v>
      </c>
      <c r="K176" s="26" t="str">
        <f t="shared" si="72"/>
        <v>4031/4032</v>
      </c>
      <c r="L176" s="26" t="str">
        <f>VLOOKUP(A176,'Trips&amp;Operators'!$C$1:$E$10000,3,FALSE)</f>
        <v>ROCHA</v>
      </c>
      <c r="M176" s="6">
        <f t="shared" si="73"/>
        <v>1.0243055556202307E-2</v>
      </c>
      <c r="N176" s="7"/>
      <c r="O176" s="7"/>
      <c r="P176" s="7"/>
      <c r="Q176" s="27"/>
      <c r="R176" s="27"/>
      <c r="S176" s="42"/>
      <c r="T176" s="66"/>
      <c r="U176" s="93"/>
      <c r="V17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13:41:47-0600',mode:absolute,to:'2016-07-25 15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76" s="71"/>
      <c r="X176" s="89"/>
      <c r="Y176" s="86">
        <f t="shared" si="74"/>
        <v>5.7340999999999998</v>
      </c>
      <c r="Z176" s="86">
        <f t="shared" si="75"/>
        <v>6.3100000000000003E-2</v>
      </c>
      <c r="AA176" s="86">
        <f t="shared" si="76"/>
        <v>5.6709999999999994</v>
      </c>
      <c r="AB176" s="83" t="e">
        <f>VLOOKUP(A176,Enforcements!$C$7:$J$24,8,0)</f>
        <v>#N/A</v>
      </c>
      <c r="AC176" s="79" t="e">
        <f>VLOOKUP(A176,Enforcements!$C$7:$E$24,3,0)</f>
        <v>#N/A</v>
      </c>
      <c r="AD176" s="80" t="str">
        <f t="shared" si="77"/>
        <v>0824-25</v>
      </c>
      <c r="AE176" s="72" t="str">
        <f t="shared" si="7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76" s="72" t="str">
        <f t="shared" si="80"/>
        <v>"C:\Program Files (x86)\AstroGrep\AstroGrep.exe" /spath="C:\Users\stu\Documents\Analysis\2016-02-23 RTDC Observations" /stypes="*4032*20160725*" /stext=" 20:.+((prompt.+disp)|(slice.+state.+chan)|(ment ac)|(system.+state.+chan)|(\|lc)|(penalty)|(\[timeout))" /e /r /s</v>
      </c>
      <c r="AG176" s="1" t="str">
        <f t="shared" si="78"/>
        <v>NWGL</v>
      </c>
    </row>
    <row r="177" spans="1:33" x14ac:dyDescent="0.25">
      <c r="A177" s="46" t="s">
        <v>640</v>
      </c>
      <c r="B177" s="7">
        <v>4032</v>
      </c>
      <c r="C177" s="26" t="s">
        <v>269</v>
      </c>
      <c r="D177" s="26" t="s">
        <v>643</v>
      </c>
      <c r="E177" s="16">
        <v>42576.596932870372</v>
      </c>
      <c r="F177" s="16">
        <v>42576.597951388889</v>
      </c>
      <c r="G177" s="7">
        <v>1</v>
      </c>
      <c r="H177" s="16" t="s">
        <v>642</v>
      </c>
      <c r="I177" s="16">
        <v>42576.623391203706</v>
      </c>
      <c r="J177" s="7">
        <v>1</v>
      </c>
      <c r="K177" s="26" t="str">
        <f t="shared" si="72"/>
        <v>4031/4032</v>
      </c>
      <c r="L177" s="26" t="str">
        <f>VLOOKUP(A177,'Trips&amp;Operators'!$C$1:$E$10000,3,FALSE)</f>
        <v>ROCHA</v>
      </c>
      <c r="M177" s="6">
        <f t="shared" si="73"/>
        <v>2.5439814817218576E-2</v>
      </c>
      <c r="N177" s="7"/>
      <c r="O177" s="7"/>
      <c r="P177" s="7"/>
      <c r="Q177" s="27"/>
      <c r="R177" s="27"/>
      <c r="S177" s="42"/>
      <c r="T177" s="66"/>
      <c r="U177" s="93"/>
      <c r="V17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13:19:35-0600',mode:absolute,to:'2016-07-25 15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77" s="71"/>
      <c r="X177" s="89"/>
      <c r="Y177" s="86">
        <f t="shared" si="74"/>
        <v>5.8642000000000003</v>
      </c>
      <c r="Z177" s="86">
        <f t="shared" si="75"/>
        <v>6.3100000000000003E-2</v>
      </c>
      <c r="AA177" s="86">
        <f t="shared" si="76"/>
        <v>5.8010999999999999</v>
      </c>
      <c r="AB177" s="83" t="e">
        <f>VLOOKUP(A177,Enforcements!$C$7:$J$24,8,0)</f>
        <v>#N/A</v>
      </c>
      <c r="AC177" s="79" t="e">
        <f>VLOOKUP(A177,Enforcements!$C$7:$E$24,3,0)</f>
        <v>#N/A</v>
      </c>
      <c r="AD177" s="80" t="str">
        <f t="shared" si="77"/>
        <v>0824-25</v>
      </c>
      <c r="AE177" s="72" t="str">
        <f t="shared" si="7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77" s="72" t="str">
        <f t="shared" si="80"/>
        <v>"C:\Program Files (x86)\AstroGrep\AstroGrep.exe" /spath="C:\Users\stu\Documents\Analysis\2016-02-23 RTDC Observations" /stypes="*4032*20160725*" /stext=" 20:.+((prompt.+disp)|(slice.+state.+chan)|(ment ac)|(system.+state.+chan)|(\|lc)|(penalty)|(\[timeout))" /e /r /s</v>
      </c>
      <c r="AG177" s="1" t="str">
        <f t="shared" si="78"/>
        <v>NWGL</v>
      </c>
    </row>
    <row r="178" spans="1:33" x14ac:dyDescent="0.25">
      <c r="A178" s="46" t="s">
        <v>644</v>
      </c>
      <c r="B178" s="7">
        <v>4042</v>
      </c>
      <c r="C178" s="26" t="s">
        <v>269</v>
      </c>
      <c r="D178" s="26" t="s">
        <v>645</v>
      </c>
      <c r="E178" s="16">
        <v>42576.608310185184</v>
      </c>
      <c r="F178" s="16">
        <v>42576.611145833333</v>
      </c>
      <c r="G178" s="7">
        <v>4</v>
      </c>
      <c r="H178" s="16" t="s">
        <v>646</v>
      </c>
      <c r="I178" s="16">
        <v>42576.621388888889</v>
      </c>
      <c r="J178" s="7">
        <v>1</v>
      </c>
      <c r="K178" s="26" t="str">
        <f t="shared" si="72"/>
        <v>4041/4042</v>
      </c>
      <c r="L178" s="26" t="str">
        <f>VLOOKUP(A178,'Trips&amp;Operators'!$C$1:$E$10000,3,FALSE)</f>
        <v>ADANE</v>
      </c>
      <c r="M178" s="6">
        <f t="shared" si="73"/>
        <v>1.0243055556202307E-2</v>
      </c>
      <c r="N178" s="7"/>
      <c r="O178" s="7"/>
      <c r="P178" s="7"/>
      <c r="Q178" s="27"/>
      <c r="R178" s="27"/>
      <c r="S178" s="42"/>
      <c r="T178" s="66"/>
      <c r="U178" s="93"/>
      <c r="V17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13:35:58-0600',mode:absolute,to:'2016-07-25 15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78" s="71"/>
      <c r="X178" s="89"/>
      <c r="Y178" s="86">
        <f t="shared" si="74"/>
        <v>9.4600000000000004E-2</v>
      </c>
      <c r="Z178" s="86">
        <f t="shared" si="75"/>
        <v>5.7596999999999996</v>
      </c>
      <c r="AA178" s="86">
        <f t="shared" si="76"/>
        <v>5.6650999999999998</v>
      </c>
      <c r="AB178" s="83" t="e">
        <f>VLOOKUP(A178,Enforcements!$C$7:$J$24,8,0)</f>
        <v>#N/A</v>
      </c>
      <c r="AC178" s="79" t="e">
        <f>VLOOKUP(A178,Enforcements!$C$7:$E$24,3,0)</f>
        <v>#N/A</v>
      </c>
      <c r="AD178" s="80" t="str">
        <f t="shared" si="77"/>
        <v>0825-25</v>
      </c>
      <c r="AE178" s="72" t="str">
        <f t="shared" si="7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78" s="72" t="str">
        <f t="shared" si="80"/>
        <v>"C:\Program Files (x86)\AstroGrep\AstroGrep.exe" /spath="C:\Users\stu\Documents\Analysis\2016-02-23 RTDC Observations" /stypes="*4042*20160725*" /stext=" 20:.+((prompt.+disp)|(slice.+state.+chan)|(ment ac)|(system.+state.+chan)|(\|lc)|(penalty)|(\[timeout))" /e /r /s</v>
      </c>
      <c r="AG178" s="1" t="str">
        <f t="shared" si="78"/>
        <v>NWGL</v>
      </c>
    </row>
    <row r="179" spans="1:33" x14ac:dyDescent="0.25">
      <c r="A179" s="46" t="s">
        <v>647</v>
      </c>
      <c r="B179" s="7">
        <v>4026</v>
      </c>
      <c r="C179" s="26" t="s">
        <v>59</v>
      </c>
      <c r="D179" s="26" t="s">
        <v>607</v>
      </c>
      <c r="E179" s="16">
        <v>42576.618888888886</v>
      </c>
      <c r="F179" s="16">
        <v>42576.620057870372</v>
      </c>
      <c r="G179" s="7">
        <v>1</v>
      </c>
      <c r="H179" s="16" t="s">
        <v>636</v>
      </c>
      <c r="I179" s="16">
        <v>42576.634143518517</v>
      </c>
      <c r="J179" s="7">
        <v>0</v>
      </c>
      <c r="K179" s="26" t="str">
        <f t="shared" si="72"/>
        <v>4025/4026</v>
      </c>
      <c r="L179" s="26" t="str">
        <f>VLOOKUP(A179,'Trips&amp;Operators'!$C$1:$E$10000,3,FALSE)</f>
        <v>REBOLETTI</v>
      </c>
      <c r="M179" s="6">
        <f t="shared" si="73"/>
        <v>1.4085648144828156E-2</v>
      </c>
      <c r="N179" s="7"/>
      <c r="O179" s="7"/>
      <c r="P179" s="7"/>
      <c r="Q179" s="27"/>
      <c r="R179" s="27"/>
      <c r="S179" s="42"/>
      <c r="T179" s="66"/>
      <c r="U179" s="93"/>
      <c r="V17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13:51:12-0600',mode:absolute,to:'2016-07-25 16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79" s="71"/>
      <c r="X179" s="89"/>
      <c r="Y179" s="86">
        <f t="shared" si="74"/>
        <v>5.8635999999999999</v>
      </c>
      <c r="Z179" s="86">
        <f t="shared" si="75"/>
        <v>6.6600000000000006E-2</v>
      </c>
      <c r="AA179" s="86">
        <f t="shared" si="76"/>
        <v>5.7969999999999997</v>
      </c>
      <c r="AB179" s="83" t="e">
        <f>VLOOKUP(A179,Enforcements!$C$7:$J$24,8,0)</f>
        <v>#N/A</v>
      </c>
      <c r="AC179" s="79" t="e">
        <f>VLOOKUP(A179,Enforcements!$C$7:$E$24,3,0)</f>
        <v>#N/A</v>
      </c>
      <c r="AD179" s="80" t="str">
        <f t="shared" si="77"/>
        <v>0826-25</v>
      </c>
      <c r="AE179" s="72" t="str">
        <f t="shared" si="7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79" s="72" t="str">
        <f t="shared" si="80"/>
        <v>"C:\Program Files (x86)\AstroGrep\AstroGrep.exe" /spath="C:\Users\stu\Documents\Analysis\2016-02-23 RTDC Observations" /stypes="*4026*20160725*" /stext=" 21:.+((prompt.+disp)|(slice.+state.+chan)|(ment ac)|(system.+state.+chan)|(\|lc)|(penalty)|(\[timeout))" /e /r /s</v>
      </c>
      <c r="AG179" s="1" t="str">
        <f t="shared" si="78"/>
        <v>NWGL</v>
      </c>
    </row>
    <row r="180" spans="1:33" x14ac:dyDescent="0.25">
      <c r="A180" s="46" t="s">
        <v>648</v>
      </c>
      <c r="B180" s="7">
        <v>4031</v>
      </c>
      <c r="C180" s="26" t="s">
        <v>269</v>
      </c>
      <c r="D180" s="26" t="s">
        <v>632</v>
      </c>
      <c r="E180" s="16">
        <v>42576.627534722225</v>
      </c>
      <c r="F180" s="16">
        <v>42576.62872685185</v>
      </c>
      <c r="G180" s="7">
        <v>1</v>
      </c>
      <c r="H180" s="16" t="s">
        <v>649</v>
      </c>
      <c r="I180" s="16">
        <v>42576.640763888892</v>
      </c>
      <c r="J180" s="7">
        <v>0</v>
      </c>
      <c r="K180" s="26" t="str">
        <f t="shared" si="72"/>
        <v>4031/4032</v>
      </c>
      <c r="L180" s="26" t="str">
        <f>VLOOKUP(A180,'Trips&amp;Operators'!$C$1:$E$10000,3,FALSE)</f>
        <v>BRUDER</v>
      </c>
      <c r="M180" s="6">
        <f t="shared" si="73"/>
        <v>1.2037037042318843E-2</v>
      </c>
      <c r="N180" s="7"/>
      <c r="O180" s="7"/>
      <c r="P180" s="7"/>
      <c r="Q180" s="27"/>
      <c r="R180" s="27"/>
      <c r="S180" s="42"/>
      <c r="T180" s="66"/>
      <c r="U180" s="93"/>
      <c r="V18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14:03:39-0600',mode:absolute,to:'2016-07-25 16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80" s="71"/>
      <c r="X180" s="89"/>
      <c r="Y180" s="86">
        <f t="shared" si="74"/>
        <v>9.2499999999999999E-2</v>
      </c>
      <c r="Z180" s="86">
        <f t="shared" si="75"/>
        <v>5.8959999999999999</v>
      </c>
      <c r="AA180" s="86">
        <f t="shared" si="76"/>
        <v>5.8034999999999997</v>
      </c>
      <c r="AB180" s="83" t="e">
        <f>VLOOKUP(A180,Enforcements!$C$7:$J$24,8,0)</f>
        <v>#N/A</v>
      </c>
      <c r="AC180" s="79" t="e">
        <f>VLOOKUP(A180,Enforcements!$C$7:$E$24,3,0)</f>
        <v>#N/A</v>
      </c>
      <c r="AD180" s="80" t="str">
        <f t="shared" si="77"/>
        <v>0827-25</v>
      </c>
      <c r="AE180" s="72" t="str">
        <f t="shared" si="79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80" s="72" t="str">
        <f t="shared" si="80"/>
        <v>"C:\Program Files (x86)\AstroGrep\AstroGrep.exe" /spath="C:\Users\stu\Documents\Analysis\2016-02-23 RTDC Observations" /stypes="*4031*20160725*" /stext=" 21:.+((prompt.+disp)|(slice.+state.+chan)|(ment ac)|(system.+state.+chan)|(\|lc)|(penalty)|(\[timeout))" /e /r /s</v>
      </c>
      <c r="AG180" s="1" t="str">
        <f t="shared" si="78"/>
        <v>NWGL</v>
      </c>
    </row>
    <row r="181" spans="1:33" x14ac:dyDescent="0.25">
      <c r="A181" s="46" t="s">
        <v>650</v>
      </c>
      <c r="B181" s="7">
        <v>4041</v>
      </c>
      <c r="C181" s="26" t="s">
        <v>269</v>
      </c>
      <c r="D181" s="26" t="s">
        <v>314</v>
      </c>
      <c r="E181" s="16">
        <v>42576.634432870371</v>
      </c>
      <c r="F181" s="16">
        <v>42576.635277777779</v>
      </c>
      <c r="G181" s="7">
        <v>1</v>
      </c>
      <c r="H181" s="16" t="s">
        <v>586</v>
      </c>
      <c r="I181" s="16">
        <v>42576.652094907404</v>
      </c>
      <c r="J181" s="7">
        <v>2</v>
      </c>
      <c r="K181" s="26" t="str">
        <f t="shared" si="72"/>
        <v>4041/4042</v>
      </c>
      <c r="L181" s="26" t="str">
        <f>VLOOKUP(A181,'Trips&amp;Operators'!$C$1:$E$10000,3,FALSE)</f>
        <v>ADANE</v>
      </c>
      <c r="M181" s="6">
        <f t="shared" si="73"/>
        <v>1.6817129624541849E-2</v>
      </c>
      <c r="N181" s="7"/>
      <c r="O181" s="7"/>
      <c r="P181" s="7"/>
      <c r="Q181" s="27"/>
      <c r="R181" s="27"/>
      <c r="S181" s="42"/>
      <c r="T181" s="66"/>
      <c r="U181" s="93"/>
      <c r="V18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14:13:35-0600',mode:absolute,to:'2016-07-25 16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81" s="71"/>
      <c r="X181" s="89"/>
      <c r="Y181" s="86">
        <f t="shared" si="74"/>
        <v>5.8639999999999999</v>
      </c>
      <c r="Z181" s="86">
        <f t="shared" si="75"/>
        <v>6.3299999999999995E-2</v>
      </c>
      <c r="AA181" s="86">
        <f t="shared" si="76"/>
        <v>5.8007</v>
      </c>
      <c r="AB181" s="83" t="e">
        <f>VLOOKUP(A181,Enforcements!$C$7:$J$24,8,0)</f>
        <v>#N/A</v>
      </c>
      <c r="AC181" s="79" t="e">
        <f>VLOOKUP(A181,Enforcements!$C$7:$E$24,3,0)</f>
        <v>#N/A</v>
      </c>
      <c r="AD181" s="80" t="str">
        <f t="shared" si="77"/>
        <v>0828-25</v>
      </c>
      <c r="AE181" s="72" t="str">
        <f t="shared" si="7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81" s="72" t="str">
        <f t="shared" si="80"/>
        <v>"C:\Program Files (x86)\AstroGrep\AstroGrep.exe" /spath="C:\Users\stu\Documents\Analysis\2016-02-23 RTDC Observations" /stypes="*4041*20160725*" /stext=" 21:.+((prompt.+disp)|(slice.+state.+chan)|(ment ac)|(system.+state.+chan)|(\|lc)|(penalty)|(\[timeout))" /e /r /s</v>
      </c>
      <c r="AG181" s="1" t="str">
        <f t="shared" si="78"/>
        <v>NWGL</v>
      </c>
    </row>
    <row r="182" spans="1:33" x14ac:dyDescent="0.25">
      <c r="A182" s="46" t="s">
        <v>651</v>
      </c>
      <c r="B182" s="7">
        <v>4025</v>
      </c>
      <c r="C182" s="26" t="s">
        <v>59</v>
      </c>
      <c r="D182" s="26" t="s">
        <v>638</v>
      </c>
      <c r="E182" s="16">
        <v>42576.635706018518</v>
      </c>
      <c r="F182" s="16">
        <v>42576.636805555558</v>
      </c>
      <c r="G182" s="7">
        <v>1</v>
      </c>
      <c r="H182" s="16" t="s">
        <v>652</v>
      </c>
      <c r="I182" s="16">
        <v>42576.650972222225</v>
      </c>
      <c r="J182" s="7">
        <v>2</v>
      </c>
      <c r="K182" s="26" t="str">
        <f t="shared" si="72"/>
        <v>4025/4026</v>
      </c>
      <c r="L182" s="26" t="str">
        <f>VLOOKUP(A182,'Trips&amp;Operators'!$C$1:$E$10000,3,FALSE)</f>
        <v>COOLAHAN</v>
      </c>
      <c r="M182" s="6">
        <f t="shared" si="73"/>
        <v>1.4166666667733807E-2</v>
      </c>
      <c r="N182" s="7"/>
      <c r="O182" s="7"/>
      <c r="P182" s="7"/>
      <c r="Q182" s="27"/>
      <c r="R182" s="27"/>
      <c r="S182" s="42"/>
      <c r="T182" s="66"/>
      <c r="U182" s="93"/>
      <c r="V18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14:15:25-0600',mode:absolute,to:'2016-07-25 16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82" s="71"/>
      <c r="X182" s="89"/>
      <c r="Y182" s="86">
        <f t="shared" si="74"/>
        <v>9.4399999999999998E-2</v>
      </c>
      <c r="Z182" s="86">
        <f t="shared" si="75"/>
        <v>5.8897000000000004</v>
      </c>
      <c r="AA182" s="86">
        <f t="shared" si="76"/>
        <v>5.7953000000000001</v>
      </c>
      <c r="AB182" s="83" t="e">
        <f>VLOOKUP(A182,Enforcements!$C$7:$J$24,8,0)</f>
        <v>#N/A</v>
      </c>
      <c r="AC182" s="79" t="e">
        <f>VLOOKUP(A182,Enforcements!$C$7:$E$24,3,0)</f>
        <v>#N/A</v>
      </c>
      <c r="AD182" s="80" t="str">
        <f t="shared" si="77"/>
        <v>0829-25</v>
      </c>
      <c r="AE182" s="72" t="str">
        <f t="shared" si="7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82" s="72" t="str">
        <f t="shared" si="80"/>
        <v>"C:\Program Files (x86)\AstroGrep\AstroGrep.exe" /spath="C:\Users\stu\Documents\Analysis\2016-02-23 RTDC Observations" /stypes="*4025*20160725*" /stext=" 21:.+((prompt.+disp)|(slice.+state.+chan)|(ment ac)|(system.+state.+chan)|(\|lc)|(penalty)|(\[timeout))" /e /r /s</v>
      </c>
      <c r="AG182" s="1" t="str">
        <f t="shared" si="78"/>
        <v>NWGL</v>
      </c>
    </row>
    <row r="183" spans="1:33" x14ac:dyDescent="0.25">
      <c r="A183" s="46" t="s">
        <v>653</v>
      </c>
      <c r="B183" s="7">
        <v>4032</v>
      </c>
      <c r="C183" s="26" t="s">
        <v>269</v>
      </c>
      <c r="D183" s="26" t="s">
        <v>316</v>
      </c>
      <c r="E183" s="16">
        <v>42576.643240740741</v>
      </c>
      <c r="F183" s="16">
        <v>42576.64435185185</v>
      </c>
      <c r="G183" s="7">
        <v>1</v>
      </c>
      <c r="H183" s="16" t="s">
        <v>316</v>
      </c>
      <c r="I183" s="16">
        <v>42576.644456018519</v>
      </c>
      <c r="J183" s="7">
        <v>0</v>
      </c>
      <c r="K183" s="26" t="str">
        <f t="shared" si="72"/>
        <v>4031/4032</v>
      </c>
      <c r="L183" s="26" t="str">
        <f>VLOOKUP(A183,'Trips&amp;Operators'!$C$1:$E$10000,3,FALSE)</f>
        <v>BRUDER</v>
      </c>
      <c r="M183" s="6">
        <f t="shared" si="73"/>
        <v>1.0416666918899864E-4</v>
      </c>
      <c r="N183" s="7"/>
      <c r="O183" s="7"/>
      <c r="P183" s="7"/>
      <c r="Q183" s="27"/>
      <c r="R183" s="27"/>
      <c r="S183" s="42"/>
      <c r="T183" s="66"/>
      <c r="U183" s="93"/>
      <c r="V18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14:26:16-0600',mode:absolute,to:'2016-07-25 16:28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83" s="71"/>
      <c r="X183" s="89"/>
      <c r="Y183" s="86">
        <f t="shared" si="74"/>
        <v>5.8643000000000001</v>
      </c>
      <c r="Z183" s="86">
        <f t="shared" si="75"/>
        <v>5.8643000000000001</v>
      </c>
      <c r="AA183" s="86">
        <f t="shared" si="76"/>
        <v>0</v>
      </c>
      <c r="AB183" s="83" t="e">
        <f>VLOOKUP(A183,Enforcements!$C$7:$J$24,8,0)</f>
        <v>#N/A</v>
      </c>
      <c r="AC183" s="79" t="e">
        <f>VLOOKUP(A183,Enforcements!$C$7:$E$24,3,0)</f>
        <v>#N/A</v>
      </c>
      <c r="AD183" s="80" t="str">
        <f t="shared" si="77"/>
        <v>0830-25</v>
      </c>
      <c r="AE183" s="72" t="str">
        <f t="shared" si="7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83" s="72" t="str">
        <f t="shared" si="80"/>
        <v>"C:\Program Files (x86)\AstroGrep\AstroGrep.exe" /spath="C:\Users\stu\Documents\Analysis\2016-02-23 RTDC Observations" /stypes="*4032*20160725*" /stext=" 21:.+((prompt.+disp)|(slice.+state.+chan)|(ment ac)|(system.+state.+chan)|(\|lc)|(penalty)|(\[timeout))" /e /r /s</v>
      </c>
      <c r="AG183" s="1" t="str">
        <f t="shared" si="78"/>
        <v>NWGL</v>
      </c>
    </row>
    <row r="184" spans="1:33" x14ac:dyDescent="0.25">
      <c r="A184" s="46" t="s">
        <v>653</v>
      </c>
      <c r="B184" s="7">
        <v>4032</v>
      </c>
      <c r="C184" s="26" t="s">
        <v>269</v>
      </c>
      <c r="D184" s="26" t="s">
        <v>635</v>
      </c>
      <c r="E184" s="16">
        <v>42576.64607638889</v>
      </c>
      <c r="F184" s="16">
        <v>42576.647280092591</v>
      </c>
      <c r="G184" s="7">
        <v>1</v>
      </c>
      <c r="H184" s="16" t="s">
        <v>654</v>
      </c>
      <c r="I184" s="16">
        <v>42576.662129629629</v>
      </c>
      <c r="J184" s="7">
        <v>0</v>
      </c>
      <c r="K184" s="26" t="str">
        <f t="shared" si="72"/>
        <v>4031/4032</v>
      </c>
      <c r="L184" s="26" t="str">
        <f>VLOOKUP(A184,'Trips&amp;Operators'!$C$1:$E$10000,3,FALSE)</f>
        <v>BRUDER</v>
      </c>
      <c r="M184" s="6">
        <f t="shared" si="73"/>
        <v>1.484953703766223E-2</v>
      </c>
      <c r="N184" s="7"/>
      <c r="O184" s="7"/>
      <c r="P184" s="7"/>
      <c r="Q184" s="27"/>
      <c r="R184" s="27"/>
      <c r="S184" s="42"/>
      <c r="T184" s="66"/>
      <c r="U184" s="93"/>
      <c r="V18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14:30:21-0600',mode:absolute,to:'2016-07-25 16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84" s="71"/>
      <c r="X184" s="89"/>
      <c r="Y184" s="86">
        <f t="shared" si="74"/>
        <v>5.8647</v>
      </c>
      <c r="Z184" s="86">
        <f t="shared" si="75"/>
        <v>6.8000000000000005E-2</v>
      </c>
      <c r="AA184" s="86">
        <f t="shared" si="76"/>
        <v>5.7967000000000004</v>
      </c>
      <c r="AB184" s="83" t="e">
        <f>VLOOKUP(A184,Enforcements!$C$7:$J$24,8,0)</f>
        <v>#N/A</v>
      </c>
      <c r="AC184" s="79" t="e">
        <f>VLOOKUP(A184,Enforcements!$C$7:$E$24,3,0)</f>
        <v>#N/A</v>
      </c>
      <c r="AD184" s="80" t="str">
        <f t="shared" si="77"/>
        <v>0830-25</v>
      </c>
      <c r="AE184" s="72" t="str">
        <f t="shared" si="7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84" s="72" t="str">
        <f t="shared" si="80"/>
        <v>"C:\Program Files (x86)\AstroGrep\AstroGrep.exe" /spath="C:\Users\stu\Documents\Analysis\2016-02-23 RTDC Observations" /stypes="*4032*20160725*" /stext=" 21:.+((prompt.+disp)|(slice.+state.+chan)|(ment ac)|(system.+state.+chan)|(\|lc)|(penalty)|(\[timeout))" /e /r /s</v>
      </c>
      <c r="AG184" s="1" t="str">
        <f t="shared" si="78"/>
        <v>NWGL</v>
      </c>
    </row>
    <row r="185" spans="1:33" x14ac:dyDescent="0.25">
      <c r="A185" s="46" t="s">
        <v>655</v>
      </c>
      <c r="B185" s="7">
        <v>4042</v>
      </c>
      <c r="C185" s="26" t="s">
        <v>269</v>
      </c>
      <c r="D185" s="26" t="s">
        <v>656</v>
      </c>
      <c r="E185" s="16">
        <v>42576.653784722221</v>
      </c>
      <c r="F185" s="16">
        <v>42576.654606481483</v>
      </c>
      <c r="G185" s="7">
        <v>1</v>
      </c>
      <c r="H185" s="16" t="s">
        <v>657</v>
      </c>
      <c r="I185" s="16">
        <v>42576.665937500002</v>
      </c>
      <c r="J185" s="7">
        <v>0</v>
      </c>
      <c r="K185" s="26" t="str">
        <f t="shared" si="72"/>
        <v>4041/4042</v>
      </c>
      <c r="L185" s="26" t="str">
        <f>VLOOKUP(A185,'Trips&amp;Operators'!$C$1:$E$10000,3,FALSE)</f>
        <v>ADANE</v>
      </c>
      <c r="M185" s="6">
        <f t="shared" si="73"/>
        <v>1.1331018518831115E-2</v>
      </c>
      <c r="N185" s="7"/>
      <c r="O185" s="7"/>
      <c r="P185" s="7"/>
      <c r="Q185" s="27"/>
      <c r="R185" s="27"/>
      <c r="S185" s="42"/>
      <c r="T185" s="66"/>
      <c r="U185" s="93"/>
      <c r="V18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14:41:27-0600',mode:absolute,to:'2016-07-25 16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85" s="71"/>
      <c r="X185" s="89"/>
      <c r="Y185" s="86">
        <f t="shared" si="74"/>
        <v>9.2200000000000004E-2</v>
      </c>
      <c r="Z185" s="86">
        <f t="shared" si="75"/>
        <v>5.7625000000000002</v>
      </c>
      <c r="AA185" s="86">
        <f t="shared" si="76"/>
        <v>5.6703000000000001</v>
      </c>
      <c r="AB185" s="83" t="e">
        <f>VLOOKUP(A185,Enforcements!$C$7:$J$24,8,0)</f>
        <v>#N/A</v>
      </c>
      <c r="AC185" s="79" t="e">
        <f>VLOOKUP(A185,Enforcements!$C$7:$E$24,3,0)</f>
        <v>#N/A</v>
      </c>
      <c r="AD185" s="80" t="str">
        <f t="shared" si="77"/>
        <v>0831-25</v>
      </c>
      <c r="AE185" s="72" t="str">
        <f t="shared" si="7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85" s="72" t="str">
        <f t="shared" si="80"/>
        <v>"C:\Program Files (x86)\AstroGrep\AstroGrep.exe" /spath="C:\Users\stu\Documents\Analysis\2016-02-23 RTDC Observations" /stypes="*4042*20160725*" /stext=" 21:.+((prompt.+disp)|(slice.+state.+chan)|(ment ac)|(system.+state.+chan)|(\|lc)|(penalty)|(\[timeout))" /e /r /s</v>
      </c>
      <c r="AG185" s="1" t="str">
        <f t="shared" si="78"/>
        <v>NWGL</v>
      </c>
    </row>
    <row r="186" spans="1:33" x14ac:dyDescent="0.25">
      <c r="A186" s="46" t="s">
        <v>658</v>
      </c>
      <c r="B186" s="7">
        <v>4026</v>
      </c>
      <c r="C186" s="26" t="s">
        <v>59</v>
      </c>
      <c r="D186" s="26" t="s">
        <v>659</v>
      </c>
      <c r="E186" s="16">
        <v>42576.660138888888</v>
      </c>
      <c r="F186" s="16">
        <v>42576.66207175926</v>
      </c>
      <c r="G186" s="7">
        <v>2</v>
      </c>
      <c r="H186" s="16" t="s">
        <v>660</v>
      </c>
      <c r="I186" s="16">
        <v>42576.677048611113</v>
      </c>
      <c r="J186" s="7">
        <v>1</v>
      </c>
      <c r="K186" s="26" t="str">
        <f t="shared" si="72"/>
        <v>4025/4026</v>
      </c>
      <c r="L186" s="26" t="str">
        <f>VLOOKUP(A186,'Trips&amp;Operators'!$C$1:$E$10000,3,FALSE)</f>
        <v>COOLAHAN</v>
      </c>
      <c r="M186" s="6">
        <f t="shared" si="73"/>
        <v>1.4976851853134576E-2</v>
      </c>
      <c r="N186" s="7"/>
      <c r="O186" s="7"/>
      <c r="P186" s="7"/>
      <c r="Q186" s="27"/>
      <c r="R186" s="27"/>
      <c r="S186" s="42"/>
      <c r="T186" s="66"/>
      <c r="U186" s="93"/>
      <c r="V18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14:50:36-0600',mode:absolute,to:'2016-07-25 17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86" s="71"/>
      <c r="X186" s="89"/>
      <c r="Y186" s="86">
        <f t="shared" si="74"/>
        <v>5.8686999999999996</v>
      </c>
      <c r="Z186" s="86">
        <f t="shared" si="75"/>
        <v>7.8E-2</v>
      </c>
      <c r="AA186" s="86">
        <f t="shared" si="76"/>
        <v>5.7906999999999993</v>
      </c>
      <c r="AB186" s="83" t="e">
        <f>VLOOKUP(A186,Enforcements!$C$7:$J$24,8,0)</f>
        <v>#N/A</v>
      </c>
      <c r="AC186" s="79" t="e">
        <f>VLOOKUP(A186,Enforcements!$C$7:$E$24,3,0)</f>
        <v>#N/A</v>
      </c>
      <c r="AD186" s="80" t="str">
        <f t="shared" si="77"/>
        <v>0832-25</v>
      </c>
      <c r="AE186" s="72" t="str">
        <f t="shared" si="79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86" s="72" t="str">
        <f t="shared" si="80"/>
        <v>"C:\Program Files (x86)\AstroGrep\AstroGrep.exe" /spath="C:\Users\stu\Documents\Analysis\2016-02-23 RTDC Observations" /stypes="*4026*20160725*" /stext=" 22:.+((prompt.+disp)|(slice.+state.+chan)|(ment ac)|(system.+state.+chan)|(\|lc)|(penalty)|(\[timeout))" /e /r /s</v>
      </c>
      <c r="AG186" s="1" t="str">
        <f t="shared" si="78"/>
        <v>NWGL</v>
      </c>
    </row>
    <row r="187" spans="1:33" x14ac:dyDescent="0.25">
      <c r="A187" s="46" t="s">
        <v>661</v>
      </c>
      <c r="B187" s="7">
        <v>4031</v>
      </c>
      <c r="C187" s="26" t="s">
        <v>269</v>
      </c>
      <c r="D187" s="26" t="s">
        <v>662</v>
      </c>
      <c r="E187" s="16">
        <v>42576.664340277777</v>
      </c>
      <c r="F187" s="16">
        <v>42576.665312500001</v>
      </c>
      <c r="G187" s="7">
        <v>1</v>
      </c>
      <c r="H187" s="16" t="s">
        <v>348</v>
      </c>
      <c r="I187" s="16">
        <v>42576.677615740744</v>
      </c>
      <c r="J187" s="7">
        <v>0</v>
      </c>
      <c r="K187" s="26" t="str">
        <f t="shared" si="72"/>
        <v>4031/4032</v>
      </c>
      <c r="L187" s="26" t="str">
        <f>VLOOKUP(A187,'Trips&amp;Operators'!$C$1:$E$10000,3,FALSE)</f>
        <v>BRUDER</v>
      </c>
      <c r="M187" s="6">
        <f t="shared" si="73"/>
        <v>1.230324074276723E-2</v>
      </c>
      <c r="N187" s="7"/>
      <c r="O187" s="7"/>
      <c r="P187" s="7"/>
      <c r="Q187" s="27"/>
      <c r="R187" s="27"/>
      <c r="S187" s="42"/>
      <c r="T187" s="66"/>
      <c r="U187" s="93"/>
      <c r="V18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14:56:39-0600',mode:absolute,to:'2016-07-25 17:15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87" s="71"/>
      <c r="X187" s="89"/>
      <c r="Y187" s="86">
        <f t="shared" si="74"/>
        <v>9.6500000000000002E-2</v>
      </c>
      <c r="Z187" s="86">
        <f t="shared" si="75"/>
        <v>5.8958000000000004</v>
      </c>
      <c r="AA187" s="86">
        <f t="shared" si="76"/>
        <v>5.7993000000000006</v>
      </c>
      <c r="AB187" s="83" t="e">
        <f>VLOOKUP(A187,Enforcements!$C$7:$J$24,8,0)</f>
        <v>#N/A</v>
      </c>
      <c r="AC187" s="79" t="e">
        <f>VLOOKUP(A187,Enforcements!$C$7:$E$24,3,0)</f>
        <v>#N/A</v>
      </c>
      <c r="AD187" s="80" t="str">
        <f t="shared" si="77"/>
        <v>0833-25</v>
      </c>
      <c r="AE187" s="72" t="str">
        <f t="shared" si="79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87" s="72" t="str">
        <f t="shared" si="80"/>
        <v>"C:\Program Files (x86)\AstroGrep\AstroGrep.exe" /spath="C:\Users\stu\Documents\Analysis\2016-02-23 RTDC Observations" /stypes="*4031*20160725*" /stext=" 22:.+((prompt.+disp)|(slice.+state.+chan)|(ment ac)|(system.+state.+chan)|(\|lc)|(penalty)|(\[timeout))" /e /r /s</v>
      </c>
      <c r="AG187" s="1" t="str">
        <f t="shared" si="78"/>
        <v>NWGL</v>
      </c>
    </row>
    <row r="188" spans="1:33" x14ac:dyDescent="0.25">
      <c r="A188" s="46" t="s">
        <v>663</v>
      </c>
      <c r="B188" s="7">
        <v>4041</v>
      </c>
      <c r="C188" s="26" t="s">
        <v>269</v>
      </c>
      <c r="D188" s="26" t="s">
        <v>664</v>
      </c>
      <c r="E188" s="16">
        <v>42576.674710648149</v>
      </c>
      <c r="F188" s="16">
        <v>42576.675497685188</v>
      </c>
      <c r="G188" s="7">
        <v>1</v>
      </c>
      <c r="H188" s="16" t="s">
        <v>665</v>
      </c>
      <c r="I188" s="16">
        <v>42576.688611111109</v>
      </c>
      <c r="J188" s="7">
        <v>0</v>
      </c>
      <c r="K188" s="26" t="str">
        <f t="shared" si="72"/>
        <v>4041/4042</v>
      </c>
      <c r="L188" s="26" t="str">
        <f>VLOOKUP(A188,'Trips&amp;Operators'!$C$1:$E$10000,3,FALSE)</f>
        <v>ADANE</v>
      </c>
      <c r="M188" s="6">
        <f t="shared" si="73"/>
        <v>1.3113425920892041E-2</v>
      </c>
      <c r="N188" s="7"/>
      <c r="O188" s="7"/>
      <c r="P188" s="7"/>
      <c r="Q188" s="27"/>
      <c r="R188" s="27"/>
      <c r="S188" s="42"/>
      <c r="T188" s="66"/>
      <c r="U188" s="93"/>
      <c r="V18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15:11:35-0600',mode:absolute,to:'2016-07-25 17:31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88" s="71"/>
      <c r="X188" s="89"/>
      <c r="Y188" s="86">
        <f t="shared" si="74"/>
        <v>5.8638000000000003</v>
      </c>
      <c r="Z188" s="86">
        <f t="shared" si="75"/>
        <v>8.48E-2</v>
      </c>
      <c r="AA188" s="86">
        <f t="shared" si="76"/>
        <v>5.7789999999999999</v>
      </c>
      <c r="AB188" s="83" t="e">
        <f>VLOOKUP(A188,Enforcements!$C$7:$J$24,8,0)</f>
        <v>#N/A</v>
      </c>
      <c r="AC188" s="79" t="e">
        <f>VLOOKUP(A188,Enforcements!$C$7:$E$24,3,0)</f>
        <v>#N/A</v>
      </c>
      <c r="AD188" s="80" t="str">
        <f t="shared" si="77"/>
        <v>0834-25</v>
      </c>
      <c r="AE188" s="72" t="str">
        <f t="shared" si="79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88" s="72" t="str">
        <f t="shared" si="80"/>
        <v>"C:\Program Files (x86)\AstroGrep\AstroGrep.exe" /spath="C:\Users\stu\Documents\Analysis\2016-02-23 RTDC Observations" /stypes="*4041*20160725*" /stext=" 22:.+((prompt.+disp)|(slice.+state.+chan)|(ment ac)|(system.+state.+chan)|(\|lc)|(penalty)|(\[timeout))" /e /r /s</v>
      </c>
      <c r="AG188" s="1" t="str">
        <f t="shared" si="78"/>
        <v>NWGL</v>
      </c>
    </row>
    <row r="189" spans="1:33" x14ac:dyDescent="0.25">
      <c r="A189" s="46" t="s">
        <v>666</v>
      </c>
      <c r="B189" s="7">
        <v>4025</v>
      </c>
      <c r="C189" s="26" t="s">
        <v>59</v>
      </c>
      <c r="D189" s="26" t="s">
        <v>667</v>
      </c>
      <c r="E189" s="16">
        <v>42576.678553240738</v>
      </c>
      <c r="F189" s="16">
        <v>42576.68</v>
      </c>
      <c r="G189" s="7">
        <v>2</v>
      </c>
      <c r="H189" s="16" t="s">
        <v>668</v>
      </c>
      <c r="I189" s="16">
        <v>42576.692824074074</v>
      </c>
      <c r="J189" s="7">
        <v>0</v>
      </c>
      <c r="K189" s="26" t="str">
        <f t="shared" si="72"/>
        <v>4025/4026</v>
      </c>
      <c r="L189" s="26" t="str">
        <f>VLOOKUP(A189,'Trips&amp;Operators'!$C$1:$E$10000,3,FALSE)</f>
        <v>COOLAHAN</v>
      </c>
      <c r="M189" s="6">
        <f t="shared" si="73"/>
        <v>1.2824074074160308E-2</v>
      </c>
      <c r="N189" s="7"/>
      <c r="O189" s="7"/>
      <c r="P189" s="7"/>
      <c r="Q189" s="27"/>
      <c r="R189" s="27"/>
      <c r="S189" s="42"/>
      <c r="T189" s="66"/>
      <c r="U189" s="93"/>
      <c r="V18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15:17:07-0600',mode:absolute,to:'2016-07-25 17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89" s="71"/>
      <c r="X189" s="89"/>
      <c r="Y189" s="86">
        <f t="shared" si="74"/>
        <v>0.1076</v>
      </c>
      <c r="Z189" s="86">
        <f t="shared" si="75"/>
        <v>5.8997000000000002</v>
      </c>
      <c r="AA189" s="86">
        <f t="shared" si="76"/>
        <v>5.7921000000000005</v>
      </c>
      <c r="AB189" s="83" t="e">
        <f>VLOOKUP(A189,Enforcements!$C$7:$J$24,8,0)</f>
        <v>#N/A</v>
      </c>
      <c r="AC189" s="79" t="e">
        <f>VLOOKUP(A189,Enforcements!$C$7:$E$24,3,0)</f>
        <v>#N/A</v>
      </c>
      <c r="AD189" s="80" t="str">
        <f t="shared" si="77"/>
        <v>0835-25</v>
      </c>
      <c r="AE189" s="72" t="str">
        <f t="shared" si="79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89" s="72" t="str">
        <f t="shared" si="80"/>
        <v>"C:\Program Files (x86)\AstroGrep\AstroGrep.exe" /spath="C:\Users\stu\Documents\Analysis\2016-02-23 RTDC Observations" /stypes="*4025*20160725*" /stext=" 22:.+((prompt.+disp)|(slice.+state.+chan)|(ment ac)|(system.+state.+chan)|(\|lc)|(penalty)|(\[timeout))" /e /r /s</v>
      </c>
      <c r="AG189" s="1" t="str">
        <f t="shared" si="78"/>
        <v>NWGL</v>
      </c>
    </row>
    <row r="190" spans="1:33" x14ac:dyDescent="0.25">
      <c r="A190" s="46" t="s">
        <v>669</v>
      </c>
      <c r="B190" s="7">
        <v>4032</v>
      </c>
      <c r="C190" s="26" t="s">
        <v>269</v>
      </c>
      <c r="D190" s="26" t="s">
        <v>635</v>
      </c>
      <c r="E190" s="16">
        <v>42576.680694444447</v>
      </c>
      <c r="F190" s="16">
        <v>42576.681689814817</v>
      </c>
      <c r="G190" s="7">
        <v>1</v>
      </c>
      <c r="H190" s="16" t="s">
        <v>670</v>
      </c>
      <c r="I190" s="16">
        <v>42576.703275462962</v>
      </c>
      <c r="J190" s="7">
        <v>0</v>
      </c>
      <c r="K190" s="26" t="str">
        <f t="shared" si="72"/>
        <v>4031/4032</v>
      </c>
      <c r="L190" s="26" t="str">
        <f>VLOOKUP(A190,'Trips&amp;Operators'!$C$1:$E$10000,3,FALSE)</f>
        <v>BRUDER</v>
      </c>
      <c r="M190" s="6">
        <f t="shared" si="73"/>
        <v>2.1585648144537117E-2</v>
      </c>
      <c r="N190" s="7"/>
      <c r="O190" s="7"/>
      <c r="P190" s="7"/>
      <c r="Q190" s="27"/>
      <c r="R190" s="27"/>
      <c r="S190" s="42"/>
      <c r="T190" s="66"/>
      <c r="U190" s="93"/>
      <c r="V19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15:20:12-0600',mode:absolute,to:'2016-07-25 17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90" s="71"/>
      <c r="X190" s="89"/>
      <c r="Y190" s="86">
        <f t="shared" si="74"/>
        <v>5.8647</v>
      </c>
      <c r="Z190" s="86">
        <f t="shared" si="75"/>
        <v>6.7100000000000007E-2</v>
      </c>
      <c r="AA190" s="86">
        <f t="shared" si="76"/>
        <v>5.7976000000000001</v>
      </c>
      <c r="AB190" s="83" t="e">
        <f>VLOOKUP(A190,Enforcements!$C$7:$J$24,8,0)</f>
        <v>#N/A</v>
      </c>
      <c r="AC190" s="79" t="e">
        <f>VLOOKUP(A190,Enforcements!$C$7:$E$24,3,0)</f>
        <v>#N/A</v>
      </c>
      <c r="AD190" s="80" t="str">
        <f t="shared" si="77"/>
        <v>0836-25</v>
      </c>
      <c r="AE190" s="72" t="str">
        <f t="shared" si="79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90" s="72" t="str">
        <f t="shared" si="80"/>
        <v>"C:\Program Files (x86)\AstroGrep\AstroGrep.exe" /spath="C:\Users\stu\Documents\Analysis\2016-02-23 RTDC Observations" /stypes="*4032*20160725*" /stext=" 22:.+((prompt.+disp)|(slice.+state.+chan)|(ment ac)|(system.+state.+chan)|(\|lc)|(penalty)|(\[timeout))" /e /r /s</v>
      </c>
      <c r="AG190" s="1" t="str">
        <f t="shared" si="78"/>
        <v>NWGL</v>
      </c>
    </row>
    <row r="191" spans="1:33" x14ac:dyDescent="0.25">
      <c r="A191" s="46" t="s">
        <v>671</v>
      </c>
      <c r="B191" s="7">
        <v>4042</v>
      </c>
      <c r="C191" s="26" t="s">
        <v>269</v>
      </c>
      <c r="D191" s="26" t="s">
        <v>672</v>
      </c>
      <c r="E191" s="16">
        <v>42576.692731481482</v>
      </c>
      <c r="F191" s="16">
        <v>42576.69363425926</v>
      </c>
      <c r="G191" s="7">
        <v>1</v>
      </c>
      <c r="H191" s="16" t="s">
        <v>349</v>
      </c>
      <c r="I191" s="16">
        <v>42576.703912037039</v>
      </c>
      <c r="J191" s="7">
        <v>1</v>
      </c>
      <c r="K191" s="109" t="str">
        <f t="shared" si="72"/>
        <v>4041/4042</v>
      </c>
      <c r="L191" s="26" t="str">
        <f>VLOOKUP(A191,'Trips&amp;Operators'!$C$1:$E$10000,3,FALSE)</f>
        <v>ADANE</v>
      </c>
      <c r="M191" s="6">
        <f t="shared" si="73"/>
        <v>1.0277777779265307E-2</v>
      </c>
      <c r="N191" s="7"/>
      <c r="O191" s="7"/>
      <c r="P191" s="7"/>
      <c r="Q191" s="27"/>
      <c r="R191" s="27"/>
      <c r="S191" s="42"/>
      <c r="T191" s="66"/>
      <c r="U191" s="93"/>
      <c r="V19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15:37:32-0600',mode:absolute,to:'2016-07-25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91" s="71"/>
      <c r="X191" s="89"/>
      <c r="Y191" s="86">
        <f t="shared" si="74"/>
        <v>8.6900000000000005E-2</v>
      </c>
      <c r="Z191" s="86">
        <f t="shared" si="75"/>
        <v>5.7614000000000001</v>
      </c>
      <c r="AA191" s="86">
        <f t="shared" si="76"/>
        <v>5.6745000000000001</v>
      </c>
      <c r="AB191" s="83" t="e">
        <f>VLOOKUP(A191,Enforcements!$C$7:$J$24,8,0)</f>
        <v>#N/A</v>
      </c>
      <c r="AC191" s="79" t="e">
        <f>VLOOKUP(A191,Enforcements!$C$7:$E$24,3,0)</f>
        <v>#N/A</v>
      </c>
      <c r="AD191" s="80" t="str">
        <f t="shared" si="77"/>
        <v>0837-25</v>
      </c>
      <c r="AE191" s="72" t="str">
        <f t="shared" si="79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91" s="72" t="str">
        <f t="shared" si="80"/>
        <v>"C:\Program Files (x86)\AstroGrep\AstroGrep.exe" /spath="C:\Users\stu\Documents\Analysis\2016-02-23 RTDC Observations" /stypes="*4042*20160725*" /stext=" 22:.+((prompt.+disp)|(slice.+state.+chan)|(ment ac)|(system.+state.+chan)|(\|lc)|(penalty)|(\[timeout))" /e /r /s</v>
      </c>
      <c r="AG191" s="1" t="str">
        <f t="shared" si="78"/>
        <v>NWGL</v>
      </c>
    </row>
    <row r="192" spans="1:33" x14ac:dyDescent="0.25">
      <c r="A192" s="26" t="s">
        <v>673</v>
      </c>
      <c r="B192" s="106">
        <v>4026</v>
      </c>
      <c r="C192" s="107" t="s">
        <v>59</v>
      </c>
      <c r="D192" s="107" t="s">
        <v>299</v>
      </c>
      <c r="E192" s="108">
        <v>42576.701412037037</v>
      </c>
      <c r="F192" s="108">
        <v>42576.702650462961</v>
      </c>
      <c r="G192" s="106">
        <v>1</v>
      </c>
      <c r="H192" s="108" t="s">
        <v>642</v>
      </c>
      <c r="I192" s="108">
        <v>42576.718993055554</v>
      </c>
      <c r="J192" s="106">
        <v>3</v>
      </c>
      <c r="K192" s="109" t="str">
        <f t="shared" ref="K192:K228" si="81">IF(ISEVEN(B192),(B192-1)&amp;"/"&amp;B192,B192&amp;"/"&amp;(B192+1))</f>
        <v>4025/4026</v>
      </c>
      <c r="L192" s="26" t="str">
        <f>VLOOKUP(A192,'Trips&amp;Operators'!$C$1:$E$10000,3,FALSE)</f>
        <v>COOLAHAN</v>
      </c>
      <c r="M192" s="6">
        <f t="shared" ref="M192:M228" si="82">I192-F192</f>
        <v>1.6342592592991423E-2</v>
      </c>
      <c r="N192" s="7"/>
      <c r="O192" s="7"/>
      <c r="P192" s="7"/>
      <c r="Q192" s="27"/>
      <c r="R192" s="27"/>
      <c r="S192" s="42"/>
      <c r="T192" s="66"/>
      <c r="U192" s="93"/>
      <c r="V19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15:50:02-0600',mode:absolute,to:'2016-07-25 18:15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92" s="71"/>
      <c r="X192" s="89"/>
      <c r="Y192" s="86">
        <f t="shared" ref="Y192:Y228" si="83">RIGHT(D192,LEN(D192)-4)/10000</f>
        <v>5.8674999999999997</v>
      </c>
      <c r="Z192" s="86">
        <f t="shared" ref="Z192:Z228" si="84">RIGHT(H192,LEN(H192)-4)/10000</f>
        <v>6.3100000000000003E-2</v>
      </c>
      <c r="AA192" s="86">
        <f t="shared" ref="AA192:AA228" si="85">ABS(Z192-Y192)</f>
        <v>5.8043999999999993</v>
      </c>
      <c r="AB192" s="83" t="e">
        <f>VLOOKUP(A192,Enforcements!$C$7:$J$24,8,0)</f>
        <v>#N/A</v>
      </c>
      <c r="AC192" s="79" t="e">
        <f>VLOOKUP(A192,Enforcements!$C$7:$E$24,3,0)</f>
        <v>#N/A</v>
      </c>
      <c r="AD192" s="80" t="str">
        <f t="shared" ref="AD192:AD228" si="86">IF(LEN(A192)=6,"0"&amp;A192,A192)</f>
        <v>0838-25</v>
      </c>
      <c r="AE192" s="72" t="str">
        <f t="shared" ref="AE192:AE228" si="87">"aws s3 cp "&amp;s3_bucket&amp;"/RTDC"&amp;B192&amp;"/"&amp;TEXT(F192,"YYYY-MM-DD")&amp;"/ "&amp;search_path&amp;"\RTDC"&amp;B192&amp;"\"&amp;TEXT(F192,"YYYY-MM-DD")&amp;" --recursive &amp; """&amp;walkandungz&amp;""" "&amp;search_path&amp;"\RTDC"&amp;B192&amp;"\"&amp;TEXT(F192,"YYYY-MM-DD")
&amp;" &amp; "&amp;"aws s3 cp "&amp;s3_bucket&amp;"/RTDC"&amp;B192&amp;"/"&amp;TEXT(F192+1,"YYYY-MM-DD")&amp;"/ "&amp;search_path&amp;"\RTDC"&amp;B192&amp;"\"&amp;TEXT(F192+1,"YYYY-MM-DD")&amp;" --recursive &amp; """&amp;walkandungz&amp;""" "&amp;search_path&amp;"\RTDC"&amp;B192&amp;"\"&amp;TEXT(F192+1,"YYYY-MM-DD")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92" s="72" t="str">
        <f t="shared" ref="AF192:AF228" si="88">astrogrep_path&amp;" /spath="&amp;search_path&amp;" /stypes=""*"&amp;B192&amp;"*"&amp;TEXT(I192-utc_offset/24,"YYYYMMDD")&amp;"*"" /stext="" "&amp;TEXT(I192-utc_offset/24,"HH")&amp;search_regexp&amp;""" /e /r /s"</f>
        <v>"C:\Program Files (x86)\AstroGrep\AstroGrep.exe" /spath="C:\Users\stu\Documents\Analysis\2016-02-23 RTDC Observations" /stypes="*4026*20160725*" /stext=" 23:.+((prompt.+disp)|(slice.+state.+chan)|(ment ac)|(system.+state.+chan)|(\|lc)|(penalty)|(\[timeout))" /e /r /s</v>
      </c>
      <c r="AG192" s="1" t="str">
        <f t="shared" ref="AG192:AG228" si="89">IF(VALUE(LEFT(AD192,4))&lt;300,"EC","NWGL")</f>
        <v>NWGL</v>
      </c>
    </row>
    <row r="193" spans="1:33" x14ac:dyDescent="0.25">
      <c r="A193" s="26" t="s">
        <v>674</v>
      </c>
      <c r="B193" s="106">
        <v>4031</v>
      </c>
      <c r="C193" s="107" t="s">
        <v>269</v>
      </c>
      <c r="D193" s="107" t="s">
        <v>675</v>
      </c>
      <c r="E193" s="108">
        <v>42576.705196759256</v>
      </c>
      <c r="F193" s="108">
        <v>42576.706203703703</v>
      </c>
      <c r="G193" s="106">
        <v>1</v>
      </c>
      <c r="H193" s="108" t="s">
        <v>676</v>
      </c>
      <c r="I193" s="108">
        <v>42576.720520833333</v>
      </c>
      <c r="J193" s="106">
        <v>1</v>
      </c>
      <c r="K193" s="109" t="str">
        <f t="shared" si="81"/>
        <v>4031/4032</v>
      </c>
      <c r="L193" s="26" t="str">
        <f>VLOOKUP(A193,'Trips&amp;Operators'!$C$1:$E$10000,3,FALSE)</f>
        <v>BRUDER</v>
      </c>
      <c r="M193" s="6">
        <f t="shared" si="82"/>
        <v>1.43171296294895E-2</v>
      </c>
      <c r="N193" s="7"/>
      <c r="O193" s="7"/>
      <c r="P193" s="7"/>
      <c r="Q193" s="27"/>
      <c r="R193" s="27"/>
      <c r="S193" s="42"/>
      <c r="T193" s="66"/>
      <c r="U193" s="93"/>
      <c r="V19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15:55:29-0600',mode:absolute,to:'2016-07-25 18:17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93" s="71"/>
      <c r="X193" s="89"/>
      <c r="Y193" s="86">
        <f t="shared" si="83"/>
        <v>9.6699999999999994E-2</v>
      </c>
      <c r="Z193" s="86">
        <f t="shared" si="84"/>
        <v>5.8928000000000003</v>
      </c>
      <c r="AA193" s="86">
        <f t="shared" si="85"/>
        <v>5.7961</v>
      </c>
      <c r="AB193" s="83" t="e">
        <f>VLOOKUP(A193,Enforcements!$C$7:$J$24,8,0)</f>
        <v>#N/A</v>
      </c>
      <c r="AC193" s="79" t="e">
        <f>VLOOKUP(A193,Enforcements!$C$7:$E$24,3,0)</f>
        <v>#N/A</v>
      </c>
      <c r="AD193" s="80" t="str">
        <f t="shared" si="86"/>
        <v>0839-25</v>
      </c>
      <c r="AE193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93" s="72" t="str">
        <f t="shared" si="88"/>
        <v>"C:\Program Files (x86)\AstroGrep\AstroGrep.exe" /spath="C:\Users\stu\Documents\Analysis\2016-02-23 RTDC Observations" /stypes="*4031*20160725*" /stext=" 23:.+((prompt.+disp)|(slice.+state.+chan)|(ment ac)|(system.+state.+chan)|(\|lc)|(penalty)|(\[timeout))" /e /r /s</v>
      </c>
      <c r="AG193" s="1" t="str">
        <f t="shared" si="89"/>
        <v>NWGL</v>
      </c>
    </row>
    <row r="194" spans="1:33" x14ac:dyDescent="0.25">
      <c r="A194" s="26" t="s">
        <v>677</v>
      </c>
      <c r="B194" s="106">
        <v>4041</v>
      </c>
      <c r="C194" s="107" t="s">
        <v>269</v>
      </c>
      <c r="D194" s="107" t="s">
        <v>678</v>
      </c>
      <c r="E194" s="108">
        <v>42576.71665509259</v>
      </c>
      <c r="F194" s="108">
        <v>42576.717673611114</v>
      </c>
      <c r="G194" s="106">
        <v>1</v>
      </c>
      <c r="H194" s="108" t="s">
        <v>679</v>
      </c>
      <c r="I194" s="108">
        <v>42576.731122685182</v>
      </c>
      <c r="J194" s="106">
        <v>0</v>
      </c>
      <c r="K194" s="109" t="str">
        <f t="shared" si="81"/>
        <v>4041/4042</v>
      </c>
      <c r="L194" s="26" t="str">
        <f>VLOOKUP(A194,'Trips&amp;Operators'!$C$1:$E$10000,3,FALSE)</f>
        <v>ADANE</v>
      </c>
      <c r="M194" s="6">
        <f t="shared" si="82"/>
        <v>1.3449074067466427E-2</v>
      </c>
      <c r="N194" s="7"/>
      <c r="O194" s="7"/>
      <c r="P194" s="7"/>
      <c r="Q194" s="27"/>
      <c r="R194" s="27"/>
      <c r="S194" s="42"/>
      <c r="T194" s="66"/>
      <c r="U194" s="93"/>
      <c r="V19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16:11:59-0600',mode:absolute,to:'2016-07-25 18:32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194" s="71"/>
      <c r="X194" s="89"/>
      <c r="Y194" s="86">
        <f t="shared" si="83"/>
        <v>5.8604000000000003</v>
      </c>
      <c r="Z194" s="86">
        <f t="shared" si="84"/>
        <v>6.9400000000000003E-2</v>
      </c>
      <c r="AA194" s="86">
        <f t="shared" si="85"/>
        <v>5.7910000000000004</v>
      </c>
      <c r="AB194" s="83" t="e">
        <f>VLOOKUP(A194,Enforcements!$C$7:$J$24,8,0)</f>
        <v>#N/A</v>
      </c>
      <c r="AC194" s="79" t="e">
        <f>VLOOKUP(A194,Enforcements!$C$7:$E$24,3,0)</f>
        <v>#N/A</v>
      </c>
      <c r="AD194" s="80" t="str">
        <f t="shared" si="86"/>
        <v>0840-25</v>
      </c>
      <c r="AE194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194" s="72" t="str">
        <f t="shared" si="88"/>
        <v>"C:\Program Files (x86)\AstroGrep\AstroGrep.exe" /spath="C:\Users\stu\Documents\Analysis\2016-02-23 RTDC Observations" /stypes="*4041*20160725*" /stext=" 23:.+((prompt.+disp)|(slice.+state.+chan)|(ment ac)|(system.+state.+chan)|(\|lc)|(penalty)|(\[timeout))" /e /r /s</v>
      </c>
      <c r="AG194" s="1" t="str">
        <f t="shared" si="89"/>
        <v>NWGL</v>
      </c>
    </row>
    <row r="195" spans="1:33" x14ac:dyDescent="0.25">
      <c r="A195" s="26" t="s">
        <v>680</v>
      </c>
      <c r="B195" s="106">
        <v>4025</v>
      </c>
      <c r="C195" s="107" t="s">
        <v>59</v>
      </c>
      <c r="D195" s="107" t="s">
        <v>656</v>
      </c>
      <c r="E195" s="108">
        <v>42576.720462962963</v>
      </c>
      <c r="F195" s="108">
        <v>42576.723900462966</v>
      </c>
      <c r="G195" s="106">
        <v>4</v>
      </c>
      <c r="H195" s="108" t="s">
        <v>681</v>
      </c>
      <c r="I195" s="108">
        <v>42576.735497685186</v>
      </c>
      <c r="J195" s="106">
        <v>1</v>
      </c>
      <c r="K195" s="109" t="str">
        <f t="shared" si="81"/>
        <v>4025/4026</v>
      </c>
      <c r="L195" s="26" t="str">
        <f>VLOOKUP(A195,'Trips&amp;Operators'!$C$1:$E$10000,3,FALSE)</f>
        <v>STORY</v>
      </c>
      <c r="M195" s="6">
        <f t="shared" si="82"/>
        <v>1.1597222219279502E-2</v>
      </c>
      <c r="N195" s="7"/>
      <c r="O195" s="7"/>
      <c r="P195" s="7"/>
      <c r="Q195" s="27"/>
      <c r="R195" s="27"/>
      <c r="S195" s="42"/>
      <c r="T195" s="66"/>
      <c r="U195" s="93"/>
      <c r="V195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16:17:28-0600',mode:absolute,to:'2016-07-25 18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195" s="71"/>
      <c r="X195" s="89"/>
      <c r="Y195" s="86">
        <f t="shared" si="83"/>
        <v>9.2200000000000004E-2</v>
      </c>
      <c r="Z195" s="86">
        <f t="shared" si="84"/>
        <v>5.8930999999999996</v>
      </c>
      <c r="AA195" s="86">
        <f t="shared" si="85"/>
        <v>5.8008999999999995</v>
      </c>
      <c r="AB195" s="83" t="e">
        <f>VLOOKUP(A195,Enforcements!$C$7:$J$24,8,0)</f>
        <v>#N/A</v>
      </c>
      <c r="AC195" s="79" t="e">
        <f>VLOOKUP(A195,Enforcements!$C$7:$E$24,3,0)</f>
        <v>#N/A</v>
      </c>
      <c r="AD195" s="80" t="str">
        <f t="shared" si="86"/>
        <v>0841-25</v>
      </c>
      <c r="AE195" s="72" t="str">
        <f t="shared" si="87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195" s="72" t="str">
        <f t="shared" si="88"/>
        <v>"C:\Program Files (x86)\AstroGrep\AstroGrep.exe" /spath="C:\Users\stu\Documents\Analysis\2016-02-23 RTDC Observations" /stypes="*4025*20160725*" /stext=" 23:.+((prompt.+disp)|(slice.+state.+chan)|(ment ac)|(system.+state.+chan)|(\|lc)|(penalty)|(\[timeout))" /e /r /s</v>
      </c>
      <c r="AG195" s="1" t="str">
        <f t="shared" si="89"/>
        <v>NWGL</v>
      </c>
    </row>
    <row r="196" spans="1:33" x14ac:dyDescent="0.25">
      <c r="A196" s="26" t="s">
        <v>682</v>
      </c>
      <c r="B196" s="106">
        <v>4032</v>
      </c>
      <c r="C196" s="107" t="s">
        <v>269</v>
      </c>
      <c r="D196" s="107" t="s">
        <v>683</v>
      </c>
      <c r="E196" s="108">
        <v>42576.723738425928</v>
      </c>
      <c r="F196" s="108">
        <v>42576.725266203706</v>
      </c>
      <c r="G196" s="106">
        <v>2</v>
      </c>
      <c r="H196" s="108" t="s">
        <v>684</v>
      </c>
      <c r="I196" s="108">
        <v>42576.746331018519</v>
      </c>
      <c r="J196" s="106">
        <v>0</v>
      </c>
      <c r="K196" s="109" t="str">
        <f t="shared" si="81"/>
        <v>4031/4032</v>
      </c>
      <c r="L196" s="26" t="str">
        <f>VLOOKUP(A196,'Trips&amp;Operators'!$C$1:$E$10000,3,FALSE)</f>
        <v>BRUDER</v>
      </c>
      <c r="M196" s="6">
        <f t="shared" si="82"/>
        <v>2.1064814813144039E-2</v>
      </c>
      <c r="N196" s="7"/>
      <c r="O196" s="7"/>
      <c r="P196" s="7"/>
      <c r="Q196" s="27"/>
      <c r="R196" s="27"/>
      <c r="S196" s="42"/>
      <c r="T196" s="66"/>
      <c r="U196" s="93"/>
      <c r="V196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16:22:11-0600',mode:absolute,to:'2016-07-25 18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196" s="71"/>
      <c r="X196" s="89"/>
      <c r="Y196" s="86">
        <f t="shared" si="83"/>
        <v>5.8616999999999999</v>
      </c>
      <c r="Z196" s="86">
        <f t="shared" si="84"/>
        <v>6.4500000000000002E-2</v>
      </c>
      <c r="AA196" s="86">
        <f t="shared" si="85"/>
        <v>5.7972000000000001</v>
      </c>
      <c r="AB196" s="83" t="e">
        <f>VLOOKUP(A196,Enforcements!$C$7:$J$24,8,0)</f>
        <v>#N/A</v>
      </c>
      <c r="AC196" s="79" t="e">
        <f>VLOOKUP(A196,Enforcements!$C$7:$E$24,3,0)</f>
        <v>#N/A</v>
      </c>
      <c r="AD196" s="80" t="str">
        <f t="shared" si="86"/>
        <v>0842-25</v>
      </c>
      <c r="AE196" s="72" t="str">
        <f t="shared" si="87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196" s="72" t="str">
        <f t="shared" si="88"/>
        <v>"C:\Program Files (x86)\AstroGrep\AstroGrep.exe" /spath="C:\Users\stu\Documents\Analysis\2016-02-23 RTDC Observations" /stypes="*4032*20160725*" /stext=" 23:.+((prompt.+disp)|(slice.+state.+chan)|(ment ac)|(system.+state.+chan)|(\|lc)|(penalty)|(\[timeout))" /e /r /s</v>
      </c>
      <c r="AG196" s="1" t="str">
        <f t="shared" si="89"/>
        <v>NWGL</v>
      </c>
    </row>
    <row r="197" spans="1:33" x14ac:dyDescent="0.25">
      <c r="A197" s="26" t="s">
        <v>685</v>
      </c>
      <c r="B197" s="106">
        <v>4042</v>
      </c>
      <c r="C197" s="107" t="s">
        <v>269</v>
      </c>
      <c r="D197" s="107" t="s">
        <v>686</v>
      </c>
      <c r="E197" s="108">
        <v>42576.733414351853</v>
      </c>
      <c r="F197" s="108">
        <v>42576.734976851854</v>
      </c>
      <c r="G197" s="106">
        <v>2</v>
      </c>
      <c r="H197" s="108" t="s">
        <v>687</v>
      </c>
      <c r="I197" s="108">
        <v>42576.746215277781</v>
      </c>
      <c r="J197" s="106">
        <v>0</v>
      </c>
      <c r="K197" s="109" t="str">
        <f t="shared" si="81"/>
        <v>4041/4042</v>
      </c>
      <c r="L197" s="26" t="str">
        <f>VLOOKUP(A197,'Trips&amp;Operators'!$C$1:$E$10000,3,FALSE)</f>
        <v>COOLAHAN</v>
      </c>
      <c r="M197" s="6">
        <f t="shared" si="82"/>
        <v>1.1238425926421769E-2</v>
      </c>
      <c r="N197" s="7"/>
      <c r="O197" s="7"/>
      <c r="P197" s="7"/>
      <c r="Q197" s="27"/>
      <c r="R197" s="27"/>
      <c r="S197" s="42"/>
      <c r="T197" s="66"/>
      <c r="U197" s="93"/>
      <c r="V197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16:36:07-0600',mode:absolute,to:'2016-07-25 18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197" s="71"/>
      <c r="X197" s="89"/>
      <c r="Y197" s="86">
        <f t="shared" si="83"/>
        <v>9.7600000000000006E-2</v>
      </c>
      <c r="Z197" s="86">
        <f t="shared" si="84"/>
        <v>5.8992000000000004</v>
      </c>
      <c r="AA197" s="86">
        <f t="shared" si="85"/>
        <v>5.8016000000000005</v>
      </c>
      <c r="AB197" s="83" t="e">
        <f>VLOOKUP(A197,Enforcements!$C$7:$J$24,8,0)</f>
        <v>#N/A</v>
      </c>
      <c r="AC197" s="79" t="e">
        <f>VLOOKUP(A197,Enforcements!$C$7:$E$24,3,0)</f>
        <v>#N/A</v>
      </c>
      <c r="AD197" s="80" t="str">
        <f t="shared" si="86"/>
        <v>0843-25</v>
      </c>
      <c r="AE197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197" s="72" t="str">
        <f t="shared" si="88"/>
        <v>"C:\Program Files (x86)\AstroGrep\AstroGrep.exe" /spath="C:\Users\stu\Documents\Analysis\2016-02-23 RTDC Observations" /stypes="*4042*20160725*" /stext=" 23:.+((prompt.+disp)|(slice.+state.+chan)|(ment ac)|(system.+state.+chan)|(\|lc)|(penalty)|(\[timeout))" /e /r /s</v>
      </c>
      <c r="AG197" s="1" t="str">
        <f t="shared" si="89"/>
        <v>NWGL</v>
      </c>
    </row>
    <row r="198" spans="1:33" x14ac:dyDescent="0.25">
      <c r="A198" s="26" t="s">
        <v>688</v>
      </c>
      <c r="B198" s="106">
        <v>4026</v>
      </c>
      <c r="C198" s="107" t="s">
        <v>59</v>
      </c>
      <c r="D198" s="107" t="s">
        <v>689</v>
      </c>
      <c r="E198" s="108">
        <v>42576.738171296296</v>
      </c>
      <c r="F198" s="108">
        <v>42576.739675925928</v>
      </c>
      <c r="G198" s="106">
        <v>2</v>
      </c>
      <c r="H198" s="108" t="s">
        <v>690</v>
      </c>
      <c r="I198" s="108">
        <v>42576.758958333332</v>
      </c>
      <c r="J198" s="106">
        <v>1</v>
      </c>
      <c r="K198" s="109" t="str">
        <f t="shared" si="81"/>
        <v>4025/4026</v>
      </c>
      <c r="L198" s="26" t="str">
        <f>VLOOKUP(A198,'Trips&amp;Operators'!$C$1:$E$10000,3,FALSE)</f>
        <v>STORY</v>
      </c>
      <c r="M198" s="6">
        <f t="shared" si="82"/>
        <v>1.9282407403807156E-2</v>
      </c>
      <c r="N198" s="7"/>
      <c r="O198" s="7"/>
      <c r="P198" s="7"/>
      <c r="Q198" s="27"/>
      <c r="R198" s="27"/>
      <c r="S198" s="42"/>
      <c r="T198" s="66"/>
      <c r="U198" s="93"/>
      <c r="V198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16:42:58-0600',mode:absolute,to:'2016-07-25 19:12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198" s="71"/>
      <c r="X198" s="89"/>
      <c r="Y198" s="86">
        <f t="shared" si="83"/>
        <v>5.8611000000000004</v>
      </c>
      <c r="Z198" s="86">
        <f t="shared" si="84"/>
        <v>6.2799999999999995E-2</v>
      </c>
      <c r="AA198" s="86">
        <f t="shared" si="85"/>
        <v>5.7983000000000002</v>
      </c>
      <c r="AB198" s="83" t="e">
        <f>VLOOKUP(A198,Enforcements!$C$7:$J$24,8,0)</f>
        <v>#N/A</v>
      </c>
      <c r="AC198" s="79" t="e">
        <f>VLOOKUP(A198,Enforcements!$C$7:$E$24,3,0)</f>
        <v>#N/A</v>
      </c>
      <c r="AD198" s="80" t="str">
        <f t="shared" si="86"/>
        <v>0844-25</v>
      </c>
      <c r="AE198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198" s="72" t="str">
        <f t="shared" si="88"/>
        <v>"C:\Program Files (x86)\AstroGrep\AstroGrep.exe" /spath="C:\Users\stu\Documents\Analysis\2016-02-23 RTDC Observations" /stypes="*4026*20160726*" /stext=" 00:.+((prompt.+disp)|(slice.+state.+chan)|(ment ac)|(system.+state.+chan)|(\|lc)|(penalty)|(\[timeout))" /e /r /s</v>
      </c>
      <c r="AG198" s="1" t="str">
        <f t="shared" si="89"/>
        <v>NWGL</v>
      </c>
    </row>
    <row r="199" spans="1:33" x14ac:dyDescent="0.25">
      <c r="A199" s="26" t="s">
        <v>691</v>
      </c>
      <c r="B199" s="106">
        <v>4031</v>
      </c>
      <c r="C199" s="107" t="s">
        <v>269</v>
      </c>
      <c r="D199" s="107" t="s">
        <v>692</v>
      </c>
      <c r="E199" s="108">
        <v>42576.747928240744</v>
      </c>
      <c r="F199" s="108">
        <v>42576.748912037037</v>
      </c>
      <c r="G199" s="106">
        <v>1</v>
      </c>
      <c r="H199" s="108" t="s">
        <v>693</v>
      </c>
      <c r="I199" s="108">
        <v>42576.760405092595</v>
      </c>
      <c r="J199" s="106">
        <v>0</v>
      </c>
      <c r="K199" s="109" t="str">
        <f t="shared" si="81"/>
        <v>4031/4032</v>
      </c>
      <c r="L199" s="26" t="str">
        <f>VLOOKUP(A199,'Trips&amp;Operators'!$C$1:$E$10000,3,FALSE)</f>
        <v>BRUDER</v>
      </c>
      <c r="M199" s="6">
        <f t="shared" si="82"/>
        <v>1.1493055557366461E-2</v>
      </c>
      <c r="N199" s="7"/>
      <c r="O199" s="7"/>
      <c r="P199" s="7"/>
      <c r="Q199" s="27"/>
      <c r="R199" s="27"/>
      <c r="S199" s="42"/>
      <c r="T199" s="66"/>
      <c r="U199" s="93"/>
      <c r="V199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16:57:01-0600',mode:absolute,to:'2016-07-25 19:14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199" s="71"/>
      <c r="X199" s="89"/>
      <c r="Y199" s="86">
        <f t="shared" si="83"/>
        <v>9.5500000000000002E-2</v>
      </c>
      <c r="Z199" s="86">
        <f t="shared" si="84"/>
        <v>5.8940999999999999</v>
      </c>
      <c r="AA199" s="86">
        <f t="shared" si="85"/>
        <v>5.7985999999999995</v>
      </c>
      <c r="AB199" s="83" t="e">
        <f>VLOOKUP(A199,Enforcements!$C$7:$J$24,8,0)</f>
        <v>#N/A</v>
      </c>
      <c r="AC199" s="79" t="e">
        <f>VLOOKUP(A199,Enforcements!$C$7:$E$24,3,0)</f>
        <v>#N/A</v>
      </c>
      <c r="AD199" s="80" t="str">
        <f t="shared" si="86"/>
        <v>0845-25</v>
      </c>
      <c r="AE199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199" s="72" t="str">
        <f t="shared" si="88"/>
        <v>"C:\Program Files (x86)\AstroGrep\AstroGrep.exe" /spath="C:\Users\stu\Documents\Analysis\2016-02-23 RTDC Observations" /stypes="*4031*20160726*" /stext=" 00:.+((prompt.+disp)|(slice.+state.+chan)|(ment ac)|(system.+state.+chan)|(\|lc)|(penalty)|(\[timeout))" /e /r /s</v>
      </c>
      <c r="AG199" s="1" t="str">
        <f t="shared" si="89"/>
        <v>NWGL</v>
      </c>
    </row>
    <row r="200" spans="1:33" x14ac:dyDescent="0.25">
      <c r="A200" s="26" t="s">
        <v>694</v>
      </c>
      <c r="B200" s="106">
        <v>4041</v>
      </c>
      <c r="C200" s="107" t="s">
        <v>269</v>
      </c>
      <c r="D200" s="107" t="s">
        <v>293</v>
      </c>
      <c r="E200" s="108">
        <v>42576.759699074071</v>
      </c>
      <c r="F200" s="108">
        <v>42576.760821759257</v>
      </c>
      <c r="G200" s="106">
        <v>1</v>
      </c>
      <c r="H200" s="108" t="s">
        <v>695</v>
      </c>
      <c r="I200" s="108">
        <v>42576.772881944446</v>
      </c>
      <c r="J200" s="106">
        <v>1</v>
      </c>
      <c r="K200" s="109" t="str">
        <f t="shared" si="81"/>
        <v>4041/4042</v>
      </c>
      <c r="L200" s="26" t="str">
        <f>VLOOKUP(A200,'Trips&amp;Operators'!$C$1:$E$10000,3,FALSE)</f>
        <v>COOLAHAN</v>
      </c>
      <c r="M200" s="6">
        <f t="shared" si="82"/>
        <v>1.206018518860219E-2</v>
      </c>
      <c r="N200" s="7"/>
      <c r="O200" s="7"/>
      <c r="P200" s="7"/>
      <c r="Q200" s="27"/>
      <c r="R200" s="27"/>
      <c r="S200" s="42"/>
      <c r="T200" s="66"/>
      <c r="U200" s="93"/>
      <c r="V200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17:13:58-0600',mode:absolute,to:'2016-07-25 19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00" s="71"/>
      <c r="X200" s="89"/>
      <c r="Y200" s="86">
        <f t="shared" si="83"/>
        <v>5.8677000000000001</v>
      </c>
      <c r="Z200" s="86">
        <f t="shared" si="84"/>
        <v>7.6100000000000001E-2</v>
      </c>
      <c r="AA200" s="86">
        <f t="shared" si="85"/>
        <v>5.7915999999999999</v>
      </c>
      <c r="AB200" s="83" t="e">
        <f>VLOOKUP(A200,Enforcements!$C$7:$J$24,8,0)</f>
        <v>#N/A</v>
      </c>
      <c r="AC200" s="79" t="e">
        <f>VLOOKUP(A200,Enforcements!$C$7:$E$24,3,0)</f>
        <v>#N/A</v>
      </c>
      <c r="AD200" s="80" t="str">
        <f t="shared" si="86"/>
        <v>0846-25</v>
      </c>
      <c r="AE200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00" s="72" t="str">
        <f t="shared" si="88"/>
        <v>"C:\Program Files (x86)\AstroGrep\AstroGrep.exe" /spath="C:\Users\stu\Documents\Analysis\2016-02-23 RTDC Observations" /stypes="*4041*20160726*" /stext=" 00:.+((prompt.+disp)|(slice.+state.+chan)|(ment ac)|(system.+state.+chan)|(\|lc)|(penalty)|(\[timeout))" /e /r /s</v>
      </c>
      <c r="AG200" s="1" t="str">
        <f t="shared" si="89"/>
        <v>NWGL</v>
      </c>
    </row>
    <row r="201" spans="1:33" x14ac:dyDescent="0.25">
      <c r="A201" s="26" t="s">
        <v>696</v>
      </c>
      <c r="B201" s="106">
        <v>4032</v>
      </c>
      <c r="C201" s="107" t="s">
        <v>269</v>
      </c>
      <c r="D201" s="107" t="s">
        <v>697</v>
      </c>
      <c r="E201" s="108">
        <v>42576.763356481482</v>
      </c>
      <c r="F201" s="108">
        <v>42576.765439814815</v>
      </c>
      <c r="G201" s="106">
        <v>2</v>
      </c>
      <c r="H201" s="108" t="s">
        <v>670</v>
      </c>
      <c r="I201" s="108">
        <v>42576.786736111113</v>
      </c>
      <c r="J201" s="106">
        <v>0</v>
      </c>
      <c r="K201" s="109" t="str">
        <f t="shared" si="81"/>
        <v>4031/4032</v>
      </c>
      <c r="L201" s="26" t="str">
        <f>VLOOKUP(A201,'Trips&amp;Operators'!$C$1:$E$10000,3,FALSE)</f>
        <v>BRUDER</v>
      </c>
      <c r="M201" s="6">
        <f t="shared" si="82"/>
        <v>2.1296296297805384E-2</v>
      </c>
      <c r="N201" s="7"/>
      <c r="O201" s="7"/>
      <c r="P201" s="7"/>
      <c r="Q201" s="27"/>
      <c r="R201" s="27"/>
      <c r="S201" s="42"/>
      <c r="T201" s="66"/>
      <c r="U201" s="93"/>
      <c r="V201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17:19:14-0600',mode:absolute,to:'2016-07-25 19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201" s="71"/>
      <c r="X201" s="89"/>
      <c r="Y201" s="86">
        <f t="shared" si="83"/>
        <v>5.8625999999999996</v>
      </c>
      <c r="Z201" s="86">
        <f t="shared" si="84"/>
        <v>6.7100000000000007E-2</v>
      </c>
      <c r="AA201" s="86">
        <f t="shared" si="85"/>
        <v>5.7954999999999997</v>
      </c>
      <c r="AB201" s="83" t="e">
        <f>VLOOKUP(A201,Enforcements!$C$7:$J$24,8,0)</f>
        <v>#N/A</v>
      </c>
      <c r="AC201" s="79" t="e">
        <f>VLOOKUP(A201,Enforcements!$C$7:$E$24,3,0)</f>
        <v>#N/A</v>
      </c>
      <c r="AD201" s="80" t="str">
        <f t="shared" si="86"/>
        <v>0848-25</v>
      </c>
      <c r="AE201" s="72" t="str">
        <f t="shared" si="87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201" s="72" t="str">
        <f t="shared" si="88"/>
        <v>"C:\Program Files (x86)\AstroGrep\AstroGrep.exe" /spath="C:\Users\stu\Documents\Analysis\2016-02-23 RTDC Observations" /stypes="*4032*20160726*" /stext=" 00:.+((prompt.+disp)|(slice.+state.+chan)|(ment ac)|(system.+state.+chan)|(\|lc)|(penalty)|(\[timeout))" /e /r /s</v>
      </c>
      <c r="AG201" s="1" t="str">
        <f t="shared" si="89"/>
        <v>NWGL</v>
      </c>
    </row>
    <row r="202" spans="1:33" x14ac:dyDescent="0.25">
      <c r="A202" s="26" t="s">
        <v>698</v>
      </c>
      <c r="B202" s="106">
        <v>4042</v>
      </c>
      <c r="C202" s="107" t="s">
        <v>269</v>
      </c>
      <c r="D202" s="107" t="s">
        <v>699</v>
      </c>
      <c r="E202" s="108">
        <v>42576.774687500001</v>
      </c>
      <c r="F202" s="108">
        <v>42576.775520833333</v>
      </c>
      <c r="G202" s="106">
        <v>1</v>
      </c>
      <c r="H202" s="108" t="s">
        <v>700</v>
      </c>
      <c r="I202" s="108">
        <v>42576.788842592592</v>
      </c>
      <c r="J202" s="106">
        <v>0</v>
      </c>
      <c r="K202" s="109" t="str">
        <f t="shared" si="81"/>
        <v>4041/4042</v>
      </c>
      <c r="L202" s="26" t="str">
        <f>VLOOKUP(A202,'Trips&amp;Operators'!$C$1:$E$10000,3,FALSE)</f>
        <v>COOLAHAN</v>
      </c>
      <c r="M202" s="6">
        <f t="shared" si="82"/>
        <v>1.3321759259270038E-2</v>
      </c>
      <c r="N202" s="7"/>
      <c r="O202" s="7"/>
      <c r="P202" s="7"/>
      <c r="Q202" s="27"/>
      <c r="R202" s="27"/>
      <c r="S202" s="42"/>
      <c r="T202" s="66"/>
      <c r="U202" s="93"/>
      <c r="V202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17:35:33-0600',mode:absolute,to:'2016-07-25 19:55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202" s="71"/>
      <c r="X202" s="89"/>
      <c r="Y202" s="86">
        <f t="shared" si="83"/>
        <v>0.10580000000000001</v>
      </c>
      <c r="Z202" s="86">
        <f t="shared" si="84"/>
        <v>5.8983999999999996</v>
      </c>
      <c r="AA202" s="86">
        <f t="shared" si="85"/>
        <v>5.7925999999999993</v>
      </c>
      <c r="AB202" s="83" t="e">
        <f>VLOOKUP(A202,Enforcements!$C$7:$J$24,8,0)</f>
        <v>#N/A</v>
      </c>
      <c r="AC202" s="79" t="e">
        <f>VLOOKUP(A202,Enforcements!$C$7:$E$24,3,0)</f>
        <v>#N/A</v>
      </c>
      <c r="AD202" s="80" t="str">
        <f t="shared" si="86"/>
        <v>0849-25</v>
      </c>
      <c r="AE202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202" s="72" t="str">
        <f t="shared" si="88"/>
        <v>"C:\Program Files (x86)\AstroGrep\AstroGrep.exe" /spath="C:\Users\stu\Documents\Analysis\2016-02-23 RTDC Observations" /stypes="*4042*20160726*" /stext=" 00:.+((prompt.+disp)|(slice.+state.+chan)|(ment ac)|(system.+state.+chan)|(\|lc)|(penalty)|(\[timeout))" /e /r /s</v>
      </c>
      <c r="AG202" s="1" t="str">
        <f t="shared" si="89"/>
        <v>NWGL</v>
      </c>
    </row>
    <row r="203" spans="1:33" x14ac:dyDescent="0.25">
      <c r="A203" s="26" t="s">
        <v>701</v>
      </c>
      <c r="B203" s="106">
        <v>4026</v>
      </c>
      <c r="C203" s="107" t="s">
        <v>59</v>
      </c>
      <c r="D203" s="107" t="s">
        <v>702</v>
      </c>
      <c r="E203" s="108">
        <v>42576.779756944445</v>
      </c>
      <c r="F203" s="108">
        <v>42576.781469907408</v>
      </c>
      <c r="G203" s="106">
        <v>2</v>
      </c>
      <c r="H203" s="108" t="s">
        <v>591</v>
      </c>
      <c r="I203" s="108">
        <v>42576.801041666666</v>
      </c>
      <c r="J203" s="106">
        <v>1</v>
      </c>
      <c r="K203" s="109" t="str">
        <f t="shared" si="81"/>
        <v>4025/4026</v>
      </c>
      <c r="L203" s="26" t="str">
        <f>VLOOKUP(A203,'Trips&amp;Operators'!$C$1:$E$10000,3,FALSE)</f>
        <v>STORY</v>
      </c>
      <c r="M203" s="6">
        <f t="shared" si="82"/>
        <v>1.9571759257814847E-2</v>
      </c>
      <c r="N203" s="7"/>
      <c r="O203" s="7"/>
      <c r="P203" s="7"/>
      <c r="Q203" s="27"/>
      <c r="R203" s="27"/>
      <c r="S203" s="42"/>
      <c r="T203" s="66"/>
      <c r="U203" s="93"/>
      <c r="V203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17:42:51-0600',mode:absolute,to:'2016-07-25 20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203" s="71"/>
      <c r="X203" s="89"/>
      <c r="Y203" s="86">
        <f t="shared" si="83"/>
        <v>5.8659999999999997</v>
      </c>
      <c r="Z203" s="86">
        <f t="shared" si="84"/>
        <v>6.3600000000000004E-2</v>
      </c>
      <c r="AA203" s="86">
        <f t="shared" si="85"/>
        <v>5.8023999999999996</v>
      </c>
      <c r="AB203" s="83" t="e">
        <f>VLOOKUP(A203,Enforcements!$C$7:$J$24,8,0)</f>
        <v>#N/A</v>
      </c>
      <c r="AC203" s="79" t="e">
        <f>VLOOKUP(A203,Enforcements!$C$7:$E$24,3,0)</f>
        <v>#N/A</v>
      </c>
      <c r="AD203" s="80" t="str">
        <f t="shared" si="86"/>
        <v>0850-25</v>
      </c>
      <c r="AE203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203" s="72" t="str">
        <f t="shared" si="88"/>
        <v>"C:\Program Files (x86)\AstroGrep\AstroGrep.exe" /spath="C:\Users\stu\Documents\Analysis\2016-02-23 RTDC Observations" /stypes="*4026*20160726*" /stext=" 01:.+((prompt.+disp)|(slice.+state.+chan)|(ment ac)|(system.+state.+chan)|(\|lc)|(penalty)|(\[timeout))" /e /r /s</v>
      </c>
      <c r="AG203" s="1" t="str">
        <f t="shared" si="89"/>
        <v>NWGL</v>
      </c>
    </row>
    <row r="204" spans="1:33" x14ac:dyDescent="0.25">
      <c r="A204" s="26" t="s">
        <v>703</v>
      </c>
      <c r="B204" s="106">
        <v>4031</v>
      </c>
      <c r="C204" s="107" t="s">
        <v>269</v>
      </c>
      <c r="D204" s="107" t="s">
        <v>686</v>
      </c>
      <c r="E204" s="108">
        <v>42576.788807870369</v>
      </c>
      <c r="F204" s="108">
        <v>42576.789907407408</v>
      </c>
      <c r="G204" s="106">
        <v>1</v>
      </c>
      <c r="H204" s="108" t="s">
        <v>704</v>
      </c>
      <c r="I204" s="108">
        <v>42576.802303240744</v>
      </c>
      <c r="J204" s="106">
        <v>0</v>
      </c>
      <c r="K204" s="109" t="str">
        <f t="shared" si="81"/>
        <v>4031/4032</v>
      </c>
      <c r="L204" s="26" t="str">
        <f>VLOOKUP(A204,'Trips&amp;Operators'!$C$1:$E$10000,3,FALSE)</f>
        <v>BRUDER</v>
      </c>
      <c r="M204" s="6">
        <f t="shared" si="82"/>
        <v>1.2395833335176576E-2</v>
      </c>
      <c r="N204" s="7"/>
      <c r="O204" s="7"/>
      <c r="P204" s="7"/>
      <c r="Q204" s="27"/>
      <c r="R204" s="27"/>
      <c r="S204" s="42"/>
      <c r="T204" s="66"/>
      <c r="U204" s="93"/>
      <c r="V204" s="71" t="str">
        <f t="shared" si="48"/>
        <v>https://search-rtdc-monitor-bjffxe2xuh6vdkpspy63sjmuny.us-east-1.es.amazonaws.com/_plugin/kibana/#/discover/Steve-Slow-Train-Analysis-(2080s-and-2083s)?_g=(refreshInterval:(display:Off,section:0,value:0),time:(from:'2016-07-25 17:55:53-0600',mode:absolute,to:'2016-07-25 20:15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204" s="71"/>
      <c r="X204" s="89"/>
      <c r="Y204" s="86">
        <f t="shared" si="83"/>
        <v>9.7600000000000006E-2</v>
      </c>
      <c r="Z204" s="86">
        <f t="shared" si="84"/>
        <v>5.9001000000000001</v>
      </c>
      <c r="AA204" s="86">
        <f t="shared" si="85"/>
        <v>5.8025000000000002</v>
      </c>
      <c r="AB204" s="83" t="e">
        <f>VLOOKUP(A204,Enforcements!$C$7:$J$24,8,0)</f>
        <v>#N/A</v>
      </c>
      <c r="AC204" s="79" t="e">
        <f>VLOOKUP(A204,Enforcements!$C$7:$E$24,3,0)</f>
        <v>#N/A</v>
      </c>
      <c r="AD204" s="80" t="str">
        <f t="shared" si="86"/>
        <v>0851-25</v>
      </c>
      <c r="AE204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204" s="72" t="str">
        <f t="shared" si="88"/>
        <v>"C:\Program Files (x86)\AstroGrep\AstroGrep.exe" /spath="C:\Users\stu\Documents\Analysis\2016-02-23 RTDC Observations" /stypes="*4031*20160726*" /stext=" 01:.+((prompt.+disp)|(slice.+state.+chan)|(ment ac)|(system.+state.+chan)|(\|lc)|(penalty)|(\[timeout))" /e /r /s</v>
      </c>
      <c r="AG204" s="1" t="str">
        <f t="shared" si="89"/>
        <v>NWGL</v>
      </c>
    </row>
    <row r="205" spans="1:33" x14ac:dyDescent="0.25">
      <c r="A205" s="26" t="s">
        <v>705</v>
      </c>
      <c r="B205" s="106">
        <v>4041</v>
      </c>
      <c r="C205" s="107" t="s">
        <v>269</v>
      </c>
      <c r="D205" s="107" t="s">
        <v>706</v>
      </c>
      <c r="E205" s="108">
        <v>42576.799976851849</v>
      </c>
      <c r="F205" s="108">
        <v>42576.801678240743</v>
      </c>
      <c r="G205" s="106">
        <v>2</v>
      </c>
      <c r="H205" s="108" t="s">
        <v>642</v>
      </c>
      <c r="I205" s="108">
        <v>42576.814953703702</v>
      </c>
      <c r="J205" s="106">
        <v>0</v>
      </c>
      <c r="K205" s="109" t="str">
        <f t="shared" si="81"/>
        <v>4041/4042</v>
      </c>
      <c r="L205" s="26" t="str">
        <f>VLOOKUP(A205,'Trips&amp;Operators'!$C$1:$E$10000,3,FALSE)</f>
        <v>COOLAHAN</v>
      </c>
      <c r="M205" s="6">
        <f t="shared" si="82"/>
        <v>1.3275462959427387E-2</v>
      </c>
      <c r="N205" s="7"/>
      <c r="O205" s="7"/>
      <c r="P205" s="7"/>
      <c r="Q205" s="27"/>
      <c r="R205" s="27"/>
      <c r="S205" s="42"/>
      <c r="T205" s="66"/>
      <c r="U205" s="93"/>
      <c r="V205" s="71" t="str">
        <f t="shared" ref="V205:V228" si="90">"https://search-rtdc-monitor-bjffxe2xuh6vdkpspy63sjmuny.us-east-1.es.amazonaws.com/_plugin/kibana/#/discover/Steve-Slow-Train-Analysis-(2080s-and-2083s)?_g=(refreshInterval:(display:Off,section:0,value:0),time:(from:'"&amp;TEXT(E205-1/24,"yyyy-MM-DD hh:mm:ss")&amp;"-0600',mode:absolute,to:'"&amp;TEXT(I205+1/24,"yyyy-MM-DD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201041%20OR%202003)%20AND%20%22rtdc.l.rtdc."&amp;B205&amp;"%22')),sort:!(Time,asc))"</f>
        <v>https://search-rtdc-monitor-bjffxe2xuh6vdkpspy63sjmuny.us-east-1.es.amazonaws.com/_plugin/kibana/#/discover/Steve-Slow-Train-Analysis-(2080s-and-2083s)?_g=(refreshInterval:(display:Off,section:0,value:0),time:(from:'2016-07-25 18:11:58-0600',mode:absolute,to:'2016-07-25 20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05" s="71"/>
      <c r="X205" s="89"/>
      <c r="Y205" s="86">
        <f t="shared" si="83"/>
        <v>5.8673999999999999</v>
      </c>
      <c r="Z205" s="86">
        <f t="shared" si="84"/>
        <v>6.3100000000000003E-2</v>
      </c>
      <c r="AA205" s="86">
        <f t="shared" si="85"/>
        <v>5.8042999999999996</v>
      </c>
      <c r="AB205" s="83" t="e">
        <f>VLOOKUP(A205,Enforcements!$C$7:$J$24,8,0)</f>
        <v>#N/A</v>
      </c>
      <c r="AC205" s="79" t="e">
        <f>VLOOKUP(A205,Enforcements!$C$7:$E$24,3,0)</f>
        <v>#N/A</v>
      </c>
      <c r="AD205" s="80" t="str">
        <f t="shared" si="86"/>
        <v>0852-25</v>
      </c>
      <c r="AE205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05" s="72" t="str">
        <f t="shared" si="88"/>
        <v>"C:\Program Files (x86)\AstroGrep\AstroGrep.exe" /spath="C:\Users\stu\Documents\Analysis\2016-02-23 RTDC Observations" /stypes="*4041*20160726*" /stext=" 01:.+((prompt.+disp)|(slice.+state.+chan)|(ment ac)|(system.+state.+chan)|(\|lc)|(penalty)|(\[timeout))" /e /r /s</v>
      </c>
      <c r="AG205" s="1" t="str">
        <f t="shared" si="89"/>
        <v>NWGL</v>
      </c>
    </row>
    <row r="206" spans="1:33" x14ac:dyDescent="0.25">
      <c r="A206" s="26" t="s">
        <v>707</v>
      </c>
      <c r="B206" s="106">
        <v>4025</v>
      </c>
      <c r="C206" s="107" t="s">
        <v>269</v>
      </c>
      <c r="D206" s="107" t="s">
        <v>632</v>
      </c>
      <c r="E206" s="108">
        <v>42576.802187499998</v>
      </c>
      <c r="F206" s="108">
        <v>42576.803541666668</v>
      </c>
      <c r="G206" s="106">
        <v>1</v>
      </c>
      <c r="H206" s="108" t="s">
        <v>708</v>
      </c>
      <c r="I206" s="108">
        <v>42576.817453703705</v>
      </c>
      <c r="J206" s="106">
        <v>1</v>
      </c>
      <c r="K206" s="109" t="str">
        <f t="shared" si="81"/>
        <v>4025/4026</v>
      </c>
      <c r="L206" s="26" t="str">
        <f>VLOOKUP(A206,'Trips&amp;Operators'!$C$1:$E$10000,3,FALSE)</f>
        <v>STORY</v>
      </c>
      <c r="M206" s="6">
        <f t="shared" si="82"/>
        <v>1.3912037036789116E-2</v>
      </c>
      <c r="N206" s="7"/>
      <c r="O206" s="7"/>
      <c r="P206" s="7"/>
      <c r="Q206" s="27"/>
      <c r="R206" s="27"/>
      <c r="S206" s="42"/>
      <c r="T206" s="66"/>
      <c r="U206" s="93"/>
      <c r="V206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18:15:09-0600',mode:absolute,to:'2016-07-25 20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206" s="71"/>
      <c r="X206" s="89"/>
      <c r="Y206" s="86">
        <f t="shared" si="83"/>
        <v>9.2499999999999999E-2</v>
      </c>
      <c r="Z206" s="86">
        <f t="shared" si="84"/>
        <v>5.9005000000000001</v>
      </c>
      <c r="AA206" s="86">
        <f t="shared" si="85"/>
        <v>5.8079999999999998</v>
      </c>
      <c r="AB206" s="83" t="e">
        <f>VLOOKUP(A206,Enforcements!$C$7:$J$24,8,0)</f>
        <v>#N/A</v>
      </c>
      <c r="AC206" s="79" t="e">
        <f>VLOOKUP(A206,Enforcements!$C$7:$E$24,3,0)</f>
        <v>#N/A</v>
      </c>
      <c r="AD206" s="80" t="str">
        <f t="shared" si="86"/>
        <v>0853-25</v>
      </c>
      <c r="AE206" s="72" t="str">
        <f t="shared" si="87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206" s="72" t="str">
        <f t="shared" si="88"/>
        <v>"C:\Program Files (x86)\AstroGrep\AstroGrep.exe" /spath="C:\Users\stu\Documents\Analysis\2016-02-23 RTDC Observations" /stypes="*4025*20160726*" /stext=" 01:.+((prompt.+disp)|(slice.+state.+chan)|(ment ac)|(system.+state.+chan)|(\|lc)|(penalty)|(\[timeout))" /e /r /s</v>
      </c>
      <c r="AG206" s="1" t="str">
        <f t="shared" si="89"/>
        <v>NWGL</v>
      </c>
    </row>
    <row r="207" spans="1:33" x14ac:dyDescent="0.25">
      <c r="A207" s="26" t="s">
        <v>709</v>
      </c>
      <c r="B207" s="106">
        <v>4032</v>
      </c>
      <c r="C207" s="107" t="s">
        <v>269</v>
      </c>
      <c r="D207" s="107" t="s">
        <v>710</v>
      </c>
      <c r="E207" s="108">
        <v>42576.809270833335</v>
      </c>
      <c r="F207" s="108">
        <v>42576.810706018521</v>
      </c>
      <c r="G207" s="106">
        <v>2</v>
      </c>
      <c r="H207" s="108" t="s">
        <v>602</v>
      </c>
      <c r="I207" s="108">
        <v>42576.828414351854</v>
      </c>
      <c r="J207" s="106">
        <v>0</v>
      </c>
      <c r="K207" s="109" t="str">
        <f t="shared" si="81"/>
        <v>4031/4032</v>
      </c>
      <c r="L207" s="26" t="str">
        <f>VLOOKUP(A207,'Trips&amp;Operators'!$C$1:$E$10000,3,FALSE)</f>
        <v>BRUDER</v>
      </c>
      <c r="M207" s="6">
        <f t="shared" si="82"/>
        <v>1.7708333332848269E-2</v>
      </c>
      <c r="N207" s="7"/>
      <c r="O207" s="7"/>
      <c r="P207" s="7"/>
      <c r="Q207" s="27"/>
      <c r="R207" s="27"/>
      <c r="S207" s="42"/>
      <c r="T207" s="66"/>
      <c r="U207" s="93"/>
      <c r="V207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18:25:21-0600',mode:absolute,to:'2016-07-25 20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207" s="71"/>
      <c r="X207" s="89"/>
      <c r="Y207" s="86">
        <f t="shared" si="83"/>
        <v>5.8681000000000001</v>
      </c>
      <c r="Z207" s="86">
        <f t="shared" si="84"/>
        <v>6.7500000000000004E-2</v>
      </c>
      <c r="AA207" s="86">
        <f t="shared" si="85"/>
        <v>5.8006000000000002</v>
      </c>
      <c r="AB207" s="83" t="e">
        <f>VLOOKUP(A207,Enforcements!$C$7:$J$24,8,0)</f>
        <v>#N/A</v>
      </c>
      <c r="AC207" s="79" t="e">
        <f>VLOOKUP(A207,Enforcements!$C$7:$E$24,3,0)</f>
        <v>#N/A</v>
      </c>
      <c r="AD207" s="80" t="str">
        <f t="shared" si="86"/>
        <v>0854-25</v>
      </c>
      <c r="AE207" s="72" t="str">
        <f t="shared" si="87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207" s="72" t="str">
        <f t="shared" si="88"/>
        <v>"C:\Program Files (x86)\AstroGrep\AstroGrep.exe" /spath="C:\Users\stu\Documents\Analysis\2016-02-23 RTDC Observations" /stypes="*4032*20160726*" /stext=" 01:.+((prompt.+disp)|(slice.+state.+chan)|(ment ac)|(system.+state.+chan)|(\|lc)|(penalty)|(\[timeout))" /e /r /s</v>
      </c>
      <c r="AG207" s="1" t="str">
        <f t="shared" si="89"/>
        <v>NWGL</v>
      </c>
    </row>
    <row r="208" spans="1:33" x14ac:dyDescent="0.25">
      <c r="A208" s="26" t="s">
        <v>711</v>
      </c>
      <c r="B208" s="106">
        <v>4042</v>
      </c>
      <c r="C208" s="107" t="s">
        <v>269</v>
      </c>
      <c r="D208" s="107" t="s">
        <v>351</v>
      </c>
      <c r="E208" s="108">
        <v>42576.816423611112</v>
      </c>
      <c r="F208" s="108">
        <v>42576.81759259259</v>
      </c>
      <c r="G208" s="106">
        <v>1</v>
      </c>
      <c r="H208" s="108" t="s">
        <v>309</v>
      </c>
      <c r="I208" s="108">
        <v>42576.830370370371</v>
      </c>
      <c r="J208" s="106">
        <v>1</v>
      </c>
      <c r="K208" s="109" t="str">
        <f t="shared" si="81"/>
        <v>4041/4042</v>
      </c>
      <c r="L208" s="26" t="str">
        <f>VLOOKUP(A208,'Trips&amp;Operators'!$C$1:$E$10000,3,FALSE)</f>
        <v>COOLAHAN</v>
      </c>
      <c r="M208" s="6">
        <f t="shared" si="82"/>
        <v>1.2777777781593613E-2</v>
      </c>
      <c r="N208" s="7"/>
      <c r="O208" s="7"/>
      <c r="P208" s="7"/>
      <c r="Q208" s="27"/>
      <c r="R208" s="27"/>
      <c r="S208" s="42"/>
      <c r="T208" s="66"/>
      <c r="U208" s="93"/>
      <c r="V208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18:35:39-0600',mode:absolute,to:'2016-07-25 20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208" s="71"/>
      <c r="X208" s="89"/>
      <c r="Y208" s="86">
        <f t="shared" si="83"/>
        <v>9.1999999999999998E-2</v>
      </c>
      <c r="Z208" s="86">
        <f t="shared" si="84"/>
        <v>5.8964999999999996</v>
      </c>
      <c r="AA208" s="86">
        <f t="shared" si="85"/>
        <v>5.8045</v>
      </c>
      <c r="AB208" s="83" t="e">
        <f>VLOOKUP(A208,Enforcements!$C$7:$J$24,8,0)</f>
        <v>#N/A</v>
      </c>
      <c r="AC208" s="79" t="e">
        <f>VLOOKUP(A208,Enforcements!$C$7:$E$24,3,0)</f>
        <v>#N/A</v>
      </c>
      <c r="AD208" s="80" t="str">
        <f t="shared" si="86"/>
        <v>0855-25</v>
      </c>
      <c r="AE208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208" s="72" t="str">
        <f t="shared" si="88"/>
        <v>"C:\Program Files (x86)\AstroGrep\AstroGrep.exe" /spath="C:\Users\stu\Documents\Analysis\2016-02-23 RTDC Observations" /stypes="*4042*20160726*" /stext=" 01:.+((prompt.+disp)|(slice.+state.+chan)|(ment ac)|(system.+state.+chan)|(\|lc)|(penalty)|(\[timeout))" /e /r /s</v>
      </c>
      <c r="AG208" s="1" t="str">
        <f t="shared" si="89"/>
        <v>NWGL</v>
      </c>
    </row>
    <row r="209" spans="1:33" x14ac:dyDescent="0.25">
      <c r="A209" s="26" t="s">
        <v>712</v>
      </c>
      <c r="B209" s="106">
        <v>4026</v>
      </c>
      <c r="C209" s="107" t="s">
        <v>59</v>
      </c>
      <c r="D209" s="107" t="s">
        <v>713</v>
      </c>
      <c r="E209" s="108">
        <v>42576.822314814817</v>
      </c>
      <c r="F209" s="108">
        <v>42576.824374999997</v>
      </c>
      <c r="G209" s="106">
        <v>2</v>
      </c>
      <c r="H209" s="108" t="s">
        <v>714</v>
      </c>
      <c r="I209" s="108">
        <v>42576.842465277776</v>
      </c>
      <c r="J209" s="106">
        <v>1</v>
      </c>
      <c r="K209" s="109" t="str">
        <f t="shared" si="81"/>
        <v>4025/4026</v>
      </c>
      <c r="L209" s="26" t="str">
        <f>VLOOKUP(A209,'Trips&amp;Operators'!$C$1:$E$10000,3,FALSE)</f>
        <v>STORY</v>
      </c>
      <c r="M209" s="6">
        <f t="shared" si="82"/>
        <v>1.8090277779265307E-2</v>
      </c>
      <c r="N209" s="7"/>
      <c r="O209" s="7"/>
      <c r="P209" s="7"/>
      <c r="Q209" s="27"/>
      <c r="R209" s="27"/>
      <c r="S209" s="42"/>
      <c r="T209" s="66"/>
      <c r="U209" s="93"/>
      <c r="V209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18:44:08-0600',mode:absolute,to:'2016-07-25 21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209" s="71"/>
      <c r="X209" s="89"/>
      <c r="Y209" s="86">
        <f t="shared" si="83"/>
        <v>5.8682999999999996</v>
      </c>
      <c r="Z209" s="86">
        <f t="shared" si="84"/>
        <v>6.1499999999999999E-2</v>
      </c>
      <c r="AA209" s="86">
        <f t="shared" si="85"/>
        <v>5.8068</v>
      </c>
      <c r="AB209" s="83" t="e">
        <f>VLOOKUP(A209,Enforcements!$C$7:$J$24,8,0)</f>
        <v>#N/A</v>
      </c>
      <c r="AC209" s="79" t="e">
        <f>VLOOKUP(A209,Enforcements!$C$7:$E$24,3,0)</f>
        <v>#N/A</v>
      </c>
      <c r="AD209" s="80" t="str">
        <f t="shared" si="86"/>
        <v>0856-25</v>
      </c>
      <c r="AE209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209" s="72" t="str">
        <f t="shared" si="88"/>
        <v>"C:\Program Files (x86)\AstroGrep\AstroGrep.exe" /spath="C:\Users\stu\Documents\Analysis\2016-02-23 RTDC Observations" /stypes="*4026*20160726*" /stext=" 02:.+((prompt.+disp)|(slice.+state.+chan)|(ment ac)|(system.+state.+chan)|(\|lc)|(penalty)|(\[timeout))" /e /r /s</v>
      </c>
      <c r="AG209" s="1" t="str">
        <f t="shared" si="89"/>
        <v>NWGL</v>
      </c>
    </row>
    <row r="210" spans="1:33" x14ac:dyDescent="0.25">
      <c r="A210" s="26" t="s">
        <v>715</v>
      </c>
      <c r="B210" s="106">
        <v>4031</v>
      </c>
      <c r="C210" s="107" t="s">
        <v>269</v>
      </c>
      <c r="D210" s="107" t="s">
        <v>716</v>
      </c>
      <c r="E210" s="108">
        <v>42576.830474537041</v>
      </c>
      <c r="F210" s="108">
        <v>42576.831747685188</v>
      </c>
      <c r="G210" s="106">
        <v>1</v>
      </c>
      <c r="H210" s="108" t="s">
        <v>717</v>
      </c>
      <c r="I210" s="108">
        <v>42576.846909722219</v>
      </c>
      <c r="J210" s="106">
        <v>0</v>
      </c>
      <c r="K210" s="109" t="str">
        <f t="shared" si="81"/>
        <v>4031/4032</v>
      </c>
      <c r="L210" s="26" t="str">
        <f>VLOOKUP(A210,'Trips&amp;Operators'!$C$1:$E$10000,3,FALSE)</f>
        <v>BRUDER</v>
      </c>
      <c r="M210" s="6">
        <f t="shared" si="82"/>
        <v>1.5162037030677311E-2</v>
      </c>
      <c r="N210" s="7"/>
      <c r="O210" s="7"/>
      <c r="P210" s="7"/>
      <c r="Q210" s="27"/>
      <c r="R210" s="27"/>
      <c r="S210" s="42"/>
      <c r="T210" s="66"/>
      <c r="U210" s="93"/>
      <c r="V210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18:55:53-0600',mode:absolute,to:'2016-07-25 21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210" s="71"/>
      <c r="X210" s="89"/>
      <c r="Y210" s="86">
        <f t="shared" si="83"/>
        <v>9.69E-2</v>
      </c>
      <c r="Z210" s="86">
        <f t="shared" si="84"/>
        <v>5.8987999999999996</v>
      </c>
      <c r="AA210" s="86">
        <f t="shared" si="85"/>
        <v>5.8018999999999998</v>
      </c>
      <c r="AB210" s="83" t="e">
        <f>VLOOKUP(A210,Enforcements!$C$7:$J$24,8,0)</f>
        <v>#N/A</v>
      </c>
      <c r="AC210" s="79" t="e">
        <f>VLOOKUP(A210,Enforcements!$C$7:$E$24,3,0)</f>
        <v>#N/A</v>
      </c>
      <c r="AD210" s="80" t="str">
        <f t="shared" si="86"/>
        <v>0857-25</v>
      </c>
      <c r="AE210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210" s="72" t="str">
        <f t="shared" si="88"/>
        <v>"C:\Program Files (x86)\AstroGrep\AstroGrep.exe" /spath="C:\Users\stu\Documents\Analysis\2016-02-23 RTDC Observations" /stypes="*4031*20160726*" /stext=" 02:.+((prompt.+disp)|(slice.+state.+chan)|(ment ac)|(system.+state.+chan)|(\|lc)|(penalty)|(\[timeout))" /e /r /s</v>
      </c>
      <c r="AG210" s="1" t="str">
        <f t="shared" si="89"/>
        <v>NWGL</v>
      </c>
    </row>
    <row r="211" spans="1:33" x14ac:dyDescent="0.25">
      <c r="A211" s="26" t="s">
        <v>718</v>
      </c>
      <c r="B211" s="106">
        <v>4041</v>
      </c>
      <c r="C211" s="107" t="s">
        <v>269</v>
      </c>
      <c r="D211" s="107" t="s">
        <v>719</v>
      </c>
      <c r="E211" s="108">
        <v>42576.84033564815</v>
      </c>
      <c r="F211" s="108">
        <v>42576.842002314814</v>
      </c>
      <c r="G211" s="106">
        <v>2</v>
      </c>
      <c r="H211" s="108" t="s">
        <v>720</v>
      </c>
      <c r="I211" s="108">
        <v>42576.857766203706</v>
      </c>
      <c r="J211" s="106">
        <v>0</v>
      </c>
      <c r="K211" s="109" t="str">
        <f t="shared" si="81"/>
        <v>4041/4042</v>
      </c>
      <c r="L211" s="26" t="str">
        <f>VLOOKUP(A211,'Trips&amp;Operators'!$C$1:$E$10000,3,FALSE)</f>
        <v>COOLAHAN</v>
      </c>
      <c r="M211" s="6">
        <f t="shared" si="82"/>
        <v>1.5763888892251998E-2</v>
      </c>
      <c r="N211" s="7"/>
      <c r="O211" s="7"/>
      <c r="P211" s="7"/>
      <c r="Q211" s="27"/>
      <c r="R211" s="27"/>
      <c r="S211" s="42"/>
      <c r="T211" s="66"/>
      <c r="U211" s="93"/>
      <c r="V211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19:10:05-0600',mode:absolute,to:'2016-07-25 21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11" s="71"/>
      <c r="X211" s="89"/>
      <c r="Y211" s="86">
        <f t="shared" si="83"/>
        <v>5.8663999999999996</v>
      </c>
      <c r="Z211" s="86">
        <f t="shared" si="84"/>
        <v>0.1671</v>
      </c>
      <c r="AA211" s="86">
        <f t="shared" si="85"/>
        <v>5.6993</v>
      </c>
      <c r="AB211" s="83" t="e">
        <f>VLOOKUP(A211,Enforcements!$C$7:$J$24,8,0)</f>
        <v>#N/A</v>
      </c>
      <c r="AC211" s="79" t="e">
        <f>VLOOKUP(A211,Enforcements!$C$7:$E$24,3,0)</f>
        <v>#N/A</v>
      </c>
      <c r="AD211" s="80" t="str">
        <f t="shared" si="86"/>
        <v>0858-25</v>
      </c>
      <c r="AE211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11" s="72" t="str">
        <f t="shared" si="88"/>
        <v>"C:\Program Files (x86)\AstroGrep\AstroGrep.exe" /spath="C:\Users\stu\Documents\Analysis\2016-02-23 RTDC Observations" /stypes="*4041*20160726*" /stext=" 02:.+((prompt.+disp)|(slice.+state.+chan)|(ment ac)|(system.+state.+chan)|(\|lc)|(penalty)|(\[timeout))" /e /r /s</v>
      </c>
      <c r="AG211" s="1" t="str">
        <f t="shared" si="89"/>
        <v>NWGL</v>
      </c>
    </row>
    <row r="212" spans="1:33" x14ac:dyDescent="0.25">
      <c r="A212" s="26" t="s">
        <v>721</v>
      </c>
      <c r="B212" s="106">
        <v>4025</v>
      </c>
      <c r="C212" s="107" t="s">
        <v>269</v>
      </c>
      <c r="D212" s="107" t="s">
        <v>287</v>
      </c>
      <c r="E212" s="108">
        <v>42576.844537037039</v>
      </c>
      <c r="F212" s="108">
        <v>42576.845694444448</v>
      </c>
      <c r="G212" s="106">
        <v>1</v>
      </c>
      <c r="H212" s="108" t="s">
        <v>722</v>
      </c>
      <c r="I212" s="108">
        <v>42576.858807870369</v>
      </c>
      <c r="J212" s="106">
        <v>1</v>
      </c>
      <c r="K212" s="109" t="str">
        <f t="shared" si="81"/>
        <v>4025/4026</v>
      </c>
      <c r="L212" s="26" t="str">
        <f>VLOOKUP(A212,'Trips&amp;Operators'!$C$1:$E$10000,3,FALSE)</f>
        <v>STORY</v>
      </c>
      <c r="M212" s="6">
        <f t="shared" si="82"/>
        <v>1.3113425920892041E-2</v>
      </c>
      <c r="N212" s="7"/>
      <c r="O212" s="7"/>
      <c r="P212" s="7"/>
      <c r="Q212" s="27"/>
      <c r="R212" s="27"/>
      <c r="S212" s="42"/>
      <c r="T212" s="66"/>
      <c r="U212" s="93"/>
      <c r="V212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19:16:08-0600',mode:absolute,to:'2016-07-25 21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212" s="71"/>
      <c r="X212" s="89"/>
      <c r="Y212" s="86">
        <f t="shared" si="83"/>
        <v>9.0399999999999994E-2</v>
      </c>
      <c r="Z212" s="86">
        <f t="shared" si="84"/>
        <v>5.8971</v>
      </c>
      <c r="AA212" s="86">
        <f t="shared" si="85"/>
        <v>5.8067000000000002</v>
      </c>
      <c r="AB212" s="83" t="e">
        <f>VLOOKUP(A212,Enforcements!$C$7:$J$24,8,0)</f>
        <v>#N/A</v>
      </c>
      <c r="AC212" s="79" t="e">
        <f>VLOOKUP(A212,Enforcements!$C$7:$E$24,3,0)</f>
        <v>#N/A</v>
      </c>
      <c r="AD212" s="80" t="str">
        <f t="shared" si="86"/>
        <v>0859-25</v>
      </c>
      <c r="AE212" s="72" t="str">
        <f t="shared" si="87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212" s="72" t="str">
        <f t="shared" si="88"/>
        <v>"C:\Program Files (x86)\AstroGrep\AstroGrep.exe" /spath="C:\Users\stu\Documents\Analysis\2016-02-23 RTDC Observations" /stypes="*4025*20160726*" /stext=" 02:.+((prompt.+disp)|(slice.+state.+chan)|(ment ac)|(system.+state.+chan)|(\|lc)|(penalty)|(\[timeout))" /e /r /s</v>
      </c>
      <c r="AG212" s="1" t="str">
        <f t="shared" si="89"/>
        <v>NWGL</v>
      </c>
    </row>
    <row r="213" spans="1:33" x14ac:dyDescent="0.25">
      <c r="A213" s="26" t="s">
        <v>723</v>
      </c>
      <c r="B213" s="106">
        <v>4032</v>
      </c>
      <c r="C213" s="107" t="s">
        <v>269</v>
      </c>
      <c r="D213" s="107" t="s">
        <v>724</v>
      </c>
      <c r="E213" s="108">
        <v>42576.848344907405</v>
      </c>
      <c r="F213" s="108">
        <v>42576.849560185183</v>
      </c>
      <c r="G213" s="106">
        <v>1</v>
      </c>
      <c r="H213" s="108" t="s">
        <v>725</v>
      </c>
      <c r="I213" s="108">
        <v>42576.870393518519</v>
      </c>
      <c r="J213" s="106">
        <v>0</v>
      </c>
      <c r="K213" s="109" t="str">
        <f t="shared" si="81"/>
        <v>4031/4032</v>
      </c>
      <c r="L213" s="26" t="str">
        <f>VLOOKUP(A213,'Trips&amp;Operators'!$C$1:$E$10000,3,FALSE)</f>
        <v>BRUDER</v>
      </c>
      <c r="M213" s="6">
        <f t="shared" si="82"/>
        <v>2.0833333335758653E-2</v>
      </c>
      <c r="N213" s="7"/>
      <c r="O213" s="7"/>
      <c r="P213" s="7"/>
      <c r="Q213" s="27"/>
      <c r="R213" s="27"/>
      <c r="S213" s="42"/>
      <c r="T213" s="66"/>
      <c r="U213" s="93"/>
      <c r="V213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19:21:37-0600',mode:absolute,to:'2016-07-25 21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213" s="71"/>
      <c r="X213" s="89"/>
      <c r="Y213" s="86">
        <f t="shared" si="83"/>
        <v>5.8672000000000004</v>
      </c>
      <c r="Z213" s="86">
        <f t="shared" si="84"/>
        <v>6.5600000000000006E-2</v>
      </c>
      <c r="AA213" s="86">
        <f t="shared" si="85"/>
        <v>5.8016000000000005</v>
      </c>
      <c r="AB213" s="83" t="e">
        <f>VLOOKUP(A213,Enforcements!$C$7:$J$24,8,0)</f>
        <v>#N/A</v>
      </c>
      <c r="AC213" s="79" t="e">
        <f>VLOOKUP(A213,Enforcements!$C$7:$E$24,3,0)</f>
        <v>#N/A</v>
      </c>
      <c r="AD213" s="80" t="str">
        <f t="shared" si="86"/>
        <v>0860-25</v>
      </c>
      <c r="AE213" s="72" t="str">
        <f t="shared" si="87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213" s="72" t="str">
        <f t="shared" si="88"/>
        <v>"C:\Program Files (x86)\AstroGrep\AstroGrep.exe" /spath="C:\Users\stu\Documents\Analysis\2016-02-23 RTDC Observations" /stypes="*4032*20160726*" /stext=" 02:.+((prompt.+disp)|(slice.+state.+chan)|(ment ac)|(system.+state.+chan)|(\|lc)|(penalty)|(\[timeout))" /e /r /s</v>
      </c>
      <c r="AG213" s="1" t="str">
        <f t="shared" si="89"/>
        <v>NWGL</v>
      </c>
    </row>
    <row r="214" spans="1:33" x14ac:dyDescent="0.25">
      <c r="A214" s="26" t="s">
        <v>726</v>
      </c>
      <c r="B214" s="106">
        <v>4042</v>
      </c>
      <c r="C214" s="107" t="s">
        <v>269</v>
      </c>
      <c r="D214" s="107" t="s">
        <v>727</v>
      </c>
      <c r="E214" s="108">
        <v>42576.859606481485</v>
      </c>
      <c r="F214" s="108">
        <v>42576.860648148147</v>
      </c>
      <c r="G214" s="106">
        <v>1</v>
      </c>
      <c r="H214" s="108" t="s">
        <v>728</v>
      </c>
      <c r="I214" s="108">
        <v>42576.871435185189</v>
      </c>
      <c r="J214" s="106">
        <v>1</v>
      </c>
      <c r="K214" s="109" t="str">
        <f t="shared" si="81"/>
        <v>4041/4042</v>
      </c>
      <c r="L214" s="26" t="str">
        <f>VLOOKUP(A214,'Trips&amp;Operators'!$C$1:$E$10000,3,FALSE)</f>
        <v>COOLAHAN</v>
      </c>
      <c r="M214" s="6">
        <f t="shared" si="82"/>
        <v>1.078703704115469E-2</v>
      </c>
      <c r="N214" s="7"/>
      <c r="O214" s="7"/>
      <c r="P214" s="7"/>
      <c r="Q214" s="27"/>
      <c r="R214" s="27"/>
      <c r="S214" s="42"/>
      <c r="T214" s="66"/>
      <c r="U214" s="93"/>
      <c r="V214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19:37:50-0600',mode:absolute,to:'2016-07-25 21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214" s="71"/>
      <c r="X214" s="89"/>
      <c r="Y214" s="86">
        <f t="shared" si="83"/>
        <v>9.1800000000000007E-2</v>
      </c>
      <c r="Z214" s="86">
        <f t="shared" si="84"/>
        <v>5.8852000000000002</v>
      </c>
      <c r="AA214" s="86">
        <f t="shared" si="85"/>
        <v>5.7934000000000001</v>
      </c>
      <c r="AB214" s="83" t="e">
        <f>VLOOKUP(A214,Enforcements!$C$7:$J$24,8,0)</f>
        <v>#N/A</v>
      </c>
      <c r="AC214" s="79" t="e">
        <f>VLOOKUP(A214,Enforcements!$C$7:$E$24,3,0)</f>
        <v>#N/A</v>
      </c>
      <c r="AD214" s="80" t="str">
        <f t="shared" si="86"/>
        <v>0861-25</v>
      </c>
      <c r="AE214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214" s="72" t="str">
        <f t="shared" si="88"/>
        <v>"C:\Program Files (x86)\AstroGrep\AstroGrep.exe" /spath="C:\Users\stu\Documents\Analysis\2016-02-23 RTDC Observations" /stypes="*4042*20160726*" /stext=" 02:.+((prompt.+disp)|(slice.+state.+chan)|(ment ac)|(system.+state.+chan)|(\|lc)|(penalty)|(\[timeout))" /e /r /s</v>
      </c>
      <c r="AG214" s="1" t="str">
        <f t="shared" si="89"/>
        <v>NWGL</v>
      </c>
    </row>
    <row r="215" spans="1:33" x14ac:dyDescent="0.25">
      <c r="A215" s="26" t="s">
        <v>729</v>
      </c>
      <c r="B215" s="106">
        <v>4026</v>
      </c>
      <c r="C215" s="107" t="s">
        <v>59</v>
      </c>
      <c r="D215" s="107" t="s">
        <v>730</v>
      </c>
      <c r="E215" s="108">
        <v>42576.860393518517</v>
      </c>
      <c r="F215" s="108">
        <v>42576.862025462964</v>
      </c>
      <c r="G215" s="106">
        <v>2</v>
      </c>
      <c r="H215" s="108" t="s">
        <v>731</v>
      </c>
      <c r="I215" s="108">
        <v>42576.885196759256</v>
      </c>
      <c r="J215" s="106">
        <v>0</v>
      </c>
      <c r="K215" s="109" t="str">
        <f t="shared" si="81"/>
        <v>4025/4026</v>
      </c>
      <c r="L215" s="26" t="str">
        <f>VLOOKUP(A215,'Trips&amp;Operators'!$C$1:$E$10000,3,FALSE)</f>
        <v>STORY</v>
      </c>
      <c r="M215" s="6">
        <f t="shared" si="82"/>
        <v>2.3171296292275656E-2</v>
      </c>
      <c r="N215" s="7"/>
      <c r="O215" s="7"/>
      <c r="P215" s="7"/>
      <c r="Q215" s="27"/>
      <c r="R215" s="27"/>
      <c r="S215" s="42"/>
      <c r="T215" s="66"/>
      <c r="U215" s="93"/>
      <c r="V215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19:38:58-0600',mode:absolute,to:'2016-07-25 22:14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215" s="71"/>
      <c r="X215" s="89"/>
      <c r="Y215" s="86">
        <f t="shared" si="83"/>
        <v>5.8654999999999999</v>
      </c>
      <c r="Z215" s="86">
        <f t="shared" si="84"/>
        <v>6.4199999999999993E-2</v>
      </c>
      <c r="AA215" s="86">
        <f t="shared" si="85"/>
        <v>5.8013000000000003</v>
      </c>
      <c r="AB215" s="83" t="e">
        <f>VLOOKUP(A215,Enforcements!$C$7:$J$24,8,0)</f>
        <v>#N/A</v>
      </c>
      <c r="AC215" s="79" t="e">
        <f>VLOOKUP(A215,Enforcements!$C$7:$E$24,3,0)</f>
        <v>#N/A</v>
      </c>
      <c r="AD215" s="80" t="str">
        <f t="shared" si="86"/>
        <v>0862-25</v>
      </c>
      <c r="AE215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215" s="72" t="str">
        <f t="shared" si="88"/>
        <v>"C:\Program Files (x86)\AstroGrep\AstroGrep.exe" /spath="C:\Users\stu\Documents\Analysis\2016-02-23 RTDC Observations" /stypes="*4026*20160726*" /stext=" 03:.+((prompt.+disp)|(slice.+state.+chan)|(ment ac)|(system.+state.+chan)|(\|lc)|(penalty)|(\[timeout))" /e /r /s</v>
      </c>
      <c r="AG215" s="1" t="str">
        <f t="shared" si="89"/>
        <v>NWGL</v>
      </c>
    </row>
    <row r="216" spans="1:33" x14ac:dyDescent="0.25">
      <c r="A216" s="26" t="s">
        <v>732</v>
      </c>
      <c r="B216" s="106">
        <v>4031</v>
      </c>
      <c r="C216" s="107" t="s">
        <v>269</v>
      </c>
      <c r="D216" s="107" t="s">
        <v>638</v>
      </c>
      <c r="E216" s="108">
        <v>42576.872696759259</v>
      </c>
      <c r="F216" s="108">
        <v>42576.873530092591</v>
      </c>
      <c r="G216" s="106">
        <v>1</v>
      </c>
      <c r="H216" s="108" t="s">
        <v>733</v>
      </c>
      <c r="I216" s="108">
        <v>42576.876736111109</v>
      </c>
      <c r="J216" s="106">
        <v>2</v>
      </c>
      <c r="K216" s="109" t="str">
        <f t="shared" si="81"/>
        <v>4031/4032</v>
      </c>
      <c r="L216" s="26" t="str">
        <f>VLOOKUP(A216,'Trips&amp;Operators'!$C$1:$E$10000,3,FALSE)</f>
        <v>BRUDER</v>
      </c>
      <c r="M216" s="6">
        <f t="shared" si="82"/>
        <v>3.2060185185400769E-3</v>
      </c>
      <c r="N216" s="7"/>
      <c r="O216" s="7"/>
      <c r="P216" s="7"/>
      <c r="Q216" s="27"/>
      <c r="R216" s="27"/>
      <c r="S216" s="42"/>
      <c r="T216" s="66"/>
      <c r="U216" s="93"/>
      <c r="V216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19:56:41-0600',mode:absolute,to:'2016-07-25 22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216" s="71"/>
      <c r="X216" s="89"/>
      <c r="Y216" s="86">
        <f t="shared" si="83"/>
        <v>9.4399999999999998E-2</v>
      </c>
      <c r="Z216" s="86">
        <f t="shared" si="84"/>
        <v>0.1794</v>
      </c>
      <c r="AA216" s="86">
        <f t="shared" si="85"/>
        <v>8.5000000000000006E-2</v>
      </c>
      <c r="AB216" s="83" t="e">
        <f>VLOOKUP(A216,Enforcements!$C$7:$J$24,8,0)</f>
        <v>#N/A</v>
      </c>
      <c r="AC216" s="79" t="e">
        <f>VLOOKUP(A216,Enforcements!$C$7:$E$24,3,0)</f>
        <v>#N/A</v>
      </c>
      <c r="AD216" s="80" t="str">
        <f t="shared" si="86"/>
        <v>0863-25</v>
      </c>
      <c r="AE216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216" s="72" t="str">
        <f t="shared" si="88"/>
        <v>"C:\Program Files (x86)\AstroGrep\AstroGrep.exe" /spath="C:\Users\stu\Documents\Analysis\2016-02-23 RTDC Observations" /stypes="*4031*20160726*" /stext=" 03:.+((prompt.+disp)|(slice.+state.+chan)|(ment ac)|(system.+state.+chan)|(\|lc)|(penalty)|(\[timeout))" /e /r /s</v>
      </c>
      <c r="AG216" s="1" t="str">
        <f t="shared" si="89"/>
        <v>NWGL</v>
      </c>
    </row>
    <row r="217" spans="1:33" x14ac:dyDescent="0.25">
      <c r="A217" s="26" t="s">
        <v>734</v>
      </c>
      <c r="B217" s="106">
        <v>4041</v>
      </c>
      <c r="C217" s="107" t="s">
        <v>269</v>
      </c>
      <c r="D217" s="107" t="s">
        <v>735</v>
      </c>
      <c r="E217" s="108">
        <v>42576.882430555554</v>
      </c>
      <c r="F217" s="108">
        <v>42576.884363425925</v>
      </c>
      <c r="G217" s="106">
        <v>2</v>
      </c>
      <c r="H217" s="108" t="s">
        <v>736</v>
      </c>
      <c r="I217" s="108">
        <v>42576.898136574076</v>
      </c>
      <c r="J217" s="106">
        <v>0</v>
      </c>
      <c r="K217" s="109" t="str">
        <f t="shared" si="81"/>
        <v>4041/4042</v>
      </c>
      <c r="L217" s="26" t="str">
        <f>VLOOKUP(A217,'Trips&amp;Operators'!$C$1:$E$10000,3,FALSE)</f>
        <v>COOLAHAN</v>
      </c>
      <c r="M217" s="6">
        <f t="shared" si="82"/>
        <v>1.3773148151813075E-2</v>
      </c>
      <c r="N217" s="7"/>
      <c r="O217" s="7"/>
      <c r="P217" s="7"/>
      <c r="Q217" s="27"/>
      <c r="R217" s="27"/>
      <c r="S217" s="42"/>
      <c r="T217" s="66"/>
      <c r="U217" s="93"/>
      <c r="V217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20:10:42-0600',mode:absolute,to:'2016-07-25 22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17" s="71"/>
      <c r="X217" s="89"/>
      <c r="Y217" s="86">
        <f t="shared" si="83"/>
        <v>5.8693</v>
      </c>
      <c r="Z217" s="86">
        <f t="shared" si="84"/>
        <v>0.1615</v>
      </c>
      <c r="AA217" s="86">
        <f t="shared" si="85"/>
        <v>5.7077999999999998</v>
      </c>
      <c r="AB217" s="83" t="e">
        <f>VLOOKUP(A217,Enforcements!$C$7:$J$24,8,0)</f>
        <v>#N/A</v>
      </c>
      <c r="AC217" s="79" t="e">
        <f>VLOOKUP(A217,Enforcements!$C$7:$E$24,3,0)</f>
        <v>#N/A</v>
      </c>
      <c r="AD217" s="80" t="str">
        <f t="shared" si="86"/>
        <v>0864-25</v>
      </c>
      <c r="AE217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17" s="72" t="str">
        <f t="shared" si="88"/>
        <v>"C:\Program Files (x86)\AstroGrep\AstroGrep.exe" /spath="C:\Users\stu\Documents\Analysis\2016-02-23 RTDC Observations" /stypes="*4041*20160726*" /stext=" 03:.+((prompt.+disp)|(slice.+state.+chan)|(ment ac)|(system.+state.+chan)|(\|lc)|(penalty)|(\[timeout))" /e /r /s</v>
      </c>
      <c r="AG217" s="1" t="str">
        <f t="shared" si="89"/>
        <v>NWGL</v>
      </c>
    </row>
    <row r="218" spans="1:33" x14ac:dyDescent="0.25">
      <c r="A218" s="26" t="s">
        <v>737</v>
      </c>
      <c r="B218" s="106">
        <v>4025</v>
      </c>
      <c r="C218" s="107" t="s">
        <v>269</v>
      </c>
      <c r="D218" s="107" t="s">
        <v>738</v>
      </c>
      <c r="E218" s="108">
        <v>42576.888472222221</v>
      </c>
      <c r="F218" s="108">
        <v>42576.889467592591</v>
      </c>
      <c r="G218" s="106">
        <v>1</v>
      </c>
      <c r="H218" s="108" t="s">
        <v>348</v>
      </c>
      <c r="I218" s="108">
        <v>42576.901319444441</v>
      </c>
      <c r="J218" s="106">
        <v>1</v>
      </c>
      <c r="K218" s="109" t="str">
        <f t="shared" si="81"/>
        <v>4025/4026</v>
      </c>
      <c r="L218" s="26" t="str">
        <f>VLOOKUP(A218,'Trips&amp;Operators'!$C$1:$E$10000,3,FALSE)</f>
        <v>STORY</v>
      </c>
      <c r="M218" s="6">
        <f t="shared" si="82"/>
        <v>1.1851851850224193E-2</v>
      </c>
      <c r="N218" s="7"/>
      <c r="O218" s="7"/>
      <c r="P218" s="7"/>
      <c r="Q218" s="27"/>
      <c r="R218" s="27"/>
      <c r="S218" s="42"/>
      <c r="T218" s="66"/>
      <c r="U218" s="93"/>
      <c r="V218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20:19:24-0600',mode:absolute,to:'2016-07-25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218" s="71"/>
      <c r="X218" s="89"/>
      <c r="Y218" s="86">
        <f t="shared" si="83"/>
        <v>9.1600000000000001E-2</v>
      </c>
      <c r="Z218" s="86">
        <f t="shared" si="84"/>
        <v>5.8958000000000004</v>
      </c>
      <c r="AA218" s="86">
        <f t="shared" si="85"/>
        <v>5.8042000000000007</v>
      </c>
      <c r="AB218" s="83" t="e">
        <f>VLOOKUP(A218,Enforcements!$C$7:$J$24,8,0)</f>
        <v>#N/A</v>
      </c>
      <c r="AC218" s="79" t="e">
        <f>VLOOKUP(A218,Enforcements!$C$7:$E$24,3,0)</f>
        <v>#N/A</v>
      </c>
      <c r="AD218" s="80" t="str">
        <f t="shared" si="86"/>
        <v>0865-25</v>
      </c>
      <c r="AE218" s="72" t="str">
        <f t="shared" si="87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218" s="72" t="str">
        <f t="shared" si="88"/>
        <v>"C:\Program Files (x86)\AstroGrep\AstroGrep.exe" /spath="C:\Users\stu\Documents\Analysis\2016-02-23 RTDC Observations" /stypes="*4025*20160726*" /stext=" 03:.+((prompt.+disp)|(slice.+state.+chan)|(ment ac)|(system.+state.+chan)|(\|lc)|(penalty)|(\[timeout))" /e /r /s</v>
      </c>
      <c r="AG218" s="1" t="str">
        <f t="shared" si="89"/>
        <v>NWGL</v>
      </c>
    </row>
    <row r="219" spans="1:33" x14ac:dyDescent="0.25">
      <c r="A219" s="26" t="s">
        <v>739</v>
      </c>
      <c r="B219" s="106">
        <v>4032</v>
      </c>
      <c r="C219" s="107" t="s">
        <v>269</v>
      </c>
      <c r="D219" s="107" t="s">
        <v>713</v>
      </c>
      <c r="E219" s="108">
        <v>42576.894479166665</v>
      </c>
      <c r="F219" s="108">
        <v>42576.895567129628</v>
      </c>
      <c r="G219" s="106">
        <v>1</v>
      </c>
      <c r="H219" s="108" t="s">
        <v>740</v>
      </c>
      <c r="I219" s="108">
        <v>42576.912245370368</v>
      </c>
      <c r="J219" s="106">
        <v>0</v>
      </c>
      <c r="K219" s="109" t="str">
        <f t="shared" si="81"/>
        <v>4031/4032</v>
      </c>
      <c r="L219" s="26" t="str">
        <f>VLOOKUP(A219,'Trips&amp;Operators'!$C$1:$E$10000,3,FALSE)</f>
        <v>BRUDER</v>
      </c>
      <c r="M219" s="6">
        <f t="shared" si="82"/>
        <v>1.6678240739565808E-2</v>
      </c>
      <c r="N219" s="7"/>
      <c r="O219" s="7"/>
      <c r="P219" s="7"/>
      <c r="Q219" s="27"/>
      <c r="R219" s="27"/>
      <c r="S219" s="42"/>
      <c r="T219" s="66"/>
      <c r="U219" s="93"/>
      <c r="V219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20:28:03-0600',mode:absolute,to:'2016-07-25 22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W219" s="71"/>
      <c r="X219" s="89"/>
      <c r="Y219" s="86">
        <f t="shared" si="83"/>
        <v>5.8682999999999996</v>
      </c>
      <c r="Z219" s="86">
        <f t="shared" si="84"/>
        <v>6.8500000000000005E-2</v>
      </c>
      <c r="AA219" s="86">
        <f t="shared" si="85"/>
        <v>5.7997999999999994</v>
      </c>
      <c r="AB219" s="83" t="e">
        <f>VLOOKUP(A219,Enforcements!$C$7:$J$24,8,0)</f>
        <v>#N/A</v>
      </c>
      <c r="AC219" s="79" t="e">
        <f>VLOOKUP(A219,Enforcements!$C$7:$E$24,3,0)</f>
        <v>#N/A</v>
      </c>
      <c r="AD219" s="80" t="str">
        <f t="shared" si="86"/>
        <v>0866-25</v>
      </c>
      <c r="AE219" s="72" t="str">
        <f t="shared" si="87"/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AF219" s="72" t="str">
        <f t="shared" si="88"/>
        <v>"C:\Program Files (x86)\AstroGrep\AstroGrep.exe" /spath="C:\Users\stu\Documents\Analysis\2016-02-23 RTDC Observations" /stypes="*4032*20160726*" /stext=" 03:.+((prompt.+disp)|(slice.+state.+chan)|(ment ac)|(system.+state.+chan)|(\|lc)|(penalty)|(\[timeout))" /e /r /s</v>
      </c>
      <c r="AG219" s="1" t="str">
        <f t="shared" si="89"/>
        <v>NWGL</v>
      </c>
    </row>
    <row r="220" spans="1:33" x14ac:dyDescent="0.25">
      <c r="A220" s="26" t="s">
        <v>741</v>
      </c>
      <c r="B220" s="106">
        <v>4042</v>
      </c>
      <c r="C220" s="107" t="s">
        <v>269</v>
      </c>
      <c r="D220" s="107" t="s">
        <v>742</v>
      </c>
      <c r="E220" s="108">
        <v>42576.900277777779</v>
      </c>
      <c r="F220" s="108">
        <v>42576.901145833333</v>
      </c>
      <c r="G220" s="106">
        <v>1</v>
      </c>
      <c r="H220" s="108" t="s">
        <v>743</v>
      </c>
      <c r="I220" s="108">
        <v>42576.913148148145</v>
      </c>
      <c r="J220" s="106">
        <v>1</v>
      </c>
      <c r="K220" s="109" t="str">
        <f t="shared" si="81"/>
        <v>4041/4042</v>
      </c>
      <c r="L220" s="26" t="str">
        <f>VLOOKUP(A220,'Trips&amp;Operators'!$C$1:$E$10000,3,FALSE)</f>
        <v>COOLAHAN</v>
      </c>
      <c r="M220" s="6">
        <f t="shared" si="82"/>
        <v>1.2002314811979886E-2</v>
      </c>
      <c r="N220" s="7"/>
      <c r="O220" s="7"/>
      <c r="P220" s="7"/>
      <c r="Q220" s="27"/>
      <c r="R220" s="27"/>
      <c r="S220" s="42"/>
      <c r="T220" s="66"/>
      <c r="U220" s="93"/>
      <c r="V220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20:36:24-0600',mode:absolute,to:'2016-07-25 22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220" s="71"/>
      <c r="X220" s="89"/>
      <c r="Y220" s="86">
        <f t="shared" si="83"/>
        <v>8.8300000000000003E-2</v>
      </c>
      <c r="Z220" s="86">
        <f t="shared" si="84"/>
        <v>5.8967000000000001</v>
      </c>
      <c r="AA220" s="86">
        <f t="shared" si="85"/>
        <v>5.8083999999999998</v>
      </c>
      <c r="AB220" s="83" t="e">
        <f>VLOOKUP(A220,Enforcements!$C$7:$J$24,8,0)</f>
        <v>#N/A</v>
      </c>
      <c r="AC220" s="79" t="e">
        <f>VLOOKUP(A220,Enforcements!$C$7:$E$24,3,0)</f>
        <v>#N/A</v>
      </c>
      <c r="AD220" s="80" t="str">
        <f t="shared" si="86"/>
        <v>0867-25</v>
      </c>
      <c r="AE220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220" s="72" t="str">
        <f t="shared" si="88"/>
        <v>"C:\Program Files (x86)\AstroGrep\AstroGrep.exe" /spath="C:\Users\stu\Documents\Analysis\2016-02-23 RTDC Observations" /stypes="*4042*20160726*" /stext=" 03:.+((prompt.+disp)|(slice.+state.+chan)|(ment ac)|(system.+state.+chan)|(\|lc)|(penalty)|(\[timeout))" /e /r /s</v>
      </c>
      <c r="AG220" s="1" t="str">
        <f t="shared" si="89"/>
        <v>NWGL</v>
      </c>
    </row>
    <row r="221" spans="1:33" x14ac:dyDescent="0.25">
      <c r="A221" s="26" t="s">
        <v>744</v>
      </c>
      <c r="B221" s="106">
        <v>4026</v>
      </c>
      <c r="C221" s="107" t="s">
        <v>59</v>
      </c>
      <c r="D221" s="107" t="s">
        <v>664</v>
      </c>
      <c r="E221" s="108">
        <v>42576.907326388886</v>
      </c>
      <c r="F221" s="108">
        <v>42576.908518518518</v>
      </c>
      <c r="G221" s="106">
        <v>1</v>
      </c>
      <c r="H221" s="108" t="s">
        <v>591</v>
      </c>
      <c r="I221" s="108">
        <v>42576.926134259258</v>
      </c>
      <c r="J221" s="106">
        <v>0</v>
      </c>
      <c r="K221" s="109" t="str">
        <f t="shared" si="81"/>
        <v>4025/4026</v>
      </c>
      <c r="L221" s="26" t="str">
        <f>VLOOKUP(A221,'Trips&amp;Operators'!$C$1:$E$10000,3,FALSE)</f>
        <v>STORY</v>
      </c>
      <c r="M221" s="6">
        <f t="shared" si="82"/>
        <v>1.7615740740438923E-2</v>
      </c>
      <c r="N221" s="7"/>
      <c r="O221" s="7"/>
      <c r="P221" s="7"/>
      <c r="Q221" s="27"/>
      <c r="R221" s="27"/>
      <c r="S221" s="42"/>
      <c r="T221" s="66"/>
      <c r="U221" s="93"/>
      <c r="V221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20:46:33-0600',mode:absolute,to:'2016-07-25 23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221" s="71"/>
      <c r="X221" s="89"/>
      <c r="Y221" s="86">
        <f t="shared" si="83"/>
        <v>5.8638000000000003</v>
      </c>
      <c r="Z221" s="86">
        <f t="shared" si="84"/>
        <v>6.3600000000000004E-2</v>
      </c>
      <c r="AA221" s="86">
        <f t="shared" si="85"/>
        <v>5.8002000000000002</v>
      </c>
      <c r="AB221" s="83" t="e">
        <f>VLOOKUP(A221,Enforcements!$C$7:$J$24,8,0)</f>
        <v>#N/A</v>
      </c>
      <c r="AC221" s="79" t="e">
        <f>VLOOKUP(A221,Enforcements!$C$7:$E$24,3,0)</f>
        <v>#N/A</v>
      </c>
      <c r="AD221" s="80" t="str">
        <f t="shared" si="86"/>
        <v>0868-25</v>
      </c>
      <c r="AE221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221" s="72" t="str">
        <f t="shared" si="88"/>
        <v>"C:\Program Files (x86)\AstroGrep\AstroGrep.exe" /spath="C:\Users\stu\Documents\Analysis\2016-02-23 RTDC Observations" /stypes="*4026*20160726*" /stext=" 04:.+((prompt.+disp)|(slice.+state.+chan)|(ment ac)|(system.+state.+chan)|(\|lc)|(penalty)|(\[timeout))" /e /r /s</v>
      </c>
      <c r="AG221" s="1" t="str">
        <f t="shared" si="89"/>
        <v>NWGL</v>
      </c>
    </row>
    <row r="222" spans="1:33" x14ac:dyDescent="0.25">
      <c r="A222" s="26" t="s">
        <v>745</v>
      </c>
      <c r="B222" s="106">
        <v>4031</v>
      </c>
      <c r="C222" s="107" t="s">
        <v>269</v>
      </c>
      <c r="D222" s="107" t="s">
        <v>746</v>
      </c>
      <c r="E222" s="108">
        <v>42576.914641203701</v>
      </c>
      <c r="F222" s="108">
        <v>42576.915636574071</v>
      </c>
      <c r="G222" s="106">
        <v>1</v>
      </c>
      <c r="H222" s="108" t="s">
        <v>288</v>
      </c>
      <c r="I222" s="108">
        <v>42576.927083333336</v>
      </c>
      <c r="J222" s="106">
        <v>0</v>
      </c>
      <c r="K222" s="109" t="str">
        <f t="shared" si="81"/>
        <v>4031/4032</v>
      </c>
      <c r="L222" s="26" t="str">
        <f>VLOOKUP(A222,'Trips&amp;Operators'!$C$1:$E$10000,3,FALSE)</f>
        <v>BRUDER</v>
      </c>
      <c r="M222" s="6">
        <f t="shared" si="82"/>
        <v>1.1446759264799766E-2</v>
      </c>
      <c r="N222" s="7"/>
      <c r="O222" s="7"/>
      <c r="P222" s="7"/>
      <c r="Q222" s="27"/>
      <c r="R222" s="27"/>
      <c r="S222" s="42"/>
      <c r="T222" s="66"/>
      <c r="U222" s="93"/>
      <c r="V222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20:57:05-0600',mode:absolute,to:'2016-07-25 23:15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222" s="71"/>
      <c r="X222" s="89"/>
      <c r="Y222" s="86">
        <f t="shared" si="83"/>
        <v>9.5299999999999996E-2</v>
      </c>
      <c r="Z222" s="86">
        <f t="shared" si="84"/>
        <v>5.8979999999999997</v>
      </c>
      <c r="AA222" s="86">
        <f t="shared" si="85"/>
        <v>5.8026999999999997</v>
      </c>
      <c r="AB222" s="83" t="e">
        <f>VLOOKUP(A222,Enforcements!$C$7:$J$24,8,0)</f>
        <v>#N/A</v>
      </c>
      <c r="AC222" s="79" t="e">
        <f>VLOOKUP(A222,Enforcements!$C$7:$E$24,3,0)</f>
        <v>#N/A</v>
      </c>
      <c r="AD222" s="80" t="str">
        <f t="shared" si="86"/>
        <v>0869-25</v>
      </c>
      <c r="AE222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222" s="72" t="str">
        <f t="shared" si="88"/>
        <v>"C:\Program Files (x86)\AstroGrep\AstroGrep.exe" /spath="C:\Users\stu\Documents\Analysis\2016-02-23 RTDC Observations" /stypes="*4031*20160726*" /stext=" 04:.+((prompt.+disp)|(slice.+state.+chan)|(ment ac)|(system.+state.+chan)|(\|lc)|(penalty)|(\[timeout))" /e /r /s</v>
      </c>
      <c r="AG222" s="1" t="str">
        <f t="shared" si="89"/>
        <v>NWGL</v>
      </c>
    </row>
    <row r="223" spans="1:33" x14ac:dyDescent="0.25">
      <c r="A223" s="26" t="s">
        <v>747</v>
      </c>
      <c r="B223" s="106">
        <v>4041</v>
      </c>
      <c r="C223" s="107" t="s">
        <v>269</v>
      </c>
      <c r="D223" s="107" t="s">
        <v>290</v>
      </c>
      <c r="E223" s="108">
        <v>42576.924629629626</v>
      </c>
      <c r="F223" s="108">
        <v>42576.925798611112</v>
      </c>
      <c r="G223" s="106">
        <v>1</v>
      </c>
      <c r="H223" s="108" t="s">
        <v>275</v>
      </c>
      <c r="I223" s="108">
        <v>42576.939189814817</v>
      </c>
      <c r="J223" s="106">
        <v>0</v>
      </c>
      <c r="K223" s="109" t="str">
        <f t="shared" si="81"/>
        <v>4041/4042</v>
      </c>
      <c r="L223" s="26" t="str">
        <f>VLOOKUP(A223,'Trips&amp;Operators'!$C$1:$E$10000,3,FALSE)</f>
        <v>COOLAHAN</v>
      </c>
      <c r="M223" s="6">
        <f t="shared" si="82"/>
        <v>1.3391203705396038E-2</v>
      </c>
      <c r="N223" s="7"/>
      <c r="O223" s="7"/>
      <c r="P223" s="7"/>
      <c r="Q223" s="27"/>
      <c r="R223" s="27"/>
      <c r="S223" s="42"/>
      <c r="T223" s="66"/>
      <c r="U223" s="93"/>
      <c r="V223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21:11:28-0600',mode:absolute,to:'2016-07-25 23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23" s="71"/>
      <c r="X223" s="89"/>
      <c r="Y223" s="86">
        <f t="shared" si="83"/>
        <v>5.8651</v>
      </c>
      <c r="Z223" s="86">
        <f t="shared" si="84"/>
        <v>7.1499999999999994E-2</v>
      </c>
      <c r="AA223" s="86">
        <f t="shared" si="85"/>
        <v>5.7935999999999996</v>
      </c>
      <c r="AB223" s="83" t="e">
        <f>VLOOKUP(A223,Enforcements!$C$7:$J$24,8,0)</f>
        <v>#N/A</v>
      </c>
      <c r="AC223" s="79" t="e">
        <f>VLOOKUP(A223,Enforcements!$C$7:$E$24,3,0)</f>
        <v>#N/A</v>
      </c>
      <c r="AD223" s="80" t="str">
        <f t="shared" si="86"/>
        <v>0870-25</v>
      </c>
      <c r="AE223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23" s="72" t="str">
        <f t="shared" si="88"/>
        <v>"C:\Program Files (x86)\AstroGrep\AstroGrep.exe" /spath="C:\Users\stu\Documents\Analysis\2016-02-23 RTDC Observations" /stypes="*4041*20160726*" /stext=" 04:.+((prompt.+disp)|(slice.+state.+chan)|(ment ac)|(system.+state.+chan)|(\|lc)|(penalty)|(\[timeout))" /e /r /s</v>
      </c>
      <c r="AG223" s="1" t="str">
        <f t="shared" si="89"/>
        <v>NWGL</v>
      </c>
    </row>
    <row r="224" spans="1:33" x14ac:dyDescent="0.25">
      <c r="A224" s="26" t="s">
        <v>748</v>
      </c>
      <c r="B224" s="106">
        <v>4025</v>
      </c>
      <c r="C224" s="107" t="s">
        <v>269</v>
      </c>
      <c r="D224" s="107" t="s">
        <v>656</v>
      </c>
      <c r="E224" s="108">
        <v>42576.927557870367</v>
      </c>
      <c r="F224" s="108">
        <v>42576.928668981483</v>
      </c>
      <c r="G224" s="106">
        <v>1</v>
      </c>
      <c r="H224" s="108" t="s">
        <v>749</v>
      </c>
      <c r="I224" s="108">
        <v>42576.942476851851</v>
      </c>
      <c r="J224" s="106">
        <v>2</v>
      </c>
      <c r="K224" s="109" t="str">
        <f t="shared" si="81"/>
        <v>4025/4026</v>
      </c>
      <c r="L224" s="26" t="str">
        <f>VLOOKUP(A224,'Trips&amp;Operators'!$C$1:$E$10000,3,FALSE)</f>
        <v>STORY</v>
      </c>
      <c r="M224" s="6">
        <f t="shared" si="82"/>
        <v>1.3807870367600117E-2</v>
      </c>
      <c r="N224" s="7"/>
      <c r="O224" s="7"/>
      <c r="P224" s="7"/>
      <c r="Q224" s="27"/>
      <c r="R224" s="27"/>
      <c r="S224" s="42"/>
      <c r="T224" s="66"/>
      <c r="U224" s="93"/>
      <c r="V224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21:15:41-0600',mode:absolute,to:'2016-07-25 23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W224" s="71"/>
      <c r="X224" s="89"/>
      <c r="Y224" s="86">
        <f t="shared" si="83"/>
        <v>9.2200000000000004E-2</v>
      </c>
      <c r="Z224" s="86">
        <f t="shared" si="84"/>
        <v>5.8920000000000003</v>
      </c>
      <c r="AA224" s="86">
        <f t="shared" si="85"/>
        <v>5.7998000000000003</v>
      </c>
      <c r="AB224" s="83" t="e">
        <f>VLOOKUP(A224,Enforcements!$C$7:$J$24,8,0)</f>
        <v>#N/A</v>
      </c>
      <c r="AC224" s="79" t="e">
        <f>VLOOKUP(A224,Enforcements!$C$7:$E$24,3,0)</f>
        <v>#N/A</v>
      </c>
      <c r="AD224" s="80" t="str">
        <f t="shared" si="86"/>
        <v>0871-25</v>
      </c>
      <c r="AE224" s="72" t="str">
        <f t="shared" si="87"/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AF224" s="72" t="str">
        <f t="shared" si="88"/>
        <v>"C:\Program Files (x86)\AstroGrep\AstroGrep.exe" /spath="C:\Users\stu\Documents\Analysis\2016-02-23 RTDC Observations" /stypes="*4025*20160726*" /stext=" 04:.+((prompt.+disp)|(slice.+state.+chan)|(ment ac)|(system.+state.+chan)|(\|lc)|(penalty)|(\[timeout))" /e /r /s</v>
      </c>
      <c r="AG224" s="1" t="str">
        <f t="shared" si="89"/>
        <v>NWGL</v>
      </c>
    </row>
    <row r="225" spans="1:33" x14ac:dyDescent="0.25">
      <c r="A225" s="26" t="s">
        <v>365</v>
      </c>
      <c r="B225" s="106">
        <v>4041</v>
      </c>
      <c r="C225" s="107" t="s">
        <v>269</v>
      </c>
      <c r="D225" s="107" t="s">
        <v>750</v>
      </c>
      <c r="E225" s="108">
        <v>42576.264849537038</v>
      </c>
      <c r="F225" s="108">
        <v>42576.265868055554</v>
      </c>
      <c r="G225" s="106">
        <v>1</v>
      </c>
      <c r="H225" s="108" t="s">
        <v>751</v>
      </c>
      <c r="I225" s="108">
        <v>42576.285486111112</v>
      </c>
      <c r="J225" s="106">
        <v>0</v>
      </c>
      <c r="K225" s="109" t="str">
        <f t="shared" si="81"/>
        <v>4041/4042</v>
      </c>
      <c r="L225" s="26" t="str">
        <f>VLOOKUP(A225,'Trips&amp;Operators'!$C$1:$E$10000,3,FALSE)</f>
        <v>LOZA</v>
      </c>
      <c r="M225" s="6">
        <f t="shared" si="82"/>
        <v>1.9618055557657499E-2</v>
      </c>
      <c r="N225" s="7"/>
      <c r="O225" s="7"/>
      <c r="P225" s="7"/>
      <c r="Q225" s="27"/>
      <c r="R225" s="27"/>
      <c r="S225" s="42"/>
      <c r="T225" s="66"/>
      <c r="U225" s="93"/>
      <c r="V225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05:21:23-0600',mode:absolute,to:'2016-07-25 07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W225" s="71"/>
      <c r="X225" s="89"/>
      <c r="Y225" s="86">
        <f t="shared" si="83"/>
        <v>5.8575999999999997</v>
      </c>
      <c r="Z225" s="86">
        <f t="shared" si="84"/>
        <v>6.3799999999999996E-2</v>
      </c>
      <c r="AA225" s="86">
        <f t="shared" si="85"/>
        <v>5.7938000000000001</v>
      </c>
      <c r="AB225" s="83" t="e">
        <f>VLOOKUP(A225,Enforcements!$C$7:$J$24,8,0)</f>
        <v>#N/A</v>
      </c>
      <c r="AC225" s="79" t="e">
        <f>VLOOKUP(A225,Enforcements!$C$7:$E$24,3,0)</f>
        <v>#N/A</v>
      </c>
      <c r="AD225" s="80" t="str">
        <f t="shared" si="86"/>
        <v>0900-25</v>
      </c>
      <c r="AE225" s="72" t="str">
        <f t="shared" si="87"/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AF225" s="72" t="str">
        <f t="shared" si="88"/>
        <v>"C:\Program Files (x86)\AstroGrep\AstroGrep.exe" /spath="C:\Users\stu\Documents\Analysis\2016-02-23 RTDC Observations" /stypes="*4041*20160725*" /stext=" 12:.+((prompt.+disp)|(slice.+state.+chan)|(ment ac)|(system.+state.+chan)|(\|lc)|(penalty)|(\[timeout))" /e /r /s</v>
      </c>
      <c r="AG225" s="1" t="str">
        <f t="shared" si="89"/>
        <v>NWGL</v>
      </c>
    </row>
    <row r="226" spans="1:33" x14ac:dyDescent="0.25">
      <c r="A226" s="26" t="s">
        <v>365</v>
      </c>
      <c r="B226" s="106">
        <v>4042</v>
      </c>
      <c r="C226" s="107" t="s">
        <v>269</v>
      </c>
      <c r="D226" s="107" t="s">
        <v>752</v>
      </c>
      <c r="E226" s="108">
        <v>42576.224062499998</v>
      </c>
      <c r="F226" s="108">
        <v>42576.225439814814</v>
      </c>
      <c r="G226" s="106">
        <v>1</v>
      </c>
      <c r="H226" s="108" t="s">
        <v>753</v>
      </c>
      <c r="I226" s="108">
        <v>42576.261192129627</v>
      </c>
      <c r="J226" s="106">
        <v>0</v>
      </c>
      <c r="K226" s="109" t="str">
        <f t="shared" si="81"/>
        <v>4041/4042</v>
      </c>
      <c r="L226" s="26" t="str">
        <f>VLOOKUP(A226,'Trips&amp;Operators'!$C$1:$E$10000,3,FALSE)</f>
        <v>LOZA</v>
      </c>
      <c r="M226" s="6">
        <f t="shared" si="82"/>
        <v>3.5752314812270924E-2</v>
      </c>
      <c r="N226" s="7"/>
      <c r="O226" s="7"/>
      <c r="P226" s="7"/>
      <c r="Q226" s="27"/>
      <c r="R226" s="27"/>
      <c r="S226" s="42"/>
      <c r="T226" s="66"/>
      <c r="U226" s="93"/>
      <c r="V226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04:22:39-0600',mode:absolute,to:'2016-07-25 07:16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W226" s="71"/>
      <c r="X226" s="89"/>
      <c r="Y226" s="86">
        <f t="shared" si="83"/>
        <v>3.32E-2</v>
      </c>
      <c r="Z226" s="86">
        <f t="shared" si="84"/>
        <v>5.8902999999999999</v>
      </c>
      <c r="AA226" s="86">
        <f t="shared" si="85"/>
        <v>5.8571</v>
      </c>
      <c r="AB226" s="83" t="e">
        <f>VLOOKUP(A226,Enforcements!$C$7:$J$24,8,0)</f>
        <v>#N/A</v>
      </c>
      <c r="AC226" s="79" t="e">
        <f>VLOOKUP(A226,Enforcements!$C$7:$E$24,3,0)</f>
        <v>#N/A</v>
      </c>
      <c r="AD226" s="80" t="str">
        <f t="shared" si="86"/>
        <v>0900-25</v>
      </c>
      <c r="AE226" s="72" t="str">
        <f t="shared" si="87"/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AF226" s="72" t="str">
        <f t="shared" si="88"/>
        <v>"C:\Program Files (x86)\AstroGrep\AstroGrep.exe" /spath="C:\Users\stu\Documents\Analysis\2016-02-23 RTDC Observations" /stypes="*4042*20160725*" /stext=" 12:.+((prompt.+disp)|(slice.+state.+chan)|(ment ac)|(system.+state.+chan)|(\|lc)|(penalty)|(\[timeout))" /e /r /s</v>
      </c>
      <c r="AG226" s="1" t="str">
        <f t="shared" si="89"/>
        <v>NWGL</v>
      </c>
    </row>
    <row r="227" spans="1:33" x14ac:dyDescent="0.25">
      <c r="A227" s="26" t="s">
        <v>754</v>
      </c>
      <c r="B227" s="106">
        <v>4031</v>
      </c>
      <c r="C227" s="107" t="s">
        <v>269</v>
      </c>
      <c r="D227" s="107" t="s">
        <v>151</v>
      </c>
      <c r="E227" s="108">
        <v>42576.388009259259</v>
      </c>
      <c r="F227" s="108">
        <v>42576.389201388891</v>
      </c>
      <c r="G227" s="106">
        <v>1</v>
      </c>
      <c r="H227" s="108" t="s">
        <v>633</v>
      </c>
      <c r="I227" s="108">
        <v>42576.40965277778</v>
      </c>
      <c r="J227" s="106">
        <v>0</v>
      </c>
      <c r="K227" s="109" t="str">
        <f t="shared" si="81"/>
        <v>4031/4032</v>
      </c>
      <c r="L227" s="26" t="str">
        <f>VLOOKUP(A227,'Trips&amp;Operators'!$C$1:$E$10000,3,FALSE)</f>
        <v>ROCHA</v>
      </c>
      <c r="M227" s="6">
        <f t="shared" si="82"/>
        <v>2.0451388889341615E-2</v>
      </c>
      <c r="N227" s="7"/>
      <c r="O227" s="7"/>
      <c r="P227" s="7"/>
      <c r="Q227" s="27"/>
      <c r="R227" s="27"/>
      <c r="S227" s="42"/>
      <c r="T227" s="66"/>
      <c r="U227" s="93"/>
      <c r="V227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08:18:44-0600',mode:absolute,to:'2016-07-25 10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W227" s="71"/>
      <c r="X227" s="89"/>
      <c r="Y227" s="86">
        <f t="shared" si="83"/>
        <v>4.6399999999999997E-2</v>
      </c>
      <c r="Z227" s="86">
        <f t="shared" si="84"/>
        <v>5.8949999999999996</v>
      </c>
      <c r="AA227" s="86">
        <f t="shared" si="85"/>
        <v>5.8485999999999994</v>
      </c>
      <c r="AB227" s="83" t="e">
        <f>VLOOKUP(A227,Enforcements!$C$7:$J$24,8,0)</f>
        <v>#N/A</v>
      </c>
      <c r="AC227" s="79" t="e">
        <f>VLOOKUP(A227,Enforcements!$C$7:$E$24,3,0)</f>
        <v>#N/A</v>
      </c>
      <c r="AD227" s="80" t="str">
        <f t="shared" si="86"/>
        <v>0901-25</v>
      </c>
      <c r="AE227" s="72" t="str">
        <f t="shared" si="87"/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AF227" s="72" t="str">
        <f t="shared" si="88"/>
        <v>"C:\Program Files (x86)\AstroGrep\AstroGrep.exe" /spath="C:\Users\stu\Documents\Analysis\2016-02-23 RTDC Observations" /stypes="*4031*20160725*" /stext=" 15:.+((prompt.+disp)|(slice.+state.+chan)|(ment ac)|(system.+state.+chan)|(\|lc)|(penalty)|(\[timeout))" /e /r /s</v>
      </c>
      <c r="AG227" s="1" t="str">
        <f t="shared" si="89"/>
        <v>NWGL</v>
      </c>
    </row>
    <row r="228" spans="1:33" x14ac:dyDescent="0.25">
      <c r="A228" s="26" t="s">
        <v>755</v>
      </c>
      <c r="B228" s="106">
        <v>4026</v>
      </c>
      <c r="C228" s="107" t="s">
        <v>59</v>
      </c>
      <c r="D228" s="107" t="s">
        <v>683</v>
      </c>
      <c r="E228" s="108">
        <v>42576.943124999998</v>
      </c>
      <c r="F228" s="108">
        <v>42576.944305555553</v>
      </c>
      <c r="G228" s="106">
        <v>1</v>
      </c>
      <c r="H228" s="108" t="s">
        <v>756</v>
      </c>
      <c r="I228" s="108">
        <v>42576.959745370368</v>
      </c>
      <c r="J228" s="106">
        <v>0</v>
      </c>
      <c r="K228" s="109" t="str">
        <f t="shared" si="81"/>
        <v>4025/4026</v>
      </c>
      <c r="L228" s="26" t="str">
        <f>VLOOKUP(A228,'Trips&amp;Operators'!$C$1:$E$10000,3,FALSE)</f>
        <v>STORY</v>
      </c>
      <c r="M228" s="6">
        <f t="shared" si="82"/>
        <v>1.5439814815181307E-2</v>
      </c>
      <c r="N228" s="7"/>
      <c r="O228" s="7"/>
      <c r="P228" s="7"/>
      <c r="Q228" s="27"/>
      <c r="R228" s="27"/>
      <c r="S228" s="42"/>
      <c r="T228" s="66"/>
      <c r="U228" s="93"/>
      <c r="V228" s="71" t="str">
        <f t="shared" si="90"/>
        <v>https://search-rtdc-monitor-bjffxe2xuh6vdkpspy63sjmuny.us-east-1.es.amazonaws.com/_plugin/kibana/#/discover/Steve-Slow-Train-Analysis-(2080s-and-2083s)?_g=(refreshInterval:(display:Off,section:0,value:0),time:(from:'2016-07-25 21:38:06-0600',mode:absolute,to:'2016-07-26 00:02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W228" s="71"/>
      <c r="X228" s="89"/>
      <c r="Y228" s="86">
        <f t="shared" si="83"/>
        <v>5.8616999999999999</v>
      </c>
      <c r="Z228" s="86">
        <f t="shared" si="84"/>
        <v>2.1545000000000001</v>
      </c>
      <c r="AA228" s="86">
        <f t="shared" si="85"/>
        <v>3.7071999999999998</v>
      </c>
      <c r="AB228" s="83" t="e">
        <f>VLOOKUP(A228,Enforcements!$C$7:$J$24,8,0)</f>
        <v>#N/A</v>
      </c>
      <c r="AC228" s="79" t="e">
        <f>VLOOKUP(A228,Enforcements!$C$7:$E$24,3,0)</f>
        <v>#N/A</v>
      </c>
      <c r="AD228" s="80" t="str">
        <f t="shared" si="86"/>
        <v>0904-25</v>
      </c>
      <c r="AE228" s="72" t="str">
        <f t="shared" si="87"/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AF228" s="72" t="str">
        <f t="shared" si="88"/>
        <v>"C:\Program Files (x86)\AstroGrep\AstroGrep.exe" /spath="C:\Users\stu\Documents\Analysis\2016-02-23 RTDC Observations" /stypes="*4026*20160726*" /stext=" 05:.+((prompt.+disp)|(slice.+state.+chan)|(ment ac)|(system.+state.+chan)|(\|lc)|(penalty)|(\[timeout))" /e /r /s</v>
      </c>
      <c r="AG228" s="1" t="str">
        <f t="shared" si="89"/>
        <v>NWGL</v>
      </c>
    </row>
  </sheetData>
  <autoFilter ref="A12:AG22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K158:S228 A13:S157">
    <cfRule type="expression" dxfId="5" priority="52">
      <formula>$O13&gt;0</formula>
    </cfRule>
  </conditionalFormatting>
  <conditionalFormatting sqref="K158:S228 A13:S157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K158:S228 A13:S157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zoomScale="85" zoomScaleNormal="85" workbookViewId="0">
      <selection activeCell="M26" sqref="M26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5" bestFit="1" customWidth="1"/>
    <col min="13" max="13" width="4.8554687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4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5"/>
      <c r="Q1" s="31"/>
      <c r="T1" s="64"/>
    </row>
    <row r="2" spans="1:22" s="25" customFormat="1" ht="30" x14ac:dyDescent="0.25">
      <c r="A2" s="8"/>
      <c r="F2" s="2"/>
      <c r="G2" s="2"/>
      <c r="H2" s="2"/>
      <c r="J2" s="2"/>
      <c r="K2" s="43" t="s">
        <v>101</v>
      </c>
      <c r="L2" s="95"/>
      <c r="M2" s="97">
        <f>COUNTIF($M$7:$M$570,"=Y")</f>
        <v>2</v>
      </c>
      <c r="Q2" s="31"/>
      <c r="T2" s="64"/>
    </row>
    <row r="3" spans="1:22" s="25" customFormat="1" ht="15.75" thickBot="1" x14ac:dyDescent="0.3">
      <c r="A3" s="8"/>
      <c r="F3" s="2"/>
      <c r="G3" s="2"/>
      <c r="H3" s="2"/>
      <c r="J3" s="2"/>
      <c r="K3" s="44" t="s">
        <v>102</v>
      </c>
      <c r="L3" s="96"/>
      <c r="M3" s="98">
        <f>COUNTA($M$7:$M$570)-M2</f>
        <v>67</v>
      </c>
      <c r="Q3" s="31"/>
      <c r="T3" s="64"/>
    </row>
    <row r="4" spans="1:22" s="25" customFormat="1" x14ac:dyDescent="0.25">
      <c r="A4" s="8"/>
      <c r="F4" s="2"/>
      <c r="G4" s="2"/>
      <c r="H4" s="2"/>
      <c r="J4" s="2"/>
      <c r="L4" s="35"/>
      <c r="Q4" s="31"/>
      <c r="T4" s="64"/>
    </row>
    <row r="5" spans="1:22" s="12" customFormat="1" ht="15" customHeight="1" x14ac:dyDescent="0.25">
      <c r="A5" s="110" t="str">
        <f>"Eagle P3 Braking Events - "&amp;TEXT(Variables!$A$2,"YYYY-mm-dd")</f>
        <v>Eagle P3 Braking Events - 2016-07-25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3"/>
      <c r="Q5" s="30"/>
      <c r="T5" s="65"/>
    </row>
    <row r="6" spans="1:22" s="1" customFormat="1" ht="105" x14ac:dyDescent="0.25">
      <c r="A6" s="11" t="s">
        <v>38</v>
      </c>
      <c r="B6" s="100" t="s">
        <v>37</v>
      </c>
      <c r="C6" s="100" t="s">
        <v>36</v>
      </c>
      <c r="D6" s="100" t="s">
        <v>35</v>
      </c>
      <c r="E6" s="100" t="s">
        <v>34</v>
      </c>
      <c r="F6" s="101" t="s">
        <v>33</v>
      </c>
      <c r="G6" s="101" t="s">
        <v>32</v>
      </c>
      <c r="H6" s="101" t="s">
        <v>31</v>
      </c>
      <c r="I6" s="100" t="s">
        <v>30</v>
      </c>
      <c r="J6" s="101" t="s">
        <v>29</v>
      </c>
      <c r="K6" s="100" t="s">
        <v>28</v>
      </c>
      <c r="L6" s="18" t="s">
        <v>48</v>
      </c>
      <c r="M6" s="100" t="s">
        <v>27</v>
      </c>
      <c r="N6" s="100" t="s">
        <v>24</v>
      </c>
      <c r="O6" s="66"/>
      <c r="P6" s="102" t="s">
        <v>135</v>
      </c>
      <c r="Q6" s="102" t="s">
        <v>68</v>
      </c>
      <c r="R6" s="103" t="s">
        <v>134</v>
      </c>
      <c r="S6" s="100" t="s">
        <v>128</v>
      </c>
      <c r="T6" s="104" t="s">
        <v>129</v>
      </c>
      <c r="U6" s="66" t="s">
        <v>146</v>
      </c>
      <c r="V6" s="66" t="s">
        <v>156</v>
      </c>
    </row>
    <row r="7" spans="1:22" s="1" customFormat="1" x14ac:dyDescent="0.25">
      <c r="A7" s="45">
        <v>42576.503020833334</v>
      </c>
      <c r="B7" s="62" t="s">
        <v>109</v>
      </c>
      <c r="C7" s="38" t="s">
        <v>451</v>
      </c>
      <c r="D7" s="38" t="s">
        <v>50</v>
      </c>
      <c r="E7" s="62" t="s">
        <v>142</v>
      </c>
      <c r="F7" s="63">
        <v>0</v>
      </c>
      <c r="G7" s="63">
        <v>80</v>
      </c>
      <c r="H7" s="63">
        <v>27550</v>
      </c>
      <c r="I7" s="62" t="s">
        <v>143</v>
      </c>
      <c r="J7" s="63">
        <v>27350</v>
      </c>
      <c r="K7" s="38" t="s">
        <v>54</v>
      </c>
      <c r="L7" s="90" t="str">
        <f>VLOOKUP(C7,'Trips&amp;Operators'!$C$1:$E$9999,3,0)</f>
        <v>STARKS</v>
      </c>
      <c r="M7" s="9" t="s">
        <v>100</v>
      </c>
      <c r="N7" s="10" t="s">
        <v>821</v>
      </c>
      <c r="O7" s="38"/>
      <c r="P7" s="69" t="str">
        <f>VLOOKUP(C7,'Train Runs'!$A$13:$AE$840,31,0)</f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Q7" s="67" t="str">
        <f>VLOOKUP(C7,'Train Runs'!$A$13:$AE$840,22,0)</f>
        <v>https://search-rtdc-monitor-bjffxe2xuh6vdkpspy63sjmuny.us-east-1.es.amazonaws.com/_plugin/kibana/#/discover/Steve-Slow-Train-Analysis-(2080s-and-2083s)?_g=(refreshInterval:(display:Off,section:0,value:0),time:(from:'2016-07-25 10:23:37-0600',mode:absolute,to:'2016-07-25 13:13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R7" s="68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/stypes="*4013*20160725*" /stext=" 18:.+((prompt.+disp)|(slice.+state.+chan)|(ment ac)|(system.+state.+chan)|(\|lc)|(penalty)|(\[timeout))" /e /r /s</v>
      </c>
      <c r="S7" s="9" t="str">
        <f t="shared" ref="S7:S38" si="1">MID(B7,13,4)</f>
        <v>4013</v>
      </c>
      <c r="T7" s="45">
        <f t="shared" ref="T7:T38" si="2">A7+6/24</f>
        <v>42576.753020833334</v>
      </c>
      <c r="U7" s="66" t="str">
        <f t="shared" ref="U7:U38" si="3">IF(VALUE(LEFT(IF(LEN(C7)=6,"0"&amp;C7,C7),4))&lt;300,"EC","NWGL")</f>
        <v>EC</v>
      </c>
      <c r="V7" s="66" t="str">
        <f t="shared" ref="V7:V38" si="4">IF(AND(E7="TRACK WARRANT AUTHORITY",G7&lt;10),"OMIT","KEEP")</f>
        <v>KEEP</v>
      </c>
    </row>
    <row r="8" spans="1:22" s="1" customFormat="1" x14ac:dyDescent="0.25">
      <c r="A8" s="45">
        <v>42576.602083333331</v>
      </c>
      <c r="B8" s="62" t="s">
        <v>118</v>
      </c>
      <c r="C8" s="38" t="s">
        <v>489</v>
      </c>
      <c r="D8" s="38" t="s">
        <v>50</v>
      </c>
      <c r="E8" s="62" t="s">
        <v>142</v>
      </c>
      <c r="F8" s="63">
        <v>0</v>
      </c>
      <c r="G8" s="63">
        <v>174</v>
      </c>
      <c r="H8" s="63">
        <v>33395</v>
      </c>
      <c r="I8" s="62" t="s">
        <v>143</v>
      </c>
      <c r="J8" s="63">
        <v>33257</v>
      </c>
      <c r="K8" s="38" t="s">
        <v>54</v>
      </c>
      <c r="L8" s="90" t="str">
        <f>VLOOKUP(C8,'Trips&amp;Operators'!$C$1:$E$9999,3,0)</f>
        <v>STEWART</v>
      </c>
      <c r="M8" s="9" t="s">
        <v>100</v>
      </c>
      <c r="N8" s="10" t="s">
        <v>395</v>
      </c>
      <c r="O8" s="38"/>
      <c r="P8" s="69" t="str">
        <f>VLOOKUP(C8,'Train Runs'!$A$13:$AE$840,31,0)</f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Q8" s="67" t="str">
        <f>VLOOKUP(C8,'Train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12:52:07-0600',mode:absolute,to:'2016-07-25 15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R8" s="68" t="str">
        <f t="shared" si="0"/>
        <v>"C:\Program Files (x86)\AstroGrep\AstroGrep.exe" /spath="C:\Users\stu\Documents\Analysis\2016-02-23 RTDC Observations" /stypes="*4008*20160725*" /stext=" 20:.+((prompt.+disp)|(slice.+state.+chan)|(ment ac)|(system.+state.+chan)|(\|lc)|(penalty)|(\[timeout))" /e /r /s</v>
      </c>
      <c r="S8" s="9" t="str">
        <f t="shared" si="1"/>
        <v>4008</v>
      </c>
      <c r="T8" s="45">
        <f t="shared" si="2"/>
        <v>42576.852083333331</v>
      </c>
      <c r="U8" s="66" t="str">
        <f t="shared" si="3"/>
        <v>EC</v>
      </c>
      <c r="V8" s="66" t="str">
        <f t="shared" si="4"/>
        <v>KEEP</v>
      </c>
    </row>
    <row r="9" spans="1:22" s="1" customFormat="1" x14ac:dyDescent="0.25">
      <c r="A9" s="45">
        <v>42576.235694444447</v>
      </c>
      <c r="B9" s="62" t="s">
        <v>121</v>
      </c>
      <c r="C9" s="38" t="s">
        <v>392</v>
      </c>
      <c r="D9" s="38" t="s">
        <v>50</v>
      </c>
      <c r="E9" s="62" t="s">
        <v>142</v>
      </c>
      <c r="F9" s="63">
        <v>330</v>
      </c>
      <c r="G9" s="63">
        <v>525</v>
      </c>
      <c r="H9" s="63">
        <v>34205</v>
      </c>
      <c r="I9" s="62" t="s">
        <v>143</v>
      </c>
      <c r="J9" s="63">
        <v>36642</v>
      </c>
      <c r="K9" s="38" t="s">
        <v>53</v>
      </c>
      <c r="L9" s="90" t="str">
        <f>VLOOKUP(C9,'Trips&amp;Operators'!$C$1:$E$9999,3,0)</f>
        <v>MALAVE</v>
      </c>
      <c r="M9" s="9" t="s">
        <v>100</v>
      </c>
      <c r="N9" s="10" t="s">
        <v>395</v>
      </c>
      <c r="O9" s="38"/>
      <c r="P9" s="69" t="str">
        <f>VLOOKUP(C9,'Train Runs'!$A$13:$AE$840,31,0)</f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Q9" s="67" t="str">
        <f>VLOOKUP(C9,'Train Runs'!$A$13:$AE$840,22,0)</f>
        <v>https://search-rtdc-monitor-bjffxe2xuh6vdkpspy63sjmuny.us-east-1.es.amazonaws.com/_plugin/kibana/#/discover/Steve-Slow-Train-Analysis-(2080s-and-2083s)?_g=(refreshInterval:(display:Off,section:0,value:0),time:(from:'2016-07-25 04:25:21-0600',mode:absolute,to:'2016-07-25 07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R9" s="68" t="str">
        <f t="shared" si="0"/>
        <v>"C:\Program Files (x86)\AstroGrep\AstroGrep.exe" /spath="C:\Users\stu\Documents\Analysis\2016-02-23 RTDC Observations" /stypes="*4007*20160725*" /stext=" 11:.+((prompt.+disp)|(slice.+state.+chan)|(ment ac)|(system.+state.+chan)|(\|lc)|(penalty)|(\[timeout))" /e /r /s</v>
      </c>
      <c r="S9" s="9" t="str">
        <f t="shared" si="1"/>
        <v>4007</v>
      </c>
      <c r="T9" s="45">
        <f t="shared" si="2"/>
        <v>42576.485694444447</v>
      </c>
      <c r="U9" s="66" t="str">
        <f t="shared" si="3"/>
        <v>EC</v>
      </c>
      <c r="V9" s="66" t="str">
        <f t="shared" si="4"/>
        <v>KEEP</v>
      </c>
    </row>
    <row r="10" spans="1:22" s="1" customFormat="1" x14ac:dyDescent="0.25">
      <c r="A10" s="45">
        <v>42576.339826388888</v>
      </c>
      <c r="B10" s="62" t="s">
        <v>757</v>
      </c>
      <c r="C10" s="38" t="s">
        <v>413</v>
      </c>
      <c r="D10" s="38" t="s">
        <v>50</v>
      </c>
      <c r="E10" s="62" t="s">
        <v>142</v>
      </c>
      <c r="F10" s="63">
        <v>0</v>
      </c>
      <c r="G10" s="63">
        <v>520</v>
      </c>
      <c r="H10" s="63">
        <v>48294</v>
      </c>
      <c r="I10" s="62" t="s">
        <v>143</v>
      </c>
      <c r="J10" s="63">
        <v>48048</v>
      </c>
      <c r="K10" s="38" t="s">
        <v>54</v>
      </c>
      <c r="L10" s="90" t="str">
        <f>VLOOKUP(C10,'Trips&amp;Operators'!$C$1:$E$9999,3,0)</f>
        <v>STARKS</v>
      </c>
      <c r="M10" s="9" t="s">
        <v>100</v>
      </c>
      <c r="N10" s="10" t="s">
        <v>395</v>
      </c>
      <c r="O10" s="38"/>
      <c r="P10" s="69" t="str">
        <f>VLOOKUP(C10,'Train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10" s="67" t="str">
        <f>VLOOKUP(C10,'Train Runs'!$A$13:$AE$840,22,0)</f>
        <v>https://search-rtdc-monitor-bjffxe2xuh6vdkpspy63sjmuny.us-east-1.es.amazonaws.com/_plugin/kibana/#/discover/Steve-Slow-Train-Analysis-(2080s-and-2083s)?_g=(refreshInterval:(display:Off,section:0,value:0),time:(from:'2016-07-25 06:35:18-0600',mode:absolute,to:'2016-07-25 09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10" s="68" t="str">
        <f t="shared" si="0"/>
        <v>"C:\Program Files (x86)\AstroGrep\AstroGrep.exe" /spath="C:\Users\stu\Documents\Analysis\2016-02-23 RTDC Observations" /stypes="*4037*20160725*" /stext=" 14:.+((prompt.+disp)|(slice.+state.+chan)|(ment ac)|(system.+state.+chan)|(\|lc)|(penalty)|(\[timeout))" /e /r /s</v>
      </c>
      <c r="S10" s="9" t="str">
        <f t="shared" si="1"/>
        <v>4037</v>
      </c>
      <c r="T10" s="45">
        <f t="shared" si="2"/>
        <v>42576.589826388888</v>
      </c>
      <c r="U10" s="66" t="str">
        <f t="shared" si="3"/>
        <v>EC</v>
      </c>
      <c r="V10" s="66" t="str">
        <f t="shared" si="4"/>
        <v>KEEP</v>
      </c>
    </row>
    <row r="11" spans="1:22" s="1" customFormat="1" x14ac:dyDescent="0.25">
      <c r="A11" s="45">
        <v>42576.369421296295</v>
      </c>
      <c r="B11" s="62" t="s">
        <v>118</v>
      </c>
      <c r="C11" s="38" t="s">
        <v>415</v>
      </c>
      <c r="D11" s="38" t="s">
        <v>50</v>
      </c>
      <c r="E11" s="62" t="s">
        <v>142</v>
      </c>
      <c r="F11" s="63">
        <v>0</v>
      </c>
      <c r="G11" s="63">
        <v>52</v>
      </c>
      <c r="H11" s="63">
        <v>59027</v>
      </c>
      <c r="I11" s="62" t="s">
        <v>143</v>
      </c>
      <c r="J11" s="63">
        <v>58904</v>
      </c>
      <c r="K11" s="38" t="s">
        <v>54</v>
      </c>
      <c r="L11" s="90" t="str">
        <f>VLOOKUP(C11,'Trips&amp;Operators'!$C$1:$E$9999,3,0)</f>
        <v>MALAVE</v>
      </c>
      <c r="M11" s="9" t="s">
        <v>100</v>
      </c>
      <c r="N11" s="10" t="s">
        <v>821</v>
      </c>
      <c r="O11" s="38"/>
      <c r="P11" s="69" t="str">
        <f>VLOOKUP(C11,'Train Runs'!$A$13:$AE$840,31,0)</f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Q11" s="67" t="str">
        <f>VLOOKUP(C11,'Train Runs'!$A$13:$AE$840,22,0)</f>
        <v>https://search-rtdc-monitor-bjffxe2xuh6vdkpspy63sjmuny.us-east-1.es.amazonaws.com/_plugin/kibana/#/discover/Steve-Slow-Train-Analysis-(2080s-and-2083s)?_g=(refreshInterval:(display:Off,section:0,value:0),time:(from:'2016-07-25 07:08:53-0600',mode:absolute,to:'2016-07-25 10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R11" s="68" t="str">
        <f t="shared" si="0"/>
        <v>"C:\Program Files (x86)\AstroGrep\AstroGrep.exe" /spath="C:\Users\stu\Documents\Analysis\2016-02-23 RTDC Observations" /stypes="*4008*20160725*" /stext=" 14:.+((prompt.+disp)|(slice.+state.+chan)|(ment ac)|(system.+state.+chan)|(\|lc)|(penalty)|(\[timeout))" /e /r /s</v>
      </c>
      <c r="S11" s="9" t="str">
        <f t="shared" si="1"/>
        <v>4008</v>
      </c>
      <c r="T11" s="45">
        <f t="shared" si="2"/>
        <v>42576.619421296295</v>
      </c>
      <c r="U11" s="66" t="str">
        <f t="shared" si="3"/>
        <v>EC</v>
      </c>
      <c r="V11" s="66" t="str">
        <f t="shared" si="4"/>
        <v>KEEP</v>
      </c>
    </row>
    <row r="12" spans="1:22" s="1" customFormat="1" x14ac:dyDescent="0.25">
      <c r="A12" s="45">
        <v>42576.496481481481</v>
      </c>
      <c r="B12" s="62" t="s">
        <v>109</v>
      </c>
      <c r="C12" s="38" t="s">
        <v>451</v>
      </c>
      <c r="D12" s="38" t="s">
        <v>50</v>
      </c>
      <c r="E12" s="62" t="s">
        <v>142</v>
      </c>
      <c r="F12" s="63">
        <v>180</v>
      </c>
      <c r="G12" s="63">
        <v>231</v>
      </c>
      <c r="H12" s="63">
        <v>63400</v>
      </c>
      <c r="I12" s="62" t="s">
        <v>143</v>
      </c>
      <c r="J12" s="63">
        <v>63309</v>
      </c>
      <c r="K12" s="38" t="s">
        <v>54</v>
      </c>
      <c r="L12" s="90" t="str">
        <f>VLOOKUP(C12,'Trips&amp;Operators'!$C$1:$E$9999,3,0)</f>
        <v>STARKS</v>
      </c>
      <c r="M12" s="9" t="s">
        <v>100</v>
      </c>
      <c r="N12" s="10" t="s">
        <v>395</v>
      </c>
      <c r="O12" s="38"/>
      <c r="P12" s="69" t="str">
        <f>VLOOKUP(C12,'Train Runs'!$A$13:$AE$840,31,0)</f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Q12" s="67" t="str">
        <f>VLOOKUP(C12,'Train Runs'!$A$13:$AE$840,22,0)</f>
        <v>https://search-rtdc-monitor-bjffxe2xuh6vdkpspy63sjmuny.us-east-1.es.amazonaws.com/_plugin/kibana/#/discover/Steve-Slow-Train-Analysis-(2080s-and-2083s)?_g=(refreshInterval:(display:Off,section:0,value:0),time:(from:'2016-07-25 10:23:37-0600',mode:absolute,to:'2016-07-25 13:13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R12" s="68" t="str">
        <f t="shared" si="0"/>
        <v>"C:\Program Files (x86)\AstroGrep\AstroGrep.exe" /spath="C:\Users\stu\Documents\Analysis\2016-02-23 RTDC Observations" /stypes="*4013*20160725*" /stext=" 17:.+((prompt.+disp)|(slice.+state.+chan)|(ment ac)|(system.+state.+chan)|(\|lc)|(penalty)|(\[timeout))" /e /r /s</v>
      </c>
      <c r="S12" s="9" t="str">
        <f t="shared" si="1"/>
        <v>4013</v>
      </c>
      <c r="T12" s="45">
        <f t="shared" si="2"/>
        <v>42576.746481481481</v>
      </c>
      <c r="U12" s="66" t="str">
        <f t="shared" si="3"/>
        <v>EC</v>
      </c>
      <c r="V12" s="66" t="str">
        <f t="shared" si="4"/>
        <v>KEEP</v>
      </c>
    </row>
    <row r="13" spans="1:22" s="1" customFormat="1" x14ac:dyDescent="0.25">
      <c r="A13" s="45">
        <v>42576.933078703703</v>
      </c>
      <c r="B13" s="38" t="s">
        <v>757</v>
      </c>
      <c r="C13" s="38" t="s">
        <v>566</v>
      </c>
      <c r="D13" s="38" t="s">
        <v>50</v>
      </c>
      <c r="E13" s="38" t="s">
        <v>142</v>
      </c>
      <c r="F13" s="63">
        <v>150</v>
      </c>
      <c r="G13" s="63">
        <v>211</v>
      </c>
      <c r="H13" s="63">
        <v>63635</v>
      </c>
      <c r="I13" s="38" t="s">
        <v>143</v>
      </c>
      <c r="J13" s="63">
        <v>63309</v>
      </c>
      <c r="K13" s="38" t="s">
        <v>54</v>
      </c>
      <c r="L13" s="90" t="str">
        <f>VLOOKUP(C13,'Trips&amp;Operators'!$C$1:$E$9999,3,0)</f>
        <v>LEVERE</v>
      </c>
      <c r="M13" s="9" t="s">
        <v>100</v>
      </c>
      <c r="N13" s="10" t="s">
        <v>395</v>
      </c>
      <c r="O13" s="38"/>
      <c r="P13" s="69" t="str">
        <f>VLOOKUP(C13,'Train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13" s="67" t="str">
        <f>VLOOKUP(C13,'Train Runs'!$A$13:$AE$840,22,0)</f>
        <v>https://search-rtdc-monitor-bjffxe2xuh6vdkpspy63sjmuny.us-east-1.es.amazonaws.com/_plugin/kibana/#/discover/Steve-Slow-Train-Analysis-(2080s-and-2083s)?_g=(refreshInterval:(display:Off,section:0,value:0),time:(from:'2016-07-25 20:49:40-0600',mode:absolute,to:'2016-07-25 23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13" s="68" t="str">
        <f t="shared" si="0"/>
        <v>"C:\Program Files (x86)\AstroGrep\AstroGrep.exe" /spath="C:\Users\stu\Documents\Analysis\2016-02-23 RTDC Observations" /stypes="*4037*20160726*" /stext=" 04:.+((prompt.+disp)|(slice.+state.+chan)|(ment ac)|(system.+state.+chan)|(\|lc)|(penalty)|(\[timeout))" /e /r /s</v>
      </c>
      <c r="S13" s="9" t="str">
        <f t="shared" si="1"/>
        <v>4037</v>
      </c>
      <c r="T13" s="45">
        <f t="shared" si="2"/>
        <v>42577.183078703703</v>
      </c>
      <c r="U13" s="66" t="str">
        <f t="shared" si="3"/>
        <v>EC</v>
      </c>
      <c r="V13" s="66" t="str">
        <f t="shared" si="4"/>
        <v>KEEP</v>
      </c>
    </row>
    <row r="14" spans="1:22" s="1" customFormat="1" x14ac:dyDescent="0.25">
      <c r="A14" s="45">
        <v>42576.595949074072</v>
      </c>
      <c r="B14" s="62" t="s">
        <v>118</v>
      </c>
      <c r="C14" s="38" t="s">
        <v>489</v>
      </c>
      <c r="D14" s="38" t="s">
        <v>50</v>
      </c>
      <c r="E14" s="62" t="s">
        <v>142</v>
      </c>
      <c r="F14" s="63">
        <v>0</v>
      </c>
      <c r="G14" s="63">
        <v>324</v>
      </c>
      <c r="H14" s="63">
        <v>78498</v>
      </c>
      <c r="I14" s="62" t="s">
        <v>143</v>
      </c>
      <c r="J14" s="63">
        <v>78469</v>
      </c>
      <c r="K14" s="38" t="s">
        <v>54</v>
      </c>
      <c r="L14" s="90" t="str">
        <f>VLOOKUP(C14,'Trips&amp;Operators'!$C$1:$E$9999,3,0)</f>
        <v>STEWART</v>
      </c>
      <c r="M14" s="9" t="s">
        <v>100</v>
      </c>
      <c r="N14" s="10" t="s">
        <v>395</v>
      </c>
      <c r="O14" s="38"/>
      <c r="P14" s="69" t="str">
        <f>VLOOKUP(C14,'Train Runs'!$A$13:$AE$840,31,0)</f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Q14" s="67" t="str">
        <f>VLOOKUP(C14,'Train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12:52:07-0600',mode:absolute,to:'2016-07-25 15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R14" s="68" t="str">
        <f t="shared" si="0"/>
        <v>"C:\Program Files (x86)\AstroGrep\AstroGrep.exe" /spath="C:\Users\stu\Documents\Analysis\2016-02-23 RTDC Observations" /stypes="*4008*20160725*" /stext=" 20:.+((prompt.+disp)|(slice.+state.+chan)|(ment ac)|(system.+state.+chan)|(\|lc)|(penalty)|(\[timeout))" /e /r /s</v>
      </c>
      <c r="S14" s="9" t="str">
        <f t="shared" si="1"/>
        <v>4008</v>
      </c>
      <c r="T14" s="45">
        <f t="shared" si="2"/>
        <v>42576.845949074072</v>
      </c>
      <c r="U14" s="66" t="str">
        <f t="shared" si="3"/>
        <v>EC</v>
      </c>
      <c r="V14" s="66" t="str">
        <f t="shared" si="4"/>
        <v>KEEP</v>
      </c>
    </row>
    <row r="15" spans="1:22" s="1" customFormat="1" x14ac:dyDescent="0.25">
      <c r="A15" s="45">
        <v>42576.960462962961</v>
      </c>
      <c r="B15" s="38" t="s">
        <v>104</v>
      </c>
      <c r="C15" s="38" t="s">
        <v>574</v>
      </c>
      <c r="D15" s="38" t="s">
        <v>157</v>
      </c>
      <c r="E15" s="38" t="s">
        <v>57</v>
      </c>
      <c r="F15" s="63">
        <v>200</v>
      </c>
      <c r="G15" s="63">
        <v>256</v>
      </c>
      <c r="H15" s="63">
        <v>5416</v>
      </c>
      <c r="I15" s="38" t="s">
        <v>58</v>
      </c>
      <c r="J15" s="63">
        <v>4677</v>
      </c>
      <c r="K15" s="38" t="s">
        <v>53</v>
      </c>
      <c r="L15" s="90" t="str">
        <f>VLOOKUP(C15,'Trips&amp;Operators'!$C$1:$E$9999,3,0)</f>
        <v>LEVERE</v>
      </c>
      <c r="M15" s="9" t="s">
        <v>100</v>
      </c>
      <c r="N15" s="10"/>
      <c r="O15" s="38"/>
      <c r="P15" s="69" t="str">
        <f>VLOOKUP(C15,'Train Runs'!$A$13:$AE$840,31,0)</f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Q15" s="67" t="str">
        <f>VLOOKUP(C15,'Train Runs'!$A$13:$AE$840,22,0)</f>
        <v>https://search-rtdc-monitor-bjffxe2xuh6vdkpspy63sjmuny.us-east-1.es.amazonaws.com/_plugin/kibana/#/discover/Steve-Slow-Train-Analysis-(2080s-and-2083s)?_g=(refreshInterval:(display:Off,section:0,value:0),time:(from:'2016-07-25 21:56:08-0600',mode:absolute,to:'2016-07-26 00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R15" s="68" t="str">
        <f t="shared" si="0"/>
        <v>"C:\Program Files (x86)\AstroGrep\AstroGrep.exe" /spath="C:\Users\stu\Documents\Analysis\2016-02-23 RTDC Observations" /stypes="*4038*20160726*" /stext=" 05:.+((prompt.+disp)|(slice.+state.+chan)|(ment ac)|(system.+state.+chan)|(\|lc)|(penalty)|(\[timeout))" /e /r /s</v>
      </c>
      <c r="S15" s="9" t="str">
        <f t="shared" si="1"/>
        <v>4038</v>
      </c>
      <c r="T15" s="45">
        <f t="shared" si="2"/>
        <v>42577.210462962961</v>
      </c>
      <c r="U15" s="66" t="str">
        <f t="shared" si="3"/>
        <v>EC</v>
      </c>
      <c r="V15" s="66" t="str">
        <f t="shared" si="4"/>
        <v>KEEP</v>
      </c>
    </row>
    <row r="16" spans="1:22" s="1" customFormat="1" x14ac:dyDescent="0.25">
      <c r="A16" s="45">
        <v>42576.524247685185</v>
      </c>
      <c r="B16" s="62" t="s">
        <v>114</v>
      </c>
      <c r="C16" s="38" t="s">
        <v>470</v>
      </c>
      <c r="D16" s="38" t="s">
        <v>50</v>
      </c>
      <c r="E16" s="62" t="s">
        <v>57</v>
      </c>
      <c r="F16" s="63">
        <v>550</v>
      </c>
      <c r="G16" s="63">
        <v>671</v>
      </c>
      <c r="H16" s="63">
        <v>219516</v>
      </c>
      <c r="I16" s="62" t="s">
        <v>58</v>
      </c>
      <c r="J16" s="63">
        <v>222090</v>
      </c>
      <c r="K16" s="38" t="s">
        <v>53</v>
      </c>
      <c r="L16" s="90" t="str">
        <f>VLOOKUP(C16,'Trips&amp;Operators'!$C$1:$E$9999,3,0)</f>
        <v>MAYBERRY</v>
      </c>
      <c r="M16" s="9" t="s">
        <v>100</v>
      </c>
      <c r="N16" s="10"/>
      <c r="O16" s="38"/>
      <c r="P16" s="69" t="str">
        <f>VLOOKUP(C16,'Train Runs'!$A$13:$AE$840,31,0)</f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Q16" s="67" t="str">
        <f>VLOOKUP(C16,'Train Runs'!$A$13:$AE$840,22,0)</f>
        <v>https://search-rtdc-monitor-bjffxe2xuh6vdkpspy63sjmuny.us-east-1.es.amazonaws.com/_plugin/kibana/#/discover/Steve-Slow-Train-Analysis-(2080s-and-2083s)?_g=(refreshInterval:(display:Off,section:0,value:0),time:(from:'2016-07-25 10:57:59-0600',mode:absolute,to:'2016-07-25 13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R16" s="68" t="str">
        <f t="shared" si="0"/>
        <v>"C:\Program Files (x86)\AstroGrep\AstroGrep.exe" /spath="C:\Users\stu\Documents\Analysis\2016-02-23 RTDC Observations" /stypes="*4027*20160725*" /stext=" 18:.+((prompt.+disp)|(slice.+state.+chan)|(ment ac)|(system.+state.+chan)|(\|lc)|(penalty)|(\[timeout))" /e /r /s</v>
      </c>
      <c r="S16" s="9" t="str">
        <f t="shared" si="1"/>
        <v>4027</v>
      </c>
      <c r="T16" s="45">
        <f t="shared" si="2"/>
        <v>42576.774247685185</v>
      </c>
      <c r="U16" s="66" t="str">
        <f t="shared" si="3"/>
        <v>EC</v>
      </c>
      <c r="V16" s="66" t="str">
        <f t="shared" si="4"/>
        <v>KEEP</v>
      </c>
    </row>
    <row r="17" spans="1:22" s="1" customFormat="1" x14ac:dyDescent="0.25">
      <c r="A17" s="45">
        <v>42576.304594907408</v>
      </c>
      <c r="B17" s="62" t="s">
        <v>104</v>
      </c>
      <c r="C17" s="38" t="s">
        <v>373</v>
      </c>
      <c r="D17" s="38" t="s">
        <v>50</v>
      </c>
      <c r="E17" s="62" t="s">
        <v>57</v>
      </c>
      <c r="F17" s="63">
        <v>350</v>
      </c>
      <c r="G17" s="63">
        <v>534</v>
      </c>
      <c r="H17" s="63">
        <v>222815</v>
      </c>
      <c r="I17" s="62" t="s">
        <v>58</v>
      </c>
      <c r="J17" s="63">
        <v>224578</v>
      </c>
      <c r="K17" s="38" t="s">
        <v>53</v>
      </c>
      <c r="L17" s="90" t="str">
        <f>VLOOKUP(C17,'Trips&amp;Operators'!$C$1:$E$9999,3,0)</f>
        <v>STARKS</v>
      </c>
      <c r="M17" s="9" t="s">
        <v>100</v>
      </c>
      <c r="N17" s="10"/>
      <c r="O17" s="38"/>
      <c r="P17" s="69" t="str">
        <f>VLOOKUP(C17,'Train Runs'!$A$13:$AE$840,31,0)</f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Q17" s="67" t="str">
        <f>VLOOKUP(C17,'Train Runs'!$A$13:$AE$840,22,0)</f>
        <v>https://search-rtdc-monitor-bjffxe2xuh6vdkpspy63sjmuny.us-east-1.es.amazonaws.com/_plugin/kibana/#/discover/Steve-Slow-Train-Analysis-(2080s-and-2083s)?_g=(refreshInterval:(display:Off,section:0,value:0),time:(from:'2016-07-25 05:41:49-0600',mode:absolute,to:'2016-07-25 08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R17" s="68" t="str">
        <f t="shared" si="0"/>
        <v>"C:\Program Files (x86)\AstroGrep\AstroGrep.exe" /spath="C:\Users\stu\Documents\Analysis\2016-02-23 RTDC Observations" /stypes="*4038*20160725*" /stext=" 13:.+((prompt.+disp)|(slice.+state.+chan)|(ment ac)|(system.+state.+chan)|(\|lc)|(penalty)|(\[timeout))" /e /r /s</v>
      </c>
      <c r="S17" s="9" t="str">
        <f t="shared" si="1"/>
        <v>4038</v>
      </c>
      <c r="T17" s="45">
        <f t="shared" si="2"/>
        <v>42576.554594907408</v>
      </c>
      <c r="U17" s="66" t="str">
        <f t="shared" si="3"/>
        <v>EC</v>
      </c>
      <c r="V17" s="66" t="str">
        <f t="shared" si="4"/>
        <v>KEEP</v>
      </c>
    </row>
    <row r="18" spans="1:22" s="1" customFormat="1" x14ac:dyDescent="0.25">
      <c r="A18" s="45">
        <v>42576.916273148148</v>
      </c>
      <c r="B18" s="38" t="s">
        <v>757</v>
      </c>
      <c r="C18" s="38" t="s">
        <v>566</v>
      </c>
      <c r="D18" s="38" t="s">
        <v>157</v>
      </c>
      <c r="E18" s="38" t="s">
        <v>57</v>
      </c>
      <c r="F18" s="63">
        <v>350</v>
      </c>
      <c r="G18" s="63">
        <v>402</v>
      </c>
      <c r="H18" s="63">
        <v>225796</v>
      </c>
      <c r="I18" s="38" t="s">
        <v>58</v>
      </c>
      <c r="J18" s="63">
        <v>228668</v>
      </c>
      <c r="K18" s="38" t="s">
        <v>54</v>
      </c>
      <c r="L18" s="90" t="str">
        <f>VLOOKUP(C18,'Trips&amp;Operators'!$C$1:$E$9999,3,0)</f>
        <v>LEVERE</v>
      </c>
      <c r="M18" s="9" t="s">
        <v>100</v>
      </c>
      <c r="N18" s="10"/>
      <c r="O18" s="38"/>
      <c r="P18" s="69" t="str">
        <f>VLOOKUP(C18,'Train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18" s="67" t="str">
        <f>VLOOKUP(C18,'Train Runs'!$A$13:$AE$840,22,0)</f>
        <v>https://search-rtdc-monitor-bjffxe2xuh6vdkpspy63sjmuny.us-east-1.es.amazonaws.com/_plugin/kibana/#/discover/Steve-Slow-Train-Analysis-(2080s-and-2083s)?_g=(refreshInterval:(display:Off,section:0,value:0),time:(from:'2016-07-25 20:49:40-0600',mode:absolute,to:'2016-07-25 23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18" s="68" t="str">
        <f t="shared" si="0"/>
        <v>"C:\Program Files (x86)\AstroGrep\AstroGrep.exe" /spath="C:\Users\stu\Documents\Analysis\2016-02-23 RTDC Observations" /stypes="*4037*20160726*" /stext=" 03:.+((prompt.+disp)|(slice.+state.+chan)|(ment ac)|(system.+state.+chan)|(\|lc)|(penalty)|(\[timeout))" /e /r /s</v>
      </c>
      <c r="S18" s="9" t="str">
        <f t="shared" si="1"/>
        <v>4037</v>
      </c>
      <c r="T18" s="45">
        <f t="shared" si="2"/>
        <v>42577.166273148148</v>
      </c>
      <c r="U18" s="66" t="str">
        <f t="shared" si="3"/>
        <v>EC</v>
      </c>
      <c r="V18" s="66" t="str">
        <f t="shared" si="4"/>
        <v>KEEP</v>
      </c>
    </row>
    <row r="19" spans="1:22" s="1" customFormat="1" x14ac:dyDescent="0.25">
      <c r="A19" s="45">
        <v>42576.832129629627</v>
      </c>
      <c r="B19" s="62" t="s">
        <v>757</v>
      </c>
      <c r="C19" s="38" t="s">
        <v>551</v>
      </c>
      <c r="D19" s="38" t="s">
        <v>50</v>
      </c>
      <c r="E19" s="62" t="s">
        <v>57</v>
      </c>
      <c r="F19" s="63">
        <v>150</v>
      </c>
      <c r="G19" s="63">
        <v>200</v>
      </c>
      <c r="H19" s="63">
        <v>229343</v>
      </c>
      <c r="I19" s="62" t="s">
        <v>58</v>
      </c>
      <c r="J19" s="63">
        <v>229055</v>
      </c>
      <c r="K19" s="38" t="s">
        <v>54</v>
      </c>
      <c r="L19" s="90" t="str">
        <f>VLOOKUP(C19,'Trips&amp;Operators'!$C$1:$E$9999,3,0)</f>
        <v>LEVERE</v>
      </c>
      <c r="M19" s="9" t="s">
        <v>100</v>
      </c>
      <c r="N19" s="10"/>
      <c r="O19" s="38"/>
      <c r="P19" s="69" t="str">
        <f>VLOOKUP(C19,'Train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19" s="67" t="str">
        <f>VLOOKUP(C19,'Train Runs'!$A$13:$AE$840,22,0)</f>
        <v>https://search-rtdc-monitor-bjffxe2xuh6vdkpspy63sjmuny.us-east-1.es.amazonaws.com/_plugin/kibana/#/discover/Steve-Slow-Train-Analysis-(2080s-and-2083s)?_g=(refreshInterval:(display:Off,section:0,value:0),time:(from:'2016-07-25 18:45:18-0600',mode:absolute,to:'2016-07-25 21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19" s="68" t="str">
        <f t="shared" si="0"/>
        <v>"C:\Program Files (x86)\AstroGrep\AstroGrep.exe" /spath="C:\Users\stu\Documents\Analysis\2016-02-23 RTDC Observations" /stypes="*4037*20160726*" /stext=" 01:.+((prompt.+disp)|(slice.+state.+chan)|(ment ac)|(system.+state.+chan)|(\|lc)|(penalty)|(\[timeout))" /e /r /s</v>
      </c>
      <c r="S19" s="9" t="str">
        <f t="shared" si="1"/>
        <v>4037</v>
      </c>
      <c r="T19" s="45">
        <f t="shared" si="2"/>
        <v>42577.082129629627</v>
      </c>
      <c r="U19" s="66" t="str">
        <f t="shared" si="3"/>
        <v>EC</v>
      </c>
      <c r="V19" s="66" t="str">
        <f t="shared" si="4"/>
        <v>KEEP</v>
      </c>
    </row>
    <row r="20" spans="1:22" s="1" customFormat="1" x14ac:dyDescent="0.25">
      <c r="A20" s="45">
        <v>42576.771203703705</v>
      </c>
      <c r="B20" s="62" t="s">
        <v>121</v>
      </c>
      <c r="C20" s="38" t="s">
        <v>546</v>
      </c>
      <c r="D20" s="38" t="s">
        <v>50</v>
      </c>
      <c r="E20" s="62" t="s">
        <v>55</v>
      </c>
      <c r="F20" s="63">
        <v>0</v>
      </c>
      <c r="G20" s="63">
        <v>136</v>
      </c>
      <c r="H20" s="63">
        <v>912</v>
      </c>
      <c r="I20" s="62" t="s">
        <v>56</v>
      </c>
      <c r="J20" s="63">
        <v>1692</v>
      </c>
      <c r="K20" s="38" t="s">
        <v>53</v>
      </c>
      <c r="L20" s="90" t="str">
        <f>VLOOKUP(C20,'Trips&amp;Operators'!$C$1:$E$9999,3,0)</f>
        <v>YANAI</v>
      </c>
      <c r="M20" s="9" t="s">
        <v>99</v>
      </c>
      <c r="N20" s="10" t="s">
        <v>822</v>
      </c>
      <c r="O20" s="38"/>
      <c r="P20" s="69" t="str">
        <f>VLOOKUP(C20,'Train Runs'!$A$13:$AE$840,31,0)</f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Q20" s="67" t="str">
        <f>VLOOKUP(C20,'Train Runs'!$A$13:$AE$840,22,0)</f>
        <v>https://search-rtdc-monitor-bjffxe2xuh6vdkpspy63sjmuny.us-east-1.es.amazonaws.com/_plugin/kibana/#/discover/Steve-Slow-Train-Analysis-(2080s-and-2083s)?_g=(refreshInterval:(display:Off,section:0,value:0),time:(from:'2016-07-25 17:23:52-0600',mode:absolute,to:'2016-07-25 20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R20" s="68" t="str">
        <f t="shared" si="0"/>
        <v>"C:\Program Files (x86)\AstroGrep\AstroGrep.exe" /spath="C:\Users\stu\Documents\Analysis\2016-02-23 RTDC Observations" /stypes="*4007*20160726*" /stext=" 00:.+((prompt.+disp)|(slice.+state.+chan)|(ment ac)|(system.+state.+chan)|(\|lc)|(penalty)|(\[timeout))" /e /r /s</v>
      </c>
      <c r="S20" s="9" t="str">
        <f t="shared" si="1"/>
        <v>4007</v>
      </c>
      <c r="T20" s="45">
        <f t="shared" si="2"/>
        <v>42577.021203703705</v>
      </c>
      <c r="U20" s="66" t="str">
        <f t="shared" si="3"/>
        <v>EC</v>
      </c>
      <c r="V20" s="66" t="str">
        <f t="shared" si="4"/>
        <v>KEEP</v>
      </c>
    </row>
    <row r="21" spans="1:22" s="1" customFormat="1" x14ac:dyDescent="0.25">
      <c r="A21" s="45">
        <v>42576.671307870369</v>
      </c>
      <c r="B21" s="62" t="s">
        <v>114</v>
      </c>
      <c r="C21" s="38" t="s">
        <v>516</v>
      </c>
      <c r="D21" s="38" t="s">
        <v>157</v>
      </c>
      <c r="E21" s="62" t="s">
        <v>55</v>
      </c>
      <c r="F21" s="63">
        <v>200</v>
      </c>
      <c r="G21" s="63">
        <v>277</v>
      </c>
      <c r="H21" s="63">
        <v>65425</v>
      </c>
      <c r="I21" s="62" t="s">
        <v>56</v>
      </c>
      <c r="J21" s="63">
        <v>63995</v>
      </c>
      <c r="K21" s="38" t="s">
        <v>53</v>
      </c>
      <c r="L21" s="90" t="str">
        <f>VLOOKUP(C21,'Trips&amp;Operators'!$C$1:$E$9999,3,0)</f>
        <v>MAYBERRY</v>
      </c>
      <c r="M21" s="9" t="s">
        <v>100</v>
      </c>
      <c r="N21" s="10" t="s">
        <v>249</v>
      </c>
      <c r="O21" s="38"/>
      <c r="P21" s="69" t="str">
        <f>VLOOKUP(C21,'Train Runs'!$A$13:$AE$840,31,0)</f>
        <v>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 &amp; aws s3 cp s3://rtdc.mdm.uploadarchive/RTDC4027/2016-07-26/ "C:\Users\stu\Documents\Analysis\2016-02-23 RTDC Observations"\RTDC4027\2016-07-26 --recursive &amp; "C:\Users\stu\Documents\GitHub\mrs-test-scripts\Headless Mode &amp; Sideloading\WalkAndUnGZ.bat" "C:\Users\stu\Documents\Analysis\2016-02-23 RTDC Observations"\RTDC4027\2016-07-26</v>
      </c>
      <c r="Q21" s="67" t="str">
        <f>VLOOKUP(C21,'Train Runs'!$A$13:$AE$840,22,0)</f>
        <v>https://search-rtdc-monitor-bjffxe2xuh6vdkpspy63sjmuny.us-east-1.es.amazonaws.com/_plugin/kibana/#/discover/Steve-Slow-Train-Analysis-(2080s-and-2083s)?_g=(refreshInterval:(display:Off,section:0,value:0),time:(from:'2016-07-25 14:39:08-0600',mode:absolute,to:'2016-07-25 17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4027%22')),sort:!(Time,asc))</v>
      </c>
      <c r="R21" s="68" t="str">
        <f t="shared" si="0"/>
        <v>"C:\Program Files (x86)\AstroGrep\AstroGrep.exe" /spath="C:\Users\stu\Documents\Analysis\2016-02-23 RTDC Observations" /stypes="*4027*20160725*" /stext=" 22:.+((prompt.+disp)|(slice.+state.+chan)|(ment ac)|(system.+state.+chan)|(\|lc)|(penalty)|(\[timeout))" /e /r /s</v>
      </c>
      <c r="S21" s="9" t="str">
        <f t="shared" si="1"/>
        <v>4027</v>
      </c>
      <c r="T21" s="45">
        <f t="shared" si="2"/>
        <v>42576.921307870369</v>
      </c>
      <c r="U21" s="66" t="str">
        <f t="shared" si="3"/>
        <v>EC</v>
      </c>
      <c r="V21" s="66" t="str">
        <f t="shared" si="4"/>
        <v>KEEP</v>
      </c>
    </row>
    <row r="22" spans="1:22" s="1" customFormat="1" x14ac:dyDescent="0.25">
      <c r="A22" s="45">
        <v>42576.350775462961</v>
      </c>
      <c r="B22" s="62" t="s">
        <v>118</v>
      </c>
      <c r="C22" s="38" t="s">
        <v>415</v>
      </c>
      <c r="D22" s="38" t="s">
        <v>50</v>
      </c>
      <c r="E22" s="62" t="s">
        <v>55</v>
      </c>
      <c r="F22" s="63">
        <v>0</v>
      </c>
      <c r="G22" s="63">
        <v>373</v>
      </c>
      <c r="H22" s="63">
        <v>129229</v>
      </c>
      <c r="I22" s="62" t="s">
        <v>56</v>
      </c>
      <c r="J22" s="63">
        <v>127587</v>
      </c>
      <c r="K22" s="38" t="s">
        <v>54</v>
      </c>
      <c r="L22" s="90" t="str">
        <f>VLOOKUP(C22,'Trips&amp;Operators'!$C$1:$E$9999,3,0)</f>
        <v>MALAVE</v>
      </c>
      <c r="M22" s="9" t="s">
        <v>100</v>
      </c>
      <c r="N22" s="10" t="s">
        <v>823</v>
      </c>
      <c r="O22" s="38"/>
      <c r="P22" s="69" t="str">
        <f>VLOOKUP(C22,'Train Runs'!$A$13:$AE$840,31,0)</f>
        <v>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 &amp; aws s3 cp s3://rtdc.mdm.uploadarchive/RTDC4008/2016-07-26/ "C:\Users\stu\Documents\Analysis\2016-02-23 RTDC Observations"\RTDC4008\2016-07-26 --recursive &amp; "C:\Users\stu\Documents\GitHub\mrs-test-scripts\Headless Mode &amp; Sideloading\WalkAndUnGZ.bat" "C:\Users\stu\Documents\Analysis\2016-02-23 RTDC Observations"\RTDC4008\2016-07-26</v>
      </c>
      <c r="Q22" s="67" t="str">
        <f>VLOOKUP(C22,'Train Runs'!$A$13:$AE$840,22,0)</f>
        <v>https://search-rtdc-monitor-bjffxe2xuh6vdkpspy63sjmuny.us-east-1.es.amazonaws.com/_plugin/kibana/#/discover/Steve-Slow-Train-Analysis-(2080s-and-2083s)?_g=(refreshInterval:(display:Off,section:0,value:0),time:(from:'2016-07-25 07:08:53-0600',mode:absolute,to:'2016-07-25 10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4008%22')),sort:!(Time,asc))</v>
      </c>
      <c r="R22" s="68" t="str">
        <f t="shared" si="0"/>
        <v>"C:\Program Files (x86)\AstroGrep\AstroGrep.exe" /spath="C:\Users\stu\Documents\Analysis\2016-02-23 RTDC Observations" /stypes="*4008*20160725*" /stext=" 14:.+((prompt.+disp)|(slice.+state.+chan)|(ment ac)|(system.+state.+chan)|(\|lc)|(penalty)|(\[timeout))" /e /r /s</v>
      </c>
      <c r="S22" s="9" t="str">
        <f t="shared" si="1"/>
        <v>4008</v>
      </c>
      <c r="T22" s="45">
        <f t="shared" si="2"/>
        <v>42576.600775462961</v>
      </c>
      <c r="U22" s="66" t="str">
        <f t="shared" si="3"/>
        <v>EC</v>
      </c>
      <c r="V22" s="66" t="str">
        <f t="shared" si="4"/>
        <v>KEEP</v>
      </c>
    </row>
    <row r="23" spans="1:22" x14ac:dyDescent="0.25">
      <c r="A23" s="45">
        <v>42576.549837962964</v>
      </c>
      <c r="B23" s="62" t="s">
        <v>111</v>
      </c>
      <c r="C23" s="38" t="s">
        <v>472</v>
      </c>
      <c r="D23" s="38" t="s">
        <v>50</v>
      </c>
      <c r="E23" s="62" t="s">
        <v>55</v>
      </c>
      <c r="F23" s="63">
        <v>0</v>
      </c>
      <c r="G23" s="63">
        <v>443</v>
      </c>
      <c r="H23" s="63">
        <v>129733</v>
      </c>
      <c r="I23" s="62" t="s">
        <v>56</v>
      </c>
      <c r="J23" s="63">
        <v>127587</v>
      </c>
      <c r="K23" s="38" t="s">
        <v>54</v>
      </c>
      <c r="L23" s="90" t="str">
        <f>VLOOKUP(C23,'Trips&amp;Operators'!$C$1:$E$9999,3,0)</f>
        <v>MAYBERRY</v>
      </c>
      <c r="M23" s="9" t="s">
        <v>100</v>
      </c>
      <c r="N23" s="10" t="s">
        <v>823</v>
      </c>
      <c r="O23" s="38"/>
      <c r="P23" s="69" t="str">
        <f>VLOOKUP(C23,'Train Runs'!$A$13:$AE$840,31,0)</f>
        <v>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 &amp; aws s3 cp s3://rtdc.mdm.uploadarchive/RTDC4028/2016-07-26/ "C:\Users\stu\Documents\Analysis\2016-02-23 RTDC Observations"\RTDC4028\2016-07-26 --recursive &amp; "C:\Users\stu\Documents\GitHub\mrs-test-scripts\Headless Mode &amp; Sideloading\WalkAndUnGZ.bat" "C:\Users\stu\Documents\Analysis\2016-02-23 RTDC Observations"\RTDC4028\2016-07-26</v>
      </c>
      <c r="Q23" s="67" t="str">
        <f>VLOOKUP(C23,'Train Runs'!$A$13:$AE$840,22,0)</f>
        <v>https://search-rtdc-monitor-bjffxe2xuh6vdkpspy63sjmuny.us-east-1.es.amazonaws.com/_plugin/kibana/#/discover/Steve-Slow-Train-Analysis-(2080s-and-2083s)?_g=(refreshInterval:(display:Off,section:0,value:0),time:(from:'2016-07-25 11:52:19-0600',mode:absolute,to:'2016-07-25 14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4028%22')),sort:!(Time,asc))</v>
      </c>
      <c r="R23" s="68" t="str">
        <f t="shared" si="0"/>
        <v>"C:\Program Files (x86)\AstroGrep\AstroGrep.exe" /spath="C:\Users\stu\Documents\Analysis\2016-02-23 RTDC Observations" /stypes="*4028*20160725*" /stext=" 19:.+((prompt.+disp)|(slice.+state.+chan)|(ment ac)|(system.+state.+chan)|(\|lc)|(penalty)|(\[timeout))" /e /r /s</v>
      </c>
      <c r="S23" s="9" t="str">
        <f t="shared" si="1"/>
        <v>4028</v>
      </c>
      <c r="T23" s="45">
        <f t="shared" si="2"/>
        <v>42576.799837962964</v>
      </c>
      <c r="U23" s="66" t="str">
        <f t="shared" si="3"/>
        <v>EC</v>
      </c>
      <c r="V23" s="66" t="str">
        <f t="shared" si="4"/>
        <v>KEEP</v>
      </c>
    </row>
    <row r="24" spans="1:22" s="1" customFormat="1" x14ac:dyDescent="0.25">
      <c r="A24" s="45">
        <v>42576.231273148151</v>
      </c>
      <c r="B24" s="62" t="s">
        <v>113</v>
      </c>
      <c r="C24" s="38" t="s">
        <v>367</v>
      </c>
      <c r="D24" s="38" t="s">
        <v>157</v>
      </c>
      <c r="E24" s="62" t="s">
        <v>55</v>
      </c>
      <c r="F24" s="63">
        <v>200</v>
      </c>
      <c r="G24" s="63">
        <v>267</v>
      </c>
      <c r="H24" s="63">
        <v>153228</v>
      </c>
      <c r="I24" s="62" t="s">
        <v>56</v>
      </c>
      <c r="J24" s="63">
        <v>157300</v>
      </c>
      <c r="K24" s="38" t="s">
        <v>54</v>
      </c>
      <c r="L24" s="90" t="str">
        <f>VLOOKUP(C24,'Trips&amp;Operators'!$C$1:$E$9999,3,0)</f>
        <v>BRANNON</v>
      </c>
      <c r="M24" s="9" t="s">
        <v>100</v>
      </c>
      <c r="N24" s="10" t="s">
        <v>249</v>
      </c>
      <c r="O24" s="38"/>
      <c r="P24" s="69" t="str">
        <f>VLOOKUP(C24,'Train Runs'!$A$13:$AE$840,31,0)</f>
        <v>aws s3 cp s3://rtdc.mdm.uploadarchive/RTDC4030/2016-07-25/ "C:\Users\stu\Documents\Analysis\2016-02-23 RTDC Observations"\RTDC4030\2016-07-25 --recursive &amp; "C:\Users\stu\Documents\GitHub\mrs-test-scripts\Headless Mode &amp; Sideloading\WalkAndUnGZ.bat" "C:\Users\stu\Documents\Analysis\2016-02-23 RTDC Observations"\RTDC4030\2016-07-25 &amp; aws s3 cp s3://rtdc.mdm.uploadarchive/RTDC4030/2016-07-26/ "C:\Users\stu\Documents\Analysis\2016-02-23 RTDC Observations"\RTDC4030\2016-07-26 --recursive &amp; "C:\Users\stu\Documents\GitHub\mrs-test-scripts\Headless Mode &amp; Sideloading\WalkAndUnGZ.bat" "C:\Users\stu\Documents\Analysis\2016-02-23 RTDC Observations"\RTDC4030\2016-07-26</v>
      </c>
      <c r="Q24" s="67" t="str">
        <f>VLOOKUP(C24,'Train Runs'!$A$13:$AE$840,22,0)</f>
        <v>https://search-rtdc-monitor-bjffxe2xuh6vdkpspy63sjmuny.us-east-1.es.amazonaws.com/_plugin/kibana/#/discover/Steve-Slow-Train-Analysis-(2080s-and-2083s)?_g=(refreshInterval:(display:Off,section:0,value:0),time:(from:'2016-07-25 04:28:27-0600',mode:absolute,to:'2016-07-25 07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4030%22')),sort:!(Time,asc))</v>
      </c>
      <c r="R24" s="68" t="str">
        <f t="shared" si="0"/>
        <v>"C:\Program Files (x86)\AstroGrep\AstroGrep.exe" /spath="C:\Users\stu\Documents\Analysis\2016-02-23 RTDC Observations" /stypes="*4030*20160725*" /stext=" 11:.+((prompt.+disp)|(slice.+state.+chan)|(ment ac)|(system.+state.+chan)|(\|lc)|(penalty)|(\[timeout))" /e /r /s</v>
      </c>
      <c r="S24" s="9" t="str">
        <f t="shared" si="1"/>
        <v>4030</v>
      </c>
      <c r="T24" s="45">
        <f t="shared" si="2"/>
        <v>42576.481273148151</v>
      </c>
      <c r="U24" s="66" t="str">
        <f t="shared" si="3"/>
        <v>EC</v>
      </c>
      <c r="V24" s="66" t="str">
        <f t="shared" si="4"/>
        <v>KEEP</v>
      </c>
    </row>
    <row r="25" spans="1:22" x14ac:dyDescent="0.25">
      <c r="A25" s="45">
        <v>42576.48296296296</v>
      </c>
      <c r="B25" s="62" t="s">
        <v>109</v>
      </c>
      <c r="C25" s="38" t="s">
        <v>451</v>
      </c>
      <c r="D25" s="38" t="s">
        <v>50</v>
      </c>
      <c r="E25" s="62" t="s">
        <v>55</v>
      </c>
      <c r="F25" s="63">
        <v>0</v>
      </c>
      <c r="G25" s="63">
        <v>697</v>
      </c>
      <c r="H25" s="63">
        <v>178385</v>
      </c>
      <c r="I25" s="62" t="s">
        <v>56</v>
      </c>
      <c r="J25" s="63">
        <v>175398</v>
      </c>
      <c r="K25" s="38" t="s">
        <v>54</v>
      </c>
      <c r="L25" s="90" t="str">
        <f>VLOOKUP(C25,'Trips&amp;Operators'!$C$1:$E$9999,3,0)</f>
        <v>STARKS</v>
      </c>
      <c r="M25" s="9" t="s">
        <v>99</v>
      </c>
      <c r="N25" s="10" t="s">
        <v>180</v>
      </c>
      <c r="O25" s="38"/>
      <c r="P25" s="69" t="str">
        <f>VLOOKUP(C25,'Train Runs'!$A$13:$AE$840,31,0)</f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Q25" s="67" t="str">
        <f>VLOOKUP(C25,'Train Runs'!$A$13:$AE$840,22,0)</f>
        <v>https://search-rtdc-monitor-bjffxe2xuh6vdkpspy63sjmuny.us-east-1.es.amazonaws.com/_plugin/kibana/#/discover/Steve-Slow-Train-Analysis-(2080s-and-2083s)?_g=(refreshInterval:(display:Off,section:0,value:0),time:(from:'2016-07-25 10:23:37-0600',mode:absolute,to:'2016-07-25 13:13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R25" s="68" t="str">
        <f t="shared" si="0"/>
        <v>"C:\Program Files (x86)\AstroGrep\AstroGrep.exe" /spath="C:\Users\stu\Documents\Analysis\2016-02-23 RTDC Observations" /stypes="*4013*20160725*" /stext=" 17:.+((prompt.+disp)|(slice.+state.+chan)|(ment ac)|(system.+state.+chan)|(\|lc)|(penalty)|(\[timeout))" /e /r /s</v>
      </c>
      <c r="S25" s="9" t="str">
        <f t="shared" si="1"/>
        <v>4013</v>
      </c>
      <c r="T25" s="45">
        <f t="shared" si="2"/>
        <v>42576.73296296296</v>
      </c>
      <c r="U25" s="66" t="str">
        <f t="shared" si="3"/>
        <v>EC</v>
      </c>
      <c r="V25" s="66" t="str">
        <f t="shared" si="4"/>
        <v>KEEP</v>
      </c>
    </row>
    <row r="26" spans="1:22" x14ac:dyDescent="0.25">
      <c r="A26" s="45">
        <v>42576.615497685183</v>
      </c>
      <c r="B26" s="62" t="s">
        <v>757</v>
      </c>
      <c r="C26" s="38" t="s">
        <v>496</v>
      </c>
      <c r="D26" s="38" t="s">
        <v>50</v>
      </c>
      <c r="E26" s="62" t="s">
        <v>55</v>
      </c>
      <c r="F26" s="63">
        <v>0</v>
      </c>
      <c r="G26" s="63">
        <v>342</v>
      </c>
      <c r="H26" s="63">
        <v>193509</v>
      </c>
      <c r="I26" s="62" t="s">
        <v>56</v>
      </c>
      <c r="J26" s="63">
        <v>191723</v>
      </c>
      <c r="K26" s="38" t="s">
        <v>54</v>
      </c>
      <c r="L26" s="90" t="str">
        <f>VLOOKUP(C26,'Trips&amp;Operators'!$C$1:$E$9999,3,0)</f>
        <v>BONDS</v>
      </c>
      <c r="M26" s="9" t="s">
        <v>100</v>
      </c>
      <c r="N26" s="10" t="s">
        <v>824</v>
      </c>
      <c r="O26" s="38"/>
      <c r="P26" s="69" t="str">
        <f>VLOOKUP(C26,'Train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26" s="67" t="str">
        <f>VLOOKUP(C26,'Train Runs'!$A$13:$AE$840,22,0)</f>
        <v>https://search-rtdc-monitor-bjffxe2xuh6vdkpspy63sjmuny.us-east-1.es.amazonaws.com/_plugin/kibana/#/discover/Steve-Slow-Train-Analysis-(2080s-and-2083s)?_g=(refreshInterval:(display:Off,section:0,value:0),time:(from:'2016-07-25 13:35:39-0600',mode:absolute,to:'2016-07-25 16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26" s="68" t="str">
        <f t="shared" si="0"/>
        <v>"C:\Program Files (x86)\AstroGrep\AstroGrep.exe" /spath="C:\Users\stu\Documents\Analysis\2016-02-23 RTDC Observations" /stypes="*4037*20160725*" /stext=" 20:.+((prompt.+disp)|(slice.+state.+chan)|(ment ac)|(system.+state.+chan)|(\|lc)|(penalty)|(\[timeout))" /e /r /s</v>
      </c>
      <c r="S26" s="9" t="str">
        <f t="shared" si="1"/>
        <v>4037</v>
      </c>
      <c r="T26" s="45">
        <f t="shared" si="2"/>
        <v>42576.865497685183</v>
      </c>
      <c r="U26" s="66" t="str">
        <f t="shared" si="3"/>
        <v>EC</v>
      </c>
      <c r="V26" s="66" t="str">
        <f t="shared" si="4"/>
        <v>KEEP</v>
      </c>
    </row>
    <row r="27" spans="1:22" x14ac:dyDescent="0.25">
      <c r="A27" s="45">
        <v>42576.943749999999</v>
      </c>
      <c r="B27" s="38" t="s">
        <v>757</v>
      </c>
      <c r="C27" s="38" t="s">
        <v>566</v>
      </c>
      <c r="D27" s="38" t="s">
        <v>50</v>
      </c>
      <c r="E27" s="38" t="s">
        <v>51</v>
      </c>
      <c r="F27" s="63">
        <v>0</v>
      </c>
      <c r="G27" s="63">
        <v>33</v>
      </c>
      <c r="H27" s="63">
        <v>141</v>
      </c>
      <c r="I27" s="38" t="s">
        <v>52</v>
      </c>
      <c r="J27" s="63">
        <v>1</v>
      </c>
      <c r="K27" s="38" t="s">
        <v>54</v>
      </c>
      <c r="L27" s="90" t="str">
        <f>VLOOKUP(C27,'Trips&amp;Operators'!$C$1:$E$9999,3,0)</f>
        <v>LEVERE</v>
      </c>
      <c r="M27" s="9" t="s">
        <v>100</v>
      </c>
      <c r="N27" s="10"/>
      <c r="O27" s="38"/>
      <c r="P27" s="69" t="str">
        <f>VLOOKUP(C27,'Train Runs'!$A$13:$AE$840,31,0)</f>
        <v>aws s3 cp s3://rtdc.mdm.uploadarchive/RTDC4037/2016-07-25/ "C:\Users\stu\Documents\Analysis\2016-02-23 RTDC Observations"\RTDC4037\2016-07-25 --recursive &amp; "C:\Users\stu\Documents\GitHub\mrs-test-scripts\Headless Mode &amp; Sideloading\WalkAndUnGZ.bat" "C:\Users\stu\Documents\Analysis\2016-02-23 RTDC Observations"\RTDC4037\2016-07-25 &amp; aws s3 cp s3://rtdc.mdm.uploadarchive/RTDC4037/2016-07-26/ "C:\Users\stu\Documents\Analysis\2016-02-23 RTDC Observations"\RTDC4037\2016-07-26 --recursive &amp; "C:\Users\stu\Documents\GitHub\mrs-test-scripts\Headless Mode &amp; Sideloading\WalkAndUnGZ.bat" "C:\Users\stu\Documents\Analysis\2016-02-23 RTDC Observations"\RTDC4037\2016-07-26</v>
      </c>
      <c r="Q27" s="67" t="str">
        <f>VLOOKUP(C27,'Train Runs'!$A$13:$AE$840,22,0)</f>
        <v>https://search-rtdc-monitor-bjffxe2xuh6vdkpspy63sjmuny.us-east-1.es.amazonaws.com/_plugin/kibana/#/discover/Steve-Slow-Train-Analysis-(2080s-and-2083s)?_g=(refreshInterval:(display:Off,section:0,value:0),time:(from:'2016-07-25 20:49:40-0600',mode:absolute,to:'2016-07-25 23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4037%22')),sort:!(Time,asc))</v>
      </c>
      <c r="R27" s="68" t="str">
        <f t="shared" si="0"/>
        <v>"C:\Program Files (x86)\AstroGrep\AstroGrep.exe" /spath="C:\Users\stu\Documents\Analysis\2016-02-23 RTDC Observations" /stypes="*4037*20160726*" /stext=" 04:.+((prompt.+disp)|(slice.+state.+chan)|(ment ac)|(system.+state.+chan)|(\|lc)|(penalty)|(\[timeout))" /e /r /s</v>
      </c>
      <c r="S27" s="9" t="str">
        <f t="shared" si="1"/>
        <v>4037</v>
      </c>
      <c r="T27" s="45">
        <f t="shared" si="2"/>
        <v>42577.193749999999</v>
      </c>
      <c r="U27" s="66" t="str">
        <f t="shared" si="3"/>
        <v>EC</v>
      </c>
      <c r="V27" s="66" t="str">
        <f t="shared" si="4"/>
        <v>KEEP</v>
      </c>
    </row>
    <row r="28" spans="1:22" x14ac:dyDescent="0.25">
      <c r="A28" s="45">
        <v>42577.044548611113</v>
      </c>
      <c r="B28" s="38" t="s">
        <v>109</v>
      </c>
      <c r="C28" s="38" t="s">
        <v>579</v>
      </c>
      <c r="D28" s="38" t="s">
        <v>50</v>
      </c>
      <c r="E28" s="38" t="s">
        <v>51</v>
      </c>
      <c r="F28" s="63">
        <v>0</v>
      </c>
      <c r="G28" s="63">
        <v>61</v>
      </c>
      <c r="H28" s="63">
        <v>198</v>
      </c>
      <c r="I28" s="38" t="s">
        <v>52</v>
      </c>
      <c r="J28" s="63">
        <v>1</v>
      </c>
      <c r="K28" s="38" t="s">
        <v>54</v>
      </c>
      <c r="L28" s="90" t="str">
        <f>VLOOKUP(C28,'Trips&amp;Operators'!$C$1:$E$9999,3,0)</f>
        <v>NEWELL</v>
      </c>
      <c r="M28" s="9" t="s">
        <v>100</v>
      </c>
      <c r="N28" s="10"/>
      <c r="O28" s="38"/>
      <c r="P28" s="69" t="str">
        <f>VLOOKUP(C28,'Train Runs'!$A$13:$AE$840,31,0)</f>
        <v>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 &amp; aws s3 cp s3://rtdc.mdm.uploadarchive/RTDC4013/2016-07-27/ "C:\Users\stu\Documents\Analysis\2016-02-23 RTDC Observations"\RTDC4013\2016-07-27 --recursive &amp; "C:\Users\stu\Documents\GitHub\mrs-test-scripts\Headless Mode &amp; Sideloading\WalkAndUnGZ.bat" "C:\Users\stu\Documents\Analysis\2016-02-23 RTDC Observations"\RTDC4013\2016-07-27</v>
      </c>
      <c r="Q28" s="67" t="str">
        <f>VLOOKUP(C28,'Train Runs'!$A$13:$AE$840,22,0)</f>
        <v>https://search-rtdc-monitor-bjffxe2xuh6vdkpspy63sjmuny.us-east-1.es.amazonaws.com/_plugin/kibana/#/discover/Steve-Slow-Train-Analysis-(2080s-and-2083s)?_g=(refreshInterval:(display:Off,section:0,value:0),time:(from:'2016-07-25 23:21:15-0600',mode:absolute,to:'2016-07-26 02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4013%22')),sort:!(Time,asc))</v>
      </c>
      <c r="R28" s="68" t="str">
        <f t="shared" si="0"/>
        <v>"C:\Program Files (x86)\AstroGrep\AstroGrep.exe" /spath="C:\Users\stu\Documents\Analysis\2016-02-23 RTDC Observations" /stypes="*4013*20160726*" /stext=" 07:.+((prompt.+disp)|(slice.+state.+chan)|(ment ac)|(system.+state.+chan)|(\|lc)|(penalty)|(\[timeout))" /e /r /s</v>
      </c>
      <c r="S28" s="9" t="str">
        <f t="shared" si="1"/>
        <v>4013</v>
      </c>
      <c r="T28" s="45">
        <f t="shared" si="2"/>
        <v>42577.294548611113</v>
      </c>
      <c r="U28" s="66" t="str">
        <f t="shared" si="3"/>
        <v>EC</v>
      </c>
      <c r="V28" s="66" t="str">
        <f t="shared" si="4"/>
        <v>KEEP</v>
      </c>
    </row>
    <row r="29" spans="1:22" x14ac:dyDescent="0.25">
      <c r="A29" s="45">
        <v>42576.494131944448</v>
      </c>
      <c r="B29" s="62" t="s">
        <v>121</v>
      </c>
      <c r="C29" s="38" t="s">
        <v>457</v>
      </c>
      <c r="D29" s="38" t="s">
        <v>50</v>
      </c>
      <c r="E29" s="62" t="s">
        <v>51</v>
      </c>
      <c r="F29" s="63">
        <v>0</v>
      </c>
      <c r="G29" s="63">
        <v>92</v>
      </c>
      <c r="H29" s="63">
        <v>233134</v>
      </c>
      <c r="I29" s="62" t="s">
        <v>52</v>
      </c>
      <c r="J29" s="63">
        <v>233491</v>
      </c>
      <c r="K29" s="38" t="s">
        <v>53</v>
      </c>
      <c r="L29" s="90" t="str">
        <f>VLOOKUP(C29,'Trips&amp;Operators'!$C$1:$E$9999,3,0)</f>
        <v>STEWART</v>
      </c>
      <c r="M29" s="9" t="s">
        <v>100</v>
      </c>
      <c r="N29" s="10"/>
      <c r="O29" s="38"/>
      <c r="P29" s="69" t="str">
        <f>VLOOKUP(C29,'Train Runs'!$A$13:$AE$840,31,0)</f>
        <v>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 &amp; aws s3 cp s3://rtdc.mdm.uploadarchive/RTDC4007/2016-07-26/ "C:\Users\stu\Documents\Analysis\2016-02-23 RTDC Observations"\RTDC4007\2016-07-26 --recursive &amp; "C:\Users\stu\Documents\GitHub\mrs-test-scripts\Headless Mode &amp; Sideloading\WalkAndUnGZ.bat" "C:\Users\stu\Documents\Analysis\2016-02-23 RTDC Observations"\RTDC4007\2016-07-26</v>
      </c>
      <c r="Q29" s="67" t="str">
        <f>VLOOKUP(C29,'Train Runs'!$A$13:$AE$840,22,0)</f>
        <v>https://search-rtdc-monitor-bjffxe2xuh6vdkpspy63sjmuny.us-east-1.es.amazonaws.com/_plugin/kibana/#/discover/Steve-Slow-Train-Analysis-(2080s-and-2083s)?_g=(refreshInterval:(display:Off,section:0,value:0),time:(from:'2016-07-25 10:10:45-0600',mode:absolute,to:'2016-07-25 12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4007%22')),sort:!(Time,asc))</v>
      </c>
      <c r="R29" s="68" t="str">
        <f t="shared" si="0"/>
        <v>"C:\Program Files (x86)\AstroGrep\AstroGrep.exe" /spath="C:\Users\stu\Documents\Analysis\2016-02-23 RTDC Observations" /stypes="*4007*20160725*" /stext=" 17:.+((prompt.+disp)|(slice.+state.+chan)|(ment ac)|(system.+state.+chan)|(\|lc)|(penalty)|(\[timeout))" /e /r /s</v>
      </c>
      <c r="S29" s="9" t="str">
        <f t="shared" si="1"/>
        <v>4007</v>
      </c>
      <c r="T29" s="45">
        <f t="shared" si="2"/>
        <v>42576.744131944448</v>
      </c>
      <c r="U29" s="66" t="str">
        <f t="shared" si="3"/>
        <v>EC</v>
      </c>
      <c r="V29" s="66" t="str">
        <f t="shared" si="4"/>
        <v>KEEP</v>
      </c>
    </row>
    <row r="30" spans="1:22" x14ac:dyDescent="0.25">
      <c r="A30" s="45">
        <v>42576.605497685188</v>
      </c>
      <c r="B30" s="62" t="s">
        <v>104</v>
      </c>
      <c r="C30" s="38" t="s">
        <v>493</v>
      </c>
      <c r="D30" s="38" t="s">
        <v>50</v>
      </c>
      <c r="E30" s="62" t="s">
        <v>51</v>
      </c>
      <c r="F30" s="63">
        <v>0</v>
      </c>
      <c r="G30" s="63">
        <v>48</v>
      </c>
      <c r="H30" s="63">
        <v>233332</v>
      </c>
      <c r="I30" s="62" t="s">
        <v>52</v>
      </c>
      <c r="J30" s="63">
        <v>233491</v>
      </c>
      <c r="K30" s="38" t="s">
        <v>53</v>
      </c>
      <c r="L30" s="90" t="str">
        <f>VLOOKUP(C30,'Trips&amp;Operators'!$C$1:$E$9999,3,0)</f>
        <v>BONDS</v>
      </c>
      <c r="M30" s="9" t="s">
        <v>100</v>
      </c>
      <c r="N30" s="10"/>
      <c r="O30" s="38"/>
      <c r="P30" s="69" t="str">
        <f>VLOOKUP(C30,'Train Runs'!$A$13:$AE$840,31,0)</f>
        <v>aws s3 cp s3://rtdc.mdm.uploadarchive/RTDC4038/2016-07-25/ "C:\Users\stu\Documents\Analysis\2016-02-23 RTDC Observations"\RTDC4038\2016-07-25 --recursive &amp; "C:\Users\stu\Documents\GitHub\mrs-test-scripts\Headless Mode &amp; Sideloading\WalkAndUnGZ.bat" "C:\Users\stu\Documents\Analysis\2016-02-23 RTDC Observations"\RTDC4038\2016-07-25 &amp; aws s3 cp s3://rtdc.mdm.uploadarchive/RTDC4038/2016-07-26/ "C:\Users\stu\Documents\Analysis\2016-02-23 RTDC Observations"\RTDC4038\2016-07-26 --recursive &amp; "C:\Users\stu\Documents\GitHub\mrs-test-scripts\Headless Mode &amp; Sideloading\WalkAndUnGZ.bat" "C:\Users\stu\Documents\Analysis\2016-02-23 RTDC Observations"\RTDC4038\2016-07-26</v>
      </c>
      <c r="Q30" s="67" t="str">
        <f>VLOOKUP(C30,'Train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12:57:08-0600',mode:absolute,to:'2016-07-25 15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4038%22')),sort:!(Time,asc))</v>
      </c>
      <c r="R30" s="68" t="str">
        <f t="shared" si="0"/>
        <v>"C:\Program Files (x86)\AstroGrep\AstroGrep.exe" /spath="C:\Users\stu\Documents\Analysis\2016-02-23 RTDC Observations" /stypes="*4038*20160725*" /stext=" 20:.+((prompt.+disp)|(slice.+state.+chan)|(ment ac)|(system.+state.+chan)|(\|lc)|(penalty)|(\[timeout))" /e /r /s</v>
      </c>
      <c r="S30" s="9" t="str">
        <f t="shared" si="1"/>
        <v>4038</v>
      </c>
      <c r="T30" s="45">
        <f t="shared" si="2"/>
        <v>42576.855497685188</v>
      </c>
      <c r="U30" s="66" t="str">
        <f t="shared" si="3"/>
        <v>EC</v>
      </c>
      <c r="V30" s="66" t="str">
        <f t="shared" si="4"/>
        <v>KEEP</v>
      </c>
    </row>
    <row r="31" spans="1:22" x14ac:dyDescent="0.25">
      <c r="A31" s="45">
        <v>42576.713356481479</v>
      </c>
      <c r="B31" s="62" t="s">
        <v>145</v>
      </c>
      <c r="C31" s="38" t="s">
        <v>525</v>
      </c>
      <c r="D31" s="38" t="s">
        <v>50</v>
      </c>
      <c r="E31" s="62" t="s">
        <v>51</v>
      </c>
      <c r="F31" s="63">
        <v>0</v>
      </c>
      <c r="G31" s="63">
        <v>32</v>
      </c>
      <c r="H31" s="63">
        <v>233382</v>
      </c>
      <c r="I31" s="62" t="s">
        <v>52</v>
      </c>
      <c r="J31" s="63">
        <v>233491</v>
      </c>
      <c r="K31" s="38" t="s">
        <v>53</v>
      </c>
      <c r="L31" s="90" t="str">
        <f>VLOOKUP(C31,'Trips&amp;Operators'!$C$1:$E$9999,3,0)</f>
        <v>SHOOK</v>
      </c>
      <c r="M31" s="9" t="s">
        <v>100</v>
      </c>
      <c r="N31" s="10"/>
      <c r="O31" s="38"/>
      <c r="P31" s="69" t="str">
        <f>VLOOKUP(C31,'Train Runs'!$A$13:$AE$840,31,0)</f>
        <v>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 &amp; aws s3 cp s3://rtdc.mdm.uploadarchive/RTDC4016/2016-07-26/ "C:\Users\stu\Documents\Analysis\2016-02-23 RTDC Observations"\RTDC4016\2016-07-26 --recursive &amp; "C:\Users\stu\Documents\GitHub\mrs-test-scripts\Headless Mode &amp; Sideloading\WalkAndUnGZ.bat" "C:\Users\stu\Documents\Analysis\2016-02-23 RTDC Observations"\RTDC4016\2016-07-26</v>
      </c>
      <c r="Q31" s="67" t="str">
        <f>VLOOKUP(C31,'Train Runs'!$A$13:$AE$840,22,0)</f>
        <v>https://search-rtdc-monitor-bjffxe2xuh6vdkpspy63sjmuny.us-east-1.es.amazonaws.com/_plugin/kibana/#/discover/Steve-Slow-Train-Analysis-(2080s-and-2083s)?_g=(refreshInterval:(display:Off,section:0,value:0),time:(from:'2016-07-25 15:24:47-0600',mode:absolute,to:'2016-07-25 18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4016%22')),sort:!(Time,asc))</v>
      </c>
      <c r="R31" s="68" t="str">
        <f t="shared" si="0"/>
        <v>"C:\Program Files (x86)\AstroGrep\AstroGrep.exe" /spath="C:\Users\stu\Documents\Analysis\2016-02-23 RTDC Observations" /stypes="*4016*20160725*" /stext=" 23:.+((prompt.+disp)|(slice.+state.+chan)|(ment ac)|(system.+state.+chan)|(\|lc)|(penalty)|(\[timeout))" /e /r /s</v>
      </c>
      <c r="S31" s="9" t="str">
        <f t="shared" si="1"/>
        <v>4016</v>
      </c>
      <c r="T31" s="45">
        <f t="shared" si="2"/>
        <v>42576.963356481479</v>
      </c>
      <c r="U31" s="66" t="str">
        <f t="shared" si="3"/>
        <v>EC</v>
      </c>
      <c r="V31" s="66" t="str">
        <f t="shared" si="4"/>
        <v>KEEP</v>
      </c>
    </row>
    <row r="32" spans="1:22" x14ac:dyDescent="0.25">
      <c r="A32" s="45">
        <v>42576.487303240741</v>
      </c>
      <c r="B32" s="62" t="s">
        <v>78</v>
      </c>
      <c r="C32" s="38" t="s">
        <v>603</v>
      </c>
      <c r="D32" s="38" t="s">
        <v>157</v>
      </c>
      <c r="E32" s="62" t="s">
        <v>57</v>
      </c>
      <c r="F32" s="63">
        <v>150</v>
      </c>
      <c r="G32" s="63">
        <v>200</v>
      </c>
      <c r="H32" s="63">
        <v>2889</v>
      </c>
      <c r="I32" s="62" t="s">
        <v>58</v>
      </c>
      <c r="J32" s="63">
        <v>574</v>
      </c>
      <c r="K32" s="38" t="s">
        <v>53</v>
      </c>
      <c r="L32" s="90" t="str">
        <f>VLOOKUP(C32,'Trips&amp;Operators'!$C$1:$E$9999,3,0)</f>
        <v>ADANE</v>
      </c>
      <c r="M32" s="9" t="s">
        <v>100</v>
      </c>
      <c r="N32" s="10"/>
      <c r="O32" s="38"/>
      <c r="P32" s="69" t="str">
        <f>VLOOKUP(C32,'Train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32" s="67" t="str">
        <f>VLOOKUP(C32,'Train Runs'!$A$13:$AE$840,22,0)</f>
        <v>https://search-rtdc-monitor-bjffxe2xuh6vdkpspy63sjmuny.us-east-1.es.amazonaws.com/_plugin/kibana/#/discover/Steve-Slow-Train-Analysis-(2080s-and-2083s)?_g=(refreshInterval:(display:Off,section:0,value:0),time:(from:'2016-07-25 10:35:47-0600',mode:absolute,to:'2016-07-25 12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32" s="68" t="str">
        <f t="shared" si="0"/>
        <v>"C:\Program Files (x86)\AstroGrep\AstroGrep.exe" /spath="C:\Users\stu\Documents\Analysis\2016-02-23 RTDC Observations" /stypes="*4042*20160725*" /stext=" 17:.+((prompt.+disp)|(slice.+state.+chan)|(ment ac)|(system.+state.+chan)|(\|lc)|(penalty)|(\[timeout))" /e /r /s</v>
      </c>
      <c r="S32" s="9" t="str">
        <f t="shared" si="1"/>
        <v>4042</v>
      </c>
      <c r="T32" s="45">
        <f t="shared" si="2"/>
        <v>42576.737303240741</v>
      </c>
      <c r="U32" s="66" t="str">
        <f t="shared" si="3"/>
        <v>NWGL</v>
      </c>
      <c r="V32" s="66" t="str">
        <f t="shared" si="4"/>
        <v>KEEP</v>
      </c>
    </row>
    <row r="33" spans="1:22" x14ac:dyDescent="0.25">
      <c r="A33" s="45">
        <v>42576.798483796294</v>
      </c>
      <c r="B33" s="62" t="s">
        <v>108</v>
      </c>
      <c r="C33" s="38" t="s">
        <v>701</v>
      </c>
      <c r="D33" s="38" t="s">
        <v>50</v>
      </c>
      <c r="E33" s="62" t="s">
        <v>57</v>
      </c>
      <c r="F33" s="63">
        <v>200</v>
      </c>
      <c r="G33" s="63">
        <v>286</v>
      </c>
      <c r="H33" s="63">
        <v>7148</v>
      </c>
      <c r="I33" s="62" t="s">
        <v>58</v>
      </c>
      <c r="J33" s="63">
        <v>5990</v>
      </c>
      <c r="K33" s="38" t="s">
        <v>54</v>
      </c>
      <c r="L33" s="90" t="str">
        <f>VLOOKUP(C33,'Trips&amp;Operators'!$C$1:$E$9999,3,0)</f>
        <v>STORY</v>
      </c>
      <c r="M33" s="9" t="s">
        <v>100</v>
      </c>
      <c r="N33" s="10"/>
      <c r="O33" s="38"/>
      <c r="P33" s="69" t="str">
        <f>VLOOKUP(C33,'Train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33" s="67" t="str">
        <f>VLOOKUP(C33,'Train Runs'!$A$13:$AE$840,22,0)</f>
        <v>https://search-rtdc-monitor-bjffxe2xuh6vdkpspy63sjmuny.us-east-1.es.amazonaws.com/_plugin/kibana/#/discover/Steve-Slow-Train-Analysis-(2080s-and-2083s)?_g=(refreshInterval:(display:Off,section:0,value:0),time:(from:'2016-07-25 17:42:51-0600',mode:absolute,to:'2016-07-25 20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33" s="68" t="str">
        <f t="shared" si="0"/>
        <v>"C:\Program Files (x86)\AstroGrep\AstroGrep.exe" /spath="C:\Users\stu\Documents\Analysis\2016-02-23 RTDC Observations" /stypes="*4026*20160726*" /stext=" 01:.+((prompt.+disp)|(slice.+state.+chan)|(ment ac)|(system.+state.+chan)|(\|lc)|(penalty)|(\[timeout))" /e /r /s</v>
      </c>
      <c r="S33" s="9" t="str">
        <f t="shared" si="1"/>
        <v>4026</v>
      </c>
      <c r="T33" s="45">
        <f t="shared" si="2"/>
        <v>42577.048483796294</v>
      </c>
      <c r="U33" s="66" t="str">
        <f t="shared" si="3"/>
        <v>NWGL</v>
      </c>
      <c r="V33" s="66" t="str">
        <f t="shared" si="4"/>
        <v>KEEP</v>
      </c>
    </row>
    <row r="34" spans="1:22" x14ac:dyDescent="0.25">
      <c r="A34" s="45">
        <v>42576.698078703703</v>
      </c>
      <c r="B34" s="62" t="s">
        <v>78</v>
      </c>
      <c r="C34" s="38" t="s">
        <v>671</v>
      </c>
      <c r="D34" s="38" t="s">
        <v>157</v>
      </c>
      <c r="E34" s="62" t="s">
        <v>57</v>
      </c>
      <c r="F34" s="63">
        <v>450</v>
      </c>
      <c r="G34" s="63">
        <v>501</v>
      </c>
      <c r="H34" s="63">
        <v>14718</v>
      </c>
      <c r="I34" s="62" t="s">
        <v>58</v>
      </c>
      <c r="J34" s="63">
        <v>13572</v>
      </c>
      <c r="K34" s="38" t="s">
        <v>53</v>
      </c>
      <c r="L34" s="90" t="str">
        <f>VLOOKUP(C34,'Trips&amp;Operators'!$C$1:$E$9999,3,0)</f>
        <v>ADANE</v>
      </c>
      <c r="M34" s="9" t="s">
        <v>100</v>
      </c>
      <c r="N34" s="10"/>
      <c r="O34" s="38"/>
      <c r="P34" s="69" t="str">
        <f>VLOOKUP(C34,'Train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34" s="67" t="str">
        <f>VLOOKUP(C34,'Train Runs'!$A$13:$AE$840,22,0)</f>
        <v>https://search-rtdc-monitor-bjffxe2xuh6vdkpspy63sjmuny.us-east-1.es.amazonaws.com/_plugin/kibana/#/discover/Steve-Slow-Train-Analysis-(2080s-and-2083s)?_g=(refreshInterval:(display:Off,section:0,value:0),time:(from:'2016-07-25 15:37:32-0600',mode:absolute,to:'2016-07-25 17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34" s="68" t="str">
        <f t="shared" si="0"/>
        <v>"C:\Program Files (x86)\AstroGrep\AstroGrep.exe" /spath="C:\Users\stu\Documents\Analysis\2016-02-23 RTDC Observations" /stypes="*4042*20160725*" /stext=" 22:.+((prompt.+disp)|(slice.+state.+chan)|(ment ac)|(system.+state.+chan)|(\|lc)|(penalty)|(\[timeout))" /e /r /s</v>
      </c>
      <c r="S34" s="9" t="str">
        <f t="shared" si="1"/>
        <v>4042</v>
      </c>
      <c r="T34" s="45">
        <f t="shared" si="2"/>
        <v>42576.948078703703</v>
      </c>
      <c r="U34" s="66" t="str">
        <f t="shared" si="3"/>
        <v>NWGL</v>
      </c>
      <c r="V34" s="66" t="str">
        <f t="shared" si="4"/>
        <v>KEEP</v>
      </c>
    </row>
    <row r="35" spans="1:22" x14ac:dyDescent="0.25">
      <c r="A35" s="45">
        <v>42576.713020833333</v>
      </c>
      <c r="B35" s="62" t="s">
        <v>353</v>
      </c>
      <c r="C35" s="38" t="s">
        <v>674</v>
      </c>
      <c r="D35" s="38" t="s">
        <v>50</v>
      </c>
      <c r="E35" s="62" t="s">
        <v>57</v>
      </c>
      <c r="F35" s="63">
        <v>300</v>
      </c>
      <c r="G35" s="63">
        <v>361</v>
      </c>
      <c r="H35" s="63">
        <v>19686</v>
      </c>
      <c r="I35" s="62" t="s">
        <v>58</v>
      </c>
      <c r="J35" s="63">
        <v>21314</v>
      </c>
      <c r="K35" s="38" t="s">
        <v>53</v>
      </c>
      <c r="L35" s="90" t="str">
        <f>VLOOKUP(C35,'Trips&amp;Operators'!$C$1:$E$9999,3,0)</f>
        <v>BRUDER</v>
      </c>
      <c r="M35" s="9" t="s">
        <v>100</v>
      </c>
      <c r="N35" s="10"/>
      <c r="O35" s="38"/>
      <c r="P35" s="69" t="str">
        <f>VLOOKUP(C35,'Train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35" s="67" t="str">
        <f>VLOOKUP(C35,'Train Runs'!$A$13:$AE$840,22,0)</f>
        <v>https://search-rtdc-monitor-bjffxe2xuh6vdkpspy63sjmuny.us-east-1.es.amazonaws.com/_plugin/kibana/#/discover/Steve-Slow-Train-Analysis-(2080s-and-2083s)?_g=(refreshInterval:(display:Off,section:0,value:0),time:(from:'2016-07-25 15:55:29-0600',mode:absolute,to:'2016-07-25 18:17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35" s="68" t="str">
        <f t="shared" si="0"/>
        <v>"C:\Program Files (x86)\AstroGrep\AstroGrep.exe" /spath="C:\Users\stu\Documents\Analysis\2016-02-23 RTDC Observations" /stypes="*4031*20160725*" /stext=" 23:.+((prompt.+disp)|(slice.+state.+chan)|(ment ac)|(system.+state.+chan)|(\|lc)|(penalty)|(\[timeout))" /e /r /s</v>
      </c>
      <c r="S35" s="9" t="str">
        <f t="shared" si="1"/>
        <v>4031</v>
      </c>
      <c r="T35" s="45">
        <f t="shared" si="2"/>
        <v>42576.963020833333</v>
      </c>
      <c r="U35" s="66" t="str">
        <f t="shared" si="3"/>
        <v>NWGL</v>
      </c>
      <c r="V35" s="66" t="str">
        <f t="shared" si="4"/>
        <v>KEEP</v>
      </c>
    </row>
    <row r="36" spans="1:22" x14ac:dyDescent="0.25">
      <c r="A36" s="45">
        <v>42576.476030092592</v>
      </c>
      <c r="B36" s="62" t="s">
        <v>163</v>
      </c>
      <c r="C36" s="38" t="s">
        <v>595</v>
      </c>
      <c r="D36" s="38" t="s">
        <v>157</v>
      </c>
      <c r="E36" s="62" t="s">
        <v>57</v>
      </c>
      <c r="F36" s="63">
        <v>600</v>
      </c>
      <c r="G36" s="63">
        <v>652</v>
      </c>
      <c r="H36" s="63">
        <v>30793</v>
      </c>
      <c r="I36" s="62" t="s">
        <v>58</v>
      </c>
      <c r="J36" s="63">
        <v>37577</v>
      </c>
      <c r="K36" s="38" t="s">
        <v>54</v>
      </c>
      <c r="L36" s="90" t="str">
        <f>VLOOKUP(C36,'Trips&amp;Operators'!$C$1:$E$9999,3,0)</f>
        <v>ADANE</v>
      </c>
      <c r="M36" s="9" t="s">
        <v>100</v>
      </c>
      <c r="N36" s="10"/>
      <c r="O36" s="38"/>
      <c r="P36" s="69" t="str">
        <f>VLOOKUP(C36,'Train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36" s="67" t="str">
        <f>VLOOKUP(C36,'Train Runs'!$A$13:$AE$840,22,0)</f>
        <v>https://search-rtdc-monitor-bjffxe2xuh6vdkpspy63sjmuny.us-east-1.es.amazonaws.com/_plugin/kibana/#/discover/Steve-Slow-Train-Analysis-(2080s-and-2083s)?_g=(refreshInterval:(display:Off,section:0,value:0),time:(from:'2016-07-25 10:12:40-0600',mode:absolute,to:'2016-07-25 12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36" s="68" t="str">
        <f t="shared" si="0"/>
        <v>"C:\Program Files (x86)\AstroGrep\AstroGrep.exe" /spath="C:\Users\stu\Documents\Analysis\2016-02-23 RTDC Observations" /stypes="*4041*20160725*" /stext=" 17:.+((prompt.+disp)|(slice.+state.+chan)|(ment ac)|(system.+state.+chan)|(\|lc)|(penalty)|(\[timeout))" /e /r /s</v>
      </c>
      <c r="S36" s="9" t="str">
        <f t="shared" si="1"/>
        <v>4041</v>
      </c>
      <c r="T36" s="45">
        <f t="shared" si="2"/>
        <v>42576.726030092592</v>
      </c>
      <c r="U36" s="66" t="str">
        <f t="shared" si="3"/>
        <v>NWGL</v>
      </c>
      <c r="V36" s="66" t="str">
        <f t="shared" si="4"/>
        <v>KEEP</v>
      </c>
    </row>
    <row r="37" spans="1:22" x14ac:dyDescent="0.25">
      <c r="A37" s="45">
        <v>42576.549641203703</v>
      </c>
      <c r="B37" s="62" t="s">
        <v>353</v>
      </c>
      <c r="C37" s="38" t="s">
        <v>621</v>
      </c>
      <c r="D37" s="38" t="s">
        <v>50</v>
      </c>
      <c r="E37" s="62" t="s">
        <v>57</v>
      </c>
      <c r="F37" s="63">
        <v>150</v>
      </c>
      <c r="G37" s="63">
        <v>404</v>
      </c>
      <c r="H37" s="63">
        <v>55623</v>
      </c>
      <c r="I37" s="62" t="s">
        <v>58</v>
      </c>
      <c r="J37" s="63">
        <v>57008</v>
      </c>
      <c r="K37" s="38" t="s">
        <v>53</v>
      </c>
      <c r="L37" s="90" t="str">
        <f>VLOOKUP(C37,'Trips&amp;Operators'!$C$1:$E$9999,3,0)</f>
        <v>ROCHA</v>
      </c>
      <c r="M37" s="9" t="s">
        <v>100</v>
      </c>
      <c r="N37" s="10"/>
      <c r="O37" s="38"/>
      <c r="P37" s="69" t="str">
        <f>VLOOKUP(C37,'Train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37" s="67" t="str">
        <f>VLOOKUP(C37,'Train Runs'!$A$13:$AE$840,22,0)</f>
        <v>https://search-rtdc-monitor-bjffxe2xuh6vdkpspy63sjmuny.us-east-1.es.amazonaws.com/_plugin/kibana/#/discover/Steve-Slow-Train-Analysis-(2080s-and-2083s)?_g=(refreshInterval:(display:Off,section:0,value:0),time:(from:'2016-07-25 11:55:52-0600',mode:absolute,to:'2016-07-25 14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37" s="68" t="str">
        <f t="shared" si="0"/>
        <v>"C:\Program Files (x86)\AstroGrep\AstroGrep.exe" /spath="C:\Users\stu\Documents\Analysis\2016-02-23 RTDC Observations" /stypes="*4031*20160725*" /stext=" 19:.+((prompt.+disp)|(slice.+state.+chan)|(ment ac)|(system.+state.+chan)|(\|lc)|(penalty)|(\[timeout))" /e /r /s</v>
      </c>
      <c r="S37" s="9" t="str">
        <f t="shared" si="1"/>
        <v>4031</v>
      </c>
      <c r="T37" s="45">
        <f t="shared" si="2"/>
        <v>42576.799641203703</v>
      </c>
      <c r="U37" s="66" t="str">
        <f t="shared" si="3"/>
        <v>NWGL</v>
      </c>
      <c r="V37" s="66" t="str">
        <f t="shared" si="4"/>
        <v>KEEP</v>
      </c>
    </row>
    <row r="38" spans="1:22" ht="15" customHeight="1" x14ac:dyDescent="0.25">
      <c r="A38" s="45">
        <v>42576.606412037036</v>
      </c>
      <c r="B38" s="62" t="s">
        <v>110</v>
      </c>
      <c r="C38" s="38" t="s">
        <v>637</v>
      </c>
      <c r="D38" s="38" t="s">
        <v>50</v>
      </c>
      <c r="E38" s="62" t="s">
        <v>57</v>
      </c>
      <c r="F38" s="63">
        <v>150</v>
      </c>
      <c r="G38" s="63">
        <v>134</v>
      </c>
      <c r="H38" s="63">
        <v>56866</v>
      </c>
      <c r="I38" s="62" t="s">
        <v>58</v>
      </c>
      <c r="J38" s="63">
        <v>57008</v>
      </c>
      <c r="K38" s="38" t="s">
        <v>53</v>
      </c>
      <c r="L38" s="90" t="str">
        <f>VLOOKUP(C38,'Trips&amp;Operators'!$C$1:$E$9999,3,0)</f>
        <v>REBOLETTI</v>
      </c>
      <c r="M38" s="9" t="s">
        <v>100</v>
      </c>
      <c r="N38" s="10"/>
      <c r="O38" s="38"/>
      <c r="P38" s="69" t="str">
        <f>VLOOKUP(C38,'Train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38" s="67" t="str">
        <f>VLOOKUP(C38,'Train Runs'!$A$13:$AE$840,22,0)</f>
        <v>https://search-rtdc-monitor-bjffxe2xuh6vdkpspy63sjmuny.us-east-1.es.amazonaws.com/_plugin/kibana/#/discover/Steve-Slow-Train-Analysis-(2080s-and-2083s)?_g=(refreshInterval:(display:Off,section:0,value:0),time:(from:'2016-07-25 13:17:42-0600',mode:absolute,to:'2016-07-25 15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38" s="68" t="str">
        <f t="shared" si="0"/>
        <v>"C:\Program Files (x86)\AstroGrep\AstroGrep.exe" /spath="C:\Users\stu\Documents\Analysis\2016-02-23 RTDC Observations" /stypes="*4025*20160725*" /stext=" 20:.+((prompt.+disp)|(slice.+state.+chan)|(ment ac)|(system.+state.+chan)|(\|lc)|(penalty)|(\[timeout))" /e /r /s</v>
      </c>
      <c r="S38" s="9" t="str">
        <f t="shared" si="1"/>
        <v>4025</v>
      </c>
      <c r="T38" s="45">
        <f t="shared" si="2"/>
        <v>42576.856412037036</v>
      </c>
      <c r="U38" s="66" t="str">
        <f t="shared" si="3"/>
        <v>NWGL</v>
      </c>
      <c r="V38" s="66" t="str">
        <f t="shared" si="4"/>
        <v>KEEP</v>
      </c>
    </row>
    <row r="39" spans="1:22" ht="15" customHeight="1" x14ac:dyDescent="0.25">
      <c r="A39" s="45">
        <v>42576.444965277777</v>
      </c>
      <c r="B39" s="62" t="s">
        <v>78</v>
      </c>
      <c r="C39" s="38" t="s">
        <v>587</v>
      </c>
      <c r="D39" s="38" t="s">
        <v>50</v>
      </c>
      <c r="E39" s="62" t="s">
        <v>55</v>
      </c>
      <c r="F39" s="63">
        <v>0</v>
      </c>
      <c r="G39" s="63">
        <v>84</v>
      </c>
      <c r="H39" s="63">
        <v>1300</v>
      </c>
      <c r="I39" s="62" t="s">
        <v>56</v>
      </c>
      <c r="J39" s="63">
        <v>1725</v>
      </c>
      <c r="K39" s="38" t="s">
        <v>53</v>
      </c>
      <c r="L39" s="90" t="str">
        <f>VLOOKUP(C39,'Trips&amp;Operators'!$C$1:$E$9999,3,0)</f>
        <v>ADANE</v>
      </c>
      <c r="M39" s="9" t="s">
        <v>100</v>
      </c>
      <c r="N39" s="10"/>
      <c r="O39" s="38"/>
      <c r="P39" s="69" t="str">
        <f>VLOOKUP(C39,'Train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39" s="67" t="str">
        <f>VLOOKUP(C39,'Train Runs'!$A$13:$AE$840,22,0)</f>
        <v>https://search-rtdc-monitor-bjffxe2xuh6vdkpspy63sjmuny.us-east-1.es.amazonaws.com/_plugin/kibana/#/discover/Steve-Slow-Train-Analysis-(2080s-and-2083s)?_g=(refreshInterval:(display:Off,section:0,value:0),time:(from:'2016-07-25 09:19:55-0600',mode:absolute,to:'2016-07-25 11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39" s="68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/stypes="*4042*20160725*" /stext=" 16:.+((prompt.+disp)|(slice.+state.+chan)|(ment ac)|(system.+state.+chan)|(\|lc)|(penalty)|(\[timeout))" /e /r /s</v>
      </c>
      <c r="S39" s="9" t="str">
        <f t="shared" ref="S39:S75" si="6">MID(B39,13,4)</f>
        <v>4042</v>
      </c>
      <c r="T39" s="45">
        <f t="shared" ref="T39:T75" si="7">A39+6/24</f>
        <v>42576.694965277777</v>
      </c>
      <c r="U39" s="66" t="str">
        <f t="shared" ref="U39:U75" si="8">IF(VALUE(LEFT(IF(LEN(C39)=6,"0"&amp;C39,C39),4))&lt;300,"EC","NWGL")</f>
        <v>NWGL</v>
      </c>
      <c r="V39" s="66" t="str">
        <f t="shared" ref="V39:V75" si="9">IF(AND(E39="TRACK WARRANT AUTHORITY",G39&lt;10),"OMIT","KEEP")</f>
        <v>KEEP</v>
      </c>
    </row>
    <row r="40" spans="1:22" x14ac:dyDescent="0.25">
      <c r="A40" s="45">
        <v>42576.584548611114</v>
      </c>
      <c r="B40" s="62" t="s">
        <v>353</v>
      </c>
      <c r="C40" s="38" t="s">
        <v>631</v>
      </c>
      <c r="D40" s="38" t="s">
        <v>50</v>
      </c>
      <c r="E40" s="62" t="s">
        <v>55</v>
      </c>
      <c r="F40" s="63">
        <v>0</v>
      </c>
      <c r="G40" s="63">
        <v>122</v>
      </c>
      <c r="H40" s="63">
        <v>1217</v>
      </c>
      <c r="I40" s="62" t="s">
        <v>56</v>
      </c>
      <c r="J40" s="63">
        <v>1725</v>
      </c>
      <c r="K40" s="38" t="s">
        <v>53</v>
      </c>
      <c r="L40" s="90" t="str">
        <f>VLOOKUP(C40,'Trips&amp;Operators'!$C$1:$E$9999,3,0)</f>
        <v>ROCHA</v>
      </c>
      <c r="M40" s="9" t="s">
        <v>100</v>
      </c>
      <c r="N40" s="10"/>
      <c r="O40" s="38"/>
      <c r="P40" s="69" t="str">
        <f>VLOOKUP(C40,'Train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40" s="67" t="str">
        <f>VLOOKUP(C40,'Train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12:54:45-0600',mode:absolute,to:'2016-07-25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40" s="68" t="str">
        <f t="shared" si="5"/>
        <v>"C:\Program Files (x86)\AstroGrep\AstroGrep.exe" /spath="C:\Users\stu\Documents\Analysis\2016-02-23 RTDC Observations" /stypes="*4031*20160725*" /stext=" 20:.+((prompt.+disp)|(slice.+state.+chan)|(ment ac)|(system.+state.+chan)|(\|lc)|(penalty)|(\[timeout))" /e /r /s</v>
      </c>
      <c r="S40" s="9" t="str">
        <f t="shared" si="6"/>
        <v>4031</v>
      </c>
      <c r="T40" s="45">
        <f t="shared" si="7"/>
        <v>42576.834548611114</v>
      </c>
      <c r="U40" s="66" t="str">
        <f t="shared" si="8"/>
        <v>NWGL</v>
      </c>
      <c r="V40" s="66" t="str">
        <f t="shared" si="9"/>
        <v>KEEP</v>
      </c>
    </row>
    <row r="41" spans="1:22" ht="15" customHeight="1" x14ac:dyDescent="0.25">
      <c r="A41" s="45">
        <v>42576.876631944448</v>
      </c>
      <c r="B41" s="62" t="s">
        <v>353</v>
      </c>
      <c r="C41" s="38" t="s">
        <v>732</v>
      </c>
      <c r="D41" s="38" t="s">
        <v>157</v>
      </c>
      <c r="E41" s="62" t="s">
        <v>55</v>
      </c>
      <c r="F41" s="63">
        <v>0</v>
      </c>
      <c r="G41" s="63">
        <v>6</v>
      </c>
      <c r="H41" s="63">
        <v>1813</v>
      </c>
      <c r="I41" s="62" t="s">
        <v>56</v>
      </c>
      <c r="J41" s="63">
        <v>1725</v>
      </c>
      <c r="K41" s="38" t="s">
        <v>53</v>
      </c>
      <c r="L41" s="90" t="str">
        <f>VLOOKUP(C41,'Trips&amp;Operators'!$C$1:$E$9999,3,0)</f>
        <v>BRUDER</v>
      </c>
      <c r="M41" s="9" t="s">
        <v>100</v>
      </c>
      <c r="N41" s="10"/>
      <c r="O41" s="38"/>
      <c r="P41" s="69" t="str">
        <f>VLOOKUP(C41,'Train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41" s="67" t="str">
        <f>VLOOKUP(C41,'Train Runs'!$A$13:$AE$840,22,0)</f>
        <v>https://search-rtdc-monitor-bjffxe2xuh6vdkpspy63sjmuny.us-east-1.es.amazonaws.com/_plugin/kibana/#/discover/Steve-Slow-Train-Analysis-(2080s-and-2083s)?_g=(refreshInterval:(display:Off,section:0,value:0),time:(from:'2016-07-25 19:56:41-0600',mode:absolute,to:'2016-07-25 22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41" s="68" t="str">
        <f t="shared" si="5"/>
        <v>"C:\Program Files (x86)\AstroGrep\AstroGrep.exe" /spath="C:\Users\stu\Documents\Analysis\2016-02-23 RTDC Observations" /stypes="*4031*20160726*" /stext=" 03:.+((prompt.+disp)|(slice.+state.+chan)|(ment ac)|(system.+state.+chan)|(\|lc)|(penalty)|(\[timeout))" /e /r /s</v>
      </c>
      <c r="S41" s="9" t="str">
        <f t="shared" si="6"/>
        <v>4031</v>
      </c>
      <c r="T41" s="45">
        <f t="shared" si="7"/>
        <v>42577.126631944448</v>
      </c>
      <c r="U41" s="66" t="str">
        <f t="shared" si="8"/>
        <v>NWGL</v>
      </c>
      <c r="V41" s="66" t="str">
        <f t="shared" si="9"/>
        <v>KEEP</v>
      </c>
    </row>
    <row r="42" spans="1:22" x14ac:dyDescent="0.25">
      <c r="A42" s="45">
        <v>42576.639837962961</v>
      </c>
      <c r="B42" s="62" t="s">
        <v>110</v>
      </c>
      <c r="C42" s="38" t="s">
        <v>651</v>
      </c>
      <c r="D42" s="38" t="s">
        <v>50</v>
      </c>
      <c r="E42" s="62" t="s">
        <v>55</v>
      </c>
      <c r="F42" s="63">
        <v>0</v>
      </c>
      <c r="G42" s="63">
        <v>140</v>
      </c>
      <c r="H42" s="63">
        <v>2214</v>
      </c>
      <c r="I42" s="62" t="s">
        <v>56</v>
      </c>
      <c r="J42" s="63">
        <v>2808</v>
      </c>
      <c r="K42" s="38" t="s">
        <v>53</v>
      </c>
      <c r="L42" s="90" t="str">
        <f>VLOOKUP(C42,'Trips&amp;Operators'!$C$1:$E$9999,3,0)</f>
        <v>COOLAHAN</v>
      </c>
      <c r="M42" s="9" t="s">
        <v>100</v>
      </c>
      <c r="N42" s="10"/>
      <c r="O42" s="38"/>
      <c r="P42" s="69" t="str">
        <f>VLOOKUP(C42,'Train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42" s="67" t="str">
        <f>VLOOKUP(C42,'Train Runs'!$A$13:$AE$840,22,0)</f>
        <v>https://search-rtdc-monitor-bjffxe2xuh6vdkpspy63sjmuny.us-east-1.es.amazonaws.com/_plugin/kibana/#/discover/Steve-Slow-Train-Analysis-(2080s-and-2083s)?_g=(refreshInterval:(display:Off,section:0,value:0),time:(from:'2016-07-25 14:15:25-0600',mode:absolute,to:'2016-07-25 16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42" s="68" t="str">
        <f t="shared" si="5"/>
        <v>"C:\Program Files (x86)\AstroGrep\AstroGrep.exe" /spath="C:\Users\stu\Documents\Analysis\2016-02-23 RTDC Observations" /stypes="*4025*20160725*" /stext=" 21:.+((prompt.+disp)|(slice.+state.+chan)|(ment ac)|(system.+state.+chan)|(\|lc)|(penalty)|(\[timeout))" /e /r /s</v>
      </c>
      <c r="S42" s="9" t="str">
        <f t="shared" si="6"/>
        <v>4025</v>
      </c>
      <c r="T42" s="45">
        <f t="shared" si="7"/>
        <v>42576.889837962961</v>
      </c>
      <c r="U42" s="66" t="str">
        <f t="shared" si="8"/>
        <v>NWGL</v>
      </c>
      <c r="V42" s="66" t="str">
        <f t="shared" si="9"/>
        <v>KEEP</v>
      </c>
    </row>
    <row r="43" spans="1:22" ht="15" customHeight="1" x14ac:dyDescent="0.25">
      <c r="A43" s="45">
        <v>42576.492303240739</v>
      </c>
      <c r="B43" s="62" t="s">
        <v>354</v>
      </c>
      <c r="C43" s="38" t="s">
        <v>601</v>
      </c>
      <c r="D43" s="38" t="s">
        <v>50</v>
      </c>
      <c r="E43" s="62" t="s">
        <v>55</v>
      </c>
      <c r="F43" s="63">
        <v>0</v>
      </c>
      <c r="G43" s="63">
        <v>285</v>
      </c>
      <c r="H43" s="63">
        <v>9517</v>
      </c>
      <c r="I43" s="62" t="s">
        <v>56</v>
      </c>
      <c r="J43" s="63">
        <v>9500</v>
      </c>
      <c r="K43" s="38" t="s">
        <v>54</v>
      </c>
      <c r="L43" s="90" t="str">
        <f>VLOOKUP(C43,'Trips&amp;Operators'!$C$1:$E$9999,3,0)</f>
        <v>ROCHA</v>
      </c>
      <c r="M43" s="9" t="s">
        <v>100</v>
      </c>
      <c r="N43" s="10"/>
      <c r="O43" s="38"/>
      <c r="P43" s="69" t="str">
        <f>VLOOKUP(C43,'Train Runs'!$A$13:$AE$840,31,0)</f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Q43" s="67" t="str">
        <f>VLOOKUP(C43,'Train Runs'!$A$13:$AE$840,22,0)</f>
        <v>https://search-rtdc-monitor-bjffxe2xuh6vdkpspy63sjmuny.us-east-1.es.amazonaws.com/_plugin/kibana/#/discover/Steve-Slow-Train-Analysis-(2080s-and-2083s)?_g=(refreshInterval:(display:Off,section:0,value:0),time:(from:'2016-07-25 10:33:31-0600',mode:absolute,to:'2016-07-25 12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R43" s="68" t="str">
        <f t="shared" si="5"/>
        <v>"C:\Program Files (x86)\AstroGrep\AstroGrep.exe" /spath="C:\Users\stu\Documents\Analysis\2016-02-23 RTDC Observations" /stypes="*4032*20160725*" /stext=" 17:.+((prompt.+disp)|(slice.+state.+chan)|(ment ac)|(system.+state.+chan)|(\|lc)|(penalty)|(\[timeout))" /e /r /s</v>
      </c>
      <c r="S43" s="9" t="str">
        <f t="shared" si="6"/>
        <v>4032</v>
      </c>
      <c r="T43" s="45">
        <f t="shared" si="7"/>
        <v>42576.742303240739</v>
      </c>
      <c r="U43" s="66" t="str">
        <f t="shared" si="8"/>
        <v>NWGL</v>
      </c>
      <c r="V43" s="66" t="str">
        <f t="shared" si="9"/>
        <v>KEEP</v>
      </c>
    </row>
    <row r="44" spans="1:22" x14ac:dyDescent="0.25">
      <c r="A44" s="45">
        <v>42576.518530092595</v>
      </c>
      <c r="B44" s="62" t="s">
        <v>163</v>
      </c>
      <c r="C44" s="38" t="s">
        <v>612</v>
      </c>
      <c r="D44" s="38" t="s">
        <v>157</v>
      </c>
      <c r="E44" s="62" t="s">
        <v>55</v>
      </c>
      <c r="F44" s="63">
        <v>0</v>
      </c>
      <c r="G44" s="63">
        <v>6</v>
      </c>
      <c r="H44" s="63">
        <v>23671</v>
      </c>
      <c r="I44" s="62" t="s">
        <v>56</v>
      </c>
      <c r="J44" s="63">
        <v>24193</v>
      </c>
      <c r="K44" s="38" t="s">
        <v>54</v>
      </c>
      <c r="L44" s="90" t="str">
        <f>VLOOKUP(C44,'Trips&amp;Operators'!$C$1:$E$9999,3,0)</f>
        <v>ADANE</v>
      </c>
      <c r="M44" s="9" t="s">
        <v>100</v>
      </c>
      <c r="N44" s="10"/>
      <c r="O44" s="38"/>
      <c r="P44" s="69" t="str">
        <f>VLOOKUP(C44,'Train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44" s="67" t="str">
        <f>VLOOKUP(C44,'Train Runs'!$A$13:$AE$840,22,0)</f>
        <v>https://search-rtdc-monitor-bjffxe2xuh6vdkpspy63sjmuny.us-east-1.es.amazonaws.com/_plugin/kibana/#/discover/Steve-Slow-Train-Analysis-(2080s-and-2083s)?_g=(refreshInterval:(display:Off,section:0,value:0),time:(from:'2016-07-25 11:09:14-0600',mode:absolute,to:'2016-07-25 13:26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44" s="68" t="str">
        <f t="shared" si="5"/>
        <v>"C:\Program Files (x86)\AstroGrep\AstroGrep.exe" /spath="C:\Users\stu\Documents\Analysis\2016-02-23 RTDC Observations" /stypes="*4041*20160725*" /stext=" 18:.+((prompt.+disp)|(slice.+state.+chan)|(ment ac)|(system.+state.+chan)|(\|lc)|(penalty)|(\[timeout))" /e /r /s</v>
      </c>
      <c r="S44" s="9" t="str">
        <f t="shared" si="6"/>
        <v>4041</v>
      </c>
      <c r="T44" s="45">
        <f t="shared" si="7"/>
        <v>42576.768530092595</v>
      </c>
      <c r="U44" s="66" t="str">
        <f t="shared" si="8"/>
        <v>NWGL</v>
      </c>
      <c r="V44" s="66" t="str">
        <f t="shared" si="9"/>
        <v>KEEP</v>
      </c>
    </row>
    <row r="45" spans="1:22" ht="15" customHeight="1" x14ac:dyDescent="0.25">
      <c r="A45" s="45">
        <v>42576.617349537039</v>
      </c>
      <c r="B45" s="62" t="s">
        <v>78</v>
      </c>
      <c r="C45" s="38" t="s">
        <v>644</v>
      </c>
      <c r="D45" s="38" t="s">
        <v>50</v>
      </c>
      <c r="E45" s="62" t="s">
        <v>55</v>
      </c>
      <c r="F45" s="63">
        <v>0</v>
      </c>
      <c r="G45" s="63">
        <v>370</v>
      </c>
      <c r="H45" s="63">
        <v>35838</v>
      </c>
      <c r="I45" s="62" t="s">
        <v>56</v>
      </c>
      <c r="J45" s="63">
        <v>37602</v>
      </c>
      <c r="K45" s="38" t="s">
        <v>53</v>
      </c>
      <c r="L45" s="90" t="str">
        <f>VLOOKUP(C45,'Trips&amp;Operators'!$C$1:$E$9999,3,0)</f>
        <v>ADANE</v>
      </c>
      <c r="M45" s="9" t="s">
        <v>100</v>
      </c>
      <c r="N45" s="10"/>
      <c r="O45" s="38"/>
      <c r="P45" s="69" t="str">
        <f>VLOOKUP(C45,'Train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45" s="67" t="str">
        <f>VLOOKUP(C45,'Train Runs'!$A$13:$AE$840,22,0)</f>
        <v>https://search-rtdc-monitor-bjffxe2xuh6vdkpspy63sjmuny.us-east-1.es.amazonaws.com/_plugin/kibana/#/discover/Steve-Slow-Train-Analysis-(2080s-and-2083s)?_g=(refreshInterval:(display:Off,section:0,value:0),time:(from:'2016-07-25 13:35:58-0600',mode:absolute,to:'2016-07-25 15:54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45" s="68" t="str">
        <f t="shared" si="5"/>
        <v>"C:\Program Files (x86)\AstroGrep\AstroGrep.exe" /spath="C:\Users\stu\Documents\Analysis\2016-02-23 RTDC Observations" /stypes="*4042*20160725*" /stext=" 20:.+((prompt.+disp)|(slice.+state.+chan)|(ment ac)|(system.+state.+chan)|(\|lc)|(penalty)|(\[timeout))" /e /r /s</v>
      </c>
      <c r="S45" s="9" t="str">
        <f t="shared" si="6"/>
        <v>4042</v>
      </c>
      <c r="T45" s="45">
        <f t="shared" si="7"/>
        <v>42576.867349537039</v>
      </c>
      <c r="U45" s="66" t="str">
        <f t="shared" si="8"/>
        <v>NWGL</v>
      </c>
      <c r="V45" s="66" t="str">
        <f t="shared" si="9"/>
        <v>KEEP</v>
      </c>
    </row>
    <row r="46" spans="1:22" x14ac:dyDescent="0.25">
      <c r="A46" s="45">
        <v>42576.875648148147</v>
      </c>
      <c r="B46" s="62" t="s">
        <v>353</v>
      </c>
      <c r="C46" s="38" t="s">
        <v>732</v>
      </c>
      <c r="D46" s="38" t="s">
        <v>50</v>
      </c>
      <c r="E46" s="62" t="s">
        <v>758</v>
      </c>
      <c r="F46" s="63">
        <v>0</v>
      </c>
      <c r="G46" s="63">
        <v>126</v>
      </c>
      <c r="H46" s="63">
        <v>1609</v>
      </c>
      <c r="I46" s="62" t="s">
        <v>759</v>
      </c>
      <c r="J46" s="63">
        <v>1925</v>
      </c>
      <c r="K46" s="38" t="s">
        <v>53</v>
      </c>
      <c r="L46" s="90" t="str">
        <f>VLOOKUP(C46,'Trips&amp;Operators'!$C$1:$E$9999,3,0)</f>
        <v>BRUDER</v>
      </c>
      <c r="M46" s="9" t="s">
        <v>100</v>
      </c>
      <c r="N46" s="10"/>
      <c r="O46" s="38"/>
      <c r="P46" s="69" t="str">
        <f>VLOOKUP(C46,'Train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46" s="67" t="str">
        <f>VLOOKUP(C46,'Train Runs'!$A$13:$AE$840,22,0)</f>
        <v>https://search-rtdc-monitor-bjffxe2xuh6vdkpspy63sjmuny.us-east-1.es.amazonaws.com/_plugin/kibana/#/discover/Steve-Slow-Train-Analysis-(2080s-and-2083s)?_g=(refreshInterval:(display:Off,section:0,value:0),time:(from:'2016-07-25 19:56:41-0600',mode:absolute,to:'2016-07-25 22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46" s="68" t="str">
        <f t="shared" si="5"/>
        <v>"C:\Program Files (x86)\AstroGrep\AstroGrep.exe" /spath="C:\Users\stu\Documents\Analysis\2016-02-23 RTDC Observations" /stypes="*4031*20160726*" /stext=" 03:.+((prompt.+disp)|(slice.+state.+chan)|(ment ac)|(system.+state.+chan)|(\|lc)|(penalty)|(\[timeout))" /e /r /s</v>
      </c>
      <c r="S46" s="9" t="str">
        <f t="shared" si="6"/>
        <v>4031</v>
      </c>
      <c r="T46" s="45">
        <f t="shared" si="7"/>
        <v>42577.125648148147</v>
      </c>
      <c r="U46" s="66" t="str">
        <f t="shared" si="8"/>
        <v>NWGL</v>
      </c>
      <c r="V46" s="66" t="str">
        <f t="shared" si="9"/>
        <v>KEEP</v>
      </c>
    </row>
    <row r="47" spans="1:22" ht="15" customHeight="1" x14ac:dyDescent="0.25">
      <c r="A47" s="45">
        <v>42576.503738425927</v>
      </c>
      <c r="B47" s="62" t="s">
        <v>108</v>
      </c>
      <c r="C47" s="38" t="s">
        <v>606</v>
      </c>
      <c r="D47" s="38" t="s">
        <v>50</v>
      </c>
      <c r="E47" s="62" t="s">
        <v>758</v>
      </c>
      <c r="F47" s="63">
        <v>0</v>
      </c>
      <c r="G47" s="63">
        <v>608</v>
      </c>
      <c r="H47" s="63">
        <v>28105</v>
      </c>
      <c r="I47" s="62" t="s">
        <v>759</v>
      </c>
      <c r="J47" s="63">
        <v>24193</v>
      </c>
      <c r="K47" s="38" t="s">
        <v>54</v>
      </c>
      <c r="L47" s="90" t="str">
        <f>VLOOKUP(C47,'Trips&amp;Operators'!$C$1:$E$9999,3,0)</f>
        <v>REBOLETTI</v>
      </c>
      <c r="M47" s="9" t="s">
        <v>100</v>
      </c>
      <c r="N47" s="10"/>
      <c r="O47" s="38"/>
      <c r="P47" s="69" t="str">
        <f>VLOOKUP(C47,'Train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47" s="67" t="str">
        <f>VLOOKUP(C47,'Train Runs'!$A$13:$AE$840,22,0)</f>
        <v>https://search-rtdc-monitor-bjffxe2xuh6vdkpspy63sjmuny.us-east-1.es.amazonaws.com/_plugin/kibana/#/discover/Steve-Slow-Train-Analysis-(2080s-and-2083s)?_g=(refreshInterval:(display:Off,section:0,value:0),time:(from:'2016-07-25 10:46:02-0600',mode:absolute,to:'2016-07-25 13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47" s="68" t="str">
        <f t="shared" si="5"/>
        <v>"C:\Program Files (x86)\AstroGrep\AstroGrep.exe" /spath="C:\Users\stu\Documents\Analysis\2016-02-23 RTDC Observations" /stypes="*4026*20160725*" /stext=" 18:.+((prompt.+disp)|(slice.+state.+chan)|(ment ac)|(system.+state.+chan)|(\|lc)|(penalty)|(\[timeout))" /e /r /s</v>
      </c>
      <c r="S47" s="9" t="str">
        <f t="shared" si="6"/>
        <v>4026</v>
      </c>
      <c r="T47" s="45">
        <f t="shared" si="7"/>
        <v>42576.753738425927</v>
      </c>
      <c r="U47" s="66" t="str">
        <f t="shared" si="8"/>
        <v>NWGL</v>
      </c>
      <c r="V47" s="66" t="str">
        <f t="shared" si="9"/>
        <v>KEEP</v>
      </c>
    </row>
    <row r="48" spans="1:22" x14ac:dyDescent="0.25">
      <c r="A48" s="45">
        <v>42576.517974537041</v>
      </c>
      <c r="B48" s="62" t="s">
        <v>163</v>
      </c>
      <c r="C48" s="38" t="s">
        <v>612</v>
      </c>
      <c r="D48" s="38" t="s">
        <v>50</v>
      </c>
      <c r="E48" s="62" t="s">
        <v>758</v>
      </c>
      <c r="F48" s="63">
        <v>0</v>
      </c>
      <c r="G48" s="63">
        <v>299</v>
      </c>
      <c r="H48" s="63">
        <v>24352</v>
      </c>
      <c r="I48" s="62" t="s">
        <v>759</v>
      </c>
      <c r="J48" s="63">
        <v>24193</v>
      </c>
      <c r="K48" s="38" t="s">
        <v>54</v>
      </c>
      <c r="L48" s="90" t="str">
        <f>VLOOKUP(C48,'Trips&amp;Operators'!$C$1:$E$9999,3,0)</f>
        <v>ADANE</v>
      </c>
      <c r="M48" s="9" t="s">
        <v>100</v>
      </c>
      <c r="N48" s="10"/>
      <c r="O48" s="38"/>
      <c r="P48" s="69" t="str">
        <f>VLOOKUP(C48,'Train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48" s="67" t="str">
        <f>VLOOKUP(C48,'Train Runs'!$A$13:$AE$840,22,0)</f>
        <v>https://search-rtdc-monitor-bjffxe2xuh6vdkpspy63sjmuny.us-east-1.es.amazonaws.com/_plugin/kibana/#/discover/Steve-Slow-Train-Analysis-(2080s-and-2083s)?_g=(refreshInterval:(display:Off,section:0,value:0),time:(from:'2016-07-25 11:09:14-0600',mode:absolute,to:'2016-07-25 13:26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48" s="68" t="str">
        <f t="shared" si="5"/>
        <v>"C:\Program Files (x86)\AstroGrep\AstroGrep.exe" /spath="C:\Users\stu\Documents\Analysis\2016-02-23 RTDC Observations" /stypes="*4041*20160725*" /stext=" 18:.+((prompt.+disp)|(slice.+state.+chan)|(ment ac)|(system.+state.+chan)|(\|lc)|(penalty)|(\[timeout))" /e /r /s</v>
      </c>
      <c r="S48" s="9" t="str">
        <f t="shared" si="6"/>
        <v>4041</v>
      </c>
      <c r="T48" s="45">
        <f t="shared" si="7"/>
        <v>42576.767974537041</v>
      </c>
      <c r="U48" s="66" t="str">
        <f t="shared" si="8"/>
        <v>NWGL</v>
      </c>
      <c r="V48" s="66" t="str">
        <f t="shared" si="9"/>
        <v>KEEP</v>
      </c>
    </row>
    <row r="49" spans="1:22" x14ac:dyDescent="0.25">
      <c r="A49" s="45">
        <v>42576.648553240739</v>
      </c>
      <c r="B49" s="62" t="s">
        <v>163</v>
      </c>
      <c r="C49" s="38" t="s">
        <v>650</v>
      </c>
      <c r="D49" s="38" t="s">
        <v>50</v>
      </c>
      <c r="E49" s="62" t="s">
        <v>352</v>
      </c>
      <c r="F49" s="63">
        <v>100</v>
      </c>
      <c r="G49" s="63">
        <v>299</v>
      </c>
      <c r="H49" s="63">
        <v>12165</v>
      </c>
      <c r="I49" s="62" t="s">
        <v>143</v>
      </c>
      <c r="J49" s="63">
        <v>11000</v>
      </c>
      <c r="K49" s="38" t="s">
        <v>54</v>
      </c>
      <c r="L49" s="90" t="str">
        <f>VLOOKUP(C49,'Trips&amp;Operators'!$C$1:$E$9999,3,0)</f>
        <v>ADANE</v>
      </c>
      <c r="M49" s="9" t="s">
        <v>100</v>
      </c>
      <c r="N49" s="10"/>
      <c r="O49" s="38"/>
      <c r="P49" s="69" t="str">
        <f>VLOOKUP(C49,'Train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49" s="67" t="str">
        <f>VLOOKUP(C49,'Train Runs'!$A$13:$AE$840,22,0)</f>
        <v>https://search-rtdc-monitor-bjffxe2xuh6vdkpspy63sjmuny.us-east-1.es.amazonaws.com/_plugin/kibana/#/discover/Steve-Slow-Train-Analysis-(2080s-and-2083s)?_g=(refreshInterval:(display:Off,section:0,value:0),time:(from:'2016-07-25 14:13:35-0600',mode:absolute,to:'2016-07-25 16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49" s="68" t="str">
        <f t="shared" si="5"/>
        <v>"C:\Program Files (x86)\AstroGrep\AstroGrep.exe" /spath="C:\Users\stu\Documents\Analysis\2016-02-23 RTDC Observations" /stypes="*4041*20160725*" /stext=" 21:.+((prompt.+disp)|(slice.+state.+chan)|(ment ac)|(system.+state.+chan)|(\|lc)|(penalty)|(\[timeout))" /e /r /s</v>
      </c>
      <c r="S49" s="9" t="str">
        <f t="shared" si="6"/>
        <v>4041</v>
      </c>
      <c r="T49" s="45">
        <f t="shared" si="7"/>
        <v>42576.898553240739</v>
      </c>
      <c r="U49" s="66" t="str">
        <f t="shared" si="8"/>
        <v>NWGL</v>
      </c>
      <c r="V49" s="66" t="str">
        <f t="shared" si="9"/>
        <v>KEEP</v>
      </c>
    </row>
    <row r="50" spans="1:22" ht="15" customHeight="1" x14ac:dyDescent="0.25">
      <c r="A50" s="45">
        <v>42576.714409722219</v>
      </c>
      <c r="B50" s="62" t="s">
        <v>108</v>
      </c>
      <c r="C50" s="38" t="s">
        <v>673</v>
      </c>
      <c r="D50" s="38" t="s">
        <v>50</v>
      </c>
      <c r="E50" s="62" t="s">
        <v>352</v>
      </c>
      <c r="F50" s="63">
        <v>100</v>
      </c>
      <c r="G50" s="63">
        <v>129</v>
      </c>
      <c r="H50" s="63">
        <v>11447</v>
      </c>
      <c r="I50" s="62" t="s">
        <v>143</v>
      </c>
      <c r="J50" s="63">
        <v>11000</v>
      </c>
      <c r="K50" s="38" t="s">
        <v>54</v>
      </c>
      <c r="L50" s="90" t="str">
        <f>VLOOKUP(C50,'Trips&amp;Operators'!$C$1:$E$9999,3,0)</f>
        <v>COOLAHAN</v>
      </c>
      <c r="M50" s="9" t="s">
        <v>100</v>
      </c>
      <c r="N50" s="10"/>
      <c r="O50" s="38"/>
      <c r="P50" s="69" t="str">
        <f>VLOOKUP(C50,'Train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0" s="67" t="str">
        <f>VLOOKUP(C50,'Train Runs'!$A$13:$AE$840,22,0)</f>
        <v>https://search-rtdc-monitor-bjffxe2xuh6vdkpspy63sjmuny.us-east-1.es.amazonaws.com/_plugin/kibana/#/discover/Steve-Slow-Train-Analysis-(2080s-and-2083s)?_g=(refreshInterval:(display:Off,section:0,value:0),time:(from:'2016-07-25 15:50:02-0600',mode:absolute,to:'2016-07-25 18:15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0" s="68" t="str">
        <f t="shared" si="5"/>
        <v>"C:\Program Files (x86)\AstroGrep\AstroGrep.exe" /spath="C:\Users\stu\Documents\Analysis\2016-02-23 RTDC Observations" /stypes="*4026*20160725*" /stext=" 23:.+((prompt.+disp)|(slice.+state.+chan)|(ment ac)|(system.+state.+chan)|(\|lc)|(penalty)|(\[timeout))" /e /r /s</v>
      </c>
      <c r="S50" s="9" t="str">
        <f t="shared" si="6"/>
        <v>4026</v>
      </c>
      <c r="T50" s="45">
        <f t="shared" si="7"/>
        <v>42576.964409722219</v>
      </c>
      <c r="U50" s="66" t="str">
        <f t="shared" si="8"/>
        <v>NWGL</v>
      </c>
      <c r="V50" s="66" t="str">
        <f t="shared" si="9"/>
        <v>KEEP</v>
      </c>
    </row>
    <row r="51" spans="1:22" ht="15" customHeight="1" x14ac:dyDescent="0.25">
      <c r="A51" s="45">
        <v>42576.715069444443</v>
      </c>
      <c r="B51" s="62" t="s">
        <v>108</v>
      </c>
      <c r="C51" s="38" t="s">
        <v>673</v>
      </c>
      <c r="D51" s="38" t="s">
        <v>50</v>
      </c>
      <c r="E51" s="62" t="s">
        <v>352</v>
      </c>
      <c r="F51" s="63">
        <v>100</v>
      </c>
      <c r="G51" s="63">
        <v>119</v>
      </c>
      <c r="H51" s="63">
        <v>11004</v>
      </c>
      <c r="I51" s="62" t="s">
        <v>143</v>
      </c>
      <c r="J51" s="63">
        <v>11000</v>
      </c>
      <c r="K51" s="38" t="s">
        <v>54</v>
      </c>
      <c r="L51" s="90" t="str">
        <f>VLOOKUP(C51,'Trips&amp;Operators'!$C$1:$E$9999,3,0)</f>
        <v>COOLAHAN</v>
      </c>
      <c r="M51" s="9" t="s">
        <v>100</v>
      </c>
      <c r="N51" s="10"/>
      <c r="O51" s="38"/>
      <c r="P51" s="69" t="str">
        <f>VLOOKUP(C51,'Train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1" s="67" t="str">
        <f>VLOOKUP(C51,'Train Runs'!$A$13:$AE$840,22,0)</f>
        <v>https://search-rtdc-monitor-bjffxe2xuh6vdkpspy63sjmuny.us-east-1.es.amazonaws.com/_plugin/kibana/#/discover/Steve-Slow-Train-Analysis-(2080s-and-2083s)?_g=(refreshInterval:(display:Off,section:0,value:0),time:(from:'2016-07-25 15:50:02-0600',mode:absolute,to:'2016-07-25 18:15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1" s="68" t="str">
        <f t="shared" si="5"/>
        <v>"C:\Program Files (x86)\AstroGrep\AstroGrep.exe" /spath="C:\Users\stu\Documents\Analysis\2016-02-23 RTDC Observations" /stypes="*4026*20160725*" /stext=" 23:.+((prompt.+disp)|(slice.+state.+chan)|(ment ac)|(system.+state.+chan)|(\|lc)|(penalty)|(\[timeout))" /e /r /s</v>
      </c>
      <c r="S51" s="9" t="str">
        <f t="shared" si="6"/>
        <v>4026</v>
      </c>
      <c r="T51" s="45">
        <f t="shared" si="7"/>
        <v>42576.965069444443</v>
      </c>
      <c r="U51" s="66" t="str">
        <f t="shared" si="8"/>
        <v>NWGL</v>
      </c>
      <c r="V51" s="66" t="str">
        <f t="shared" si="9"/>
        <v>KEEP</v>
      </c>
    </row>
    <row r="52" spans="1:22" ht="15" customHeight="1" x14ac:dyDescent="0.25">
      <c r="A52" s="45">
        <v>42576.481678240743</v>
      </c>
      <c r="B52" s="62" t="s">
        <v>163</v>
      </c>
      <c r="C52" s="38" t="s">
        <v>595</v>
      </c>
      <c r="D52" s="38" t="s">
        <v>157</v>
      </c>
      <c r="E52" s="62" t="s">
        <v>51</v>
      </c>
      <c r="F52" s="63">
        <v>0</v>
      </c>
      <c r="G52" s="63">
        <v>12</v>
      </c>
      <c r="H52" s="63">
        <v>574</v>
      </c>
      <c r="I52" s="62" t="s">
        <v>52</v>
      </c>
      <c r="J52" s="63">
        <v>575</v>
      </c>
      <c r="K52" s="38" t="s">
        <v>54</v>
      </c>
      <c r="L52" s="90" t="str">
        <f>VLOOKUP(C52,'Trips&amp;Operators'!$C$1:$E$9999,3,0)</f>
        <v>ADANE</v>
      </c>
      <c r="M52" s="9" t="s">
        <v>100</v>
      </c>
      <c r="N52" s="10"/>
      <c r="O52" s="38"/>
      <c r="P52" s="69" t="str">
        <f>VLOOKUP(C52,'Train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52" s="67" t="str">
        <f>VLOOKUP(C52,'Train Runs'!$A$13:$AE$840,22,0)</f>
        <v>https://search-rtdc-monitor-bjffxe2xuh6vdkpspy63sjmuny.us-east-1.es.amazonaws.com/_plugin/kibana/#/discover/Steve-Slow-Train-Analysis-(2080s-and-2083s)?_g=(refreshInterval:(display:Off,section:0,value:0),time:(from:'2016-07-25 10:12:40-0600',mode:absolute,to:'2016-07-25 12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52" s="68" t="str">
        <f t="shared" si="5"/>
        <v>"C:\Program Files (x86)\AstroGrep\AstroGrep.exe" /spath="C:\Users\stu\Documents\Analysis\2016-02-23 RTDC Observations" /stypes="*4041*20160725*" /stext=" 17:.+((prompt.+disp)|(slice.+state.+chan)|(ment ac)|(system.+state.+chan)|(\|lc)|(penalty)|(\[timeout))" /e /r /s</v>
      </c>
      <c r="S52" s="9" t="str">
        <f t="shared" si="6"/>
        <v>4041</v>
      </c>
      <c r="T52" s="45">
        <f t="shared" si="7"/>
        <v>42576.731678240743</v>
      </c>
      <c r="U52" s="66" t="str">
        <f t="shared" si="8"/>
        <v>NWGL</v>
      </c>
      <c r="V52" s="66" t="str">
        <f t="shared" si="9"/>
        <v>KEEP</v>
      </c>
    </row>
    <row r="53" spans="1:22" ht="15" customHeight="1" x14ac:dyDescent="0.25">
      <c r="A53" s="45">
        <v>42576.623287037037</v>
      </c>
      <c r="B53" s="62" t="s">
        <v>354</v>
      </c>
      <c r="C53" s="38" t="s">
        <v>640</v>
      </c>
      <c r="D53" s="38" t="s">
        <v>50</v>
      </c>
      <c r="E53" s="62" t="s">
        <v>51</v>
      </c>
      <c r="F53" s="63">
        <v>0</v>
      </c>
      <c r="G53" s="63">
        <v>26</v>
      </c>
      <c r="H53" s="63">
        <v>628</v>
      </c>
      <c r="I53" s="62" t="s">
        <v>52</v>
      </c>
      <c r="J53" s="63">
        <v>575</v>
      </c>
      <c r="K53" s="38" t="s">
        <v>54</v>
      </c>
      <c r="L53" s="90" t="str">
        <f>VLOOKUP(C53,'Trips&amp;Operators'!$C$1:$E$9999,3,0)</f>
        <v>ROCHA</v>
      </c>
      <c r="M53" s="9" t="s">
        <v>100</v>
      </c>
      <c r="N53" s="10"/>
      <c r="O53" s="38"/>
      <c r="P53" s="69" t="str">
        <f>VLOOKUP(C53,'Train Runs'!$A$13:$AE$840,31,0)</f>
        <v>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 &amp; aws s3 cp s3://rtdc.mdm.uploadarchive/RTDC4032/2016-07-26/ "C:\Users\stu\Documents\Analysis\2016-02-23 RTDC Observations"\RTDC4032\2016-07-26 --recursive &amp; "C:\Users\stu\Documents\GitHub\mrs-test-scripts\Headless Mode &amp; Sideloading\WalkAndUnGZ.bat" "C:\Users\stu\Documents\Analysis\2016-02-23 RTDC Observations"\RTDC4032\2016-07-26</v>
      </c>
      <c r="Q53" s="67" t="str">
        <f>VLOOKUP(C53,'Train Runs'!$A$13:$AE$840,22,0)</f>
        <v>https://search-rtdc-monitor-bjffxe2xuh6vdkpspy63sjmuny.us-east-1.es.amazonaws.com/_plugin/kibana/#/discover/Steve-Slow-Train-Analysis-(2080s-and-2083s)?_g=(refreshInterval:(display:Off,section:0,value:0),time:(from:'2016-07-25 13:41:47-0600',mode:absolute,to:'2016-07-25 15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4032%22')),sort:!(Time,asc))</v>
      </c>
      <c r="R53" s="68" t="str">
        <f t="shared" si="5"/>
        <v>"C:\Program Files (x86)\AstroGrep\AstroGrep.exe" /spath="C:\Users\stu\Documents\Analysis\2016-02-23 RTDC Observations" /stypes="*4032*20160725*" /stext=" 20:.+((prompt.+disp)|(slice.+state.+chan)|(ment ac)|(system.+state.+chan)|(\|lc)|(penalty)|(\[timeout))" /e /r /s</v>
      </c>
      <c r="S53" s="9" t="str">
        <f t="shared" si="6"/>
        <v>4032</v>
      </c>
      <c r="T53" s="45">
        <f t="shared" si="7"/>
        <v>42576.873287037037</v>
      </c>
      <c r="U53" s="66" t="str">
        <f t="shared" si="8"/>
        <v>NWGL</v>
      </c>
      <c r="V53" s="66" t="str">
        <f t="shared" si="9"/>
        <v>KEEP</v>
      </c>
    </row>
    <row r="54" spans="1:22" x14ac:dyDescent="0.25">
      <c r="A54" s="45">
        <v>42576.651990740742</v>
      </c>
      <c r="B54" s="62" t="s">
        <v>163</v>
      </c>
      <c r="C54" s="38" t="s">
        <v>650</v>
      </c>
      <c r="D54" s="38" t="s">
        <v>50</v>
      </c>
      <c r="E54" s="62" t="s">
        <v>51</v>
      </c>
      <c r="F54" s="63">
        <v>0</v>
      </c>
      <c r="G54" s="63">
        <v>20</v>
      </c>
      <c r="H54" s="63">
        <v>624</v>
      </c>
      <c r="I54" s="62" t="s">
        <v>52</v>
      </c>
      <c r="J54" s="63">
        <v>575</v>
      </c>
      <c r="K54" s="38" t="s">
        <v>54</v>
      </c>
      <c r="L54" s="90" t="str">
        <f>VLOOKUP(C54,'Trips&amp;Operators'!$C$1:$E$9999,3,0)</f>
        <v>ADANE</v>
      </c>
      <c r="M54" s="9" t="s">
        <v>100</v>
      </c>
      <c r="N54" s="10"/>
      <c r="O54" s="38"/>
      <c r="P54" s="69" t="str">
        <f>VLOOKUP(C54,'Train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54" s="67" t="str">
        <f>VLOOKUP(C54,'Train Runs'!$A$13:$AE$840,22,0)</f>
        <v>https://search-rtdc-monitor-bjffxe2xuh6vdkpspy63sjmuny.us-east-1.es.amazonaws.com/_plugin/kibana/#/discover/Steve-Slow-Train-Analysis-(2080s-and-2083s)?_g=(refreshInterval:(display:Off,section:0,value:0),time:(from:'2016-07-25 14:13:35-0600',mode:absolute,to:'2016-07-25 16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54" s="68" t="str">
        <f t="shared" si="5"/>
        <v>"C:\Program Files (x86)\AstroGrep\AstroGrep.exe" /spath="C:\Users\stu\Documents\Analysis\2016-02-23 RTDC Observations" /stypes="*4041*20160725*" /stext=" 21:.+((prompt.+disp)|(slice.+state.+chan)|(ment ac)|(system.+state.+chan)|(\|lc)|(penalty)|(\[timeout))" /e /r /s</v>
      </c>
      <c r="S54" s="9" t="str">
        <f t="shared" si="6"/>
        <v>4041</v>
      </c>
      <c r="T54" s="45">
        <f t="shared" si="7"/>
        <v>42576.901990740742</v>
      </c>
      <c r="U54" s="66" t="str">
        <f t="shared" si="8"/>
        <v>NWGL</v>
      </c>
      <c r="V54" s="66" t="str">
        <f t="shared" si="9"/>
        <v>KEEP</v>
      </c>
    </row>
    <row r="55" spans="1:22" x14ac:dyDescent="0.25">
      <c r="A55" s="45">
        <v>42576.676342592589</v>
      </c>
      <c r="B55" s="62" t="s">
        <v>108</v>
      </c>
      <c r="C55" s="38" t="s">
        <v>658</v>
      </c>
      <c r="D55" s="38" t="s">
        <v>50</v>
      </c>
      <c r="E55" s="62" t="s">
        <v>51</v>
      </c>
      <c r="F55" s="63">
        <v>0</v>
      </c>
      <c r="G55" s="63">
        <v>64</v>
      </c>
      <c r="H55" s="63">
        <v>789</v>
      </c>
      <c r="I55" s="62" t="s">
        <v>52</v>
      </c>
      <c r="J55" s="63">
        <v>575</v>
      </c>
      <c r="K55" s="38" t="s">
        <v>54</v>
      </c>
      <c r="L55" s="90" t="str">
        <f>VLOOKUP(C55,'Trips&amp;Operators'!$C$1:$E$9999,3,0)</f>
        <v>COOLAHAN</v>
      </c>
      <c r="M55" s="9" t="s">
        <v>100</v>
      </c>
      <c r="N55" s="10"/>
      <c r="O55" s="38"/>
      <c r="P55" s="69" t="str">
        <f>VLOOKUP(C55,'Train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5" s="67" t="str">
        <f>VLOOKUP(C55,'Train Runs'!$A$13:$AE$840,22,0)</f>
        <v>https://search-rtdc-monitor-bjffxe2xuh6vdkpspy63sjmuny.us-east-1.es.amazonaws.com/_plugin/kibana/#/discover/Steve-Slow-Train-Analysis-(2080s-and-2083s)?_g=(refreshInterval:(display:Off,section:0,value:0),time:(from:'2016-07-25 14:50:36-0600',mode:absolute,to:'2016-07-25 17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5" s="68" t="str">
        <f t="shared" si="5"/>
        <v>"C:\Program Files (x86)\AstroGrep\AstroGrep.exe" /spath="C:\Users\stu\Documents\Analysis\2016-02-23 RTDC Observations" /stypes="*4026*20160725*" /stext=" 22:.+((prompt.+disp)|(slice.+state.+chan)|(ment ac)|(system.+state.+chan)|(\|lc)|(penalty)|(\[timeout))" /e /r /s</v>
      </c>
      <c r="S55" s="9" t="str">
        <f t="shared" si="6"/>
        <v>4026</v>
      </c>
      <c r="T55" s="45">
        <f t="shared" si="7"/>
        <v>42576.926342592589</v>
      </c>
      <c r="U55" s="66" t="str">
        <f t="shared" si="8"/>
        <v>NWGL</v>
      </c>
      <c r="V55" s="66" t="str">
        <f t="shared" si="9"/>
        <v>KEEP</v>
      </c>
    </row>
    <row r="56" spans="1:22" x14ac:dyDescent="0.25">
      <c r="A56" s="45">
        <v>42576.718472222223</v>
      </c>
      <c r="B56" s="62" t="s">
        <v>108</v>
      </c>
      <c r="C56" s="38" t="s">
        <v>673</v>
      </c>
      <c r="D56" s="38" t="s">
        <v>50</v>
      </c>
      <c r="E56" s="62" t="s">
        <v>51</v>
      </c>
      <c r="F56" s="63">
        <v>0</v>
      </c>
      <c r="G56" s="63">
        <v>27</v>
      </c>
      <c r="H56" s="63">
        <v>626</v>
      </c>
      <c r="I56" s="62" t="s">
        <v>52</v>
      </c>
      <c r="J56" s="63">
        <v>575</v>
      </c>
      <c r="K56" s="38" t="s">
        <v>54</v>
      </c>
      <c r="L56" s="90" t="str">
        <f>VLOOKUP(C56,'Trips&amp;Operators'!$C$1:$E$9999,3,0)</f>
        <v>COOLAHAN</v>
      </c>
      <c r="M56" s="9" t="s">
        <v>100</v>
      </c>
      <c r="N56" s="10"/>
      <c r="O56" s="38"/>
      <c r="P56" s="69" t="str">
        <f>VLOOKUP(C56,'Train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6" s="67" t="str">
        <f>VLOOKUP(C56,'Train Runs'!$A$13:$AE$840,22,0)</f>
        <v>https://search-rtdc-monitor-bjffxe2xuh6vdkpspy63sjmuny.us-east-1.es.amazonaws.com/_plugin/kibana/#/discover/Steve-Slow-Train-Analysis-(2080s-and-2083s)?_g=(refreshInterval:(display:Off,section:0,value:0),time:(from:'2016-07-25 15:50:02-0600',mode:absolute,to:'2016-07-25 18:15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6" s="68" t="str">
        <f t="shared" si="5"/>
        <v>"C:\Program Files (x86)\AstroGrep\AstroGrep.exe" /spath="C:\Users\stu\Documents\Analysis\2016-02-23 RTDC Observations" /stypes="*4026*20160725*" /stext=" 23:.+((prompt.+disp)|(slice.+state.+chan)|(ment ac)|(system.+state.+chan)|(\|lc)|(penalty)|(\[timeout))" /e /r /s</v>
      </c>
      <c r="S56" s="9" t="str">
        <f t="shared" si="6"/>
        <v>4026</v>
      </c>
      <c r="T56" s="45">
        <f t="shared" si="7"/>
        <v>42576.968472222223</v>
      </c>
      <c r="U56" s="66" t="str">
        <f t="shared" si="8"/>
        <v>NWGL</v>
      </c>
      <c r="V56" s="66" t="str">
        <f t="shared" si="9"/>
        <v>KEEP</v>
      </c>
    </row>
    <row r="57" spans="1:22" x14ac:dyDescent="0.25">
      <c r="A57" s="45">
        <v>42576.75886574074</v>
      </c>
      <c r="B57" s="62" t="s">
        <v>108</v>
      </c>
      <c r="C57" s="38" t="s">
        <v>688</v>
      </c>
      <c r="D57" s="38" t="s">
        <v>50</v>
      </c>
      <c r="E57" s="62" t="s">
        <v>51</v>
      </c>
      <c r="F57" s="63">
        <v>0</v>
      </c>
      <c r="G57" s="63">
        <v>18</v>
      </c>
      <c r="H57" s="63">
        <v>622</v>
      </c>
      <c r="I57" s="62" t="s">
        <v>52</v>
      </c>
      <c r="J57" s="63">
        <v>575</v>
      </c>
      <c r="K57" s="38" t="s">
        <v>54</v>
      </c>
      <c r="L57" s="90" t="str">
        <f>VLOOKUP(C57,'Trips&amp;Operators'!$C$1:$E$9999,3,0)</f>
        <v>STORY</v>
      </c>
      <c r="M57" s="9" t="s">
        <v>100</v>
      </c>
      <c r="N57" s="10"/>
      <c r="O57" s="38"/>
      <c r="P57" s="69" t="str">
        <f>VLOOKUP(C57,'Train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7" s="67" t="str">
        <f>VLOOKUP(C57,'Train Runs'!$A$13:$AE$840,22,0)</f>
        <v>https://search-rtdc-monitor-bjffxe2xuh6vdkpspy63sjmuny.us-east-1.es.amazonaws.com/_plugin/kibana/#/discover/Steve-Slow-Train-Analysis-(2080s-and-2083s)?_g=(refreshInterval:(display:Off,section:0,value:0),time:(from:'2016-07-25 16:42:58-0600',mode:absolute,to:'2016-07-25 19:12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7" s="68" t="str">
        <f t="shared" si="5"/>
        <v>"C:\Program Files (x86)\AstroGrep\AstroGrep.exe" /spath="C:\Users\stu\Documents\Analysis\2016-02-23 RTDC Observations" /stypes="*4026*20160726*" /stext=" 00:.+((prompt.+disp)|(slice.+state.+chan)|(ment ac)|(system.+state.+chan)|(\|lc)|(penalty)|(\[timeout))" /e /r /s</v>
      </c>
      <c r="S57" s="9" t="str">
        <f t="shared" si="6"/>
        <v>4026</v>
      </c>
      <c r="T57" s="45">
        <f t="shared" si="7"/>
        <v>42577.00886574074</v>
      </c>
      <c r="U57" s="66" t="str">
        <f t="shared" si="8"/>
        <v>NWGL</v>
      </c>
      <c r="V57" s="66" t="str">
        <f t="shared" si="9"/>
        <v>KEEP</v>
      </c>
    </row>
    <row r="58" spans="1:22" x14ac:dyDescent="0.25">
      <c r="A58" s="45">
        <v>42576.77275462963</v>
      </c>
      <c r="B58" s="62" t="s">
        <v>163</v>
      </c>
      <c r="C58" s="38" t="s">
        <v>694</v>
      </c>
      <c r="D58" s="38" t="s">
        <v>50</v>
      </c>
      <c r="E58" s="62" t="s">
        <v>51</v>
      </c>
      <c r="F58" s="63">
        <v>0</v>
      </c>
      <c r="G58" s="63">
        <v>54</v>
      </c>
      <c r="H58" s="63">
        <v>762</v>
      </c>
      <c r="I58" s="62" t="s">
        <v>52</v>
      </c>
      <c r="J58" s="63">
        <v>575</v>
      </c>
      <c r="K58" s="38" t="s">
        <v>54</v>
      </c>
      <c r="L58" s="90" t="str">
        <f>VLOOKUP(C58,'Trips&amp;Operators'!$C$1:$E$9999,3,0)</f>
        <v>COOLAHAN</v>
      </c>
      <c r="M58" s="9" t="s">
        <v>100</v>
      </c>
      <c r="N58" s="10"/>
      <c r="O58" s="38"/>
      <c r="P58" s="69" t="str">
        <f>VLOOKUP(C58,'Train Runs'!$A$13:$AE$840,31,0)</f>
        <v>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 &amp; aws s3 cp s3://rtdc.mdm.uploadarchive/RTDC4041/2016-07-26/ "C:\Users\stu\Documents\Analysis\2016-02-23 RTDC Observations"\RTDC4041\2016-07-26 --recursive &amp; "C:\Users\stu\Documents\GitHub\mrs-test-scripts\Headless Mode &amp; Sideloading\WalkAndUnGZ.bat" "C:\Users\stu\Documents\Analysis\2016-02-23 RTDC Observations"\RTDC4041\2016-07-26</v>
      </c>
      <c r="Q58" s="67" t="str">
        <f>VLOOKUP(C58,'Train Runs'!$A$13:$AE$840,22,0)</f>
        <v>https://search-rtdc-monitor-bjffxe2xuh6vdkpspy63sjmuny.us-east-1.es.amazonaws.com/_plugin/kibana/#/discover/Steve-Slow-Train-Analysis-(2080s-and-2083s)?_g=(refreshInterval:(display:Off,section:0,value:0),time:(from:'2016-07-25 17:13:58-0600',mode:absolute,to:'2016-07-25 19:32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4041%22')),sort:!(Time,asc))</v>
      </c>
      <c r="R58" s="68" t="str">
        <f t="shared" si="5"/>
        <v>"C:\Program Files (x86)\AstroGrep\AstroGrep.exe" /spath="C:\Users\stu\Documents\Analysis\2016-02-23 RTDC Observations" /stypes="*4041*20160726*" /stext=" 00:.+((prompt.+disp)|(slice.+state.+chan)|(ment ac)|(system.+state.+chan)|(\|lc)|(penalty)|(\[timeout))" /e /r /s</v>
      </c>
      <c r="S58" s="9" t="str">
        <f t="shared" si="6"/>
        <v>4041</v>
      </c>
      <c r="T58" s="45">
        <f t="shared" si="7"/>
        <v>42577.02275462963</v>
      </c>
      <c r="U58" s="66" t="str">
        <f t="shared" si="8"/>
        <v>NWGL</v>
      </c>
      <c r="V58" s="66" t="str">
        <f t="shared" si="9"/>
        <v>KEEP</v>
      </c>
    </row>
    <row r="59" spans="1:22" x14ac:dyDescent="0.25">
      <c r="A59" s="45">
        <v>42576.801006944443</v>
      </c>
      <c r="B59" s="62" t="s">
        <v>108</v>
      </c>
      <c r="C59" s="38" t="s">
        <v>701</v>
      </c>
      <c r="D59" s="38" t="s">
        <v>50</v>
      </c>
      <c r="E59" s="62" t="s">
        <v>51</v>
      </c>
      <c r="F59" s="63">
        <v>0</v>
      </c>
      <c r="G59" s="63">
        <v>9</v>
      </c>
      <c r="H59" s="63">
        <v>624</v>
      </c>
      <c r="I59" s="62" t="s">
        <v>52</v>
      </c>
      <c r="J59" s="63">
        <v>575</v>
      </c>
      <c r="K59" s="38" t="s">
        <v>54</v>
      </c>
      <c r="L59" s="90" t="str">
        <f>VLOOKUP(C59,'Trips&amp;Operators'!$C$1:$E$9999,3,0)</f>
        <v>STORY</v>
      </c>
      <c r="M59" s="9" t="s">
        <v>100</v>
      </c>
      <c r="N59" s="10"/>
      <c r="O59" s="38"/>
      <c r="P59" s="69" t="str">
        <f>VLOOKUP(C59,'Train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59" s="67" t="str">
        <f>VLOOKUP(C59,'Train Runs'!$A$13:$AE$840,22,0)</f>
        <v>https://search-rtdc-monitor-bjffxe2xuh6vdkpspy63sjmuny.us-east-1.es.amazonaws.com/_plugin/kibana/#/discover/Steve-Slow-Train-Analysis-(2080s-and-2083s)?_g=(refreshInterval:(display:Off,section:0,value:0),time:(from:'2016-07-25 17:42:51-0600',mode:absolute,to:'2016-07-25 20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59" s="68" t="str">
        <f t="shared" si="5"/>
        <v>"C:\Program Files (x86)\AstroGrep\AstroGrep.exe" /spath="C:\Users\stu\Documents\Analysis\2016-02-23 RTDC Observations" /stypes="*4026*20160726*" /stext=" 01:.+((prompt.+disp)|(slice.+state.+chan)|(ment ac)|(system.+state.+chan)|(\|lc)|(penalty)|(\[timeout))" /e /r /s</v>
      </c>
      <c r="S59" s="9" t="str">
        <f t="shared" si="6"/>
        <v>4026</v>
      </c>
      <c r="T59" s="45">
        <f t="shared" si="7"/>
        <v>42577.051006944443</v>
      </c>
      <c r="U59" s="66" t="str">
        <f t="shared" si="8"/>
        <v>NWGL</v>
      </c>
      <c r="V59" s="66" t="str">
        <f t="shared" si="9"/>
        <v>OMIT</v>
      </c>
    </row>
    <row r="60" spans="1:22" x14ac:dyDescent="0.25">
      <c r="A60" s="45">
        <v>42576.84238425926</v>
      </c>
      <c r="B60" s="62" t="s">
        <v>108</v>
      </c>
      <c r="C60" s="38" t="s">
        <v>712</v>
      </c>
      <c r="D60" s="38" t="s">
        <v>50</v>
      </c>
      <c r="E60" s="62" t="s">
        <v>51</v>
      </c>
      <c r="F60" s="63">
        <v>0</v>
      </c>
      <c r="G60" s="63">
        <v>9</v>
      </c>
      <c r="H60" s="63">
        <v>593</v>
      </c>
      <c r="I60" s="62" t="s">
        <v>52</v>
      </c>
      <c r="J60" s="63">
        <v>575</v>
      </c>
      <c r="K60" s="38" t="s">
        <v>54</v>
      </c>
      <c r="L60" s="90" t="str">
        <f>VLOOKUP(C60,'Trips&amp;Operators'!$C$1:$E$9999,3,0)</f>
        <v>STORY</v>
      </c>
      <c r="M60" s="9" t="s">
        <v>100</v>
      </c>
      <c r="N60" s="10"/>
      <c r="O60" s="38"/>
      <c r="P60" s="69" t="str">
        <f>VLOOKUP(C60,'Train Runs'!$A$13:$AE$840,31,0)</f>
        <v>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 &amp; aws s3 cp s3://rtdc.mdm.uploadarchive/RTDC4026/2016-07-26/ "C:\Users\stu\Documents\Analysis\2016-02-23 RTDC Observations"\RTDC4026\2016-07-26 --recursive &amp; "C:\Users\stu\Documents\GitHub\mrs-test-scripts\Headless Mode &amp; Sideloading\WalkAndUnGZ.bat" "C:\Users\stu\Documents\Analysis\2016-02-23 RTDC Observations"\RTDC4026\2016-07-26</v>
      </c>
      <c r="Q60" s="67" t="str">
        <f>VLOOKUP(C60,'Train Runs'!$A$13:$AE$840,22,0)</f>
        <v>https://search-rtdc-monitor-bjffxe2xuh6vdkpspy63sjmuny.us-east-1.es.amazonaws.com/_plugin/kibana/#/discover/Steve-Slow-Train-Analysis-(2080s-and-2083s)?_g=(refreshInterval:(display:Off,section:0,value:0),time:(from:'2016-07-25 18:44:08-0600',mode:absolute,to:'2016-07-25 21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4026%22')),sort:!(Time,asc))</v>
      </c>
      <c r="R60" s="68" t="str">
        <f t="shared" si="5"/>
        <v>"C:\Program Files (x86)\AstroGrep\AstroGrep.exe" /spath="C:\Users\stu\Documents\Analysis\2016-02-23 RTDC Observations" /stypes="*4026*20160726*" /stext=" 02:.+((prompt.+disp)|(slice.+state.+chan)|(ment ac)|(system.+state.+chan)|(\|lc)|(penalty)|(\[timeout))" /e /r /s</v>
      </c>
      <c r="S60" s="9" t="str">
        <f t="shared" si="6"/>
        <v>4026</v>
      </c>
      <c r="T60" s="45">
        <f t="shared" si="7"/>
        <v>42577.09238425926</v>
      </c>
      <c r="U60" s="66" t="str">
        <f t="shared" si="8"/>
        <v>NWGL</v>
      </c>
      <c r="V60" s="66" t="str">
        <f t="shared" si="9"/>
        <v>OMIT</v>
      </c>
    </row>
    <row r="61" spans="1:22" x14ac:dyDescent="0.25">
      <c r="A61" s="45">
        <v>42576.83011574074</v>
      </c>
      <c r="B61" s="62" t="s">
        <v>78</v>
      </c>
      <c r="C61" s="38" t="s">
        <v>711</v>
      </c>
      <c r="D61" s="38" t="s">
        <v>50</v>
      </c>
      <c r="E61" s="62" t="s">
        <v>51</v>
      </c>
      <c r="F61" s="63">
        <v>0</v>
      </c>
      <c r="G61" s="63">
        <v>24</v>
      </c>
      <c r="H61" s="63">
        <v>58992</v>
      </c>
      <c r="I61" s="62" t="s">
        <v>52</v>
      </c>
      <c r="J61" s="63">
        <v>59048</v>
      </c>
      <c r="K61" s="38" t="s">
        <v>53</v>
      </c>
      <c r="L61" s="90" t="str">
        <f>VLOOKUP(C61,'Trips&amp;Operators'!$C$1:$E$9999,3,0)</f>
        <v>COOLAHAN</v>
      </c>
      <c r="M61" s="9" t="s">
        <v>100</v>
      </c>
      <c r="N61" s="10"/>
      <c r="O61" s="38"/>
      <c r="P61" s="69" t="str">
        <f>VLOOKUP(C61,'Train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61" s="67" t="str">
        <f>VLOOKUP(C61,'Train Runs'!$A$13:$AE$840,22,0)</f>
        <v>https://search-rtdc-monitor-bjffxe2xuh6vdkpspy63sjmuny.us-east-1.es.amazonaws.com/_plugin/kibana/#/discover/Steve-Slow-Train-Analysis-(2080s-and-2083s)?_g=(refreshInterval:(display:Off,section:0,value:0),time:(from:'2016-07-25 18:35:39-0600',mode:absolute,to:'2016-07-25 20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61" s="68" t="str">
        <f t="shared" si="5"/>
        <v>"C:\Program Files (x86)\AstroGrep\AstroGrep.exe" /spath="C:\Users\stu\Documents\Analysis\2016-02-23 RTDC Observations" /stypes="*4042*20160726*" /stext=" 01:.+((prompt.+disp)|(slice.+state.+chan)|(ment ac)|(system.+state.+chan)|(\|lc)|(penalty)|(\[timeout))" /e /r /s</v>
      </c>
      <c r="S61" s="9" t="str">
        <f t="shared" si="6"/>
        <v>4042</v>
      </c>
      <c r="T61" s="45">
        <f t="shared" si="7"/>
        <v>42577.08011574074</v>
      </c>
      <c r="U61" s="66" t="str">
        <f t="shared" si="8"/>
        <v>NWGL</v>
      </c>
      <c r="V61" s="66" t="str">
        <f t="shared" si="9"/>
        <v>KEEP</v>
      </c>
    </row>
    <row r="62" spans="1:22" x14ac:dyDescent="0.25">
      <c r="A62" s="45">
        <v>42576.858726851853</v>
      </c>
      <c r="B62" s="62" t="s">
        <v>110</v>
      </c>
      <c r="C62" s="38" t="s">
        <v>721</v>
      </c>
      <c r="D62" s="38" t="s">
        <v>50</v>
      </c>
      <c r="E62" s="62" t="s">
        <v>51</v>
      </c>
      <c r="F62" s="63">
        <v>0</v>
      </c>
      <c r="G62" s="63">
        <v>30</v>
      </c>
      <c r="H62" s="63">
        <v>58973</v>
      </c>
      <c r="I62" s="62" t="s">
        <v>52</v>
      </c>
      <c r="J62" s="63">
        <v>59048</v>
      </c>
      <c r="K62" s="38" t="s">
        <v>53</v>
      </c>
      <c r="L62" s="90" t="str">
        <f>VLOOKUP(C62,'Trips&amp;Operators'!$C$1:$E$9999,3,0)</f>
        <v>STORY</v>
      </c>
      <c r="M62" s="9" t="s">
        <v>100</v>
      </c>
      <c r="N62" s="10"/>
      <c r="O62" s="38"/>
      <c r="P62" s="69" t="str">
        <f>VLOOKUP(C62,'Train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62" s="67" t="str">
        <f>VLOOKUP(C62,'Train Runs'!$A$13:$AE$840,22,0)</f>
        <v>https://search-rtdc-monitor-bjffxe2xuh6vdkpspy63sjmuny.us-east-1.es.amazonaws.com/_plugin/kibana/#/discover/Steve-Slow-Train-Analysis-(2080s-and-2083s)?_g=(refreshInterval:(display:Off,section:0,value:0),time:(from:'2016-07-25 19:16:08-0600',mode:absolute,to:'2016-07-25 21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62" s="68" t="str">
        <f t="shared" si="5"/>
        <v>"C:\Program Files (x86)\AstroGrep\AstroGrep.exe" /spath="C:\Users\stu\Documents\Analysis\2016-02-23 RTDC Observations" /stypes="*4025*20160726*" /stext=" 02:.+((prompt.+disp)|(slice.+state.+chan)|(ment ac)|(system.+state.+chan)|(\|lc)|(penalty)|(\[timeout))" /e /r /s</v>
      </c>
      <c r="S62" s="9" t="str">
        <f t="shared" si="6"/>
        <v>4025</v>
      </c>
      <c r="T62" s="45">
        <f t="shared" si="7"/>
        <v>42577.108726851853</v>
      </c>
      <c r="U62" s="66" t="str">
        <f t="shared" si="8"/>
        <v>NWGL</v>
      </c>
      <c r="V62" s="66" t="str">
        <f t="shared" si="9"/>
        <v>KEEP</v>
      </c>
    </row>
    <row r="63" spans="1:22" x14ac:dyDescent="0.25">
      <c r="A63" s="45">
        <v>42576.913032407407</v>
      </c>
      <c r="B63" s="38" t="s">
        <v>78</v>
      </c>
      <c r="C63" s="38" t="s">
        <v>741</v>
      </c>
      <c r="D63" s="38" t="s">
        <v>50</v>
      </c>
      <c r="E63" s="38" t="s">
        <v>51</v>
      </c>
      <c r="F63" s="63">
        <v>0</v>
      </c>
      <c r="G63" s="63">
        <v>14</v>
      </c>
      <c r="H63" s="63">
        <v>58999</v>
      </c>
      <c r="I63" s="38" t="s">
        <v>52</v>
      </c>
      <c r="J63" s="63">
        <v>59048</v>
      </c>
      <c r="K63" s="38" t="s">
        <v>53</v>
      </c>
      <c r="L63" s="90" t="str">
        <f>VLOOKUP(C63,'Trips&amp;Operators'!$C$1:$E$9999,3,0)</f>
        <v>COOLAHAN</v>
      </c>
      <c r="M63" s="9" t="s">
        <v>100</v>
      </c>
      <c r="N63" s="10"/>
      <c r="O63" s="38"/>
      <c r="P63" s="69" t="str">
        <f>VLOOKUP(C63,'Train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63" s="67" t="str">
        <f>VLOOKUP(C63,'Train Runs'!$A$13:$AE$840,22,0)</f>
        <v>https://search-rtdc-monitor-bjffxe2xuh6vdkpspy63sjmuny.us-east-1.es.amazonaws.com/_plugin/kibana/#/discover/Steve-Slow-Train-Analysis-(2080s-and-2083s)?_g=(refreshInterval:(display:Off,section:0,value:0),time:(from:'2016-07-25 20:36:24-0600',mode:absolute,to:'2016-07-25 22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63" s="68" t="str">
        <f t="shared" si="5"/>
        <v>"C:\Program Files (x86)\AstroGrep\AstroGrep.exe" /spath="C:\Users\stu\Documents\Analysis\2016-02-23 RTDC Observations" /stypes="*4042*20160726*" /stext=" 03:.+((prompt.+disp)|(slice.+state.+chan)|(ment ac)|(system.+state.+chan)|(\|lc)|(penalty)|(\[timeout))" /e /r /s</v>
      </c>
      <c r="S63" s="9" t="str">
        <f t="shared" si="6"/>
        <v>4042</v>
      </c>
      <c r="T63" s="45">
        <f t="shared" si="7"/>
        <v>42577.163032407407</v>
      </c>
      <c r="U63" s="66" t="str">
        <f t="shared" si="8"/>
        <v>NWGL</v>
      </c>
      <c r="V63" s="66" t="str">
        <f t="shared" si="9"/>
        <v>KEEP</v>
      </c>
    </row>
    <row r="64" spans="1:22" x14ac:dyDescent="0.25">
      <c r="A64" s="45">
        <v>42576.941458333335</v>
      </c>
      <c r="B64" s="38" t="s">
        <v>110</v>
      </c>
      <c r="C64" s="38" t="s">
        <v>748</v>
      </c>
      <c r="D64" s="38" t="s">
        <v>50</v>
      </c>
      <c r="E64" s="38" t="s">
        <v>51</v>
      </c>
      <c r="F64" s="63">
        <v>0</v>
      </c>
      <c r="G64" s="63">
        <v>100</v>
      </c>
      <c r="H64" s="63">
        <v>58675</v>
      </c>
      <c r="I64" s="38" t="s">
        <v>52</v>
      </c>
      <c r="J64" s="63">
        <v>59048</v>
      </c>
      <c r="K64" s="38" t="s">
        <v>53</v>
      </c>
      <c r="L64" s="90" t="str">
        <f>VLOOKUP(C64,'Trips&amp;Operators'!$C$1:$E$9999,3,0)</f>
        <v>STORY</v>
      </c>
      <c r="M64" s="9" t="s">
        <v>100</v>
      </c>
      <c r="N64" s="10"/>
      <c r="O64" s="38"/>
      <c r="P64" s="69" t="str">
        <f>VLOOKUP(C64,'Train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64" s="67" t="str">
        <f>VLOOKUP(C64,'Train Runs'!$A$13:$AE$840,22,0)</f>
        <v>https://search-rtdc-monitor-bjffxe2xuh6vdkpspy63sjmuny.us-east-1.es.amazonaws.com/_plugin/kibana/#/discover/Steve-Slow-Train-Analysis-(2080s-and-2083s)?_g=(refreshInterval:(display:Off,section:0,value:0),time:(from:'2016-07-25 21:15:41-0600',mode:absolute,to:'2016-07-25 23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64" s="68" t="str">
        <f t="shared" si="5"/>
        <v>"C:\Program Files (x86)\AstroGrep\AstroGrep.exe" /spath="C:\Users\stu\Documents\Analysis\2016-02-23 RTDC Observations" /stypes="*4025*20160726*" /stext=" 04:.+((prompt.+disp)|(slice.+state.+chan)|(ment ac)|(system.+state.+chan)|(\|lc)|(penalty)|(\[timeout))" /e /r /s</v>
      </c>
      <c r="S64" s="9" t="str">
        <f t="shared" si="6"/>
        <v>4025</v>
      </c>
      <c r="T64" s="45">
        <f t="shared" si="7"/>
        <v>42577.191458333335</v>
      </c>
      <c r="U64" s="66" t="str">
        <f t="shared" si="8"/>
        <v>NWGL</v>
      </c>
      <c r="V64" s="66" t="str">
        <f t="shared" si="9"/>
        <v>KEEP</v>
      </c>
    </row>
    <row r="65" spans="1:22" x14ac:dyDescent="0.25">
      <c r="A65" s="45">
        <v>42576.941921296297</v>
      </c>
      <c r="B65" s="38" t="s">
        <v>110</v>
      </c>
      <c r="C65" s="38" t="s">
        <v>748</v>
      </c>
      <c r="D65" s="38" t="s">
        <v>50</v>
      </c>
      <c r="E65" s="38" t="s">
        <v>51</v>
      </c>
      <c r="F65" s="63">
        <v>0</v>
      </c>
      <c r="G65" s="63">
        <v>34</v>
      </c>
      <c r="H65" s="63">
        <v>58875</v>
      </c>
      <c r="I65" s="38" t="s">
        <v>52</v>
      </c>
      <c r="J65" s="63">
        <v>59048</v>
      </c>
      <c r="K65" s="38" t="s">
        <v>53</v>
      </c>
      <c r="L65" s="90" t="str">
        <f>VLOOKUP(C65,'Trips&amp;Operators'!$C$1:$E$9999,3,0)</f>
        <v>STORY</v>
      </c>
      <c r="M65" s="9" t="s">
        <v>100</v>
      </c>
      <c r="N65" s="10"/>
      <c r="O65" s="38"/>
      <c r="P65" s="69" t="str">
        <f>VLOOKUP(C65,'Train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65" s="67" t="str">
        <f>VLOOKUP(C65,'Train Runs'!$A$13:$AE$840,22,0)</f>
        <v>https://search-rtdc-monitor-bjffxe2xuh6vdkpspy63sjmuny.us-east-1.es.amazonaws.com/_plugin/kibana/#/discover/Steve-Slow-Train-Analysis-(2080s-and-2083s)?_g=(refreshInterval:(display:Off,section:0,value:0),time:(from:'2016-07-25 21:15:41-0600',mode:absolute,to:'2016-07-25 23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65" s="68" t="str">
        <f t="shared" si="5"/>
        <v>"C:\Program Files (x86)\AstroGrep\AstroGrep.exe" /spath="C:\Users\stu\Documents\Analysis\2016-02-23 RTDC Observations" /stypes="*4025*20160726*" /stext=" 04:.+((prompt.+disp)|(slice.+state.+chan)|(ment ac)|(system.+state.+chan)|(\|lc)|(penalty)|(\[timeout))" /e /r /s</v>
      </c>
      <c r="S65" s="9" t="str">
        <f t="shared" si="6"/>
        <v>4025</v>
      </c>
      <c r="T65" s="45">
        <f t="shared" si="7"/>
        <v>42577.191921296297</v>
      </c>
      <c r="U65" s="66" t="str">
        <f t="shared" si="8"/>
        <v>NWGL</v>
      </c>
      <c r="V65" s="66" t="str">
        <f t="shared" si="9"/>
        <v>KEEP</v>
      </c>
    </row>
    <row r="66" spans="1:22" x14ac:dyDescent="0.25">
      <c r="A66" s="45">
        <v>42576.483298611114</v>
      </c>
      <c r="B66" s="62" t="s">
        <v>110</v>
      </c>
      <c r="C66" s="38" t="s">
        <v>598</v>
      </c>
      <c r="D66" s="38" t="s">
        <v>50</v>
      </c>
      <c r="E66" s="62" t="s">
        <v>51</v>
      </c>
      <c r="F66" s="63">
        <v>0</v>
      </c>
      <c r="G66" s="63">
        <v>8</v>
      </c>
      <c r="H66" s="63">
        <v>58982</v>
      </c>
      <c r="I66" s="62" t="s">
        <v>52</v>
      </c>
      <c r="J66" s="63">
        <v>59058</v>
      </c>
      <c r="K66" s="38" t="s">
        <v>53</v>
      </c>
      <c r="L66" s="90" t="str">
        <f>VLOOKUP(C66,'Trips&amp;Operators'!$C$1:$E$9999,3,0)</f>
        <v>REBOLETTI</v>
      </c>
      <c r="M66" s="9" t="s">
        <v>100</v>
      </c>
      <c r="N66" s="10"/>
      <c r="O66" s="38"/>
      <c r="P66" s="69" t="str">
        <f>VLOOKUP(C66,'Train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66" s="67" t="str">
        <f>VLOOKUP(C66,'Train Runs'!$A$13:$AE$840,22,0)</f>
        <v>https://search-rtdc-monitor-bjffxe2xuh6vdkpspy63sjmuny.us-east-1.es.amazonaws.com/_plugin/kibana/#/discover/Steve-Slow-Train-Analysis-(2080s-and-2083s)?_g=(refreshInterval:(display:Off,section:0,value:0),time:(from:'2016-07-25 10:16:12-0600',mode:absolute,to:'2016-07-25 12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66" s="68" t="str">
        <f t="shared" si="5"/>
        <v>"C:\Program Files (x86)\AstroGrep\AstroGrep.exe" /spath="C:\Users\stu\Documents\Analysis\2016-02-23 RTDC Observations" /stypes="*4025*20160725*" /stext=" 17:.+((prompt.+disp)|(slice.+state.+chan)|(ment ac)|(system.+state.+chan)|(\|lc)|(penalty)|(\[timeout))" /e /r /s</v>
      </c>
      <c r="S66" s="9" t="str">
        <f t="shared" si="6"/>
        <v>4025</v>
      </c>
      <c r="T66" s="45">
        <f t="shared" si="7"/>
        <v>42576.733298611114</v>
      </c>
      <c r="U66" s="66" t="str">
        <f t="shared" si="8"/>
        <v>NWGL</v>
      </c>
      <c r="V66" s="66" t="str">
        <f t="shared" si="9"/>
        <v>OMIT</v>
      </c>
    </row>
    <row r="67" spans="1:22" x14ac:dyDescent="0.25">
      <c r="A67" s="45">
        <v>42576.566527777781</v>
      </c>
      <c r="B67" s="62" t="s">
        <v>110</v>
      </c>
      <c r="C67" s="38" t="s">
        <v>625</v>
      </c>
      <c r="D67" s="38" t="s">
        <v>50</v>
      </c>
      <c r="E67" s="62" t="s">
        <v>51</v>
      </c>
      <c r="F67" s="63">
        <v>0</v>
      </c>
      <c r="G67" s="63">
        <v>6</v>
      </c>
      <c r="H67" s="63">
        <v>58988</v>
      </c>
      <c r="I67" s="62" t="s">
        <v>52</v>
      </c>
      <c r="J67" s="63">
        <v>59058</v>
      </c>
      <c r="K67" s="38" t="s">
        <v>53</v>
      </c>
      <c r="L67" s="90" t="str">
        <f>VLOOKUP(C67,'Trips&amp;Operators'!$C$1:$E$9999,3,0)</f>
        <v>REBOLETTI</v>
      </c>
      <c r="M67" s="9" t="s">
        <v>100</v>
      </c>
      <c r="N67" s="10"/>
      <c r="O67" s="38"/>
      <c r="P67" s="69" t="str">
        <f>VLOOKUP(C67,'Train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67" s="67" t="str">
        <f>VLOOKUP(C67,'Train Runs'!$A$13:$AE$840,22,0)</f>
        <v>https://search-rtdc-monitor-bjffxe2xuh6vdkpspy63sjmuny.us-east-1.es.amazonaws.com/_plugin/kibana/#/discover/Steve-Slow-Train-Analysis-(2080s-and-2083s)?_g=(refreshInterval:(display:Off,section:0,value:0),time:(from:'2016-07-25 12:15:15-0600',mode:absolute,to:'2016-07-25 14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67" s="68" t="str">
        <f t="shared" si="5"/>
        <v>"C:\Program Files (x86)\AstroGrep\AstroGrep.exe" /spath="C:\Users\stu\Documents\Analysis\2016-02-23 RTDC Observations" /stypes="*4025*20160725*" /stext=" 19:.+((prompt.+disp)|(slice.+state.+chan)|(ment ac)|(system.+state.+chan)|(\|lc)|(penalty)|(\[timeout))" /e /r /s</v>
      </c>
      <c r="S67" s="9" t="str">
        <f t="shared" si="6"/>
        <v>4025</v>
      </c>
      <c r="T67" s="45">
        <f t="shared" si="7"/>
        <v>42576.816527777781</v>
      </c>
      <c r="U67" s="66" t="str">
        <f t="shared" si="8"/>
        <v>NWGL</v>
      </c>
      <c r="V67" s="66" t="str">
        <f t="shared" si="9"/>
        <v>OMIT</v>
      </c>
    </row>
    <row r="68" spans="1:22" x14ac:dyDescent="0.25">
      <c r="A68" s="45">
        <v>42576.594930555555</v>
      </c>
      <c r="B68" s="62" t="s">
        <v>353</v>
      </c>
      <c r="C68" s="38" t="s">
        <v>631</v>
      </c>
      <c r="D68" s="38" t="s">
        <v>50</v>
      </c>
      <c r="E68" s="62" t="s">
        <v>51</v>
      </c>
      <c r="F68" s="63">
        <v>0</v>
      </c>
      <c r="G68" s="63">
        <v>108</v>
      </c>
      <c r="H68" s="63">
        <v>58710</v>
      </c>
      <c r="I68" s="62" t="s">
        <v>52</v>
      </c>
      <c r="J68" s="63">
        <v>59058</v>
      </c>
      <c r="K68" s="38" t="s">
        <v>53</v>
      </c>
      <c r="L68" s="90" t="str">
        <f>VLOOKUP(C68,'Trips&amp;Operators'!$C$1:$E$9999,3,0)</f>
        <v>ROCHA</v>
      </c>
      <c r="M68" s="9" t="s">
        <v>100</v>
      </c>
      <c r="N68" s="10"/>
      <c r="O68" s="38"/>
      <c r="P68" s="69" t="str">
        <f>VLOOKUP(C68,'Train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68" s="67" t="str">
        <f>VLOOKUP(C68,'Train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12:54:45-0600',mode:absolute,to:'2016-07-25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68" s="68" t="str">
        <f t="shared" si="5"/>
        <v>"C:\Program Files (x86)\AstroGrep\AstroGrep.exe" /spath="C:\Users\stu\Documents\Analysis\2016-02-23 RTDC Observations" /stypes="*4031*20160725*" /stext=" 20:.+((prompt.+disp)|(slice.+state.+chan)|(ment ac)|(system.+state.+chan)|(\|lc)|(penalty)|(\[timeout))" /e /r /s</v>
      </c>
      <c r="S68" s="9" t="str">
        <f t="shared" si="6"/>
        <v>4031</v>
      </c>
      <c r="T68" s="45">
        <f t="shared" si="7"/>
        <v>42576.844930555555</v>
      </c>
      <c r="U68" s="66" t="str">
        <f t="shared" si="8"/>
        <v>NWGL</v>
      </c>
      <c r="V68" s="66" t="str">
        <f t="shared" si="9"/>
        <v>KEEP</v>
      </c>
    </row>
    <row r="69" spans="1:22" x14ac:dyDescent="0.25">
      <c r="A69" s="45">
        <v>42576.595381944448</v>
      </c>
      <c r="B69" s="62" t="s">
        <v>353</v>
      </c>
      <c r="C69" s="38" t="s">
        <v>631</v>
      </c>
      <c r="D69" s="38" t="s">
        <v>50</v>
      </c>
      <c r="E69" s="62" t="s">
        <v>51</v>
      </c>
      <c r="F69" s="63">
        <v>0</v>
      </c>
      <c r="G69" s="63">
        <v>52</v>
      </c>
      <c r="H69" s="63">
        <v>58905</v>
      </c>
      <c r="I69" s="62" t="s">
        <v>52</v>
      </c>
      <c r="J69" s="63">
        <v>59058</v>
      </c>
      <c r="K69" s="38" t="s">
        <v>53</v>
      </c>
      <c r="L69" s="90" t="str">
        <f>VLOOKUP(C69,'Trips&amp;Operators'!$C$1:$E$9999,3,0)</f>
        <v>ROCHA</v>
      </c>
      <c r="M69" s="9" t="s">
        <v>100</v>
      </c>
      <c r="N69" s="10"/>
      <c r="O69" s="38"/>
      <c r="P69" s="69" t="str">
        <f>VLOOKUP(C69,'Train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69" s="67" t="str">
        <f>VLOOKUP(C69,'Train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12:54:45-0600',mode:absolute,to:'2016-07-25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69" s="68" t="str">
        <f t="shared" si="5"/>
        <v>"C:\Program Files (x86)\AstroGrep\AstroGrep.exe" /spath="C:\Users\stu\Documents\Analysis\2016-02-23 RTDC Observations" /stypes="*4031*20160725*" /stext=" 20:.+((prompt.+disp)|(slice.+state.+chan)|(ment ac)|(system.+state.+chan)|(\|lc)|(penalty)|(\[timeout))" /e /r /s</v>
      </c>
      <c r="S69" s="9" t="str">
        <f t="shared" si="6"/>
        <v>4031</v>
      </c>
      <c r="T69" s="45">
        <f t="shared" si="7"/>
        <v>42576.845381944448</v>
      </c>
      <c r="U69" s="66" t="str">
        <f t="shared" si="8"/>
        <v>NWGL</v>
      </c>
      <c r="V69" s="66" t="str">
        <f t="shared" si="9"/>
        <v>KEEP</v>
      </c>
    </row>
    <row r="70" spans="1:22" x14ac:dyDescent="0.25">
      <c r="A70" s="45">
        <v>42576.595775462964</v>
      </c>
      <c r="B70" s="62" t="s">
        <v>353</v>
      </c>
      <c r="C70" s="38" t="s">
        <v>631</v>
      </c>
      <c r="D70" s="38" t="s">
        <v>50</v>
      </c>
      <c r="E70" s="62" t="s">
        <v>51</v>
      </c>
      <c r="F70" s="63">
        <v>0</v>
      </c>
      <c r="G70" s="63">
        <v>16</v>
      </c>
      <c r="H70" s="63">
        <v>58978</v>
      </c>
      <c r="I70" s="62" t="s">
        <v>52</v>
      </c>
      <c r="J70" s="63">
        <v>59058</v>
      </c>
      <c r="K70" s="38" t="s">
        <v>53</v>
      </c>
      <c r="L70" s="90" t="str">
        <f>VLOOKUP(C70,'Trips&amp;Operators'!$C$1:$E$9999,3,0)</f>
        <v>ROCHA</v>
      </c>
      <c r="M70" s="9" t="s">
        <v>100</v>
      </c>
      <c r="N70" s="10"/>
      <c r="O70" s="38"/>
      <c r="P70" s="69" t="str">
        <f>VLOOKUP(C70,'Train Runs'!$A$13:$AE$840,31,0)</f>
        <v>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 &amp; aws s3 cp s3://rtdc.mdm.uploadarchive/RTDC4031/2016-07-26/ "C:\Users\stu\Documents\Analysis\2016-02-23 RTDC Observations"\RTDC4031\2016-07-26 --recursive &amp; "C:\Users\stu\Documents\GitHub\mrs-test-scripts\Headless Mode &amp; Sideloading\WalkAndUnGZ.bat" "C:\Users\stu\Documents\Analysis\2016-02-23 RTDC Observations"\RTDC4031\2016-07-26</v>
      </c>
      <c r="Q70" s="67" t="str">
        <f>VLOOKUP(C70,'Train Runs'!$A$13:$AE$840,22,0)</f>
        <v>https://search-rtdc-monitor-bjffxe2xuh6vdkpspy63sjmuny.us-east-1.es.amazonaws.com/_plugin/kibana/#/discover/Steve-Slow-Train-Analysis-(2080s-and-2083s)?_g=(refreshInterval:(display:Off,section:0,value:0),time:(from:'2016-07-25 12:54:45-0600',mode:absolute,to:'2016-07-25 15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4031%22')),sort:!(Time,asc))</v>
      </c>
      <c r="R70" s="68" t="str">
        <f t="shared" si="5"/>
        <v>"C:\Program Files (x86)\AstroGrep\AstroGrep.exe" /spath="C:\Users\stu\Documents\Analysis\2016-02-23 RTDC Observations" /stypes="*4031*20160725*" /stext=" 20:.+((prompt.+disp)|(slice.+state.+chan)|(ment ac)|(system.+state.+chan)|(\|lc)|(penalty)|(\[timeout))" /e /r /s</v>
      </c>
      <c r="S70" s="9" t="str">
        <f t="shared" si="6"/>
        <v>4031</v>
      </c>
      <c r="T70" s="45">
        <f t="shared" si="7"/>
        <v>42576.845775462964</v>
      </c>
      <c r="U70" s="66" t="str">
        <f t="shared" si="8"/>
        <v>NWGL</v>
      </c>
      <c r="V70" s="66" t="str">
        <f t="shared" si="9"/>
        <v>KEEP</v>
      </c>
    </row>
    <row r="71" spans="1:22" x14ac:dyDescent="0.25">
      <c r="A71" s="45">
        <v>42576.650613425925</v>
      </c>
      <c r="B71" s="62" t="s">
        <v>110</v>
      </c>
      <c r="C71" s="38" t="s">
        <v>651</v>
      </c>
      <c r="D71" s="38" t="s">
        <v>50</v>
      </c>
      <c r="E71" s="62" t="s">
        <v>51</v>
      </c>
      <c r="F71" s="63">
        <v>0</v>
      </c>
      <c r="G71" s="63">
        <v>57</v>
      </c>
      <c r="H71" s="63">
        <v>58867</v>
      </c>
      <c r="I71" s="62" t="s">
        <v>52</v>
      </c>
      <c r="J71" s="63">
        <v>59058</v>
      </c>
      <c r="K71" s="38" t="s">
        <v>53</v>
      </c>
      <c r="L71" s="90" t="str">
        <f>VLOOKUP(C71,'Trips&amp;Operators'!$C$1:$E$9999,3,0)</f>
        <v>COOLAHAN</v>
      </c>
      <c r="M71" s="9" t="s">
        <v>100</v>
      </c>
      <c r="N71" s="10"/>
      <c r="O71" s="38"/>
      <c r="P71" s="69" t="str">
        <f>VLOOKUP(C71,'Train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71" s="67" t="str">
        <f>VLOOKUP(C71,'Train Runs'!$A$13:$AE$840,22,0)</f>
        <v>https://search-rtdc-monitor-bjffxe2xuh6vdkpspy63sjmuny.us-east-1.es.amazonaws.com/_plugin/kibana/#/discover/Steve-Slow-Train-Analysis-(2080s-and-2083s)?_g=(refreshInterval:(display:Off,section:0,value:0),time:(from:'2016-07-25 14:15:25-0600',mode:absolute,to:'2016-07-25 16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71" s="68" t="str">
        <f t="shared" ref="R71:R75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/stypes="*4025*20160725*" /stext=" 21:.+((prompt.+disp)|(slice.+state.+chan)|(ment ac)|(system.+state.+chan)|(\|lc)|(penalty)|(\[timeout))" /e /r /s</v>
      </c>
      <c r="S71" s="9" t="str">
        <f t="shared" si="6"/>
        <v>4025</v>
      </c>
      <c r="T71" s="45">
        <f t="shared" si="7"/>
        <v>42576.900613425925</v>
      </c>
      <c r="U71" s="66" t="str">
        <f t="shared" si="8"/>
        <v>NWGL</v>
      </c>
      <c r="V71" s="66" t="str">
        <f t="shared" si="9"/>
        <v>KEEP</v>
      </c>
    </row>
    <row r="72" spans="1:22" x14ac:dyDescent="0.25">
      <c r="A72" s="45">
        <v>42576.73537037037</v>
      </c>
      <c r="B72" s="62" t="s">
        <v>110</v>
      </c>
      <c r="C72" s="38" t="s">
        <v>680</v>
      </c>
      <c r="D72" s="38" t="s">
        <v>50</v>
      </c>
      <c r="E72" s="62" t="s">
        <v>51</v>
      </c>
      <c r="F72" s="63">
        <v>0</v>
      </c>
      <c r="G72" s="63">
        <v>7</v>
      </c>
      <c r="H72" s="63">
        <v>58950</v>
      </c>
      <c r="I72" s="62" t="s">
        <v>52</v>
      </c>
      <c r="J72" s="63">
        <v>59058</v>
      </c>
      <c r="K72" s="38" t="s">
        <v>53</v>
      </c>
      <c r="L72" s="90" t="str">
        <f>VLOOKUP(C72,'Trips&amp;Operators'!$C$1:$E$9999,3,0)</f>
        <v>STORY</v>
      </c>
      <c r="M72" s="9" t="s">
        <v>100</v>
      </c>
      <c r="N72" s="10"/>
      <c r="O72" s="38"/>
      <c r="P72" s="69" t="str">
        <f>VLOOKUP(C72,'Train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72" s="67" t="str">
        <f>VLOOKUP(C72,'Train Runs'!$A$13:$AE$840,22,0)</f>
        <v>https://search-rtdc-monitor-bjffxe2xuh6vdkpspy63sjmuny.us-east-1.es.amazonaws.com/_plugin/kibana/#/discover/Steve-Slow-Train-Analysis-(2080s-and-2083s)?_g=(refreshInterval:(display:Off,section:0,value:0),time:(from:'2016-07-25 16:17:28-0600',mode:absolute,to:'2016-07-25 18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72" s="68" t="str">
        <f t="shared" si="10"/>
        <v>"C:\Program Files (x86)\AstroGrep\AstroGrep.exe" /spath="C:\Users\stu\Documents\Analysis\2016-02-23 RTDC Observations" /stypes="*4025*20160725*" /stext=" 23:.+((prompt.+disp)|(slice.+state.+chan)|(ment ac)|(system.+state.+chan)|(\|lc)|(penalty)|(\[timeout))" /e /r /s</v>
      </c>
      <c r="S72" s="9" t="str">
        <f t="shared" si="6"/>
        <v>4025</v>
      </c>
      <c r="T72" s="45">
        <f t="shared" si="7"/>
        <v>42576.98537037037</v>
      </c>
      <c r="U72" s="66" t="str">
        <f t="shared" si="8"/>
        <v>NWGL</v>
      </c>
      <c r="V72" s="66" t="str">
        <f t="shared" si="9"/>
        <v>OMIT</v>
      </c>
    </row>
    <row r="73" spans="1:22" x14ac:dyDescent="0.25">
      <c r="A73" s="45">
        <v>42576.817002314812</v>
      </c>
      <c r="B73" s="62" t="s">
        <v>110</v>
      </c>
      <c r="C73" s="38" t="s">
        <v>707</v>
      </c>
      <c r="D73" s="38" t="s">
        <v>50</v>
      </c>
      <c r="E73" s="62" t="s">
        <v>51</v>
      </c>
      <c r="F73" s="63">
        <v>0</v>
      </c>
      <c r="G73" s="63">
        <v>6</v>
      </c>
      <c r="H73" s="63">
        <v>59035</v>
      </c>
      <c r="I73" s="62" t="s">
        <v>52</v>
      </c>
      <c r="J73" s="63">
        <v>59058</v>
      </c>
      <c r="K73" s="38" t="s">
        <v>53</v>
      </c>
      <c r="L73" s="90" t="str">
        <f>VLOOKUP(C73,'Trips&amp;Operators'!$C$1:$E$9999,3,0)</f>
        <v>STORY</v>
      </c>
      <c r="M73" s="9" t="s">
        <v>100</v>
      </c>
      <c r="N73" s="10"/>
      <c r="O73" s="38"/>
      <c r="P73" s="69" t="str">
        <f>VLOOKUP(C73,'Train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73" s="67" t="str">
        <f>VLOOKUP(C73,'Train Runs'!$A$13:$AE$840,22,0)</f>
        <v>https://search-rtdc-monitor-bjffxe2xuh6vdkpspy63sjmuny.us-east-1.es.amazonaws.com/_plugin/kibana/#/discover/Steve-Slow-Train-Analysis-(2080s-and-2083s)?_g=(refreshInterval:(display:Off,section:0,value:0),time:(from:'2016-07-25 18:15:09-0600',mode:absolute,to:'2016-07-25 20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73" s="68" t="str">
        <f t="shared" si="10"/>
        <v>"C:\Program Files (x86)\AstroGrep\AstroGrep.exe" /spath="C:\Users\stu\Documents\Analysis\2016-02-23 RTDC Observations" /stypes="*4025*20160726*" /stext=" 01:.+((prompt.+disp)|(slice.+state.+chan)|(ment ac)|(system.+state.+chan)|(\|lc)|(penalty)|(\[timeout))" /e /r /s</v>
      </c>
      <c r="S73" s="9" t="str">
        <f t="shared" si="6"/>
        <v>4025</v>
      </c>
      <c r="T73" s="45">
        <f t="shared" si="7"/>
        <v>42577.067002314812</v>
      </c>
      <c r="U73" s="66" t="str">
        <f t="shared" si="8"/>
        <v>NWGL</v>
      </c>
      <c r="V73" s="66" t="str">
        <f t="shared" si="9"/>
        <v>OMIT</v>
      </c>
    </row>
    <row r="74" spans="1:22" x14ac:dyDescent="0.25">
      <c r="A74" s="45">
        <v>42576.871331018519</v>
      </c>
      <c r="B74" s="62" t="s">
        <v>78</v>
      </c>
      <c r="C74" s="38" t="s">
        <v>726</v>
      </c>
      <c r="D74" s="38" t="s">
        <v>50</v>
      </c>
      <c r="E74" s="62" t="s">
        <v>51</v>
      </c>
      <c r="F74" s="63">
        <v>0</v>
      </c>
      <c r="G74" s="63">
        <v>71</v>
      </c>
      <c r="H74" s="63">
        <v>58837</v>
      </c>
      <c r="I74" s="62" t="s">
        <v>52</v>
      </c>
      <c r="J74" s="63">
        <v>59058</v>
      </c>
      <c r="K74" s="38" t="s">
        <v>53</v>
      </c>
      <c r="L74" s="90" t="str">
        <f>VLOOKUP(C74,'Trips&amp;Operators'!$C$1:$E$9999,3,0)</f>
        <v>COOLAHAN</v>
      </c>
      <c r="M74" s="9" t="s">
        <v>100</v>
      </c>
      <c r="N74" s="10"/>
      <c r="O74" s="38"/>
      <c r="P74" s="69" t="str">
        <f>VLOOKUP(C74,'Train Runs'!$A$13:$AE$840,31,0)</f>
        <v>aws s3 cp s3://rtdc.mdm.uploadarchive/RTDC4042/2016-07-25/ "C:\Users\stu\Documents\Analysis\2016-02-23 RTDC Observations"\RTDC4042\2016-07-25 --recursive &amp; "C:\Users\stu\Documents\GitHub\mrs-test-scripts\Headless Mode &amp; Sideloading\WalkAndUnGZ.bat" "C:\Users\stu\Documents\Analysis\2016-02-23 RTDC Observations"\RTDC4042\2016-07-25 &amp; aws s3 cp s3://rtdc.mdm.uploadarchive/RTDC4042/2016-07-26/ "C:\Users\stu\Documents\Analysis\2016-02-23 RTDC Observations"\RTDC4042\2016-07-26 --recursive &amp; "C:\Users\stu\Documents\GitHub\mrs-test-scripts\Headless Mode &amp; Sideloading\WalkAndUnGZ.bat" "C:\Users\stu\Documents\Analysis\2016-02-23 RTDC Observations"\RTDC4042\2016-07-26</v>
      </c>
      <c r="Q74" s="67" t="str">
        <f>VLOOKUP(C74,'Train Runs'!$A$13:$AE$840,22,0)</f>
        <v>https://search-rtdc-monitor-bjffxe2xuh6vdkpspy63sjmuny.us-east-1.es.amazonaws.com/_plugin/kibana/#/discover/Steve-Slow-Train-Analysis-(2080s-and-2083s)?_g=(refreshInterval:(display:Off,section:0,value:0),time:(from:'2016-07-25 19:37:50-0600',mode:absolute,to:'2016-07-25 21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4042%22')),sort:!(Time,asc))</v>
      </c>
      <c r="R74" s="68" t="str">
        <f t="shared" si="10"/>
        <v>"C:\Program Files (x86)\AstroGrep\AstroGrep.exe" /spath="C:\Users\stu\Documents\Analysis\2016-02-23 RTDC Observations" /stypes="*4042*20160726*" /stext=" 02:.+((prompt.+disp)|(slice.+state.+chan)|(ment ac)|(system.+state.+chan)|(\|lc)|(penalty)|(\[timeout))" /e /r /s</v>
      </c>
      <c r="S74" s="9" t="str">
        <f t="shared" si="6"/>
        <v>4042</v>
      </c>
      <c r="T74" s="45">
        <f t="shared" si="7"/>
        <v>42577.121331018519</v>
      </c>
      <c r="U74" s="66" t="str">
        <f t="shared" si="8"/>
        <v>NWGL</v>
      </c>
      <c r="V74" s="66" t="str">
        <f t="shared" si="9"/>
        <v>KEEP</v>
      </c>
    </row>
    <row r="75" spans="1:22" x14ac:dyDescent="0.25">
      <c r="A75" s="45">
        <v>42576.90121527778</v>
      </c>
      <c r="B75" s="38" t="s">
        <v>110</v>
      </c>
      <c r="C75" s="38" t="s">
        <v>737</v>
      </c>
      <c r="D75" s="38" t="s">
        <v>50</v>
      </c>
      <c r="E75" s="38" t="s">
        <v>51</v>
      </c>
      <c r="F75" s="63">
        <v>0</v>
      </c>
      <c r="G75" s="63">
        <v>27</v>
      </c>
      <c r="H75" s="63">
        <v>58958</v>
      </c>
      <c r="I75" s="38" t="s">
        <v>52</v>
      </c>
      <c r="J75" s="63">
        <v>59058</v>
      </c>
      <c r="K75" s="38" t="s">
        <v>53</v>
      </c>
      <c r="L75" s="90" t="str">
        <f>VLOOKUP(C75,'Trips&amp;Operators'!$C$1:$E$9999,3,0)</f>
        <v>STORY</v>
      </c>
      <c r="M75" s="9" t="s">
        <v>100</v>
      </c>
      <c r="N75" s="10"/>
      <c r="O75" s="38"/>
      <c r="P75" s="69" t="str">
        <f>VLOOKUP(C75,'Train Runs'!$A$13:$AE$840,31,0)</f>
        <v>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 &amp; aws s3 cp s3://rtdc.mdm.uploadarchive/RTDC4025/2016-07-26/ "C:\Users\stu\Documents\Analysis\2016-02-23 RTDC Observations"\RTDC4025\2016-07-26 --recursive &amp; "C:\Users\stu\Documents\GitHub\mrs-test-scripts\Headless Mode &amp; Sideloading\WalkAndUnGZ.bat" "C:\Users\stu\Documents\Analysis\2016-02-23 RTDC Observations"\RTDC4025\2016-07-26</v>
      </c>
      <c r="Q75" s="67" t="str">
        <f>VLOOKUP(C75,'Train Runs'!$A$13:$AE$840,22,0)</f>
        <v>https://search-rtdc-monitor-bjffxe2xuh6vdkpspy63sjmuny.us-east-1.es.amazonaws.com/_plugin/kibana/#/discover/Steve-Slow-Train-Analysis-(2080s-and-2083s)?_g=(refreshInterval:(display:Off,section:0,value:0),time:(from:'2016-07-25 20:19:24-0600',mode:absolute,to:'2016-07-25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201041%20OR%202003)%20AND%20%22rtdc.l.rtdc.4025%22')),sort:!(Time,asc))</v>
      </c>
      <c r="R75" s="68" t="str">
        <f t="shared" si="10"/>
        <v>"C:\Program Files (x86)\AstroGrep\AstroGrep.exe" /spath="C:\Users\stu\Documents\Analysis\2016-02-23 RTDC Observations" /stypes="*4025*20160726*" /stext=" 03:.+((prompt.+disp)|(slice.+state.+chan)|(ment ac)|(system.+state.+chan)|(\|lc)|(penalty)|(\[timeout))" /e /r /s</v>
      </c>
      <c r="S75" s="9" t="str">
        <f t="shared" si="6"/>
        <v>4025</v>
      </c>
      <c r="T75" s="45">
        <f t="shared" si="7"/>
        <v>42577.15121527778</v>
      </c>
      <c r="U75" s="66" t="str">
        <f t="shared" si="8"/>
        <v>NWGL</v>
      </c>
      <c r="V75" s="66" t="str">
        <f t="shared" si="9"/>
        <v>KEEP</v>
      </c>
    </row>
  </sheetData>
  <autoFilter ref="A6:V75"/>
  <sortState ref="A7:V75">
    <sortCondition ref="U7:U75"/>
    <sortCondition ref="E7:E75"/>
    <sortCondition ref="J7:J75"/>
    <sortCondition ref="C7:C75"/>
    <sortCondition ref="F7:F75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7:N75 A7:N66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selection activeCell="A2" sqref="A2:D8"/>
    </sheetView>
  </sheetViews>
  <sheetFormatPr defaultRowHeight="15" x14ac:dyDescent="0.25"/>
  <cols>
    <col min="1" max="1" width="9.140625" customWidth="1"/>
    <col min="2" max="2" width="8" style="121" bestFit="1" customWidth="1"/>
    <col min="3" max="3" width="8.140625" style="123" bestFit="1" customWidth="1"/>
    <col min="4" max="4" width="112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8" t="str">
        <f>"Trips that did not appear in PTC Data "&amp;TEXT(Variables!$A$2,"YYYY-mm-dd")</f>
        <v>Trips that did not appear in PTC Data 2016-07-25</v>
      </c>
      <c r="B1" s="118"/>
      <c r="C1" s="118"/>
      <c r="D1" s="118"/>
      <c r="E1" s="118"/>
    </row>
    <row r="2" spans="1:10" s="29" customFormat="1" ht="45" x14ac:dyDescent="0.25">
      <c r="A2" s="28" t="s">
        <v>75</v>
      </c>
      <c r="B2" s="119" t="s">
        <v>76</v>
      </c>
      <c r="C2" s="122" t="s">
        <v>77</v>
      </c>
      <c r="D2" s="29" t="s">
        <v>73</v>
      </c>
      <c r="E2" s="29" t="s">
        <v>74</v>
      </c>
      <c r="F2" s="29" t="s">
        <v>79</v>
      </c>
      <c r="G2" s="36" t="s">
        <v>80</v>
      </c>
    </row>
    <row r="3" spans="1:10" x14ac:dyDescent="0.25">
      <c r="A3" s="38" t="s">
        <v>825</v>
      </c>
      <c r="B3" s="120">
        <v>2</v>
      </c>
      <c r="C3" s="120">
        <v>4038</v>
      </c>
      <c r="D3" s="38" t="s">
        <v>833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37" t="e">
        <f>VLOOKUP(A3,'Trips&amp;Operators'!$C$1:$H$10000,5,FALSE)</f>
        <v>#N/A</v>
      </c>
      <c r="H3" s="25"/>
      <c r="I3" s="25"/>
      <c r="J3" s="25"/>
    </row>
    <row r="4" spans="1:10" x14ac:dyDescent="0.25">
      <c r="A4" s="38" t="s">
        <v>826</v>
      </c>
      <c r="B4" s="120">
        <v>1</v>
      </c>
      <c r="C4" s="120">
        <v>4014</v>
      </c>
      <c r="D4" s="38" t="s">
        <v>835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37" t="e">
        <f>VLOOKUP(A4,'Trips&amp;Operators'!$C$1:$H$10000,5,FALSE)</f>
        <v>#N/A</v>
      </c>
      <c r="H4" s="25"/>
      <c r="I4" s="25"/>
      <c r="J4" s="25"/>
    </row>
    <row r="5" spans="1:10" x14ac:dyDescent="0.25">
      <c r="A5" s="66" t="s">
        <v>827</v>
      </c>
      <c r="B5" s="120">
        <v>1</v>
      </c>
      <c r="C5" s="120">
        <v>4016</v>
      </c>
      <c r="D5" s="38" t="s">
        <v>833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37" t="e">
        <f>VLOOKUP(A5,'Trips&amp;Operators'!$C$1:$H$10000,5,FALSE)</f>
        <v>#N/A</v>
      </c>
      <c r="H5" s="25"/>
      <c r="I5" s="25"/>
      <c r="J5" s="25"/>
    </row>
    <row r="6" spans="1:10" x14ac:dyDescent="0.25">
      <c r="A6" s="66" t="s">
        <v>828</v>
      </c>
      <c r="B6" s="120">
        <v>3</v>
      </c>
      <c r="C6" s="120">
        <v>4013</v>
      </c>
      <c r="D6" s="38" t="s">
        <v>835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37" t="e">
        <f>VLOOKUP(A6,'Trips&amp;Operators'!$C$1:$H$10000,5,FALSE)</f>
        <v>#N/A</v>
      </c>
      <c r="H6" s="25"/>
      <c r="I6" s="25"/>
      <c r="J6" s="25"/>
    </row>
    <row r="7" spans="1:10" x14ac:dyDescent="0.25">
      <c r="A7" s="66" t="s">
        <v>829</v>
      </c>
      <c r="B7" s="120">
        <v>2</v>
      </c>
      <c r="C7" s="120">
        <v>4019</v>
      </c>
      <c r="D7" s="38" t="s">
        <v>833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37" t="e">
        <f>VLOOKUP(A7,'Trips&amp;Operators'!$C$1:$H$10000,5,FALSE)</f>
        <v>#N/A</v>
      </c>
      <c r="H7" s="25"/>
      <c r="I7" s="25"/>
      <c r="J7" s="25"/>
    </row>
    <row r="8" spans="1:10" x14ac:dyDescent="0.25">
      <c r="A8" s="38" t="s">
        <v>830</v>
      </c>
      <c r="B8" s="120">
        <v>0</v>
      </c>
      <c r="C8" s="120" t="s">
        <v>834</v>
      </c>
      <c r="D8" s="38" t="s">
        <v>832</v>
      </c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37" t="e">
        <f>VLOOKUP(A8,'Trips&amp;Operators'!$C$1:$H$10000,5,FALSE)</f>
        <v>#N/A</v>
      </c>
      <c r="H8" s="25"/>
      <c r="I8" s="25"/>
      <c r="J8" s="25"/>
    </row>
    <row r="9" spans="1:10" x14ac:dyDescent="0.25">
      <c r="B9" s="91"/>
      <c r="C9" s="91"/>
      <c r="H9" s="25"/>
      <c r="I9" s="25"/>
      <c r="J9" s="25"/>
    </row>
    <row r="10" spans="1:10" x14ac:dyDescent="0.25">
      <c r="B10" s="91"/>
      <c r="C10" s="91"/>
      <c r="H10" s="25"/>
      <c r="I10" s="25"/>
      <c r="J10" s="25"/>
    </row>
    <row r="11" spans="1:10" x14ac:dyDescent="0.25">
      <c r="B11" s="91"/>
      <c r="C11" s="91"/>
      <c r="H11" s="25"/>
      <c r="I11" s="25"/>
      <c r="J11" s="25"/>
    </row>
    <row r="12" spans="1:10" x14ac:dyDescent="0.25">
      <c r="B12" s="91"/>
      <c r="C12" s="91"/>
      <c r="H12" s="25"/>
      <c r="I12" s="25"/>
      <c r="J12" s="25"/>
    </row>
    <row r="13" spans="1:10" x14ac:dyDescent="0.25">
      <c r="B13" s="91"/>
      <c r="C13" s="91"/>
      <c r="H13" s="25"/>
      <c r="I13" s="25"/>
      <c r="J13" s="25"/>
    </row>
    <row r="14" spans="1:10" x14ac:dyDescent="0.25">
      <c r="B14" s="91"/>
      <c r="C14" s="91"/>
      <c r="H14" s="25"/>
      <c r="I14" s="25"/>
      <c r="J14" s="25"/>
    </row>
    <row r="15" spans="1:10" x14ac:dyDescent="0.25">
      <c r="B15" s="91"/>
      <c r="C15" s="91"/>
      <c r="H15" s="25"/>
      <c r="I15" s="25"/>
      <c r="J15" s="25"/>
    </row>
    <row r="16" spans="1:10" x14ac:dyDescent="0.25">
      <c r="B16" s="91"/>
      <c r="C16" s="91"/>
      <c r="H16" s="25"/>
      <c r="I16" s="25"/>
      <c r="J16" s="25"/>
    </row>
    <row r="17" spans="2:10" x14ac:dyDescent="0.25">
      <c r="B17" s="91"/>
      <c r="C17" s="91"/>
      <c r="H17" s="25"/>
      <c r="I17" s="25"/>
      <c r="J17" s="25"/>
    </row>
    <row r="18" spans="2:10" x14ac:dyDescent="0.25">
      <c r="B18" s="91"/>
      <c r="C18" s="91"/>
      <c r="H18" s="25"/>
      <c r="I18" s="25"/>
      <c r="J18" s="25"/>
    </row>
    <row r="19" spans="2:10" x14ac:dyDescent="0.25">
      <c r="B19" s="91"/>
      <c r="C19" s="91"/>
      <c r="H19" s="25"/>
      <c r="I19" s="25"/>
      <c r="J19" s="25"/>
    </row>
    <row r="20" spans="2:10" x14ac:dyDescent="0.25">
      <c r="B20" s="91"/>
      <c r="C20" s="91"/>
      <c r="H20" s="25"/>
      <c r="I20" s="25"/>
      <c r="J20" s="25"/>
    </row>
    <row r="21" spans="2:10" x14ac:dyDescent="0.25">
      <c r="B21" s="91"/>
      <c r="C21" s="91"/>
      <c r="H21" s="25"/>
      <c r="I21" s="25"/>
      <c r="J21" s="25"/>
    </row>
    <row r="22" spans="2:10" x14ac:dyDescent="0.25">
      <c r="B22" s="91"/>
      <c r="C22" s="91"/>
      <c r="H22" s="25"/>
      <c r="I22" s="25"/>
      <c r="J22" s="25"/>
    </row>
    <row r="23" spans="2:10" x14ac:dyDescent="0.25">
      <c r="B23" s="91"/>
      <c r="C23" s="91"/>
      <c r="H23" s="25"/>
      <c r="I23" s="25"/>
      <c r="J23" s="25"/>
    </row>
    <row r="24" spans="2:10" x14ac:dyDescent="0.25">
      <c r="B24" s="91"/>
      <c r="C24" s="91"/>
      <c r="H24" s="25"/>
      <c r="I24" s="25"/>
      <c r="J24" s="25"/>
    </row>
    <row r="25" spans="2:10" x14ac:dyDescent="0.25">
      <c r="B25" s="91"/>
      <c r="C25" s="91"/>
      <c r="H25" s="25"/>
      <c r="I25" s="25"/>
      <c r="J25" s="25"/>
    </row>
    <row r="26" spans="2:10" x14ac:dyDescent="0.25">
      <c r="B26" s="91"/>
      <c r="C26" s="91"/>
      <c r="H26" s="25"/>
      <c r="I26" s="25"/>
      <c r="J26" s="25"/>
    </row>
    <row r="27" spans="2:10" x14ac:dyDescent="0.25">
      <c r="B27" s="91"/>
      <c r="C27" s="91"/>
      <c r="H27" s="25"/>
      <c r="I27" s="25"/>
      <c r="J27" s="25"/>
    </row>
    <row r="28" spans="2:10" x14ac:dyDescent="0.25">
      <c r="B28" s="91"/>
      <c r="C28" s="91"/>
      <c r="H28" s="25"/>
      <c r="I28" s="25"/>
      <c r="J28" s="25"/>
    </row>
    <row r="29" spans="2:10" x14ac:dyDescent="0.25">
      <c r="B29" s="91"/>
      <c r="C29" s="91"/>
      <c r="H29" s="25"/>
      <c r="I29" s="25"/>
      <c r="J29" s="25"/>
    </row>
    <row r="30" spans="2:10" x14ac:dyDescent="0.25">
      <c r="B30" s="91"/>
      <c r="C30" s="91"/>
      <c r="H30" s="25"/>
      <c r="I30" s="25"/>
      <c r="J30" s="25"/>
    </row>
    <row r="31" spans="2:10" x14ac:dyDescent="0.25">
      <c r="B31" s="91"/>
      <c r="C31" s="91"/>
      <c r="H31" s="25"/>
      <c r="I31" s="25"/>
      <c r="J31" s="25"/>
    </row>
    <row r="32" spans="2:10" x14ac:dyDescent="0.25">
      <c r="B32" s="91"/>
      <c r="C32" s="91"/>
      <c r="H32" s="25"/>
      <c r="I32" s="25"/>
      <c r="J32" s="25"/>
    </row>
    <row r="33" spans="2:10" x14ac:dyDescent="0.25">
      <c r="B33" s="91"/>
      <c r="C33" s="91"/>
      <c r="H33" s="25"/>
      <c r="I33" s="25"/>
      <c r="J33" s="25"/>
    </row>
    <row r="34" spans="2:10" x14ac:dyDescent="0.25">
      <c r="B34" s="91"/>
      <c r="C34" s="91"/>
      <c r="H34" s="25"/>
      <c r="I34" s="25"/>
      <c r="J34" s="25"/>
    </row>
    <row r="35" spans="2:10" x14ac:dyDescent="0.25">
      <c r="B35" s="91"/>
      <c r="C35" s="91"/>
      <c r="H35" s="25"/>
      <c r="I35" s="25"/>
      <c r="J35" s="25"/>
    </row>
    <row r="36" spans="2:10" x14ac:dyDescent="0.25">
      <c r="B36" s="91"/>
      <c r="C36" s="91"/>
      <c r="H36" s="25"/>
      <c r="I36" s="25"/>
      <c r="J36" s="25"/>
    </row>
    <row r="37" spans="2:10" x14ac:dyDescent="0.25">
      <c r="B37" s="91"/>
      <c r="C37" s="91"/>
      <c r="H37" s="25"/>
      <c r="I37" s="25"/>
      <c r="J37" s="25"/>
    </row>
    <row r="38" spans="2:10" x14ac:dyDescent="0.25">
      <c r="B38" s="91"/>
      <c r="C38" s="91"/>
      <c r="H38" s="25"/>
      <c r="I38" s="25"/>
      <c r="J38" s="25"/>
    </row>
    <row r="39" spans="2:10" x14ac:dyDescent="0.25">
      <c r="B39" s="91"/>
      <c r="C39" s="91"/>
      <c r="H39" s="25"/>
      <c r="I39" s="25"/>
      <c r="J39" s="25"/>
    </row>
    <row r="40" spans="2:10" x14ac:dyDescent="0.25">
      <c r="B40" s="91"/>
      <c r="C40" s="91"/>
      <c r="H40" s="25"/>
      <c r="I40" s="25"/>
      <c r="J40" s="25"/>
    </row>
    <row r="41" spans="2:10" x14ac:dyDescent="0.25">
      <c r="B41" s="91"/>
      <c r="C41" s="91"/>
      <c r="H41" s="25"/>
      <c r="I41" s="25"/>
      <c r="J41" s="25"/>
    </row>
    <row r="42" spans="2:10" x14ac:dyDescent="0.25">
      <c r="B42" s="91"/>
      <c r="C42" s="91"/>
      <c r="H42" s="25"/>
      <c r="I42" s="25"/>
      <c r="J42" s="25"/>
    </row>
    <row r="43" spans="2:10" x14ac:dyDescent="0.25">
      <c r="B43" s="91"/>
      <c r="C43" s="91"/>
      <c r="H43" s="25"/>
      <c r="I43" s="25"/>
      <c r="J43" s="25"/>
    </row>
    <row r="44" spans="2:10" x14ac:dyDescent="0.25">
      <c r="B44" s="91"/>
      <c r="C44" s="91"/>
      <c r="H44" s="25"/>
      <c r="I44" s="25"/>
      <c r="J44" s="25"/>
    </row>
    <row r="45" spans="2:10" x14ac:dyDescent="0.25">
      <c r="B45" s="91"/>
      <c r="C45" s="91"/>
      <c r="H45" s="25"/>
      <c r="I45" s="25"/>
      <c r="J45" s="25"/>
    </row>
    <row r="46" spans="2:10" x14ac:dyDescent="0.25">
      <c r="B46" s="91"/>
      <c r="C46" s="91"/>
      <c r="H46" s="25"/>
      <c r="I46" s="25"/>
      <c r="J46" s="25"/>
    </row>
    <row r="47" spans="2:10" x14ac:dyDescent="0.25">
      <c r="B47" s="91"/>
      <c r="C47" s="91"/>
      <c r="H47" s="25"/>
      <c r="I47" s="25"/>
      <c r="J47" s="25"/>
    </row>
    <row r="48" spans="2:10" x14ac:dyDescent="0.25">
      <c r="B48" s="91"/>
      <c r="C48" s="91"/>
      <c r="H48" s="25"/>
      <c r="I48" s="25"/>
      <c r="J48" s="25"/>
    </row>
    <row r="49" spans="2:10" x14ac:dyDescent="0.25">
      <c r="B49" s="91"/>
      <c r="C49" s="91"/>
      <c r="H49" s="25"/>
      <c r="I49" s="25"/>
      <c r="J49" s="25"/>
    </row>
    <row r="50" spans="2:10" x14ac:dyDescent="0.25">
      <c r="B50" s="91"/>
      <c r="C50" s="91"/>
      <c r="H50" s="25"/>
      <c r="I50" s="25"/>
      <c r="J50" s="25"/>
    </row>
    <row r="51" spans="2:10" x14ac:dyDescent="0.25">
      <c r="B51" s="91"/>
      <c r="C51" s="91"/>
      <c r="H51" s="25"/>
      <c r="I51" s="25"/>
      <c r="J51" s="25"/>
    </row>
    <row r="52" spans="2:10" x14ac:dyDescent="0.25">
      <c r="B52" s="91"/>
      <c r="C52" s="91"/>
      <c r="H52" s="25"/>
      <c r="I52" s="25"/>
      <c r="J52" s="25"/>
    </row>
    <row r="53" spans="2:10" x14ac:dyDescent="0.25">
      <c r="B53" s="91"/>
      <c r="C53" s="91"/>
      <c r="H53" s="25"/>
      <c r="I53" s="25"/>
      <c r="J53" s="25"/>
    </row>
    <row r="54" spans="2:10" x14ac:dyDescent="0.25">
      <c r="B54" s="91"/>
      <c r="C54" s="91"/>
      <c r="H54" s="25"/>
      <c r="I54" s="25"/>
      <c r="J54" s="25"/>
    </row>
    <row r="55" spans="2:10" x14ac:dyDescent="0.25">
      <c r="B55" s="91"/>
      <c r="C55" s="91"/>
      <c r="H55" s="25"/>
      <c r="I55" s="25"/>
      <c r="J55" s="25"/>
    </row>
    <row r="56" spans="2:10" x14ac:dyDescent="0.25">
      <c r="B56" s="91"/>
      <c r="C56" s="91"/>
      <c r="H56" s="25"/>
      <c r="I56" s="25"/>
      <c r="J56" s="25"/>
    </row>
    <row r="57" spans="2:10" x14ac:dyDescent="0.25">
      <c r="B57" s="91"/>
      <c r="C57" s="91"/>
      <c r="H57" s="25"/>
      <c r="I57" s="25"/>
      <c r="J57" s="25"/>
    </row>
    <row r="58" spans="2:10" x14ac:dyDescent="0.25">
      <c r="B58" s="91"/>
      <c r="C58" s="91"/>
      <c r="H58" s="25"/>
      <c r="I58" s="25"/>
      <c r="J58" s="25"/>
    </row>
    <row r="59" spans="2:10" x14ac:dyDescent="0.25">
      <c r="B59" s="91"/>
      <c r="C59" s="91"/>
      <c r="H59" s="25"/>
      <c r="I59" s="25"/>
      <c r="J59" s="25"/>
    </row>
    <row r="60" spans="2:10" x14ac:dyDescent="0.25">
      <c r="B60" s="91"/>
      <c r="C60" s="91"/>
      <c r="H60" s="25"/>
      <c r="I60" s="25"/>
      <c r="J60" s="25"/>
    </row>
    <row r="61" spans="2:10" x14ac:dyDescent="0.25">
      <c r="B61" s="91"/>
      <c r="C61" s="91"/>
      <c r="H61" s="25"/>
      <c r="I61" s="25"/>
      <c r="J61" s="25"/>
    </row>
    <row r="62" spans="2:10" x14ac:dyDescent="0.25">
      <c r="B62" s="91"/>
      <c r="C62" s="91"/>
      <c r="H62" s="25"/>
      <c r="I62" s="25"/>
      <c r="J62" s="25"/>
    </row>
    <row r="63" spans="2:10" x14ac:dyDescent="0.25">
      <c r="B63" s="91"/>
      <c r="C63" s="91"/>
      <c r="H63" s="25"/>
      <c r="I63" s="25"/>
      <c r="J63" s="25"/>
    </row>
    <row r="64" spans="2:10" x14ac:dyDescent="0.25">
      <c r="B64" s="91"/>
      <c r="C64" s="91"/>
      <c r="H64" s="25"/>
      <c r="I64" s="25"/>
      <c r="J64" s="25"/>
    </row>
    <row r="65" spans="2:10" x14ac:dyDescent="0.25">
      <c r="B65" s="91"/>
      <c r="C65" s="91"/>
      <c r="H65" s="25"/>
      <c r="I65" s="25"/>
      <c r="J65" s="25"/>
    </row>
    <row r="66" spans="2:10" x14ac:dyDescent="0.25">
      <c r="B66" s="91"/>
      <c r="C66" s="91"/>
      <c r="H66" s="25"/>
      <c r="I66" s="25"/>
      <c r="J66" s="25"/>
    </row>
    <row r="67" spans="2:10" x14ac:dyDescent="0.25">
      <c r="B67" s="91"/>
      <c r="C67" s="91"/>
      <c r="H67" s="25"/>
      <c r="I67" s="25"/>
      <c r="J67" s="25"/>
    </row>
    <row r="68" spans="2:10" x14ac:dyDescent="0.25">
      <c r="B68" s="91"/>
      <c r="C68" s="91"/>
      <c r="H68" s="25"/>
      <c r="I68" s="25"/>
      <c r="J68" s="25"/>
    </row>
    <row r="69" spans="2:10" x14ac:dyDescent="0.25">
      <c r="B69" s="91"/>
      <c r="C69" s="91"/>
      <c r="H69" s="25"/>
      <c r="I69" s="25"/>
      <c r="J69" s="25"/>
    </row>
    <row r="70" spans="2:10" x14ac:dyDescent="0.25">
      <c r="B70" s="91"/>
      <c r="C70" s="91"/>
      <c r="H70" s="25"/>
      <c r="I70" s="25"/>
      <c r="J70" s="25"/>
    </row>
    <row r="71" spans="2:10" x14ac:dyDescent="0.25">
      <c r="B71" s="91"/>
      <c r="C71" s="91"/>
      <c r="H71" s="25"/>
      <c r="I71" s="25"/>
      <c r="J71" s="25"/>
    </row>
    <row r="72" spans="2:10" x14ac:dyDescent="0.25">
      <c r="B72" s="91"/>
      <c r="C72" s="91"/>
      <c r="H72" s="25"/>
      <c r="I72" s="25"/>
      <c r="J72" s="25"/>
    </row>
    <row r="73" spans="2:10" x14ac:dyDescent="0.25">
      <c r="B73" s="91"/>
      <c r="C73" s="91"/>
      <c r="H73" s="25"/>
      <c r="I73" s="25"/>
      <c r="J73" s="25"/>
    </row>
    <row r="74" spans="2:10" x14ac:dyDescent="0.25">
      <c r="B74" s="91"/>
      <c r="C74" s="91"/>
      <c r="H74" s="25"/>
      <c r="I74" s="25"/>
      <c r="J74" s="25"/>
    </row>
    <row r="75" spans="2:10" x14ac:dyDescent="0.25">
      <c r="B75" s="91"/>
      <c r="C75" s="91"/>
      <c r="H75" s="25"/>
      <c r="I75" s="25"/>
      <c r="J75" s="25"/>
    </row>
    <row r="76" spans="2:10" x14ac:dyDescent="0.25">
      <c r="B76" s="91"/>
      <c r="C76" s="91"/>
      <c r="H76" s="25"/>
      <c r="I76" s="25"/>
      <c r="J76" s="25"/>
    </row>
    <row r="77" spans="2:10" x14ac:dyDescent="0.25">
      <c r="B77" s="91"/>
      <c r="C77" s="91"/>
      <c r="H77" s="25"/>
      <c r="I77" s="25"/>
      <c r="J77" s="25"/>
    </row>
    <row r="78" spans="2:10" x14ac:dyDescent="0.25">
      <c r="B78" s="91"/>
      <c r="C78" s="91"/>
      <c r="H78" s="25"/>
      <c r="I78" s="25"/>
      <c r="J78" s="25"/>
    </row>
    <row r="79" spans="2:10" x14ac:dyDescent="0.25">
      <c r="B79" s="91"/>
      <c r="C79" s="91"/>
      <c r="H79" s="25"/>
      <c r="I79" s="25"/>
      <c r="J79" s="25"/>
    </row>
    <row r="80" spans="2:10" x14ac:dyDescent="0.25">
      <c r="B80" s="91"/>
      <c r="C80" s="91"/>
      <c r="H80" s="25"/>
      <c r="I80" s="25"/>
      <c r="J80" s="25"/>
    </row>
    <row r="81" spans="2:10" x14ac:dyDescent="0.25">
      <c r="B81" s="91"/>
      <c r="C81" s="91"/>
      <c r="H81" s="25"/>
      <c r="I81" s="25"/>
      <c r="J81" s="25"/>
    </row>
    <row r="82" spans="2:10" x14ac:dyDescent="0.25">
      <c r="B82" s="91"/>
      <c r="C82" s="91"/>
      <c r="H82" s="25"/>
      <c r="I82" s="25"/>
      <c r="J82" s="25"/>
    </row>
    <row r="83" spans="2:10" x14ac:dyDescent="0.25">
      <c r="B83" s="91"/>
      <c r="C83" s="91"/>
      <c r="H83" s="25"/>
      <c r="I83" s="25"/>
      <c r="J83" s="25"/>
    </row>
    <row r="84" spans="2:10" x14ac:dyDescent="0.25">
      <c r="B84" s="91"/>
      <c r="C84" s="91"/>
      <c r="H84" s="25"/>
      <c r="I84" s="25"/>
      <c r="J84" s="25"/>
    </row>
    <row r="85" spans="2:10" x14ac:dyDescent="0.25">
      <c r="B85" s="91"/>
      <c r="C85" s="91"/>
      <c r="H85" s="25"/>
      <c r="I85" s="25"/>
      <c r="J85" s="25"/>
    </row>
    <row r="86" spans="2:10" x14ac:dyDescent="0.25">
      <c r="B86" s="91"/>
      <c r="C86" s="91"/>
      <c r="H86" s="25"/>
      <c r="I86" s="25"/>
      <c r="J86" s="25"/>
    </row>
    <row r="87" spans="2:10" x14ac:dyDescent="0.25">
      <c r="B87" s="91"/>
      <c r="C87" s="91"/>
      <c r="H87" s="25"/>
      <c r="I87" s="25"/>
      <c r="J87" s="25"/>
    </row>
    <row r="88" spans="2:10" x14ac:dyDescent="0.25">
      <c r="B88" s="91"/>
      <c r="C88" s="91"/>
      <c r="H88" s="25"/>
      <c r="I88" s="25"/>
      <c r="J88" s="25"/>
    </row>
    <row r="89" spans="2:10" x14ac:dyDescent="0.25">
      <c r="B89" s="91"/>
      <c r="C89" s="91"/>
      <c r="H89" s="25"/>
      <c r="I89" s="25"/>
      <c r="J89" s="25"/>
    </row>
    <row r="90" spans="2:10" x14ac:dyDescent="0.25">
      <c r="B90" s="91"/>
      <c r="C90" s="91"/>
      <c r="H90" s="25"/>
      <c r="I90" s="25"/>
      <c r="J90" s="25"/>
    </row>
    <row r="91" spans="2:10" x14ac:dyDescent="0.25">
      <c r="B91" s="91"/>
      <c r="C91" s="91"/>
      <c r="H91" s="25"/>
      <c r="I91" s="25"/>
      <c r="J91" s="25"/>
    </row>
    <row r="92" spans="2:10" x14ac:dyDescent="0.25">
      <c r="B92" s="91"/>
      <c r="C92" s="91"/>
      <c r="H92" s="25"/>
      <c r="I92" s="25"/>
      <c r="J92" s="25"/>
    </row>
    <row r="93" spans="2:10" x14ac:dyDescent="0.25">
      <c r="B93" s="91"/>
      <c r="C93" s="91"/>
      <c r="H93" s="25"/>
      <c r="I93" s="25"/>
      <c r="J93" s="25"/>
    </row>
    <row r="94" spans="2:10" x14ac:dyDescent="0.25">
      <c r="B94" s="91"/>
      <c r="C94" s="91"/>
      <c r="H94" s="25"/>
      <c r="I94" s="25"/>
      <c r="J94" s="25"/>
    </row>
    <row r="95" spans="2:10" x14ac:dyDescent="0.25">
      <c r="B95" s="91"/>
      <c r="C95" s="91"/>
      <c r="H95" s="25"/>
      <c r="I95" s="25"/>
      <c r="J95" s="25"/>
    </row>
    <row r="96" spans="2:10" x14ac:dyDescent="0.25">
      <c r="B96" s="91"/>
      <c r="C96" s="91"/>
      <c r="H96" s="25"/>
      <c r="I96" s="25"/>
      <c r="J96" s="25"/>
    </row>
    <row r="97" spans="2:10" x14ac:dyDescent="0.25">
      <c r="B97" s="91"/>
      <c r="C97" s="91"/>
      <c r="H97" s="25"/>
      <c r="I97" s="25"/>
      <c r="J97" s="25"/>
    </row>
    <row r="98" spans="2:10" x14ac:dyDescent="0.25">
      <c r="B98" s="91"/>
      <c r="C98" s="91"/>
      <c r="H98" s="25"/>
      <c r="I98" s="25"/>
      <c r="J98" s="25"/>
    </row>
    <row r="99" spans="2:10" x14ac:dyDescent="0.25">
      <c r="B99" s="91"/>
      <c r="C99" s="91"/>
      <c r="H99" s="25"/>
      <c r="I99" s="25"/>
      <c r="J99" s="25"/>
    </row>
    <row r="100" spans="2:10" x14ac:dyDescent="0.25">
      <c r="B100" s="91"/>
      <c r="C100" s="91"/>
      <c r="H100" s="25"/>
      <c r="I100" s="25"/>
      <c r="J100" s="25"/>
    </row>
    <row r="101" spans="2:10" x14ac:dyDescent="0.25">
      <c r="B101" s="91"/>
      <c r="C101" s="91"/>
      <c r="H101" s="25"/>
      <c r="I101" s="25"/>
      <c r="J101" s="25"/>
    </row>
    <row r="102" spans="2:10" x14ac:dyDescent="0.25">
      <c r="B102" s="91"/>
      <c r="C102" s="91"/>
      <c r="H102" s="25"/>
      <c r="I102" s="25"/>
      <c r="J102" s="25"/>
    </row>
    <row r="103" spans="2:10" x14ac:dyDescent="0.25">
      <c r="B103" s="91"/>
      <c r="C103" s="91"/>
      <c r="H103" s="25"/>
      <c r="I103" s="25"/>
      <c r="J103" s="25"/>
    </row>
    <row r="104" spans="2:10" x14ac:dyDescent="0.25">
      <c r="B104" s="91"/>
      <c r="C104" s="91"/>
      <c r="H104" s="25"/>
      <c r="I104" s="25"/>
      <c r="J104" s="25"/>
    </row>
    <row r="105" spans="2:10" x14ac:dyDescent="0.25">
      <c r="B105" s="91"/>
      <c r="C105" s="91"/>
      <c r="H105" s="25"/>
      <c r="I105" s="25"/>
      <c r="J105" s="25"/>
    </row>
    <row r="106" spans="2:10" x14ac:dyDescent="0.25">
      <c r="B106" s="91"/>
      <c r="C106" s="91"/>
      <c r="H106" s="25"/>
      <c r="I106" s="25"/>
      <c r="J106" s="25"/>
    </row>
    <row r="107" spans="2:10" x14ac:dyDescent="0.25">
      <c r="B107" s="91"/>
      <c r="C107" s="91"/>
      <c r="H107" s="25"/>
      <c r="I107" s="25"/>
      <c r="J107" s="25"/>
    </row>
    <row r="108" spans="2:10" x14ac:dyDescent="0.25">
      <c r="B108" s="91"/>
      <c r="C108" s="91"/>
      <c r="H108" s="25"/>
      <c r="I108" s="25"/>
      <c r="J108" s="25"/>
    </row>
    <row r="109" spans="2:10" x14ac:dyDescent="0.25">
      <c r="B109" s="91"/>
      <c r="C109" s="91"/>
      <c r="H109" s="25"/>
      <c r="I109" s="25"/>
      <c r="J109" s="25"/>
    </row>
    <row r="110" spans="2:10" x14ac:dyDescent="0.25">
      <c r="B110" s="91"/>
      <c r="C110" s="91"/>
      <c r="H110" s="25"/>
      <c r="I110" s="25"/>
      <c r="J110" s="25"/>
    </row>
    <row r="111" spans="2:10" x14ac:dyDescent="0.25">
      <c r="B111" s="91"/>
      <c r="C111" s="91"/>
      <c r="H111" s="25"/>
      <c r="I111" s="25"/>
      <c r="J111" s="25"/>
    </row>
    <row r="112" spans="2:10" x14ac:dyDescent="0.25">
      <c r="B112" s="91"/>
      <c r="C112" s="91"/>
      <c r="H112" s="25"/>
      <c r="I112" s="25"/>
      <c r="J112" s="25"/>
    </row>
    <row r="113" spans="2:10" x14ac:dyDescent="0.25">
      <c r="B113" s="91"/>
      <c r="C113" s="91"/>
      <c r="H113" s="25"/>
      <c r="I113" s="25"/>
      <c r="J113" s="25"/>
    </row>
    <row r="114" spans="2:10" x14ac:dyDescent="0.25">
      <c r="B114" s="91"/>
      <c r="C114" s="91"/>
      <c r="H114" s="25"/>
      <c r="I114" s="25"/>
      <c r="J114" s="25"/>
    </row>
    <row r="115" spans="2:10" x14ac:dyDescent="0.25">
      <c r="B115" s="91"/>
      <c r="C115" s="91"/>
      <c r="H115" s="25"/>
      <c r="I115" s="25"/>
      <c r="J115" s="25"/>
    </row>
    <row r="116" spans="2:10" x14ac:dyDescent="0.25">
      <c r="B116" s="91"/>
      <c r="C116" s="91"/>
      <c r="H116" s="25"/>
      <c r="I116" s="25"/>
      <c r="J116" s="25"/>
    </row>
    <row r="117" spans="2:10" x14ac:dyDescent="0.25">
      <c r="B117" s="91"/>
      <c r="C117" s="91"/>
      <c r="H117" s="25"/>
      <c r="I117" s="25"/>
      <c r="J117" s="25"/>
    </row>
    <row r="118" spans="2:10" x14ac:dyDescent="0.25">
      <c r="B118" s="91"/>
      <c r="C118" s="91"/>
      <c r="H118" s="25"/>
      <c r="I118" s="25"/>
      <c r="J118" s="25"/>
    </row>
    <row r="119" spans="2:10" x14ac:dyDescent="0.25">
      <c r="B119" s="91"/>
      <c r="C119" s="91"/>
      <c r="H119" s="25"/>
      <c r="I119" s="25"/>
      <c r="J119" s="25"/>
    </row>
    <row r="120" spans="2:10" x14ac:dyDescent="0.25">
      <c r="B120" s="91"/>
      <c r="C120" s="91"/>
      <c r="H120" s="25"/>
      <c r="I120" s="25"/>
      <c r="J120" s="25"/>
    </row>
    <row r="121" spans="2:10" x14ac:dyDescent="0.25">
      <c r="B121" s="91"/>
      <c r="C121" s="91"/>
      <c r="H121" s="25"/>
      <c r="I121" s="25"/>
      <c r="J121" s="25"/>
    </row>
    <row r="122" spans="2:10" x14ac:dyDescent="0.25">
      <c r="B122" s="91"/>
      <c r="C122" s="91"/>
      <c r="H122" s="25"/>
      <c r="I122" s="25"/>
      <c r="J122" s="25"/>
    </row>
    <row r="123" spans="2:10" x14ac:dyDescent="0.25">
      <c r="B123" s="91"/>
      <c r="C123" s="91"/>
      <c r="H123" s="25"/>
      <c r="I123" s="25"/>
      <c r="J123" s="25"/>
    </row>
    <row r="124" spans="2:10" x14ac:dyDescent="0.25">
      <c r="B124" s="91"/>
      <c r="C124" s="91"/>
      <c r="H124" s="25"/>
      <c r="I124" s="25"/>
      <c r="J124" s="25"/>
    </row>
    <row r="125" spans="2:10" x14ac:dyDescent="0.25">
      <c r="H125" s="25"/>
      <c r="I125" s="25"/>
      <c r="J125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42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184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185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186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187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188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A7" s="8" t="s">
        <v>760</v>
      </c>
      <c r="B7" s="25"/>
      <c r="C7" s="25"/>
      <c r="D7" s="25"/>
      <c r="E7" s="25"/>
      <c r="F7" s="25">
        <f t="shared" si="0"/>
        <v>0</v>
      </c>
      <c r="G7" s="8" t="str">
        <f t="shared" si="1"/>
        <v>Time Filter</v>
      </c>
    </row>
    <row r="8" spans="1:7" x14ac:dyDescent="0.25">
      <c r="A8" s="8" t="s">
        <v>761</v>
      </c>
      <c r="B8" s="25"/>
      <c r="C8" s="25"/>
      <c r="D8" s="25"/>
      <c r="E8" s="25"/>
      <c r="F8" s="25">
        <f t="shared" si="0"/>
        <v>0</v>
      </c>
      <c r="G8" s="8" t="str">
        <f t="shared" si="1"/>
        <v>Refresh Interval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A10" s="8" t="s">
        <v>762</v>
      </c>
      <c r="B10" s="25"/>
      <c r="C10" s="25"/>
      <c r="D10" s="25"/>
      <c r="E10" s="25"/>
      <c r="F10" s="25">
        <f t="shared" si="0"/>
        <v>0</v>
      </c>
      <c r="G10" s="8" t="str">
        <f t="shared" si="1"/>
        <v>Quick</v>
      </c>
    </row>
    <row r="11" spans="1:7" x14ac:dyDescent="0.25">
      <c r="A11" s="8" t="s">
        <v>763</v>
      </c>
      <c r="B11" s="25"/>
      <c r="C11" s="25"/>
      <c r="D11" s="25"/>
      <c r="E11" s="25"/>
      <c r="F11" s="25">
        <f t="shared" si="0"/>
        <v>0</v>
      </c>
      <c r="G11" s="8" t="str">
        <f t="shared" si="1"/>
        <v>Relative</v>
      </c>
    </row>
    <row r="12" spans="1:7" x14ac:dyDescent="0.25">
      <c r="A12" s="8" t="s">
        <v>764</v>
      </c>
      <c r="B12" s="25"/>
      <c r="C12" s="25"/>
      <c r="D12" s="25"/>
      <c r="E12" s="25"/>
      <c r="F12" s="25">
        <f t="shared" si="0"/>
        <v>0</v>
      </c>
      <c r="G12" s="8" t="str">
        <f t="shared" si="1"/>
        <v>Absolute</v>
      </c>
    </row>
    <row r="13" spans="1:7" x14ac:dyDescent="0.25">
      <c r="A13" s="8" t="s">
        <v>765</v>
      </c>
      <c r="B13" s="25"/>
      <c r="C13" s="25"/>
      <c r="D13" s="25"/>
      <c r="E13" s="25"/>
      <c r="F13" s="25">
        <f t="shared" si="0"/>
        <v>0</v>
      </c>
      <c r="G13" s="8" t="str">
        <f t="shared" si="1"/>
        <v xml:space="preserve">From: July 24th 2016, 19:09:20.508  </v>
      </c>
    </row>
    <row r="14" spans="1:7" x14ac:dyDescent="0.25">
      <c r="B14" s="25"/>
      <c r="C14" s="25"/>
      <c r="D14" s="25"/>
      <c r="E14" s="25"/>
      <c r="F14" s="25">
        <f t="shared" si="0"/>
        <v>0</v>
      </c>
      <c r="G14" s="8">
        <f t="shared" si="1"/>
        <v>0</v>
      </c>
    </row>
    <row r="15" spans="1:7" x14ac:dyDescent="0.25">
      <c r="A15" s="8">
        <v>36</v>
      </c>
      <c r="B15" s="25"/>
      <c r="C15" s="25"/>
      <c r="D15" s="25"/>
      <c r="E15" s="25"/>
      <c r="F15" s="25">
        <f t="shared" si="0"/>
        <v>0</v>
      </c>
      <c r="G15" s="8">
        <f t="shared" si="1"/>
        <v>36</v>
      </c>
    </row>
    <row r="16" spans="1:7" x14ac:dyDescent="0.25">
      <c r="A16" s="8" t="s">
        <v>766</v>
      </c>
      <c r="B16" s="25"/>
      <c r="C16" s="25"/>
      <c r="D16" s="25"/>
      <c r="E16" s="25"/>
      <c r="F16" s="25">
        <f t="shared" si="0"/>
        <v>0</v>
      </c>
      <c r="G16" s="8" t="str">
        <f t="shared" si="1"/>
        <v xml:space="preserve">   </v>
      </c>
    </row>
    <row r="17" spans="1:7" x14ac:dyDescent="0.25">
      <c r="A17" s="8" t="s">
        <v>767</v>
      </c>
      <c r="B17" s="25"/>
      <c r="C17" s="25"/>
      <c r="D17" s="25"/>
      <c r="E17" s="25"/>
      <c r="F17" s="25">
        <f t="shared" si="0"/>
        <v>0</v>
      </c>
      <c r="G17" s="8" t="str">
        <f t="shared" si="1"/>
        <v xml:space="preserve"> round to the hour</v>
      </c>
    </row>
    <row r="18" spans="1:7" x14ac:dyDescent="0.25">
      <c r="A18" s="8" t="s">
        <v>768</v>
      </c>
      <c r="B18" s="25"/>
      <c r="C18" s="25"/>
      <c r="D18" s="25"/>
      <c r="E18" s="25"/>
      <c r="F18" s="25">
        <f t="shared" si="0"/>
        <v>0</v>
      </c>
      <c r="G18" s="8" t="str">
        <f t="shared" si="1"/>
        <v xml:space="preserve">To: Now  </v>
      </c>
    </row>
    <row r="19" spans="1:7" x14ac:dyDescent="0.25">
      <c r="B19" s="25"/>
      <c r="C19" s="25"/>
      <c r="D19" s="25"/>
      <c r="E19" s="25"/>
      <c r="F19" s="25">
        <f t="shared" si="0"/>
        <v>0</v>
      </c>
      <c r="G19" s="8">
        <f t="shared" si="1"/>
        <v>0</v>
      </c>
    </row>
    <row r="20" spans="1:7" x14ac:dyDescent="0.25">
      <c r="A20" s="8" t="s">
        <v>769</v>
      </c>
      <c r="B20" s="25"/>
      <c r="C20" s="25"/>
      <c r="D20" s="25"/>
      <c r="E20" s="25"/>
      <c r="F20" s="25">
        <f t="shared" si="0"/>
        <v>0</v>
      </c>
      <c r="G20" s="8" t="str">
        <f t="shared" si="1"/>
        <v>Now</v>
      </c>
    </row>
    <row r="21" spans="1:7" x14ac:dyDescent="0.25">
      <c r="A21" s="8" t="s">
        <v>770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  </v>
      </c>
    </row>
    <row r="22" spans="1:7" x14ac:dyDescent="0.25">
      <c r="A22" s="34" t="s">
        <v>771</v>
      </c>
      <c r="B22" s="25"/>
      <c r="C22" s="25"/>
      <c r="D22" s="25"/>
      <c r="E22" s="25"/>
      <c r="F22" s="25">
        <f t="shared" si="0"/>
        <v>0</v>
      </c>
      <c r="G22" s="8" t="str">
        <f t="shared" si="1"/>
        <v>Go</v>
      </c>
    </row>
    <row r="23" spans="1:7" x14ac:dyDescent="0.25">
      <c r="A23" s="8" t="s">
        <v>772</v>
      </c>
      <c r="B23" s="25"/>
      <c r="C23" s="25"/>
      <c r="D23" s="25"/>
      <c r="E23" s="25"/>
      <c r="F23" s="25">
        <f t="shared" si="0"/>
        <v>0</v>
      </c>
      <c r="G23" s="8" t="str">
        <f t="shared" si="1"/>
        <v xml:space="preserve"> </v>
      </c>
    </row>
    <row r="24" spans="1:7" x14ac:dyDescent="0.25">
      <c r="A24" s="8" t="s">
        <v>189</v>
      </c>
      <c r="B24" s="25"/>
      <c r="C24" s="25"/>
      <c r="D24" s="25"/>
      <c r="E24" s="25"/>
      <c r="F24" s="25">
        <f t="shared" si="0"/>
        <v>0</v>
      </c>
      <c r="G24" s="8" t="str">
        <f t="shared" si="1"/>
        <v>Message\ ID:2003</v>
      </c>
    </row>
    <row r="25" spans="1:7" x14ac:dyDescent="0.25">
      <c r="B25" s="25"/>
      <c r="C25" s="25"/>
      <c r="D25" s="25"/>
      <c r="E25" s="25"/>
      <c r="F25" s="25">
        <f t="shared" si="0"/>
        <v>0</v>
      </c>
      <c r="G25" s="8">
        <f t="shared" si="1"/>
        <v>0</v>
      </c>
    </row>
    <row r="26" spans="1:7" x14ac:dyDescent="0.25">
      <c r="B26" s="25"/>
      <c r="C26" s="25"/>
      <c r="D26" s="25"/>
      <c r="E26" s="25"/>
      <c r="F26" s="25">
        <f t="shared" si="0"/>
        <v>0</v>
      </c>
      <c r="G26" s="8">
        <f t="shared" si="1"/>
        <v>0</v>
      </c>
    </row>
    <row r="27" spans="1:7" x14ac:dyDescent="0.25">
      <c r="B27" s="25"/>
      <c r="C27" s="25"/>
      <c r="D27" s="25"/>
      <c r="E27" s="25"/>
      <c r="F27" s="25">
        <f t="shared" si="0"/>
        <v>0</v>
      </c>
      <c r="G27" s="8">
        <f t="shared" si="1"/>
        <v>0</v>
      </c>
    </row>
    <row r="28" spans="1:7" x14ac:dyDescent="0.25">
      <c r="B28" s="25"/>
      <c r="C28" s="25"/>
      <c r="D28" s="25"/>
      <c r="E28" s="25"/>
      <c r="F28" s="25">
        <f t="shared" si="0"/>
        <v>0</v>
      </c>
      <c r="G28" s="8">
        <f t="shared" si="1"/>
        <v>0</v>
      </c>
    </row>
    <row r="29" spans="1:7" x14ac:dyDescent="0.25">
      <c r="B29" s="25"/>
      <c r="C29" s="25"/>
      <c r="D29" s="25"/>
      <c r="E29" s="25"/>
      <c r="F29" s="25">
        <f t="shared" si="0"/>
        <v>0</v>
      </c>
      <c r="G29" s="8">
        <f t="shared" si="1"/>
        <v>0</v>
      </c>
    </row>
    <row r="30" spans="1:7" x14ac:dyDescent="0.25">
      <c r="A30" s="8" t="s">
        <v>190</v>
      </c>
      <c r="B30" s="25"/>
      <c r="C30" s="25"/>
      <c r="D30" s="25"/>
      <c r="E30" s="25"/>
      <c r="F30" s="25">
        <f t="shared" si="0"/>
        <v>0</v>
      </c>
      <c r="G30" s="8" t="str">
        <f t="shared" si="1"/>
        <v>emp_*</v>
      </c>
    </row>
    <row r="31" spans="1:7" x14ac:dyDescent="0.25">
      <c r="A31" s="8" t="s">
        <v>191</v>
      </c>
      <c r="B31" s="25"/>
      <c r="C31" s="25"/>
      <c r="D31" s="25"/>
      <c r="E31" s="25"/>
      <c r="F31" s="25">
        <f t="shared" si="0"/>
        <v>0</v>
      </c>
      <c r="G31" s="8" t="str">
        <f t="shared" si="1"/>
        <v>Selected Fields</v>
      </c>
    </row>
    <row r="32" spans="1:7" x14ac:dyDescent="0.25">
      <c r="B32" s="25"/>
      <c r="C32" s="25"/>
      <c r="D32" s="25"/>
      <c r="E32" s="25"/>
      <c r="F32" s="25">
        <f t="shared" si="0"/>
        <v>0</v>
      </c>
      <c r="G32" s="8">
        <f t="shared" si="1"/>
        <v>0</v>
      </c>
    </row>
    <row r="33" spans="1:7" x14ac:dyDescent="0.25">
      <c r="A33" s="8" t="s">
        <v>192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tData.Employee Identifier</v>
      </c>
    </row>
    <row r="34" spans="1:7" x14ac:dyDescent="0.25">
      <c r="A34" s="8" t="s">
        <v>193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tData.Employee Last Name</v>
      </c>
    </row>
    <row r="35" spans="1:7" x14ac:dyDescent="0.25">
      <c r="A35" s="8" t="s">
        <v>194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tData.Train ID</v>
      </c>
    </row>
    <row r="36" spans="1:7" x14ac:dyDescent="0.25">
      <c r="A36" s="8" t="s">
        <v>195</v>
      </c>
      <c r="B36" s="25"/>
      <c r="C36" s="25"/>
      <c r="D36" s="25"/>
      <c r="E36" s="25"/>
      <c r="F36" s="25">
        <f t="shared" si="0"/>
        <v>0</v>
      </c>
      <c r="G36" s="8" t="str">
        <f t="shared" si="1"/>
        <v>tSource</v>
      </c>
    </row>
    <row r="37" spans="1:7" x14ac:dyDescent="0.25">
      <c r="A37" s="8" t="s">
        <v>196</v>
      </c>
      <c r="B37" s="25"/>
      <c r="C37" s="25"/>
      <c r="D37" s="25"/>
      <c r="E37" s="25"/>
      <c r="F37" s="25">
        <f t="shared" si="0"/>
        <v>0</v>
      </c>
      <c r="G37" s="8" t="str">
        <f t="shared" si="1"/>
        <v xml:space="preserve">Fields </v>
      </c>
    </row>
    <row r="38" spans="1:7" x14ac:dyDescent="0.25">
      <c r="B38" s="25"/>
      <c r="C38" s="25"/>
      <c r="D38" s="25"/>
      <c r="E38" s="25"/>
      <c r="F38" s="25">
        <f t="shared" si="0"/>
        <v>0</v>
      </c>
      <c r="G38" s="8">
        <f t="shared" si="1"/>
        <v>0</v>
      </c>
    </row>
    <row r="39" spans="1:7" x14ac:dyDescent="0.25">
      <c r="A39" s="8" t="s">
        <v>197</v>
      </c>
      <c r="B39" s="25"/>
      <c r="C39" s="25"/>
      <c r="D39" s="25"/>
      <c r="E39" s="25"/>
      <c r="F39" s="25">
        <f t="shared" si="0"/>
        <v>0</v>
      </c>
      <c r="G39" s="8" t="str">
        <f t="shared" si="1"/>
        <v>Popular fields</v>
      </c>
    </row>
    <row r="40" spans="1:7" x14ac:dyDescent="0.25">
      <c r="B40" s="33"/>
      <c r="C40" s="25"/>
      <c r="D40" s="25"/>
      <c r="E40" s="25"/>
      <c r="F40" s="25">
        <f t="shared" si="0"/>
        <v>0</v>
      </c>
      <c r="G40" s="8">
        <f t="shared" si="1"/>
        <v>0</v>
      </c>
    </row>
    <row r="41" spans="1:7" x14ac:dyDescent="0.25">
      <c r="A41" s="8" t="s">
        <v>198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tData.Reason for Sending</v>
      </c>
    </row>
    <row r="42" spans="1:7" x14ac:dyDescent="0.25">
      <c r="A42" s="8" t="s">
        <v>199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tDestination</v>
      </c>
    </row>
    <row r="43" spans="1:7" x14ac:dyDescent="0.25">
      <c r="A43" s="8" t="s">
        <v>200</v>
      </c>
      <c r="B43" s="25"/>
      <c r="C43" s="25"/>
      <c r="D43" s="25"/>
      <c r="E43" s="25"/>
      <c r="F43" s="25">
        <f t="shared" si="0"/>
        <v>0</v>
      </c>
      <c r="G43" s="8" t="str">
        <f t="shared" si="1"/>
        <v>tMessage ID</v>
      </c>
    </row>
    <row r="44" spans="1:7" x14ac:dyDescent="0.25">
      <c r="A44" s="8" t="s">
        <v>201</v>
      </c>
      <c r="B44" s="25"/>
      <c r="C44" s="25"/>
      <c r="D44" s="25"/>
      <c r="E44" s="25"/>
      <c r="F44" s="25">
        <f t="shared" si="0"/>
        <v>0</v>
      </c>
      <c r="G44" s="8" t="str">
        <f t="shared" si="1"/>
        <v>t_id</v>
      </c>
    </row>
    <row r="45" spans="1:7" x14ac:dyDescent="0.25">
      <c r="A45" s="8" t="s">
        <v>202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 Integrity</v>
      </c>
    </row>
    <row r="46" spans="1:7" x14ac:dyDescent="0.25">
      <c r="A46" s="8" t="s">
        <v>203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 Size</v>
      </c>
    </row>
    <row r="47" spans="1:7" x14ac:dyDescent="0.25">
      <c r="A47" s="8" t="s">
        <v>204</v>
      </c>
      <c r="B47" s="25"/>
      <c r="C47" s="25"/>
      <c r="D47" s="25"/>
      <c r="E47" s="25"/>
      <c r="F47" s="25">
        <f t="shared" si="0"/>
        <v>0</v>
      </c>
      <c r="G47" s="8" t="str">
        <f t="shared" si="1"/>
        <v>tData.Clearance Number</v>
      </c>
    </row>
    <row r="48" spans="1:7" x14ac:dyDescent="0.25">
      <c r="A48" s="8" t="s">
        <v>205</v>
      </c>
      <c r="B48" s="25"/>
      <c r="C48" s="25"/>
      <c r="D48" s="25"/>
      <c r="E48" s="25"/>
      <c r="F48" s="25">
        <f t="shared" si="0"/>
        <v>0</v>
      </c>
      <c r="G48" s="8" t="str">
        <f t="shared" si="1"/>
        <v>tData.Clearance Number Length</v>
      </c>
    </row>
    <row r="49" spans="1:7" x14ac:dyDescent="0.25">
      <c r="A49" s="8" t="s">
        <v>206</v>
      </c>
      <c r="B49" s="25"/>
      <c r="C49" s="25"/>
      <c r="D49" s="25"/>
      <c r="E49" s="25"/>
      <c r="F49" s="25">
        <f t="shared" si="0"/>
        <v>0</v>
      </c>
      <c r="G49" s="8" t="str">
        <f t="shared" si="1"/>
        <v>tData.Common Configuration Fileset Version</v>
      </c>
    </row>
    <row r="50" spans="1:7" x14ac:dyDescent="0.25">
      <c r="A50" s="8" t="s">
        <v>207</v>
      </c>
      <c r="B50" s="25"/>
      <c r="C50" s="25"/>
      <c r="D50" s="25"/>
      <c r="E50" s="25"/>
      <c r="F50" s="25">
        <f t="shared" si="0"/>
        <v>0</v>
      </c>
      <c r="G50" s="8" t="str">
        <f t="shared" si="1"/>
        <v>tData.Common Configuration Fileset Version Length</v>
      </c>
    </row>
    <row r="51" spans="1:7" x14ac:dyDescent="0.25">
      <c r="A51" s="8" t="s">
        <v>208</v>
      </c>
      <c r="B51" s="25"/>
      <c r="C51" s="25"/>
      <c r="D51" s="25"/>
      <c r="E51" s="25"/>
      <c r="F51" s="25">
        <f t="shared" si="0"/>
        <v>0</v>
      </c>
      <c r="G51" s="8" t="str">
        <f t="shared" si="1"/>
        <v>tData.Employee First Name</v>
      </c>
    </row>
    <row r="52" spans="1:7" x14ac:dyDescent="0.25">
      <c r="A52" s="8" t="s">
        <v>209</v>
      </c>
      <c r="B52" s="25"/>
      <c r="C52" s="25"/>
      <c r="D52" s="25"/>
      <c r="E52" s="25"/>
      <c r="F52" s="25">
        <f t="shared" si="0"/>
        <v>0</v>
      </c>
      <c r="G52" s="8" t="str">
        <f t="shared" si="1"/>
        <v>tData.Employee First Name Size</v>
      </c>
    </row>
    <row r="53" spans="1:7" x14ac:dyDescent="0.25">
      <c r="A53" s="8" t="s">
        <v>210</v>
      </c>
      <c r="B53" s="25"/>
      <c r="C53" s="25"/>
      <c r="D53" s="25"/>
      <c r="E53" s="25"/>
      <c r="F53" s="25">
        <f t="shared" si="0"/>
        <v>0</v>
      </c>
      <c r="G53" s="8" t="str">
        <f t="shared" si="1"/>
        <v>tData.Employee Identifier Length</v>
      </c>
    </row>
    <row r="54" spans="1:7" x14ac:dyDescent="0.25">
      <c r="A54" s="8" t="s">
        <v>211</v>
      </c>
      <c r="B54" s="25"/>
      <c r="C54" s="25"/>
      <c r="D54" s="25"/>
      <c r="E54" s="25"/>
      <c r="F54" s="25">
        <f t="shared" si="0"/>
        <v>0</v>
      </c>
      <c r="G54" s="8" t="str">
        <f t="shared" si="1"/>
        <v>tData.Employee Last Name Size</v>
      </c>
    </row>
    <row r="55" spans="1:7" x14ac:dyDescent="0.25">
      <c r="A55" s="8" t="s">
        <v>212</v>
      </c>
      <c r="B55" s="25"/>
      <c r="C55" s="25"/>
      <c r="D55" s="25"/>
      <c r="E55" s="25"/>
      <c r="F55" s="25">
        <f t="shared" si="0"/>
        <v>0</v>
      </c>
      <c r="G55" s="8" t="str">
        <f t="shared" si="1"/>
        <v>tData.Employee Middle Initial</v>
      </c>
    </row>
    <row r="56" spans="1:7" x14ac:dyDescent="0.25">
      <c r="A56" s="8" t="s">
        <v>213</v>
      </c>
      <c r="B56" s="25"/>
      <c r="C56" s="25"/>
      <c r="D56" s="25"/>
      <c r="E56" s="25"/>
      <c r="F56" s="25">
        <f t="shared" si="0"/>
        <v>0</v>
      </c>
      <c r="G56" s="8" t="str">
        <f t="shared" si="1"/>
        <v>tData.Employee Middle Initial Size</v>
      </c>
    </row>
    <row r="57" spans="1:7" x14ac:dyDescent="0.25">
      <c r="A57" s="8" t="s">
        <v>214</v>
      </c>
      <c r="B57" s="25"/>
      <c r="C57" s="25"/>
      <c r="D57" s="25"/>
      <c r="E57" s="25"/>
      <c r="F57" s="25">
        <f t="shared" si="0"/>
        <v>0</v>
      </c>
      <c r="G57" s="8" t="str">
        <f t="shared" si="1"/>
        <v>tData.Onboard Software Version</v>
      </c>
    </row>
    <row r="58" spans="1:7" x14ac:dyDescent="0.25">
      <c r="A58" s="8" t="s">
        <v>215</v>
      </c>
      <c r="B58" s="25"/>
      <c r="C58" s="25"/>
      <c r="D58" s="25"/>
      <c r="E58" s="25"/>
      <c r="F58" s="25">
        <f t="shared" si="0"/>
        <v>0</v>
      </c>
      <c r="G58" s="8" t="str">
        <f t="shared" si="1"/>
        <v>tData.Onboard Software Version Length</v>
      </c>
    </row>
    <row r="59" spans="1:7" x14ac:dyDescent="0.25">
      <c r="A59" s="8" t="s">
        <v>216</v>
      </c>
      <c r="B59" s="25"/>
      <c r="C59" s="25"/>
      <c r="D59" s="25"/>
      <c r="E59" s="25"/>
      <c r="F59" s="25">
        <f t="shared" si="0"/>
        <v>0</v>
      </c>
      <c r="G59" s="8" t="str">
        <f t="shared" si="1"/>
        <v>tData.Railroad SCAC</v>
      </c>
    </row>
    <row r="60" spans="1:7" x14ac:dyDescent="0.25">
      <c r="A60" s="8" t="s">
        <v>217</v>
      </c>
      <c r="B60" s="25"/>
      <c r="C60" s="25"/>
      <c r="D60" s="25"/>
      <c r="E60" s="25"/>
      <c r="F60" s="25">
        <f t="shared" si="0"/>
        <v>0</v>
      </c>
      <c r="G60" s="8" t="str">
        <f t="shared" si="1"/>
        <v>tData.Railroad Specific Configuration Fileset Version</v>
      </c>
    </row>
    <row r="61" spans="1:7" x14ac:dyDescent="0.25">
      <c r="A61" s="8" t="s">
        <v>218</v>
      </c>
      <c r="B61" s="25"/>
      <c r="C61" s="25"/>
      <c r="D61" s="25"/>
      <c r="E61" s="25"/>
      <c r="F61" s="25">
        <f t="shared" si="0"/>
        <v>0</v>
      </c>
      <c r="G61" s="8" t="str">
        <f t="shared" si="1"/>
        <v>tData.Railroad Specific Configuration Fileset Version Length</v>
      </c>
    </row>
    <row r="62" spans="1:7" x14ac:dyDescent="0.25">
      <c r="A62" s="8" t="s">
        <v>219</v>
      </c>
      <c r="B62" s="25"/>
      <c r="C62" s="25"/>
      <c r="D62" s="25"/>
      <c r="E62" s="25"/>
      <c r="F62" s="25">
        <f t="shared" si="0"/>
        <v>0</v>
      </c>
      <c r="G62" s="8" t="str">
        <f t="shared" si="1"/>
        <v>tData.Train ID Length</v>
      </c>
    </row>
    <row r="63" spans="1:7" x14ac:dyDescent="0.25">
      <c r="A63" s="8" t="s">
        <v>220</v>
      </c>
      <c r="B63" s="25"/>
      <c r="C63" s="25"/>
      <c r="D63" s="25"/>
      <c r="E63" s="25"/>
      <c r="F63" s="25">
        <f t="shared" si="0"/>
        <v>0</v>
      </c>
      <c r="G63" s="8" t="str">
        <f t="shared" si="1"/>
        <v>tFlags</v>
      </c>
    </row>
    <row r="64" spans="1:7" x14ac:dyDescent="0.25">
      <c r="A64" s="34" t="s">
        <v>221</v>
      </c>
      <c r="B64" s="25"/>
      <c r="C64" s="25"/>
      <c r="D64" s="25"/>
      <c r="E64" s="25"/>
      <c r="F64" s="25">
        <f t="shared" si="0"/>
        <v>0</v>
      </c>
      <c r="G64" s="8" t="str">
        <f t="shared" si="1"/>
        <v>tMessage Number</v>
      </c>
    </row>
    <row r="65" spans="1:7" x14ac:dyDescent="0.25">
      <c r="A65" s="8" t="s">
        <v>222</v>
      </c>
      <c r="B65" s="25"/>
      <c r="C65" s="25"/>
      <c r="D65" s="25"/>
      <c r="E65" s="25"/>
      <c r="F65" s="25">
        <f t="shared" si="0"/>
        <v>0</v>
      </c>
      <c r="G65" s="8" t="str">
        <f t="shared" si="1"/>
        <v>tProtocol Version</v>
      </c>
    </row>
    <row r="66" spans="1:7" x14ac:dyDescent="0.25">
      <c r="A66" s="8" t="s">
        <v>223</v>
      </c>
      <c r="B66" s="25"/>
      <c r="C66" s="25"/>
      <c r="D66" s="25"/>
      <c r="E66" s="25"/>
      <c r="F66" s="25">
        <f t="shared" ref="F66:F129" si="2">B66</f>
        <v>0</v>
      </c>
      <c r="G66" s="8" t="str">
        <f t="shared" ref="G66:G129" si="3">A66</f>
        <v>tRouting QoS</v>
      </c>
    </row>
    <row r="67" spans="1:7" x14ac:dyDescent="0.25">
      <c r="A67" s="8" t="s">
        <v>224</v>
      </c>
      <c r="B67" s="25"/>
      <c r="C67" s="25"/>
      <c r="D67" s="25"/>
      <c r="E67" s="25"/>
      <c r="F67" s="25">
        <f t="shared" si="2"/>
        <v>0</v>
      </c>
      <c r="G67" s="8" t="str">
        <f t="shared" si="3"/>
        <v>Time</v>
      </c>
    </row>
    <row r="68" spans="1:7" x14ac:dyDescent="0.25">
      <c r="A68" s="8" t="s">
        <v>225</v>
      </c>
      <c r="B68" s="25"/>
      <c r="C68" s="25"/>
      <c r="D68" s="25"/>
      <c r="E68" s="25"/>
      <c r="F68" s="25">
        <f t="shared" si="2"/>
        <v>0</v>
      </c>
      <c r="G68" s="8" t="str">
        <f t="shared" si="3"/>
        <v>tTime to Live</v>
      </c>
    </row>
    <row r="69" spans="1:7" x14ac:dyDescent="0.25">
      <c r="A69" s="8" t="s">
        <v>226</v>
      </c>
      <c r="B69" s="25"/>
      <c r="C69" s="25"/>
      <c r="D69" s="25"/>
      <c r="E69" s="25"/>
      <c r="F69" s="25">
        <f t="shared" si="2"/>
        <v>0</v>
      </c>
      <c r="G69" s="8" t="str">
        <f t="shared" si="3"/>
        <v>tVariable Header Size</v>
      </c>
    </row>
    <row r="70" spans="1:7" x14ac:dyDescent="0.25">
      <c r="A70" s="8" t="s">
        <v>227</v>
      </c>
      <c r="B70" s="25"/>
      <c r="C70" s="25"/>
      <c r="D70" s="25"/>
      <c r="E70" s="25"/>
      <c r="F70" s="25">
        <f t="shared" si="2"/>
        <v>0</v>
      </c>
      <c r="G70" s="8" t="str">
        <f t="shared" si="3"/>
        <v>tVersion</v>
      </c>
    </row>
    <row r="71" spans="1:7" x14ac:dyDescent="0.25">
      <c r="A71" s="8" t="s">
        <v>228</v>
      </c>
      <c r="B71" s="25"/>
      <c r="C71" s="25"/>
      <c r="D71" s="25"/>
      <c r="E71" s="25"/>
      <c r="F71" s="25">
        <f t="shared" si="2"/>
        <v>0</v>
      </c>
      <c r="G71" s="8" t="str">
        <f t="shared" si="3"/>
        <v>t_index</v>
      </c>
    </row>
    <row r="72" spans="1:7" x14ac:dyDescent="0.25">
      <c r="A72" s="8" t="s">
        <v>229</v>
      </c>
      <c r="B72" s="25"/>
      <c r="C72" s="25"/>
      <c r="D72" s="25"/>
      <c r="E72" s="25"/>
      <c r="F72" s="25">
        <f t="shared" si="2"/>
        <v>0</v>
      </c>
      <c r="G72" s="8" t="str">
        <f t="shared" si="3"/>
        <v>t_source</v>
      </c>
    </row>
    <row r="73" spans="1:7" x14ac:dyDescent="0.25">
      <c r="A73" s="8" t="s">
        <v>230</v>
      </c>
      <c r="B73" s="25"/>
      <c r="C73" s="25"/>
      <c r="D73" s="25"/>
      <c r="E73" s="25"/>
      <c r="F73" s="25">
        <f t="shared" si="2"/>
        <v>0</v>
      </c>
      <c r="G73" s="8" t="str">
        <f t="shared" si="3"/>
        <v>t_type</v>
      </c>
    </row>
    <row r="74" spans="1:7" x14ac:dyDescent="0.25">
      <c r="A74" s="8" t="s">
        <v>773</v>
      </c>
      <c r="B74" s="25"/>
      <c r="C74" s="25"/>
      <c r="D74" s="25"/>
      <c r="E74" s="25"/>
      <c r="F74" s="25">
        <f t="shared" si="2"/>
        <v>0</v>
      </c>
      <c r="G74" s="8" t="str">
        <f t="shared" si="3"/>
        <v>Trip IDs  329 hits</v>
      </c>
    </row>
    <row r="75" spans="1:7" x14ac:dyDescent="0.25">
      <c r="A75" s="8" t="s">
        <v>774</v>
      </c>
      <c r="B75" s="25"/>
      <c r="C75" s="25"/>
      <c r="D75" s="25"/>
      <c r="E75" s="25"/>
      <c r="F75" s="25">
        <f t="shared" si="2"/>
        <v>0</v>
      </c>
      <c r="G75" s="8" t="str">
        <f t="shared" si="3"/>
        <v>2016-07-24 19:09:21.115 - 2016-07-26 07:09:21.115</v>
      </c>
    </row>
    <row r="76" spans="1:7" x14ac:dyDescent="0.25">
      <c r="A76" s="8" t="s">
        <v>231</v>
      </c>
      <c r="B76" s="25"/>
      <c r="C76" s="25"/>
      <c r="D76" s="25"/>
      <c r="E76" s="25"/>
      <c r="F76" s="25">
        <f t="shared" si="2"/>
        <v>0</v>
      </c>
      <c r="G76" s="8" t="str">
        <f t="shared" si="3"/>
        <v>Count</v>
      </c>
    </row>
    <row r="77" spans="1:7" x14ac:dyDescent="0.25">
      <c r="A77" s="8">
        <v>0</v>
      </c>
      <c r="B77" s="25"/>
      <c r="C77" s="25"/>
      <c r="D77" s="25"/>
      <c r="E77" s="25"/>
      <c r="F77" s="25">
        <f t="shared" si="2"/>
        <v>0</v>
      </c>
      <c r="G77" s="8">
        <f t="shared" si="3"/>
        <v>0</v>
      </c>
    </row>
    <row r="78" spans="1:7" x14ac:dyDescent="0.25">
      <c r="A78" s="8">
        <v>5</v>
      </c>
      <c r="B78" s="25"/>
      <c r="C78" s="25"/>
      <c r="D78" s="25"/>
      <c r="E78" s="25"/>
      <c r="F78" s="25">
        <f t="shared" si="2"/>
        <v>0</v>
      </c>
      <c r="G78" s="8">
        <f t="shared" si="3"/>
        <v>5</v>
      </c>
    </row>
    <row r="79" spans="1:7" x14ac:dyDescent="0.25">
      <c r="A79" s="8">
        <v>10</v>
      </c>
      <c r="B79" s="25"/>
      <c r="C79" s="25"/>
      <c r="D79" s="25"/>
      <c r="E79" s="25"/>
      <c r="F79" s="25">
        <f t="shared" si="2"/>
        <v>0</v>
      </c>
      <c r="G79" s="8">
        <f t="shared" si="3"/>
        <v>10</v>
      </c>
    </row>
    <row r="80" spans="1:7" x14ac:dyDescent="0.25">
      <c r="A80" s="8">
        <v>15</v>
      </c>
      <c r="B80" s="25"/>
      <c r="C80" s="25"/>
      <c r="D80" s="25"/>
      <c r="E80" s="25"/>
      <c r="F80" s="25">
        <f t="shared" si="2"/>
        <v>0</v>
      </c>
      <c r="G80" s="8">
        <f t="shared" si="3"/>
        <v>15</v>
      </c>
    </row>
    <row r="81" spans="1:7" x14ac:dyDescent="0.25">
      <c r="A81" s="8">
        <v>0.875</v>
      </c>
      <c r="B81" s="25"/>
      <c r="C81" s="25"/>
      <c r="D81" s="25"/>
      <c r="E81" s="25"/>
      <c r="F81" s="25">
        <f t="shared" si="2"/>
        <v>0</v>
      </c>
      <c r="G81" s="8">
        <f t="shared" si="3"/>
        <v>0.875</v>
      </c>
    </row>
    <row r="82" spans="1:7" x14ac:dyDescent="0.25">
      <c r="A82" s="8">
        <v>0</v>
      </c>
      <c r="B82" s="25"/>
      <c r="C82" s="25"/>
      <c r="D82" s="25"/>
      <c r="E82" s="25"/>
      <c r="F82" s="25">
        <f t="shared" si="2"/>
        <v>0</v>
      </c>
      <c r="G82" s="8">
        <f t="shared" si="3"/>
        <v>0</v>
      </c>
    </row>
    <row r="83" spans="1:7" x14ac:dyDescent="0.25">
      <c r="A83" s="8">
        <v>0.125</v>
      </c>
      <c r="B83" s="25"/>
      <c r="C83" s="25"/>
      <c r="D83" s="25"/>
      <c r="E83" s="25"/>
      <c r="F83" s="25">
        <f t="shared" si="2"/>
        <v>0</v>
      </c>
      <c r="G83" s="8">
        <f t="shared" si="3"/>
        <v>0.125</v>
      </c>
    </row>
    <row r="84" spans="1:7" x14ac:dyDescent="0.25">
      <c r="A84" s="8">
        <v>0.25</v>
      </c>
      <c r="B84" s="25"/>
      <c r="C84" s="25"/>
      <c r="D84" s="25"/>
      <c r="E84" s="25"/>
      <c r="F84" s="25">
        <f t="shared" si="2"/>
        <v>0</v>
      </c>
      <c r="G84" s="8">
        <f t="shared" si="3"/>
        <v>0.25</v>
      </c>
    </row>
    <row r="85" spans="1:7" x14ac:dyDescent="0.25">
      <c r="A85" s="8">
        <v>0.375</v>
      </c>
      <c r="B85" s="25"/>
      <c r="C85" s="25"/>
      <c r="D85" s="25"/>
      <c r="E85" s="25"/>
      <c r="F85" s="25">
        <f t="shared" si="2"/>
        <v>0</v>
      </c>
      <c r="G85" s="8">
        <f t="shared" si="3"/>
        <v>0.375</v>
      </c>
    </row>
    <row r="86" spans="1:7" x14ac:dyDescent="0.25">
      <c r="A86" s="8">
        <v>0.5</v>
      </c>
      <c r="B86" s="25"/>
      <c r="C86" s="25"/>
      <c r="D86" s="25"/>
      <c r="E86" s="25"/>
      <c r="F86" s="25">
        <f t="shared" si="2"/>
        <v>0</v>
      </c>
      <c r="G86" s="8">
        <f t="shared" si="3"/>
        <v>0.5</v>
      </c>
    </row>
    <row r="87" spans="1:7" x14ac:dyDescent="0.25">
      <c r="A87" s="8">
        <v>0.625</v>
      </c>
      <c r="B87" s="25"/>
      <c r="C87" s="25"/>
      <c r="D87" s="25"/>
      <c r="E87" s="25"/>
      <c r="F87" s="25">
        <f t="shared" si="2"/>
        <v>0</v>
      </c>
      <c r="G87" s="8">
        <f t="shared" si="3"/>
        <v>0.625</v>
      </c>
    </row>
    <row r="88" spans="1:7" x14ac:dyDescent="0.25">
      <c r="A88" s="8">
        <v>0.75</v>
      </c>
      <c r="B88" s="25"/>
      <c r="C88" s="25"/>
      <c r="D88" s="25"/>
      <c r="E88" s="25"/>
      <c r="F88" s="25">
        <f t="shared" si="2"/>
        <v>0</v>
      </c>
      <c r="G88" s="8">
        <f t="shared" si="3"/>
        <v>0.75</v>
      </c>
    </row>
    <row r="89" spans="1:7" x14ac:dyDescent="0.25">
      <c r="A89" s="8">
        <v>0.875</v>
      </c>
      <c r="B89" s="25"/>
      <c r="C89" s="25"/>
      <c r="D89" s="25"/>
      <c r="E89" s="25"/>
      <c r="F89" s="25">
        <f t="shared" si="2"/>
        <v>0</v>
      </c>
      <c r="G89" s="8">
        <f t="shared" si="3"/>
        <v>0.875</v>
      </c>
    </row>
    <row r="90" spans="1:7" x14ac:dyDescent="0.25">
      <c r="A90" s="8">
        <v>0</v>
      </c>
      <c r="B90" s="25"/>
      <c r="C90" s="25"/>
      <c r="D90" s="25"/>
      <c r="E90" s="25"/>
      <c r="F90" s="25">
        <f t="shared" si="2"/>
        <v>0</v>
      </c>
      <c r="G90" s="8">
        <f t="shared" si="3"/>
        <v>0</v>
      </c>
    </row>
    <row r="91" spans="1:7" x14ac:dyDescent="0.25">
      <c r="A91" s="8">
        <v>0.125</v>
      </c>
      <c r="B91" s="25"/>
      <c r="C91" s="25"/>
      <c r="D91" s="25"/>
      <c r="E91" s="25"/>
      <c r="F91" s="25">
        <f t="shared" si="2"/>
        <v>0</v>
      </c>
      <c r="G91" s="8">
        <f t="shared" si="3"/>
        <v>0.125</v>
      </c>
    </row>
    <row r="92" spans="1:7" x14ac:dyDescent="0.25">
      <c r="A92" s="8">
        <v>0.25</v>
      </c>
      <c r="B92" s="25"/>
      <c r="C92" s="25"/>
      <c r="D92" s="25"/>
      <c r="E92" s="25"/>
      <c r="F92" s="25">
        <f t="shared" si="2"/>
        <v>0</v>
      </c>
      <c r="G92" s="8">
        <f t="shared" si="3"/>
        <v>0.25</v>
      </c>
    </row>
    <row r="93" spans="1:7" x14ac:dyDescent="0.25">
      <c r="A93" s="8" t="s">
        <v>232</v>
      </c>
      <c r="B93" s="25"/>
      <c r="C93" s="25"/>
      <c r="D93" s="25"/>
      <c r="E93" s="25"/>
      <c r="F93" s="25">
        <f t="shared" si="2"/>
        <v>0</v>
      </c>
      <c r="G93" s="8" t="str">
        <f t="shared" si="3"/>
        <v>Time per 30 minutes</v>
      </c>
    </row>
    <row r="94" spans="1:7" x14ac:dyDescent="0.25">
      <c r="A94" s="8" t="s">
        <v>38</v>
      </c>
      <c r="B94" s="25" t="s">
        <v>233</v>
      </c>
      <c r="C94" s="25" t="s">
        <v>234</v>
      </c>
      <c r="D94" s="25" t="s">
        <v>235</v>
      </c>
      <c r="E94" s="25" t="s">
        <v>236</v>
      </c>
      <c r="F94" s="25" t="str">
        <f t="shared" si="2"/>
        <v xml:space="preserve">Source  </v>
      </c>
      <c r="G94" s="8" t="str">
        <f t="shared" si="3"/>
        <v xml:space="preserve">Time </v>
      </c>
    </row>
    <row r="95" spans="1:7" x14ac:dyDescent="0.25">
      <c r="A95" s="8">
        <v>42575.830324074072</v>
      </c>
      <c r="B95" s="25" t="s">
        <v>108</v>
      </c>
      <c r="C95" s="25" t="s">
        <v>292</v>
      </c>
      <c r="D95" s="25">
        <v>1820000</v>
      </c>
      <c r="E95" s="25" t="s">
        <v>266</v>
      </c>
      <c r="F95" s="25" t="str">
        <f t="shared" si="2"/>
        <v>rtdc.l.rtdc.4026:itc</v>
      </c>
      <c r="G95" s="8">
        <f t="shared" si="3"/>
        <v>42575.830324074072</v>
      </c>
    </row>
    <row r="96" spans="1:7" x14ac:dyDescent="0.25">
      <c r="A96" s="8">
        <v>42576.512442129628</v>
      </c>
      <c r="B96" s="25" t="s">
        <v>354</v>
      </c>
      <c r="C96" s="25" t="s">
        <v>615</v>
      </c>
      <c r="D96" s="25">
        <v>900000</v>
      </c>
      <c r="E96" s="25" t="s">
        <v>775</v>
      </c>
      <c r="F96" s="25" t="str">
        <f t="shared" si="2"/>
        <v>rtdc.l.rtdc.4032:itc</v>
      </c>
      <c r="G96" s="8">
        <f t="shared" si="3"/>
        <v>42576.512442129628</v>
      </c>
    </row>
    <row r="97" spans="1:7" x14ac:dyDescent="0.25">
      <c r="A97" s="8">
        <v>42576.531493055554</v>
      </c>
      <c r="B97" s="25" t="s">
        <v>145</v>
      </c>
      <c r="C97" s="25" t="s">
        <v>481</v>
      </c>
      <c r="D97" s="25">
        <v>2020000</v>
      </c>
      <c r="E97" s="25" t="s">
        <v>776</v>
      </c>
      <c r="F97" s="25" t="str">
        <f t="shared" si="2"/>
        <v>rtdc.l.rtdc.4016:itc</v>
      </c>
      <c r="G97" s="8">
        <f t="shared" si="3"/>
        <v>42576.531493055554</v>
      </c>
    </row>
    <row r="98" spans="1:7" x14ac:dyDescent="0.25">
      <c r="A98" s="8">
        <v>42576.550717592596</v>
      </c>
      <c r="B98" s="25" t="s">
        <v>163</v>
      </c>
      <c r="C98" s="25" t="s">
        <v>623</v>
      </c>
      <c r="D98" s="25">
        <v>1820000</v>
      </c>
      <c r="E98" s="25" t="s">
        <v>266</v>
      </c>
      <c r="F98" s="25" t="str">
        <f t="shared" si="2"/>
        <v>rtdc.l.rtdc.4041:itc</v>
      </c>
      <c r="G98" s="8">
        <f t="shared" si="3"/>
        <v>42576.550717592596</v>
      </c>
    </row>
    <row r="99" spans="1:7" x14ac:dyDescent="0.25">
      <c r="A99" s="8">
        <v>42576.511504629627</v>
      </c>
      <c r="B99" s="25" t="s">
        <v>110</v>
      </c>
      <c r="C99" s="25" t="s">
        <v>614</v>
      </c>
      <c r="D99" s="25">
        <v>1750000</v>
      </c>
      <c r="E99" s="25" t="s">
        <v>375</v>
      </c>
      <c r="F99" s="25" t="str">
        <f t="shared" si="2"/>
        <v>rtdc.l.rtdc.4025:itc</v>
      </c>
      <c r="G99" s="8">
        <f t="shared" si="3"/>
        <v>42576.511504629627</v>
      </c>
    </row>
    <row r="100" spans="1:7" x14ac:dyDescent="0.25">
      <c r="A100" s="8">
        <v>42576.589409722219</v>
      </c>
      <c r="B100" s="25" t="s">
        <v>72</v>
      </c>
      <c r="C100" s="25" t="s">
        <v>492</v>
      </c>
      <c r="D100" s="25">
        <v>1280000</v>
      </c>
      <c r="E100" s="25" t="s">
        <v>363</v>
      </c>
      <c r="F100" s="25" t="str">
        <f t="shared" si="2"/>
        <v>rtdc.l.rtdc.4017:itc</v>
      </c>
      <c r="G100" s="8">
        <f t="shared" si="3"/>
        <v>42576.589409722219</v>
      </c>
    </row>
    <row r="101" spans="1:7" x14ac:dyDescent="0.25">
      <c r="A101" s="8">
        <v>42576.610729166663</v>
      </c>
      <c r="B101" s="25" t="s">
        <v>78</v>
      </c>
      <c r="C101" s="25" t="s">
        <v>644</v>
      </c>
      <c r="D101" s="25">
        <v>1820000</v>
      </c>
      <c r="E101" s="25" t="s">
        <v>266</v>
      </c>
      <c r="F101" s="25" t="str">
        <f t="shared" si="2"/>
        <v>rtdc.l.rtdc.4042:itc</v>
      </c>
      <c r="G101" s="8">
        <f t="shared" si="3"/>
        <v>42576.610729166663</v>
      </c>
    </row>
    <row r="102" spans="1:7" x14ac:dyDescent="0.25">
      <c r="A102" s="8">
        <v>42576.664490740739</v>
      </c>
      <c r="B102" s="25" t="s">
        <v>268</v>
      </c>
      <c r="C102" s="25" t="s">
        <v>519</v>
      </c>
      <c r="D102" s="25">
        <v>1140000</v>
      </c>
      <c r="E102" s="25" t="s">
        <v>357</v>
      </c>
      <c r="F102" s="25" t="str">
        <f t="shared" si="2"/>
        <v>rtdc.l.rtdc.4014:itc</v>
      </c>
      <c r="G102" s="8">
        <f t="shared" si="3"/>
        <v>42576.664490740739</v>
      </c>
    </row>
    <row r="103" spans="1:7" x14ac:dyDescent="0.25">
      <c r="A103" s="8">
        <v>42576.702094907407</v>
      </c>
      <c r="B103" s="25" t="s">
        <v>109</v>
      </c>
      <c r="C103" s="25" t="s">
        <v>520</v>
      </c>
      <c r="D103" s="25">
        <v>1140000</v>
      </c>
      <c r="E103" s="25" t="s">
        <v>357</v>
      </c>
      <c r="F103" s="25" t="str">
        <f t="shared" si="2"/>
        <v>rtdc.l.rtdc.4013:itc</v>
      </c>
      <c r="G103" s="8">
        <f t="shared" si="3"/>
        <v>42576.702094907407</v>
      </c>
    </row>
    <row r="104" spans="1:7" x14ac:dyDescent="0.25">
      <c r="A104" s="8">
        <v>42576.308148148149</v>
      </c>
      <c r="B104" s="25" t="s">
        <v>71</v>
      </c>
      <c r="C104" s="25" t="s">
        <v>417</v>
      </c>
      <c r="D104" s="25">
        <v>1260000</v>
      </c>
      <c r="E104" s="25" t="s">
        <v>369</v>
      </c>
      <c r="F104" s="25" t="str">
        <f t="shared" si="2"/>
        <v>rtdc.l.rtdc.4018:itc</v>
      </c>
      <c r="G104" s="8">
        <f t="shared" si="3"/>
        <v>42576.308148148149</v>
      </c>
    </row>
    <row r="105" spans="1:7" x14ac:dyDescent="0.25">
      <c r="A105" s="8">
        <v>42576.508009259262</v>
      </c>
      <c r="B105" s="25" t="s">
        <v>163</v>
      </c>
      <c r="C105" s="25" t="s">
        <v>612</v>
      </c>
      <c r="D105" s="25">
        <v>1820000</v>
      </c>
      <c r="E105" s="25" t="s">
        <v>266</v>
      </c>
      <c r="F105" s="25" t="str">
        <f t="shared" si="2"/>
        <v>rtdc.l.rtdc.4041:itc</v>
      </c>
      <c r="G105" s="8">
        <f t="shared" si="3"/>
        <v>42576.508009259262</v>
      </c>
    </row>
    <row r="106" spans="1:7" x14ac:dyDescent="0.25">
      <c r="A106" s="8">
        <v>42576.518877314818</v>
      </c>
      <c r="B106" s="25" t="s">
        <v>159</v>
      </c>
      <c r="C106" s="25" t="s">
        <v>477</v>
      </c>
      <c r="D106" s="25">
        <v>1120000</v>
      </c>
      <c r="E106" s="25" t="s">
        <v>777</v>
      </c>
      <c r="F106" s="25" t="str">
        <f t="shared" si="2"/>
        <v>rtdc.l.rtdc.4009:itc</v>
      </c>
      <c r="G106" s="8">
        <f t="shared" si="3"/>
        <v>42576.518877314818</v>
      </c>
    </row>
    <row r="107" spans="1:7" x14ac:dyDescent="0.25">
      <c r="A107" s="8">
        <v>42576.482060185182</v>
      </c>
      <c r="B107" s="25" t="s">
        <v>354</v>
      </c>
      <c r="C107" s="25" t="s">
        <v>601</v>
      </c>
      <c r="D107" s="25">
        <v>900000</v>
      </c>
      <c r="E107" s="25" t="s">
        <v>775</v>
      </c>
      <c r="F107" s="25" t="str">
        <f t="shared" si="2"/>
        <v>rtdc.l.rtdc.4032:itc</v>
      </c>
      <c r="G107" s="8">
        <f t="shared" si="3"/>
        <v>42576.482060185182</v>
      </c>
    </row>
    <row r="108" spans="1:7" x14ac:dyDescent="0.25">
      <c r="A108" s="8">
        <v>42576.552905092591</v>
      </c>
      <c r="B108" s="25" t="s">
        <v>110</v>
      </c>
      <c r="C108" s="25" t="s">
        <v>625</v>
      </c>
      <c r="D108" s="25">
        <v>1750000</v>
      </c>
      <c r="E108" s="25" t="s">
        <v>375</v>
      </c>
      <c r="F108" s="25" t="str">
        <f t="shared" si="2"/>
        <v>rtdc.l.rtdc.4025:itc</v>
      </c>
      <c r="G108" s="8">
        <f t="shared" si="3"/>
        <v>42576.552905092591</v>
      </c>
    </row>
    <row r="109" spans="1:7" x14ac:dyDescent="0.25">
      <c r="A109" s="8">
        <v>42576.42082175926</v>
      </c>
      <c r="B109" s="25" t="s">
        <v>354</v>
      </c>
      <c r="C109" s="25" t="s">
        <v>584</v>
      </c>
      <c r="D109" s="25">
        <v>900000</v>
      </c>
      <c r="E109" s="25" t="s">
        <v>775</v>
      </c>
      <c r="F109" s="25" t="str">
        <f t="shared" si="2"/>
        <v>rtdc.l.rtdc.4032:itc</v>
      </c>
      <c r="G109" s="8">
        <f t="shared" si="3"/>
        <v>42576.42082175926</v>
      </c>
    </row>
    <row r="110" spans="1:7" x14ac:dyDescent="0.25">
      <c r="A110" s="8">
        <v>42576.575312499997</v>
      </c>
      <c r="B110" s="25" t="s">
        <v>108</v>
      </c>
      <c r="C110" s="25" t="s">
        <v>630</v>
      </c>
      <c r="D110" s="25">
        <v>1750000</v>
      </c>
      <c r="E110" s="25" t="s">
        <v>375</v>
      </c>
      <c r="F110" s="25" t="str">
        <f t="shared" si="2"/>
        <v>rtdc.l.rtdc.4026:itc</v>
      </c>
      <c r="G110" s="8">
        <f t="shared" si="3"/>
        <v>42576.575312499997</v>
      </c>
    </row>
    <row r="111" spans="1:7" x14ac:dyDescent="0.25">
      <c r="A111" s="8">
        <v>42576.388483796298</v>
      </c>
      <c r="B111" s="25" t="s">
        <v>71</v>
      </c>
      <c r="C111" s="25" t="s">
        <v>440</v>
      </c>
      <c r="D111" s="25">
        <v>1260000</v>
      </c>
      <c r="E111" s="25" t="s">
        <v>369</v>
      </c>
      <c r="F111" s="25" t="str">
        <f t="shared" si="2"/>
        <v>rtdc.l.rtdc.4018:itc</v>
      </c>
      <c r="G111" s="8">
        <f t="shared" si="3"/>
        <v>42576.388483796298</v>
      </c>
    </row>
    <row r="112" spans="1:7" x14ac:dyDescent="0.25">
      <c r="A112" s="8">
        <v>42576.72315972222</v>
      </c>
      <c r="B112" s="25" t="s">
        <v>110</v>
      </c>
      <c r="C112" s="25" t="s">
        <v>680</v>
      </c>
      <c r="D112" s="25">
        <v>1740000</v>
      </c>
      <c r="E112" s="25" t="s">
        <v>358</v>
      </c>
      <c r="F112" s="25" t="str">
        <f t="shared" si="2"/>
        <v>rtdc.l.rtdc.4025:itc</v>
      </c>
      <c r="G112" s="8">
        <f t="shared" si="3"/>
        <v>42576.72315972222</v>
      </c>
    </row>
    <row r="113" spans="1:7" x14ac:dyDescent="0.25">
      <c r="A113" s="8">
        <v>42576.36755787037</v>
      </c>
      <c r="B113" s="25" t="s">
        <v>111</v>
      </c>
      <c r="C113" s="25" t="s">
        <v>425</v>
      </c>
      <c r="D113" s="25">
        <v>1090000</v>
      </c>
      <c r="E113" s="25" t="s">
        <v>116</v>
      </c>
      <c r="F113" s="25" t="str">
        <f t="shared" si="2"/>
        <v>rtdc.l.rtdc.4028:itc</v>
      </c>
      <c r="G113" s="8">
        <f t="shared" si="3"/>
        <v>42576.36755787037</v>
      </c>
    </row>
    <row r="114" spans="1:7" x14ac:dyDescent="0.25">
      <c r="A114" s="8">
        <v>42576.748518518521</v>
      </c>
      <c r="B114" s="25" t="s">
        <v>159</v>
      </c>
      <c r="C114" s="25" t="s">
        <v>542</v>
      </c>
      <c r="D114" s="25">
        <v>1140000</v>
      </c>
      <c r="E114" s="25" t="s">
        <v>357</v>
      </c>
      <c r="F114" s="25" t="str">
        <f t="shared" si="2"/>
        <v>rtdc.l.rtdc.4009:itc</v>
      </c>
      <c r="G114" s="8">
        <f t="shared" si="3"/>
        <v>42576.748518518521</v>
      </c>
    </row>
    <row r="115" spans="1:7" x14ac:dyDescent="0.25">
      <c r="A115" s="8">
        <v>42576.341087962966</v>
      </c>
      <c r="B115" s="25" t="s">
        <v>268</v>
      </c>
      <c r="C115" s="25" t="s">
        <v>426</v>
      </c>
      <c r="D115" s="25">
        <v>1830000</v>
      </c>
      <c r="E115" s="25" t="s">
        <v>267</v>
      </c>
      <c r="F115" s="25" t="str">
        <f t="shared" si="2"/>
        <v>rtdc.l.rtdc.4014:itc</v>
      </c>
      <c r="G115" s="8">
        <f t="shared" si="3"/>
        <v>42576.341087962966</v>
      </c>
    </row>
    <row r="116" spans="1:7" x14ac:dyDescent="0.25">
      <c r="A116" s="8">
        <v>42576.748541666668</v>
      </c>
      <c r="B116" s="25" t="s">
        <v>353</v>
      </c>
      <c r="C116" s="25" t="s">
        <v>691</v>
      </c>
      <c r="D116" s="25">
        <v>1770000</v>
      </c>
      <c r="E116" s="25" t="s">
        <v>359</v>
      </c>
      <c r="F116" s="25" t="str">
        <f t="shared" si="2"/>
        <v>rtdc.l.rtdc.4031:itc</v>
      </c>
      <c r="G116" s="8">
        <f t="shared" si="3"/>
        <v>42576.748541666668</v>
      </c>
    </row>
    <row r="117" spans="1:7" x14ac:dyDescent="0.25">
      <c r="A117" s="8">
        <v>42576.316724537035</v>
      </c>
      <c r="B117" s="25" t="s">
        <v>757</v>
      </c>
      <c r="C117" s="25" t="s">
        <v>413</v>
      </c>
      <c r="D117" s="25">
        <v>1110000</v>
      </c>
      <c r="E117" s="25" t="s">
        <v>127</v>
      </c>
      <c r="F117" s="25" t="str">
        <f t="shared" si="2"/>
        <v>rtdc.l.rtdc.4037:itc</v>
      </c>
      <c r="G117" s="8">
        <f t="shared" si="3"/>
        <v>42576.316724537035</v>
      </c>
    </row>
    <row r="118" spans="1:7" x14ac:dyDescent="0.25">
      <c r="A118" s="8">
        <v>42576.783668981479</v>
      </c>
      <c r="B118" s="25" t="s">
        <v>160</v>
      </c>
      <c r="C118" s="25" t="s">
        <v>543</v>
      </c>
      <c r="D118" s="25">
        <v>1140000</v>
      </c>
      <c r="E118" s="25" t="s">
        <v>357</v>
      </c>
      <c r="F118" s="25" t="str">
        <f t="shared" si="2"/>
        <v>rtdc.l.rtdc.4010:itc</v>
      </c>
      <c r="G118" s="8">
        <f t="shared" si="3"/>
        <v>42576.783668981479</v>
      </c>
    </row>
    <row r="119" spans="1:7" x14ac:dyDescent="0.25">
      <c r="A119" s="8">
        <v>42576.265243055554</v>
      </c>
      <c r="B119" s="25" t="s">
        <v>163</v>
      </c>
      <c r="C119" s="25" t="s">
        <v>365</v>
      </c>
      <c r="D119" s="25">
        <v>890000</v>
      </c>
      <c r="E119" s="25" t="s">
        <v>366</v>
      </c>
      <c r="F119" s="25" t="str">
        <f t="shared" si="2"/>
        <v>rtdc.l.rtdc.4041:itc</v>
      </c>
      <c r="G119" s="8">
        <f t="shared" si="3"/>
        <v>42576.265243055554</v>
      </c>
    </row>
    <row r="120" spans="1:7" x14ac:dyDescent="0.25">
      <c r="A120" s="8">
        <v>42576.807835648149</v>
      </c>
      <c r="B120" s="25" t="s">
        <v>118</v>
      </c>
      <c r="C120" s="25" t="s">
        <v>547</v>
      </c>
      <c r="D120" s="25">
        <v>1230000</v>
      </c>
      <c r="E120" s="25" t="s">
        <v>178</v>
      </c>
      <c r="F120" s="25" t="str">
        <f t="shared" si="2"/>
        <v>rtdc.l.rtdc.4008:itc</v>
      </c>
      <c r="G120" s="8">
        <f t="shared" si="3"/>
        <v>42576.807835648149</v>
      </c>
    </row>
    <row r="121" spans="1:7" x14ac:dyDescent="0.25">
      <c r="A121" s="8">
        <v>42576.253182870372</v>
      </c>
      <c r="B121" s="25" t="s">
        <v>160</v>
      </c>
      <c r="C121" s="25" t="s">
        <v>370</v>
      </c>
      <c r="D121" s="25">
        <v>1480000</v>
      </c>
      <c r="E121" s="25" t="s">
        <v>107</v>
      </c>
      <c r="F121" s="25" t="str">
        <f t="shared" si="2"/>
        <v>rtdc.l.rtdc.4010:itc</v>
      </c>
      <c r="G121" s="8">
        <f t="shared" si="3"/>
        <v>42576.253182870372</v>
      </c>
    </row>
    <row r="122" spans="1:7" x14ac:dyDescent="0.25">
      <c r="A122" s="8">
        <v>42576.817048611112</v>
      </c>
      <c r="B122" s="33" t="s">
        <v>78</v>
      </c>
      <c r="C122" s="25" t="s">
        <v>711</v>
      </c>
      <c r="D122" s="25">
        <v>1290000</v>
      </c>
      <c r="E122" s="25" t="s">
        <v>173</v>
      </c>
      <c r="F122" s="25" t="str">
        <f t="shared" si="2"/>
        <v>rtdc.l.rtdc.4042:itc</v>
      </c>
      <c r="G122" s="8">
        <f t="shared" si="3"/>
        <v>42576.817048611112</v>
      </c>
    </row>
    <row r="123" spans="1:7" x14ac:dyDescent="0.25">
      <c r="A123" s="8">
        <v>42576.233437499999</v>
      </c>
      <c r="B123" s="25" t="s">
        <v>71</v>
      </c>
      <c r="C123" s="25" t="s">
        <v>368</v>
      </c>
      <c r="D123" s="25">
        <v>1260000</v>
      </c>
      <c r="E123" s="25" t="s">
        <v>369</v>
      </c>
      <c r="F123" s="25" t="str">
        <f t="shared" si="2"/>
        <v>rtdc.l.rtdc.4018:itc</v>
      </c>
      <c r="G123" s="8">
        <f t="shared" si="3"/>
        <v>42576.233437499999</v>
      </c>
    </row>
    <row r="124" spans="1:7" x14ac:dyDescent="0.25">
      <c r="A124" s="8">
        <v>42576.860949074071</v>
      </c>
      <c r="B124" s="25" t="s">
        <v>108</v>
      </c>
      <c r="C124" s="25" t="s">
        <v>729</v>
      </c>
      <c r="D124" s="25">
        <v>1740000</v>
      </c>
      <c r="E124" s="25" t="s">
        <v>358</v>
      </c>
      <c r="F124" s="25" t="str">
        <f t="shared" si="2"/>
        <v>rtdc.l.rtdc.4026:itc</v>
      </c>
      <c r="G124" s="8">
        <f t="shared" si="3"/>
        <v>42576.860949074071</v>
      </c>
    </row>
    <row r="125" spans="1:7" x14ac:dyDescent="0.25">
      <c r="A125" s="8">
        <v>42576.228402777779</v>
      </c>
      <c r="B125" s="25" t="s">
        <v>113</v>
      </c>
      <c r="C125" s="25" t="s">
        <v>367</v>
      </c>
      <c r="D125" s="25">
        <v>1190000</v>
      </c>
      <c r="E125" s="25" t="s">
        <v>162</v>
      </c>
      <c r="F125" s="25" t="str">
        <f t="shared" si="2"/>
        <v>rtdc.l.rtdc.4030:itc</v>
      </c>
      <c r="G125" s="8">
        <f t="shared" si="3"/>
        <v>42576.228402777779</v>
      </c>
    </row>
    <row r="126" spans="1:7" x14ac:dyDescent="0.25">
      <c r="A126" s="8">
        <v>42576.873101851852</v>
      </c>
      <c r="B126" s="25" t="s">
        <v>353</v>
      </c>
      <c r="C126" s="25" t="s">
        <v>732</v>
      </c>
      <c r="D126" s="25">
        <v>1770000</v>
      </c>
      <c r="E126" s="25" t="s">
        <v>359</v>
      </c>
      <c r="F126" s="25" t="str">
        <f t="shared" si="2"/>
        <v>rtdc.l.rtdc.4031:itc</v>
      </c>
      <c r="G126" s="8">
        <f t="shared" si="3"/>
        <v>42576.873101851852</v>
      </c>
    </row>
    <row r="127" spans="1:7" x14ac:dyDescent="0.25">
      <c r="A127" s="8">
        <v>42576.222800925927</v>
      </c>
      <c r="B127" s="25" t="s">
        <v>78</v>
      </c>
      <c r="C127" s="25" t="s">
        <v>365</v>
      </c>
      <c r="D127" s="25">
        <v>890000</v>
      </c>
      <c r="E127" s="25" t="s">
        <v>366</v>
      </c>
      <c r="F127" s="25" t="str">
        <f t="shared" si="2"/>
        <v>rtdc.l.rtdc.4042:itc</v>
      </c>
      <c r="G127" s="8">
        <f t="shared" si="3"/>
        <v>42576.222800925927</v>
      </c>
    </row>
    <row r="128" spans="1:7" x14ac:dyDescent="0.25">
      <c r="A128" s="8">
        <v>42576.890775462962</v>
      </c>
      <c r="B128" s="25" t="s">
        <v>118</v>
      </c>
      <c r="C128" s="25" t="s">
        <v>561</v>
      </c>
      <c r="D128" s="25">
        <v>1230000</v>
      </c>
      <c r="E128" s="25" t="s">
        <v>178</v>
      </c>
      <c r="F128" s="25" t="str">
        <f t="shared" si="2"/>
        <v>rtdc.l.rtdc.4008:itc</v>
      </c>
      <c r="G128" s="8">
        <f t="shared" si="3"/>
        <v>42576.890775462962</v>
      </c>
    </row>
    <row r="129" spans="1:7" x14ac:dyDescent="0.25">
      <c r="A129" s="8">
        <v>42576.215324074074</v>
      </c>
      <c r="B129" s="25" t="s">
        <v>159</v>
      </c>
      <c r="C129" s="25" t="s">
        <v>364</v>
      </c>
      <c r="D129" s="25">
        <v>1480000</v>
      </c>
      <c r="E129" s="25" t="s">
        <v>107</v>
      </c>
      <c r="F129" s="25" t="str">
        <f t="shared" si="2"/>
        <v>rtdc.l.rtdc.4009:itc</v>
      </c>
      <c r="G129" s="8">
        <f t="shared" si="3"/>
        <v>42576.215324074074</v>
      </c>
    </row>
    <row r="130" spans="1:7" x14ac:dyDescent="0.25">
      <c r="A130" s="8">
        <v>42576.891273148147</v>
      </c>
      <c r="B130" s="25" t="s">
        <v>268</v>
      </c>
      <c r="C130" s="25" t="s">
        <v>568</v>
      </c>
      <c r="D130" s="25">
        <v>1810000</v>
      </c>
      <c r="E130" s="25" t="s">
        <v>360</v>
      </c>
      <c r="F130" s="25" t="str">
        <f t="shared" ref="F130:F193" si="4">B130</f>
        <v>rtdc.l.rtdc.4014:itc</v>
      </c>
      <c r="G130" s="8">
        <f t="shared" ref="G130:G193" si="5">A130</f>
        <v>42576.891273148147</v>
      </c>
    </row>
    <row r="131" spans="1:7" x14ac:dyDescent="0.25">
      <c r="A131" s="8">
        <v>42575.910370370373</v>
      </c>
      <c r="B131" s="25" t="s">
        <v>264</v>
      </c>
      <c r="C131" s="25" t="s">
        <v>333</v>
      </c>
      <c r="D131" s="25">
        <v>1810000</v>
      </c>
      <c r="E131" s="25" t="s">
        <v>360</v>
      </c>
      <c r="F131" s="25" t="str">
        <f t="shared" si="4"/>
        <v>rtdc.l.rtdc.4040:itc</v>
      </c>
      <c r="G131" s="8">
        <f t="shared" si="5"/>
        <v>42575.910370370373</v>
      </c>
    </row>
    <row r="132" spans="1:7" x14ac:dyDescent="0.25">
      <c r="A132" s="8">
        <v>42576.900763888887</v>
      </c>
      <c r="B132" s="25" t="s">
        <v>78</v>
      </c>
      <c r="C132" s="25" t="s">
        <v>741</v>
      </c>
      <c r="D132" s="25">
        <v>1290000</v>
      </c>
      <c r="E132" s="25" t="s">
        <v>173</v>
      </c>
      <c r="F132" s="25" t="str">
        <f t="shared" si="4"/>
        <v>rtdc.l.rtdc.4042:itc</v>
      </c>
      <c r="G132" s="8">
        <f t="shared" si="5"/>
        <v>42576.900763888887</v>
      </c>
    </row>
    <row r="133" spans="1:7" x14ac:dyDescent="0.25">
      <c r="A133" s="8">
        <v>42575.869143518517</v>
      </c>
      <c r="B133" s="25" t="s">
        <v>108</v>
      </c>
      <c r="C133" s="25" t="s">
        <v>301</v>
      </c>
      <c r="D133" s="25">
        <v>1820000</v>
      </c>
      <c r="E133" s="25" t="s">
        <v>266</v>
      </c>
      <c r="F133" s="25" t="str">
        <f t="shared" si="4"/>
        <v>rtdc.l.rtdc.4026:itc</v>
      </c>
      <c r="G133" s="8">
        <f t="shared" si="5"/>
        <v>42575.869143518517</v>
      </c>
    </row>
    <row r="134" spans="1:7" x14ac:dyDescent="0.25">
      <c r="A134" s="8">
        <v>42576.923344907409</v>
      </c>
      <c r="B134" s="25" t="s">
        <v>121</v>
      </c>
      <c r="C134" s="25" t="s">
        <v>572</v>
      </c>
      <c r="D134" s="25">
        <v>1230000</v>
      </c>
      <c r="E134" s="25" t="s">
        <v>178</v>
      </c>
      <c r="F134" s="25" t="str">
        <f t="shared" si="4"/>
        <v>rtdc.l.rtdc.4007:itc</v>
      </c>
      <c r="G134" s="8">
        <f t="shared" si="5"/>
        <v>42576.923344907409</v>
      </c>
    </row>
    <row r="135" spans="1:7" x14ac:dyDescent="0.25">
      <c r="A135" s="8">
        <v>42575.847858796296</v>
      </c>
      <c r="B135" s="25" t="s">
        <v>110</v>
      </c>
      <c r="C135" s="25" t="s">
        <v>300</v>
      </c>
      <c r="D135" s="25">
        <v>1820000</v>
      </c>
      <c r="E135" s="25" t="s">
        <v>266</v>
      </c>
      <c r="F135" s="25" t="str">
        <f t="shared" si="4"/>
        <v>rtdc.l.rtdc.4025:itc</v>
      </c>
      <c r="G135" s="8">
        <f t="shared" si="5"/>
        <v>42575.847858796296</v>
      </c>
    </row>
    <row r="136" spans="1:7" x14ac:dyDescent="0.25">
      <c r="A136" s="8">
        <v>42576.928206018521</v>
      </c>
      <c r="B136" s="25" t="s">
        <v>110</v>
      </c>
      <c r="C136" s="25" t="s">
        <v>748</v>
      </c>
      <c r="D136" s="25">
        <v>1740000</v>
      </c>
      <c r="E136" s="25" t="s">
        <v>358</v>
      </c>
      <c r="F136" s="25" t="str">
        <f t="shared" si="4"/>
        <v>rtdc.l.rtdc.4025:itc</v>
      </c>
      <c r="G136" s="8">
        <f t="shared" si="5"/>
        <v>42576.928206018521</v>
      </c>
    </row>
    <row r="137" spans="1:7" x14ac:dyDescent="0.25">
      <c r="A137" s="8">
        <v>42575.819849537038</v>
      </c>
      <c r="B137" s="25" t="s">
        <v>111</v>
      </c>
      <c r="C137" s="25" t="s">
        <v>320</v>
      </c>
      <c r="D137" s="25">
        <v>2030000</v>
      </c>
      <c r="E137" s="25" t="s">
        <v>126</v>
      </c>
      <c r="F137" s="25" t="str">
        <f t="shared" si="4"/>
        <v>rtdc.l.rtdc.4028:itc</v>
      </c>
      <c r="G137" s="8">
        <f t="shared" si="5"/>
        <v>42575.819849537038</v>
      </c>
    </row>
    <row r="138" spans="1:7" x14ac:dyDescent="0.25">
      <c r="A138" s="8">
        <v>42576.954722222225</v>
      </c>
      <c r="B138" s="25" t="s">
        <v>104</v>
      </c>
      <c r="C138" s="25" t="s">
        <v>574</v>
      </c>
      <c r="D138" s="25">
        <v>1180000</v>
      </c>
      <c r="E138" s="25" t="s">
        <v>778</v>
      </c>
      <c r="F138" s="25" t="str">
        <f t="shared" si="4"/>
        <v>rtdc.l.rtdc.4038:itc</v>
      </c>
      <c r="G138" s="8">
        <f t="shared" si="5"/>
        <v>42576.954722222225</v>
      </c>
    </row>
    <row r="139" spans="1:7" x14ac:dyDescent="0.25">
      <c r="A139" s="8">
        <v>42576.035775462966</v>
      </c>
      <c r="B139" s="25" t="s">
        <v>124</v>
      </c>
      <c r="C139" s="25" t="s">
        <v>344</v>
      </c>
      <c r="D139" s="25">
        <v>1810000</v>
      </c>
      <c r="E139" s="25" t="s">
        <v>360</v>
      </c>
      <c r="F139" s="25" t="str">
        <f t="shared" si="4"/>
        <v>rtdc.l.rtdc.4039:itc</v>
      </c>
      <c r="G139" s="8">
        <f t="shared" si="5"/>
        <v>42576.035775462966</v>
      </c>
    </row>
    <row r="140" spans="1:7" x14ac:dyDescent="0.25">
      <c r="A140" s="8">
        <v>42576.975138888891</v>
      </c>
      <c r="B140" s="25" t="s">
        <v>268</v>
      </c>
      <c r="C140" s="25" t="s">
        <v>578</v>
      </c>
      <c r="D140" s="25">
        <v>1810000</v>
      </c>
      <c r="E140" s="25" t="s">
        <v>360</v>
      </c>
      <c r="F140" s="25" t="str">
        <f t="shared" si="4"/>
        <v>rtdc.l.rtdc.4014:itc</v>
      </c>
      <c r="G140" s="8">
        <f t="shared" si="5"/>
        <v>42576.975138888891</v>
      </c>
    </row>
    <row r="141" spans="1:7" x14ac:dyDescent="0.25">
      <c r="A141" s="8">
        <v>42575.928912037038</v>
      </c>
      <c r="B141" s="25" t="s">
        <v>119</v>
      </c>
      <c r="C141" s="25" t="s">
        <v>315</v>
      </c>
      <c r="D141" s="25">
        <v>1740000</v>
      </c>
      <c r="E141" s="25" t="s">
        <v>358</v>
      </c>
      <c r="F141" s="25" t="str">
        <f t="shared" si="4"/>
        <v>rtdc.l.rtdc.4043:itc</v>
      </c>
      <c r="G141" s="8">
        <f t="shared" si="5"/>
        <v>42575.928912037038</v>
      </c>
    </row>
    <row r="142" spans="1:7" x14ac:dyDescent="0.25">
      <c r="A142" s="8">
        <v>42576.991168981483</v>
      </c>
      <c r="B142" s="25" t="s">
        <v>757</v>
      </c>
      <c r="C142" s="25" t="s">
        <v>576</v>
      </c>
      <c r="D142" s="25">
        <v>1180000</v>
      </c>
      <c r="E142" s="25" t="s">
        <v>778</v>
      </c>
      <c r="F142" s="25" t="str">
        <f t="shared" si="4"/>
        <v>rtdc.l.rtdc.4037:itc</v>
      </c>
      <c r="G142" s="8">
        <f t="shared" si="5"/>
        <v>42576.991168981483</v>
      </c>
    </row>
    <row r="143" spans="1:7" x14ac:dyDescent="0.25">
      <c r="A143" s="8">
        <v>42575.915613425925</v>
      </c>
      <c r="B143" s="25" t="s">
        <v>117</v>
      </c>
      <c r="C143" s="25" t="s">
        <v>310</v>
      </c>
      <c r="D143" s="25">
        <v>1740000</v>
      </c>
      <c r="E143" s="25" t="s">
        <v>358</v>
      </c>
      <c r="F143" s="25" t="str">
        <f t="shared" si="4"/>
        <v>rtdc.l.rtdc.4044:itc</v>
      </c>
      <c r="G143" s="8">
        <f t="shared" si="5"/>
        <v>42575.915613425925</v>
      </c>
    </row>
    <row r="144" spans="1:7" x14ac:dyDescent="0.25">
      <c r="A144" s="8">
        <v>42577.015115740738</v>
      </c>
      <c r="B144" s="25" t="s">
        <v>109</v>
      </c>
      <c r="C144" s="25" t="s">
        <v>579</v>
      </c>
      <c r="D144" s="25">
        <v>1810000</v>
      </c>
      <c r="E144" s="25" t="s">
        <v>360</v>
      </c>
      <c r="F144" s="25" t="str">
        <f t="shared" si="4"/>
        <v>rtdc.l.rtdc.4013:itc</v>
      </c>
      <c r="G144" s="8">
        <f t="shared" si="5"/>
        <v>42577.015115740738</v>
      </c>
    </row>
    <row r="145" spans="1:7" x14ac:dyDescent="0.25">
      <c r="A145" s="8">
        <v>42575.808576388888</v>
      </c>
      <c r="B145" s="25" t="s">
        <v>268</v>
      </c>
      <c r="C145" s="25" t="s">
        <v>321</v>
      </c>
      <c r="D145" s="25">
        <v>1290000</v>
      </c>
      <c r="E145" s="25" t="s">
        <v>173</v>
      </c>
      <c r="F145" s="25" t="str">
        <f t="shared" si="4"/>
        <v>rtdc.l.rtdc.4014:itc</v>
      </c>
      <c r="G145" s="8">
        <f t="shared" si="5"/>
        <v>42575.808576388888</v>
      </c>
    </row>
    <row r="146" spans="1:7" x14ac:dyDescent="0.25">
      <c r="A146" s="8">
        <v>42577.130289351851</v>
      </c>
      <c r="B146" s="25" t="s">
        <v>114</v>
      </c>
      <c r="C146" s="25" t="s">
        <v>779</v>
      </c>
      <c r="D146" s="25">
        <v>1540000</v>
      </c>
      <c r="E146" s="25" t="s">
        <v>376</v>
      </c>
      <c r="F146" s="25" t="str">
        <f t="shared" si="4"/>
        <v>rtdc.l.rtdc.4027:itc</v>
      </c>
      <c r="G146" s="8">
        <f t="shared" si="5"/>
        <v>42577.130289351851</v>
      </c>
    </row>
    <row r="147" spans="1:7" x14ac:dyDescent="0.25">
      <c r="A147" s="8">
        <v>42575.805173611108</v>
      </c>
      <c r="B147" s="25" t="s">
        <v>119</v>
      </c>
      <c r="C147" s="25" t="s">
        <v>289</v>
      </c>
      <c r="D147" s="25">
        <v>1740000</v>
      </c>
      <c r="E147" s="25" t="s">
        <v>358</v>
      </c>
      <c r="F147" s="25" t="str">
        <f t="shared" si="4"/>
        <v>rtdc.l.rtdc.4043:itc</v>
      </c>
      <c r="G147" s="8">
        <f t="shared" si="5"/>
        <v>42575.805173611108</v>
      </c>
    </row>
    <row r="148" spans="1:7" x14ac:dyDescent="0.25">
      <c r="A148" s="8">
        <v>42577.170787037037</v>
      </c>
      <c r="B148" s="25" t="s">
        <v>160</v>
      </c>
      <c r="C148" s="25" t="s">
        <v>780</v>
      </c>
      <c r="D148" s="25">
        <v>1540000</v>
      </c>
      <c r="E148" s="25" t="s">
        <v>376</v>
      </c>
      <c r="F148" s="25" t="str">
        <f t="shared" si="4"/>
        <v>rtdc.l.rtdc.4010:itc</v>
      </c>
      <c r="G148" s="8">
        <f t="shared" si="5"/>
        <v>42577.170787037037</v>
      </c>
    </row>
    <row r="149" spans="1:7" x14ac:dyDescent="0.25">
      <c r="A149" s="8">
        <v>42577.289444444446</v>
      </c>
      <c r="B149" s="25" t="s">
        <v>108</v>
      </c>
      <c r="C149" s="25" t="s">
        <v>781</v>
      </c>
      <c r="D149" s="25">
        <v>1990000</v>
      </c>
      <c r="E149" s="25" t="s">
        <v>782</v>
      </c>
      <c r="F149" s="25" t="str">
        <f t="shared" si="4"/>
        <v>rtdc.l.rtdc.4026:itc</v>
      </c>
      <c r="G149" s="8">
        <f t="shared" si="5"/>
        <v>42577.289444444446</v>
      </c>
    </row>
    <row r="150" spans="1:7" x14ac:dyDescent="0.25">
      <c r="A150" s="8">
        <v>42577.25582175926</v>
      </c>
      <c r="B150" s="25" t="s">
        <v>104</v>
      </c>
      <c r="C150" s="25" t="s">
        <v>783</v>
      </c>
      <c r="D150" s="25">
        <v>1300000</v>
      </c>
      <c r="E150" s="25" t="s">
        <v>167</v>
      </c>
      <c r="F150" s="25" t="str">
        <f t="shared" si="4"/>
        <v>rtdc.l.rtdc.4038:itc</v>
      </c>
      <c r="G150" s="8">
        <f t="shared" si="5"/>
        <v>42577.25582175926</v>
      </c>
    </row>
    <row r="151" spans="1:7" x14ac:dyDescent="0.25">
      <c r="A151" s="8">
        <v>42577.281550925924</v>
      </c>
      <c r="B151" s="25" t="s">
        <v>268</v>
      </c>
      <c r="C151" s="25" t="s">
        <v>784</v>
      </c>
      <c r="D151" s="25">
        <v>1110000</v>
      </c>
      <c r="E151" s="25" t="s">
        <v>127</v>
      </c>
      <c r="F151" s="25" t="str">
        <f t="shared" si="4"/>
        <v>rtdc.l.rtdc.4014:itc</v>
      </c>
      <c r="G151" s="8">
        <f t="shared" si="5"/>
        <v>42577.281550925924</v>
      </c>
    </row>
    <row r="152" spans="1:7" x14ac:dyDescent="0.25">
      <c r="A152" s="8">
        <v>42577.273854166669</v>
      </c>
      <c r="B152" s="25" t="s">
        <v>113</v>
      </c>
      <c r="C152" s="25" t="s">
        <v>785</v>
      </c>
      <c r="D152" s="25">
        <v>1260000</v>
      </c>
      <c r="E152" s="25" t="s">
        <v>369</v>
      </c>
      <c r="F152" s="25" t="str">
        <f t="shared" si="4"/>
        <v>rtdc.l.rtdc.4030:itc</v>
      </c>
      <c r="G152" s="8">
        <f t="shared" si="5"/>
        <v>42577.273854166669</v>
      </c>
    </row>
    <row r="153" spans="1:7" x14ac:dyDescent="0.25">
      <c r="A153" s="8">
        <v>42577.266516203701</v>
      </c>
      <c r="B153" s="25" t="s">
        <v>353</v>
      </c>
      <c r="C153" s="25" t="s">
        <v>786</v>
      </c>
      <c r="D153" s="25">
        <v>1750000</v>
      </c>
      <c r="E153" s="25" t="s">
        <v>375</v>
      </c>
      <c r="F153" s="25" t="str">
        <f t="shared" si="4"/>
        <v>rtdc.l.rtdc.4031:itc</v>
      </c>
      <c r="G153" s="8">
        <f t="shared" si="5"/>
        <v>42577.266516203701</v>
      </c>
    </row>
    <row r="154" spans="1:7" x14ac:dyDescent="0.25">
      <c r="A154" s="8">
        <v>42575.828935185185</v>
      </c>
      <c r="B154" s="25" t="s">
        <v>264</v>
      </c>
      <c r="C154" s="25" t="s">
        <v>324</v>
      </c>
      <c r="D154" s="25">
        <v>1810000</v>
      </c>
      <c r="E154" s="25" t="s">
        <v>360</v>
      </c>
      <c r="F154" s="25" t="str">
        <f t="shared" si="4"/>
        <v>rtdc.l.rtdc.4040:itc</v>
      </c>
      <c r="G154" s="8">
        <f t="shared" si="5"/>
        <v>42575.828935185185</v>
      </c>
    </row>
    <row r="155" spans="1:7" x14ac:dyDescent="0.25">
      <c r="A155" s="8">
        <v>42577.263784722221</v>
      </c>
      <c r="B155" s="25" t="s">
        <v>69</v>
      </c>
      <c r="C155" s="25" t="s">
        <v>787</v>
      </c>
      <c r="D155" s="25">
        <v>1240000</v>
      </c>
      <c r="E155" s="25" t="s">
        <v>120</v>
      </c>
      <c r="F155" s="25" t="str">
        <f t="shared" si="4"/>
        <v>rtdc.l.rtdc.4019:itc</v>
      </c>
      <c r="G155" s="8">
        <f t="shared" si="5"/>
        <v>42577.263784722221</v>
      </c>
    </row>
    <row r="156" spans="1:7" x14ac:dyDescent="0.25">
      <c r="A156" s="8">
        <v>42575.845636574071</v>
      </c>
      <c r="B156" s="25" t="s">
        <v>354</v>
      </c>
      <c r="C156" s="25" t="s">
        <v>296</v>
      </c>
      <c r="D156" s="25">
        <v>1540000</v>
      </c>
      <c r="E156" s="25" t="s">
        <v>376</v>
      </c>
      <c r="F156" s="25" t="str">
        <f t="shared" si="4"/>
        <v>rtdc.l.rtdc.4032:itc</v>
      </c>
      <c r="G156" s="8">
        <f t="shared" si="5"/>
        <v>42575.845636574071</v>
      </c>
    </row>
    <row r="157" spans="1:7" x14ac:dyDescent="0.25">
      <c r="A157" s="8">
        <v>42577.259733796294</v>
      </c>
      <c r="B157" s="25" t="s">
        <v>109</v>
      </c>
      <c r="C157" s="25" t="s">
        <v>788</v>
      </c>
      <c r="D157" s="25">
        <v>1110000</v>
      </c>
      <c r="E157" s="25" t="s">
        <v>127</v>
      </c>
      <c r="F157" s="25" t="str">
        <f t="shared" si="4"/>
        <v>rtdc.l.rtdc.4013:itc</v>
      </c>
      <c r="G157" s="8">
        <f t="shared" si="5"/>
        <v>42577.259733796294</v>
      </c>
    </row>
    <row r="158" spans="1:7" x14ac:dyDescent="0.25">
      <c r="A158" s="8">
        <v>42575.859872685185</v>
      </c>
      <c r="B158" s="25" t="s">
        <v>353</v>
      </c>
      <c r="C158" s="25" t="s">
        <v>303</v>
      </c>
      <c r="D158" s="25">
        <v>1750000</v>
      </c>
      <c r="E158" s="25" t="s">
        <v>375</v>
      </c>
      <c r="F158" s="25" t="str">
        <f t="shared" si="4"/>
        <v>rtdc.l.rtdc.4031:itc</v>
      </c>
      <c r="G158" s="8">
        <f t="shared" si="5"/>
        <v>42575.859872685185</v>
      </c>
    </row>
    <row r="159" spans="1:7" x14ac:dyDescent="0.25">
      <c r="A159" s="8">
        <v>42577.252187500002</v>
      </c>
      <c r="B159" s="25" t="s">
        <v>160</v>
      </c>
      <c r="C159" s="25" t="s">
        <v>789</v>
      </c>
      <c r="D159" s="25">
        <v>1540000</v>
      </c>
      <c r="E159" s="25" t="s">
        <v>376</v>
      </c>
      <c r="F159" s="25" t="str">
        <f t="shared" si="4"/>
        <v>rtdc.l.rtdc.4010:itc</v>
      </c>
      <c r="G159" s="8">
        <f t="shared" si="5"/>
        <v>42577.252187500002</v>
      </c>
    </row>
    <row r="160" spans="1:7" x14ac:dyDescent="0.25">
      <c r="A160" s="8">
        <v>42575.893761574072</v>
      </c>
      <c r="B160" s="25" t="s">
        <v>268</v>
      </c>
      <c r="C160" s="25" t="s">
        <v>331</v>
      </c>
      <c r="D160" s="25">
        <v>1290000</v>
      </c>
      <c r="E160" s="25" t="s">
        <v>173</v>
      </c>
      <c r="F160" s="25" t="str">
        <f t="shared" si="4"/>
        <v>rtdc.l.rtdc.4014:itc</v>
      </c>
      <c r="G160" s="8">
        <f t="shared" si="5"/>
        <v>42575.893761574072</v>
      </c>
    </row>
    <row r="161" spans="1:7" x14ac:dyDescent="0.25">
      <c r="A161" s="8">
        <v>42577.251018518517</v>
      </c>
      <c r="B161" s="25" t="s">
        <v>110</v>
      </c>
      <c r="C161" s="25" t="s">
        <v>790</v>
      </c>
      <c r="D161" s="25">
        <v>1990000</v>
      </c>
      <c r="E161" s="25" t="s">
        <v>782</v>
      </c>
      <c r="F161" s="25" t="str">
        <f t="shared" si="4"/>
        <v>rtdc.l.rtdc.4025:itc</v>
      </c>
      <c r="G161" s="8">
        <f t="shared" si="5"/>
        <v>42577.251018518517</v>
      </c>
    </row>
    <row r="162" spans="1:7" x14ac:dyDescent="0.25">
      <c r="A162" s="8">
        <v>42575.930196759262</v>
      </c>
      <c r="B162" s="25" t="s">
        <v>109</v>
      </c>
      <c r="C162" s="25" t="s">
        <v>332</v>
      </c>
      <c r="D162" s="25">
        <v>1290000</v>
      </c>
      <c r="E162" s="25" t="s">
        <v>173</v>
      </c>
      <c r="F162" s="25" t="str">
        <f t="shared" si="4"/>
        <v>rtdc.l.rtdc.4013:itc</v>
      </c>
      <c r="G162" s="8">
        <f t="shared" si="5"/>
        <v>42575.930196759262</v>
      </c>
    </row>
    <row r="163" spans="1:7" x14ac:dyDescent="0.25">
      <c r="A163" s="8">
        <v>42577.240844907406</v>
      </c>
      <c r="B163" s="25" t="s">
        <v>268</v>
      </c>
      <c r="C163" s="25" t="s">
        <v>791</v>
      </c>
      <c r="D163" s="25">
        <v>1110000</v>
      </c>
      <c r="E163" s="25" t="s">
        <v>127</v>
      </c>
      <c r="F163" s="25" t="str">
        <f t="shared" si="4"/>
        <v>rtdc.l.rtdc.4014:itc</v>
      </c>
      <c r="G163" s="8">
        <f t="shared" si="5"/>
        <v>42577.240844907406</v>
      </c>
    </row>
    <row r="164" spans="1:7" x14ac:dyDescent="0.25">
      <c r="A164" s="8">
        <v>42575.975729166668</v>
      </c>
      <c r="B164" s="25" t="s">
        <v>179</v>
      </c>
      <c r="C164" s="25" t="s">
        <v>337</v>
      </c>
      <c r="D164" s="25">
        <v>1800000</v>
      </c>
      <c r="E164" s="25" t="s">
        <v>362</v>
      </c>
      <c r="F164" s="25" t="str">
        <f t="shared" si="4"/>
        <v>rtdc.l.rtdc.4012:itc</v>
      </c>
      <c r="G164" s="8">
        <f t="shared" si="5"/>
        <v>42575.975729166668</v>
      </c>
    </row>
    <row r="165" spans="1:7" x14ac:dyDescent="0.25">
      <c r="A165" s="8">
        <v>42577.238136574073</v>
      </c>
      <c r="B165" s="25" t="s">
        <v>112</v>
      </c>
      <c r="C165" s="25" t="s">
        <v>792</v>
      </c>
      <c r="D165" s="25">
        <v>1260000</v>
      </c>
      <c r="E165" s="25" t="s">
        <v>369</v>
      </c>
      <c r="F165" s="25" t="str">
        <f t="shared" si="4"/>
        <v>rtdc.l.rtdc.4029:itc</v>
      </c>
      <c r="G165" s="8">
        <f t="shared" si="5"/>
        <v>42577.238136574073</v>
      </c>
    </row>
    <row r="166" spans="1:7" x14ac:dyDescent="0.25">
      <c r="A166" s="8">
        <v>42576.454155092593</v>
      </c>
      <c r="B166" s="25" t="s">
        <v>108</v>
      </c>
      <c r="C166" s="25" t="s">
        <v>589</v>
      </c>
      <c r="D166" s="25">
        <v>1750000</v>
      </c>
      <c r="E166" s="25" t="s">
        <v>375</v>
      </c>
      <c r="F166" s="25" t="str">
        <f t="shared" si="4"/>
        <v>rtdc.l.rtdc.4026:itc</v>
      </c>
      <c r="G166" s="8">
        <f t="shared" si="5"/>
        <v>42576.454155092593</v>
      </c>
    </row>
    <row r="167" spans="1:7" x14ac:dyDescent="0.25">
      <c r="A167" s="8">
        <v>42577.230532407404</v>
      </c>
      <c r="B167" s="25" t="s">
        <v>354</v>
      </c>
      <c r="C167" s="25" t="s">
        <v>793</v>
      </c>
      <c r="D167" s="25">
        <v>1750000</v>
      </c>
      <c r="E167" s="25" t="s">
        <v>375</v>
      </c>
      <c r="F167" s="25" t="str">
        <f t="shared" si="4"/>
        <v>rtdc.l.rtdc.4032:itc</v>
      </c>
      <c r="G167" s="8">
        <f t="shared" si="5"/>
        <v>42577.230532407404</v>
      </c>
    </row>
    <row r="168" spans="1:7" x14ac:dyDescent="0.25">
      <c r="A168" s="8">
        <v>42575.868483796294</v>
      </c>
      <c r="B168" s="25" t="s">
        <v>114</v>
      </c>
      <c r="C168" s="25" t="s">
        <v>328</v>
      </c>
      <c r="D168" s="25">
        <v>2030000</v>
      </c>
      <c r="E168" s="25" t="s">
        <v>126</v>
      </c>
      <c r="F168" s="25" t="str">
        <f t="shared" si="4"/>
        <v>rtdc.l.rtdc.4027:itc</v>
      </c>
      <c r="G168" s="8">
        <f t="shared" si="5"/>
        <v>42575.868483796294</v>
      </c>
    </row>
    <row r="169" spans="1:7" x14ac:dyDescent="0.25">
      <c r="A169" s="8">
        <v>42577.226967592593</v>
      </c>
      <c r="B169" s="25" t="s">
        <v>163</v>
      </c>
      <c r="C169" s="25" t="s">
        <v>794</v>
      </c>
      <c r="D169" s="25">
        <v>1090000</v>
      </c>
      <c r="E169" s="25" t="s">
        <v>116</v>
      </c>
      <c r="F169" s="25" t="str">
        <f t="shared" si="4"/>
        <v>rtdc.l.rtdc.4041:itc</v>
      </c>
      <c r="G169" s="8">
        <f t="shared" si="5"/>
        <v>42577.226967592593</v>
      </c>
    </row>
    <row r="170" spans="1:7" x14ac:dyDescent="0.25">
      <c r="A170" s="8">
        <v>42575.888136574074</v>
      </c>
      <c r="B170" s="25" t="s">
        <v>110</v>
      </c>
      <c r="C170" s="25" t="s">
        <v>355</v>
      </c>
      <c r="D170" s="25">
        <v>1820000</v>
      </c>
      <c r="E170" s="25" t="s">
        <v>266</v>
      </c>
      <c r="F170" s="25" t="str">
        <f t="shared" si="4"/>
        <v>rtdc.l.rtdc.4025:itc</v>
      </c>
      <c r="G170" s="8">
        <f t="shared" si="5"/>
        <v>42575.888136574074</v>
      </c>
    </row>
    <row r="171" spans="1:7" x14ac:dyDescent="0.25">
      <c r="A171" s="8">
        <v>42577.224756944444</v>
      </c>
      <c r="B171" s="25" t="s">
        <v>163</v>
      </c>
      <c r="C171" s="25" t="s">
        <v>794</v>
      </c>
      <c r="D171" s="25">
        <v>1090000</v>
      </c>
      <c r="E171" s="25" t="s">
        <v>116</v>
      </c>
      <c r="F171" s="25" t="str">
        <f t="shared" si="4"/>
        <v>rtdc.l.rtdc.4041:itc</v>
      </c>
      <c r="G171" s="8">
        <f t="shared" si="5"/>
        <v>42577.224756944444</v>
      </c>
    </row>
    <row r="172" spans="1:7" x14ac:dyDescent="0.25">
      <c r="A172" s="8">
        <v>42575.947268518517</v>
      </c>
      <c r="B172" s="25" t="s">
        <v>124</v>
      </c>
      <c r="C172" s="25" t="s">
        <v>334</v>
      </c>
      <c r="D172" s="25">
        <v>1810000</v>
      </c>
      <c r="E172" s="25" t="s">
        <v>360</v>
      </c>
      <c r="F172" s="25" t="str">
        <f t="shared" si="4"/>
        <v>rtdc.l.rtdc.4039:itc</v>
      </c>
      <c r="G172" s="8">
        <f t="shared" si="5"/>
        <v>42575.947268518517</v>
      </c>
    </row>
    <row r="173" spans="1:7" x14ac:dyDescent="0.25">
      <c r="A173" s="8">
        <v>42577.218831018516</v>
      </c>
      <c r="B173" s="25" t="s">
        <v>109</v>
      </c>
      <c r="C173" s="25" t="s">
        <v>795</v>
      </c>
      <c r="D173" s="25">
        <v>1110000</v>
      </c>
      <c r="E173" s="25" t="s">
        <v>127</v>
      </c>
      <c r="F173" s="25" t="str">
        <f t="shared" si="4"/>
        <v>rtdc.l.rtdc.4013:itc</v>
      </c>
      <c r="G173" s="8">
        <f t="shared" si="5"/>
        <v>42577.218831018516</v>
      </c>
    </row>
    <row r="174" spans="1:7" x14ac:dyDescent="0.25">
      <c r="A174" s="8">
        <v>42576.013402777775</v>
      </c>
      <c r="B174" s="25" t="s">
        <v>109</v>
      </c>
      <c r="C174" s="25" t="s">
        <v>342</v>
      </c>
      <c r="D174" s="25">
        <v>1290000</v>
      </c>
      <c r="E174" s="25" t="s">
        <v>173</v>
      </c>
      <c r="F174" s="25" t="str">
        <f t="shared" si="4"/>
        <v>rtdc.l.rtdc.4013:itc</v>
      </c>
      <c r="G174" s="8">
        <f t="shared" si="5"/>
        <v>42576.013402777775</v>
      </c>
    </row>
    <row r="175" spans="1:7" x14ac:dyDescent="0.25">
      <c r="A175" s="8">
        <v>42577.208958333336</v>
      </c>
      <c r="B175" s="25" t="s">
        <v>268</v>
      </c>
      <c r="C175" s="25" t="s">
        <v>795</v>
      </c>
      <c r="D175" s="25">
        <v>1110000</v>
      </c>
      <c r="E175" s="25" t="s">
        <v>127</v>
      </c>
      <c r="F175" s="25" t="str">
        <f t="shared" si="4"/>
        <v>rtdc.l.rtdc.4014:itc</v>
      </c>
      <c r="G175" s="8">
        <f t="shared" si="5"/>
        <v>42577.208958333336</v>
      </c>
    </row>
    <row r="176" spans="1:7" x14ac:dyDescent="0.25">
      <c r="A176" s="8">
        <v>42576.192488425928</v>
      </c>
      <c r="B176" s="25" t="s">
        <v>268</v>
      </c>
      <c r="C176" s="25" t="s">
        <v>377</v>
      </c>
      <c r="D176" s="25">
        <v>1830000</v>
      </c>
      <c r="E176" s="25" t="s">
        <v>267</v>
      </c>
      <c r="F176" s="25" t="str">
        <f t="shared" si="4"/>
        <v>rtdc.l.rtdc.4014:itc</v>
      </c>
      <c r="G176" s="8">
        <f t="shared" si="5"/>
        <v>42576.192488425928</v>
      </c>
    </row>
    <row r="177" spans="1:7" x14ac:dyDescent="0.25">
      <c r="A177" s="8">
        <v>42577.190706018519</v>
      </c>
      <c r="B177" s="25" t="s">
        <v>113</v>
      </c>
      <c r="C177" s="25" t="s">
        <v>796</v>
      </c>
      <c r="D177" s="25">
        <v>1260000</v>
      </c>
      <c r="E177" s="25" t="s">
        <v>369</v>
      </c>
      <c r="F177" s="25" t="str">
        <f t="shared" si="4"/>
        <v>rtdc.l.rtdc.4030:itc</v>
      </c>
      <c r="G177" s="8">
        <f t="shared" si="5"/>
        <v>42577.190706018519</v>
      </c>
    </row>
    <row r="178" spans="1:7" x14ac:dyDescent="0.25">
      <c r="A178" s="8">
        <v>42576.224444444444</v>
      </c>
      <c r="B178" s="25" t="s">
        <v>78</v>
      </c>
      <c r="C178" s="25" t="s">
        <v>365</v>
      </c>
      <c r="D178" s="25">
        <v>890000</v>
      </c>
      <c r="E178" s="25" t="s">
        <v>366</v>
      </c>
      <c r="F178" s="25" t="str">
        <f t="shared" si="4"/>
        <v>rtdc.l.rtdc.4042:itc</v>
      </c>
      <c r="G178" s="8">
        <f t="shared" si="5"/>
        <v>42576.224444444444</v>
      </c>
    </row>
    <row r="179" spans="1:7" x14ac:dyDescent="0.25">
      <c r="A179" s="8">
        <v>42577.057673611111</v>
      </c>
      <c r="B179" s="25" t="s">
        <v>118</v>
      </c>
      <c r="C179" s="25" t="s">
        <v>583</v>
      </c>
      <c r="D179" s="25">
        <v>1230000</v>
      </c>
      <c r="E179" s="25" t="s">
        <v>178</v>
      </c>
      <c r="F179" s="25" t="str">
        <f t="shared" si="4"/>
        <v>rtdc.l.rtdc.4008:itc</v>
      </c>
      <c r="G179" s="8">
        <f t="shared" si="5"/>
        <v>42577.057673611111</v>
      </c>
    </row>
    <row r="180" spans="1:7" x14ac:dyDescent="0.25">
      <c r="A180" s="8">
        <v>42576.25445601852</v>
      </c>
      <c r="B180" s="25" t="s">
        <v>160</v>
      </c>
      <c r="C180" s="25" t="s">
        <v>370</v>
      </c>
      <c r="D180" s="25">
        <v>1480000</v>
      </c>
      <c r="E180" s="25" t="s">
        <v>107</v>
      </c>
      <c r="F180" s="25" t="str">
        <f t="shared" si="4"/>
        <v>rtdc.l.rtdc.4010:itc</v>
      </c>
      <c r="G180" s="8">
        <f t="shared" si="5"/>
        <v>42576.25445601852</v>
      </c>
    </row>
    <row r="181" spans="1:7" x14ac:dyDescent="0.25">
      <c r="A181" s="8">
        <v>42576.974803240744</v>
      </c>
      <c r="B181" s="25" t="s">
        <v>118</v>
      </c>
      <c r="C181" s="25" t="s">
        <v>573</v>
      </c>
      <c r="D181" s="25">
        <v>1230000</v>
      </c>
      <c r="E181" s="25" t="s">
        <v>178</v>
      </c>
      <c r="F181" s="25" t="str">
        <f t="shared" si="4"/>
        <v>rtdc.l.rtdc.4008:itc</v>
      </c>
      <c r="G181" s="8">
        <f t="shared" si="5"/>
        <v>42576.974803240744</v>
      </c>
    </row>
    <row r="182" spans="1:7" x14ac:dyDescent="0.25">
      <c r="A182" s="8">
        <v>42576.266550925924</v>
      </c>
      <c r="B182" s="25" t="s">
        <v>118</v>
      </c>
      <c r="C182" s="25" t="s">
        <v>378</v>
      </c>
      <c r="D182" s="25">
        <v>1310000</v>
      </c>
      <c r="E182" s="25" t="s">
        <v>105</v>
      </c>
      <c r="F182" s="25" t="str">
        <f t="shared" si="4"/>
        <v>rtdc.l.rtdc.4008:itc</v>
      </c>
      <c r="G182" s="8">
        <f t="shared" si="5"/>
        <v>42576.266550925924</v>
      </c>
    </row>
    <row r="183" spans="1:7" x14ac:dyDescent="0.25">
      <c r="A183" s="8">
        <v>42576.953032407408</v>
      </c>
      <c r="B183" s="25" t="s">
        <v>104</v>
      </c>
      <c r="C183" s="25" t="s">
        <v>574</v>
      </c>
      <c r="D183" s="25">
        <v>1180000</v>
      </c>
      <c r="E183" s="25" t="s">
        <v>778</v>
      </c>
      <c r="F183" s="25" t="str">
        <f t="shared" si="4"/>
        <v>rtdc.l.rtdc.4038:itc</v>
      </c>
      <c r="G183" s="8">
        <f t="shared" si="5"/>
        <v>42576.953032407408</v>
      </c>
    </row>
    <row r="184" spans="1:7" x14ac:dyDescent="0.25">
      <c r="A184" s="8">
        <v>42576.296180555553</v>
      </c>
      <c r="B184" s="25" t="s">
        <v>69</v>
      </c>
      <c r="C184" s="25" t="s">
        <v>379</v>
      </c>
      <c r="D184" s="25">
        <v>1240000</v>
      </c>
      <c r="E184" s="25" t="s">
        <v>120</v>
      </c>
      <c r="F184" s="25" t="str">
        <f t="shared" si="4"/>
        <v>rtdc.l.rtdc.4019:itc</v>
      </c>
      <c r="G184" s="8">
        <f t="shared" si="5"/>
        <v>42576.296180555553</v>
      </c>
    </row>
    <row r="185" spans="1:7" x14ac:dyDescent="0.25">
      <c r="A185" s="8">
        <v>42576.932256944441</v>
      </c>
      <c r="B185" s="25" t="s">
        <v>109</v>
      </c>
      <c r="C185" s="25" t="s">
        <v>569</v>
      </c>
      <c r="D185" s="25">
        <v>1810000</v>
      </c>
      <c r="E185" s="25" t="s">
        <v>360</v>
      </c>
      <c r="F185" s="25" t="str">
        <f t="shared" si="4"/>
        <v>rtdc.l.rtdc.4013:itc</v>
      </c>
      <c r="G185" s="8">
        <f t="shared" si="5"/>
        <v>42576.932256944441</v>
      </c>
    </row>
    <row r="186" spans="1:7" x14ac:dyDescent="0.25">
      <c r="A186" s="8">
        <v>42576.296967592592</v>
      </c>
      <c r="B186" s="25" t="s">
        <v>111</v>
      </c>
      <c r="C186" s="25" t="s">
        <v>380</v>
      </c>
      <c r="D186" s="25">
        <v>1090000</v>
      </c>
      <c r="E186" s="25" t="s">
        <v>116</v>
      </c>
      <c r="F186" s="25" t="str">
        <f t="shared" si="4"/>
        <v>rtdc.l.rtdc.4028:itc</v>
      </c>
      <c r="G186" s="8">
        <f t="shared" si="5"/>
        <v>42576.296967592592</v>
      </c>
    </row>
    <row r="187" spans="1:7" x14ac:dyDescent="0.25">
      <c r="A187" s="8">
        <v>42576.930092592593</v>
      </c>
      <c r="B187" s="25" t="s">
        <v>354</v>
      </c>
      <c r="C187" s="25" t="s">
        <v>797</v>
      </c>
      <c r="D187" s="25">
        <v>1770000</v>
      </c>
      <c r="E187" s="25" t="s">
        <v>359</v>
      </c>
      <c r="F187" s="25" t="str">
        <f t="shared" si="4"/>
        <v>rtdc.l.rtdc.4032:itc</v>
      </c>
      <c r="G187" s="8">
        <f t="shared" si="5"/>
        <v>42576.930092592593</v>
      </c>
    </row>
    <row r="188" spans="1:7" x14ac:dyDescent="0.25">
      <c r="A188" s="8">
        <v>42576.320625</v>
      </c>
      <c r="B188" s="25" t="s">
        <v>70</v>
      </c>
      <c r="C188" s="25" t="s">
        <v>421</v>
      </c>
      <c r="D188" s="25">
        <v>1190000</v>
      </c>
      <c r="E188" s="25" t="s">
        <v>162</v>
      </c>
      <c r="F188" s="25" t="str">
        <f t="shared" si="4"/>
        <v>rtdc.l.rtdc.4020:itc</v>
      </c>
      <c r="G188" s="8">
        <f t="shared" si="5"/>
        <v>42576.320625</v>
      </c>
    </row>
    <row r="189" spans="1:7" x14ac:dyDescent="0.25">
      <c r="A189" s="8">
        <v>42576.907870370371</v>
      </c>
      <c r="B189" s="25" t="s">
        <v>108</v>
      </c>
      <c r="C189" s="25" t="s">
        <v>744</v>
      </c>
      <c r="D189" s="25">
        <v>1740000</v>
      </c>
      <c r="E189" s="25" t="s">
        <v>358</v>
      </c>
      <c r="F189" s="25" t="str">
        <f t="shared" si="4"/>
        <v>rtdc.l.rtdc.4026:itc</v>
      </c>
      <c r="G189" s="8">
        <f t="shared" si="5"/>
        <v>42576.907870370371</v>
      </c>
    </row>
    <row r="190" spans="1:7" x14ac:dyDescent="0.25">
      <c r="A190" s="8">
        <v>42576.38386574074</v>
      </c>
      <c r="B190" s="25" t="s">
        <v>121</v>
      </c>
      <c r="C190" s="25" t="s">
        <v>437</v>
      </c>
      <c r="D190" s="25">
        <v>1310000</v>
      </c>
      <c r="E190" s="25" t="s">
        <v>105</v>
      </c>
      <c r="F190" s="25" t="str">
        <f t="shared" si="4"/>
        <v>rtdc.l.rtdc.4007:itc</v>
      </c>
      <c r="G190" s="8">
        <f t="shared" si="5"/>
        <v>42576.38386574074</v>
      </c>
    </row>
    <row r="191" spans="1:7" x14ac:dyDescent="0.25">
      <c r="A191" s="8">
        <v>42576.88890046296</v>
      </c>
      <c r="B191" s="25" t="s">
        <v>110</v>
      </c>
      <c r="C191" s="25" t="s">
        <v>737</v>
      </c>
      <c r="D191" s="25">
        <v>1740000</v>
      </c>
      <c r="E191" s="25" t="s">
        <v>358</v>
      </c>
      <c r="F191" s="25" t="str">
        <f t="shared" si="4"/>
        <v>rtdc.l.rtdc.4025:itc</v>
      </c>
      <c r="G191" s="8">
        <f t="shared" si="5"/>
        <v>42576.88890046296</v>
      </c>
    </row>
    <row r="192" spans="1:7" x14ac:dyDescent="0.25">
      <c r="A192" s="8">
        <v>42576.393634259257</v>
      </c>
      <c r="B192" s="25" t="s">
        <v>109</v>
      </c>
      <c r="C192" s="25" t="s">
        <v>430</v>
      </c>
      <c r="D192" s="25">
        <v>1830000</v>
      </c>
      <c r="E192" s="25" t="s">
        <v>267</v>
      </c>
      <c r="F192" s="25" t="str">
        <f t="shared" si="4"/>
        <v>rtdc.l.rtdc.4013:itc</v>
      </c>
      <c r="G192" s="8">
        <f t="shared" si="5"/>
        <v>42576.393634259257</v>
      </c>
    </row>
    <row r="193" spans="1:7" x14ac:dyDescent="0.25">
      <c r="A193" s="8">
        <v>42576.868576388886</v>
      </c>
      <c r="B193" s="25" t="s">
        <v>104</v>
      </c>
      <c r="C193" s="25" t="s">
        <v>563</v>
      </c>
      <c r="D193" s="25">
        <v>1180000</v>
      </c>
      <c r="E193" s="25" t="s">
        <v>778</v>
      </c>
      <c r="F193" s="25" t="str">
        <f t="shared" si="4"/>
        <v>rtdc.l.rtdc.4038:itc</v>
      </c>
      <c r="G193" s="8">
        <f t="shared" si="5"/>
        <v>42576.868576388886</v>
      </c>
    </row>
    <row r="194" spans="1:7" x14ac:dyDescent="0.25">
      <c r="A194" s="8">
        <v>42576.39570601852</v>
      </c>
      <c r="B194" s="25" t="s">
        <v>109</v>
      </c>
      <c r="C194" s="25" t="s">
        <v>430</v>
      </c>
      <c r="D194" s="25">
        <v>1830000</v>
      </c>
      <c r="E194" s="25" t="s">
        <v>267</v>
      </c>
      <c r="F194" s="25" t="str">
        <f t="shared" ref="F194:F235" si="6">B194</f>
        <v>rtdc.l.rtdc.4013:itc</v>
      </c>
      <c r="G194" s="8">
        <f t="shared" ref="G194:G235" si="7">A194</f>
        <v>42576.39570601852</v>
      </c>
    </row>
    <row r="195" spans="1:7" x14ac:dyDescent="0.25">
      <c r="A195" s="8">
        <v>42576.780671296299</v>
      </c>
      <c r="B195" s="25" t="s">
        <v>108</v>
      </c>
      <c r="C195" s="25" t="s">
        <v>701</v>
      </c>
      <c r="D195" s="25">
        <v>1740000</v>
      </c>
      <c r="E195" s="25" t="s">
        <v>358</v>
      </c>
      <c r="F195" s="25" t="str">
        <f t="shared" si="6"/>
        <v>rtdc.l.rtdc.4026:itc</v>
      </c>
      <c r="G195" s="8">
        <f t="shared" si="7"/>
        <v>42576.780671296299</v>
      </c>
    </row>
    <row r="196" spans="1:7" x14ac:dyDescent="0.25">
      <c r="A196" s="8">
        <v>42576.401296296295</v>
      </c>
      <c r="B196" s="25" t="s">
        <v>757</v>
      </c>
      <c r="C196" s="25" t="s">
        <v>432</v>
      </c>
      <c r="D196" s="25">
        <v>1110000</v>
      </c>
      <c r="E196" s="25" t="s">
        <v>127</v>
      </c>
      <c r="F196" s="25" t="str">
        <f t="shared" si="6"/>
        <v>rtdc.l.rtdc.4037:itc</v>
      </c>
      <c r="G196" s="8">
        <f t="shared" si="7"/>
        <v>42576.401296296295</v>
      </c>
    </row>
    <row r="197" spans="1:7" x14ac:dyDescent="0.25">
      <c r="A197" s="8">
        <v>42576.721631944441</v>
      </c>
      <c r="B197" s="25" t="s">
        <v>144</v>
      </c>
      <c r="C197" s="25" t="s">
        <v>527</v>
      </c>
      <c r="D197" s="25">
        <v>2020000</v>
      </c>
      <c r="E197" s="25" t="s">
        <v>776</v>
      </c>
      <c r="F197" s="25" t="str">
        <f t="shared" si="6"/>
        <v>rtdc.l.rtdc.4015:itc</v>
      </c>
      <c r="G197" s="8">
        <f t="shared" si="7"/>
        <v>42576.721631944441</v>
      </c>
    </row>
    <row r="198" spans="1:7" x14ac:dyDescent="0.25">
      <c r="A198" s="8">
        <v>42576.402673611112</v>
      </c>
      <c r="B198" s="25" t="s">
        <v>70</v>
      </c>
      <c r="C198" s="25" t="s">
        <v>443</v>
      </c>
      <c r="D198" s="25">
        <v>1190000</v>
      </c>
      <c r="E198" s="25" t="s">
        <v>162</v>
      </c>
      <c r="F198" s="25" t="str">
        <f t="shared" si="6"/>
        <v>rtdc.l.rtdc.4020:itc</v>
      </c>
      <c r="G198" s="8">
        <f t="shared" si="7"/>
        <v>42576.402673611112</v>
      </c>
    </row>
    <row r="199" spans="1:7" x14ac:dyDescent="0.25">
      <c r="A199" s="8">
        <v>42576.717175925929</v>
      </c>
      <c r="B199" s="25" t="s">
        <v>163</v>
      </c>
      <c r="C199" s="25" t="s">
        <v>677</v>
      </c>
      <c r="D199" s="25">
        <v>1820000</v>
      </c>
      <c r="E199" s="25" t="s">
        <v>266</v>
      </c>
      <c r="F199" s="25" t="str">
        <f t="shared" si="6"/>
        <v>rtdc.l.rtdc.4041:itc</v>
      </c>
      <c r="G199" s="8">
        <f t="shared" si="7"/>
        <v>42576.717175925929</v>
      </c>
    </row>
    <row r="200" spans="1:7" x14ac:dyDescent="0.25">
      <c r="A200" s="8">
        <v>42576.4221412037</v>
      </c>
      <c r="B200" s="25" t="s">
        <v>144</v>
      </c>
      <c r="C200" s="25" t="s">
        <v>439</v>
      </c>
      <c r="D200" s="25">
        <v>1240000</v>
      </c>
      <c r="E200" s="25" t="s">
        <v>120</v>
      </c>
      <c r="F200" s="25" t="str">
        <f t="shared" si="6"/>
        <v>rtdc.l.rtdc.4015:itc</v>
      </c>
      <c r="G200" s="8">
        <f t="shared" si="7"/>
        <v>42576.4221412037</v>
      </c>
    </row>
    <row r="201" spans="1:7" x14ac:dyDescent="0.25">
      <c r="A201" s="8">
        <v>42576.699050925927</v>
      </c>
      <c r="B201" s="25" t="s">
        <v>121</v>
      </c>
      <c r="C201" s="25" t="s">
        <v>529</v>
      </c>
      <c r="D201" s="25">
        <v>880000</v>
      </c>
      <c r="E201" s="25" t="s">
        <v>361</v>
      </c>
      <c r="F201" s="25" t="str">
        <f t="shared" si="6"/>
        <v>rtdc.l.rtdc.4007:itc</v>
      </c>
      <c r="G201" s="8">
        <f t="shared" si="7"/>
        <v>42576.699050925927</v>
      </c>
    </row>
    <row r="202" spans="1:7" x14ac:dyDescent="0.25">
      <c r="A202" s="34">
        <v>42576.431238425925</v>
      </c>
      <c r="B202" s="25" t="s">
        <v>78</v>
      </c>
      <c r="C202" s="25" t="s">
        <v>587</v>
      </c>
      <c r="D202" s="25">
        <v>1820000</v>
      </c>
      <c r="E202" s="25" t="s">
        <v>266</v>
      </c>
      <c r="F202" s="25" t="str">
        <f t="shared" si="6"/>
        <v>rtdc.l.rtdc.4042:itc</v>
      </c>
      <c r="G202" s="8">
        <f t="shared" si="7"/>
        <v>42576.431238425925</v>
      </c>
    </row>
    <row r="203" spans="1:7" x14ac:dyDescent="0.25">
      <c r="A203" s="8">
        <v>42576.675092592595</v>
      </c>
      <c r="B203" s="25" t="s">
        <v>163</v>
      </c>
      <c r="C203" s="25" t="s">
        <v>663</v>
      </c>
      <c r="D203" s="25">
        <v>1820000</v>
      </c>
      <c r="E203" s="25" t="s">
        <v>266</v>
      </c>
      <c r="F203" s="25" t="str">
        <f t="shared" si="6"/>
        <v>rtdc.l.rtdc.4041:itc</v>
      </c>
      <c r="G203" s="8">
        <f t="shared" si="7"/>
        <v>42576.675092592595</v>
      </c>
    </row>
    <row r="204" spans="1:7" x14ac:dyDescent="0.25">
      <c r="A204" s="8">
        <v>42576.45716435185</v>
      </c>
      <c r="B204" s="25" t="s">
        <v>353</v>
      </c>
      <c r="C204" s="25" t="s">
        <v>592</v>
      </c>
      <c r="D204" s="25">
        <v>900000</v>
      </c>
      <c r="E204" s="25" t="s">
        <v>775</v>
      </c>
      <c r="F204" s="25" t="str">
        <f t="shared" si="6"/>
        <v>rtdc.l.rtdc.4031:itc</v>
      </c>
      <c r="G204" s="8">
        <f t="shared" si="7"/>
        <v>42576.45716435185</v>
      </c>
    </row>
    <row r="205" spans="1:7" x14ac:dyDescent="0.25">
      <c r="A205" s="8">
        <v>42576.661249999997</v>
      </c>
      <c r="B205" s="25" t="s">
        <v>108</v>
      </c>
      <c r="C205" s="25" t="s">
        <v>658</v>
      </c>
      <c r="D205" s="25">
        <v>1290000</v>
      </c>
      <c r="E205" s="25" t="s">
        <v>173</v>
      </c>
      <c r="F205" s="25" t="str">
        <f t="shared" si="6"/>
        <v>rtdc.l.rtdc.4026:itc</v>
      </c>
      <c r="G205" s="8">
        <f t="shared" si="7"/>
        <v>42576.661249999997</v>
      </c>
    </row>
    <row r="206" spans="1:7" x14ac:dyDescent="0.25">
      <c r="A206" s="8">
        <v>42576.490729166668</v>
      </c>
      <c r="B206" s="25" t="s">
        <v>108</v>
      </c>
      <c r="C206" s="25" t="s">
        <v>606</v>
      </c>
      <c r="D206" s="25">
        <v>1750000</v>
      </c>
      <c r="E206" s="25" t="s">
        <v>375</v>
      </c>
      <c r="F206" s="25" t="str">
        <f t="shared" si="6"/>
        <v>rtdc.l.rtdc.4026:itc</v>
      </c>
      <c r="G206" s="8">
        <f t="shared" si="7"/>
        <v>42576.490729166668</v>
      </c>
    </row>
    <row r="207" spans="1:7" x14ac:dyDescent="0.25">
      <c r="A207" s="8">
        <v>42576.649699074071</v>
      </c>
      <c r="B207" s="25" t="s">
        <v>144</v>
      </c>
      <c r="C207" s="25" t="s">
        <v>508</v>
      </c>
      <c r="D207" s="25">
        <v>2020000</v>
      </c>
      <c r="E207" s="25" t="s">
        <v>776</v>
      </c>
      <c r="F207" s="25" t="str">
        <f t="shared" si="6"/>
        <v>rtdc.l.rtdc.4015:itc</v>
      </c>
      <c r="G207" s="8">
        <f t="shared" si="7"/>
        <v>42576.649699074071</v>
      </c>
    </row>
    <row r="208" spans="1:7" x14ac:dyDescent="0.25">
      <c r="A208" s="8">
        <v>42576.533136574071</v>
      </c>
      <c r="B208" s="25" t="s">
        <v>145</v>
      </c>
      <c r="C208" s="25" t="s">
        <v>481</v>
      </c>
      <c r="D208" s="25">
        <v>2020000</v>
      </c>
      <c r="E208" s="25" t="s">
        <v>776</v>
      </c>
      <c r="F208" s="25" t="str">
        <f t="shared" si="6"/>
        <v>rtdc.l.rtdc.4016:itc</v>
      </c>
      <c r="G208" s="8">
        <f t="shared" si="7"/>
        <v>42576.533136574071</v>
      </c>
    </row>
    <row r="209" spans="1:7" x14ac:dyDescent="0.25">
      <c r="A209" s="8">
        <v>42576.643993055557</v>
      </c>
      <c r="B209" s="25" t="s">
        <v>104</v>
      </c>
      <c r="C209" s="25" t="s">
        <v>514</v>
      </c>
      <c r="D209" s="25">
        <v>940000</v>
      </c>
      <c r="E209" s="25" t="s">
        <v>798</v>
      </c>
      <c r="F209" s="25" t="str">
        <f t="shared" si="6"/>
        <v>rtdc.l.rtdc.4038:itc</v>
      </c>
      <c r="G209" s="8">
        <f t="shared" si="7"/>
        <v>42576.643993055557</v>
      </c>
    </row>
    <row r="210" spans="1:7" x14ac:dyDescent="0.25">
      <c r="A210" s="8">
        <v>42576.537002314813</v>
      </c>
      <c r="B210" s="25" t="s">
        <v>111</v>
      </c>
      <c r="C210" s="25" t="s">
        <v>472</v>
      </c>
      <c r="D210" s="25">
        <v>1520000</v>
      </c>
      <c r="E210" s="25" t="s">
        <v>356</v>
      </c>
      <c r="F210" s="25" t="str">
        <f t="shared" si="6"/>
        <v>rtdc.l.rtdc.4028:itc</v>
      </c>
      <c r="G210" s="8">
        <f t="shared" si="7"/>
        <v>42576.537002314813</v>
      </c>
    </row>
    <row r="211" spans="1:7" x14ac:dyDescent="0.25">
      <c r="A211" s="8">
        <v>42576.634814814817</v>
      </c>
      <c r="B211" s="25" t="s">
        <v>163</v>
      </c>
      <c r="C211" s="25" t="s">
        <v>650</v>
      </c>
      <c r="D211" s="25">
        <v>1820000</v>
      </c>
      <c r="E211" s="25" t="s">
        <v>266</v>
      </c>
      <c r="F211" s="25" t="str">
        <f t="shared" si="6"/>
        <v>rtdc.l.rtdc.4041:itc</v>
      </c>
      <c r="G211" s="8">
        <f t="shared" si="7"/>
        <v>42576.634814814817</v>
      </c>
    </row>
    <row r="212" spans="1:7" x14ac:dyDescent="0.25">
      <c r="A212" s="8">
        <v>42576.558356481481</v>
      </c>
      <c r="B212" s="25" t="s">
        <v>160</v>
      </c>
      <c r="C212" s="25" t="s">
        <v>479</v>
      </c>
      <c r="D212" s="25">
        <v>1120000</v>
      </c>
      <c r="E212" s="25" t="s">
        <v>777</v>
      </c>
      <c r="F212" s="25" t="str">
        <f t="shared" si="6"/>
        <v>rtdc.l.rtdc.4010:itc</v>
      </c>
      <c r="G212" s="8">
        <f t="shared" si="7"/>
        <v>42576.558356481481</v>
      </c>
    </row>
    <row r="213" spans="1:7" x14ac:dyDescent="0.25">
      <c r="A213" s="8">
        <v>42576.619259259256</v>
      </c>
      <c r="B213" s="25" t="s">
        <v>108</v>
      </c>
      <c r="C213" s="25" t="s">
        <v>647</v>
      </c>
      <c r="D213" s="25">
        <v>1750000</v>
      </c>
      <c r="E213" s="25" t="s">
        <v>375</v>
      </c>
      <c r="F213" s="25" t="str">
        <f t="shared" si="6"/>
        <v>rtdc.l.rtdc.4026:itc</v>
      </c>
      <c r="G213" s="8">
        <f t="shared" si="7"/>
        <v>42576.619259259256</v>
      </c>
    </row>
    <row r="214" spans="1:7" x14ac:dyDescent="0.25">
      <c r="A214" s="8">
        <v>42576.568877314814</v>
      </c>
      <c r="B214" s="25" t="s">
        <v>78</v>
      </c>
      <c r="C214" s="25" t="s">
        <v>628</v>
      </c>
      <c r="D214" s="25">
        <v>1820000</v>
      </c>
      <c r="E214" s="25" t="s">
        <v>266</v>
      </c>
      <c r="F214" s="25" t="str">
        <f t="shared" si="6"/>
        <v>rtdc.l.rtdc.4042:itc</v>
      </c>
      <c r="G214" s="8">
        <f t="shared" si="7"/>
        <v>42576.568877314814</v>
      </c>
    </row>
    <row r="215" spans="1:7" x14ac:dyDescent="0.25">
      <c r="A215" s="8">
        <v>42576.608668981484</v>
      </c>
      <c r="B215" s="25" t="s">
        <v>757</v>
      </c>
      <c r="C215" s="25" t="s">
        <v>496</v>
      </c>
      <c r="D215" s="25">
        <v>940000</v>
      </c>
      <c r="E215" s="25" t="s">
        <v>798</v>
      </c>
      <c r="F215" s="25" t="str">
        <f t="shared" si="6"/>
        <v>rtdc.l.rtdc.4037:itc</v>
      </c>
      <c r="G215" s="8">
        <f t="shared" si="7"/>
        <v>42576.608668981484</v>
      </c>
    </row>
    <row r="216" spans="1:7" x14ac:dyDescent="0.25">
      <c r="A216" s="8">
        <v>42576.613032407404</v>
      </c>
      <c r="B216" s="25" t="s">
        <v>121</v>
      </c>
      <c r="C216" s="25" t="s">
        <v>510</v>
      </c>
      <c r="D216" s="25">
        <v>880000</v>
      </c>
      <c r="E216" s="25" t="s">
        <v>361</v>
      </c>
      <c r="F216" s="25" t="str">
        <f t="shared" si="6"/>
        <v>rtdc.l.rtdc.4007:itc</v>
      </c>
      <c r="G216" s="8">
        <f t="shared" si="7"/>
        <v>42576.613032407404</v>
      </c>
    </row>
    <row r="217" spans="1:7" x14ac:dyDescent="0.25">
      <c r="A217" s="8">
        <v>42576.590474537035</v>
      </c>
      <c r="B217" s="25" t="s">
        <v>268</v>
      </c>
      <c r="C217" s="25" t="s">
        <v>501</v>
      </c>
      <c r="D217" s="25">
        <v>1140000</v>
      </c>
      <c r="E217" s="25" t="s">
        <v>357</v>
      </c>
      <c r="F217" s="25" t="str">
        <f t="shared" si="6"/>
        <v>rtdc.l.rtdc.4014:itc</v>
      </c>
      <c r="G217" s="8">
        <f t="shared" si="7"/>
        <v>42576.590474537035</v>
      </c>
    </row>
    <row r="218" spans="1:7" x14ac:dyDescent="0.25">
      <c r="A218" s="8">
        <v>42576.614212962966</v>
      </c>
      <c r="B218" s="25" t="s">
        <v>111</v>
      </c>
      <c r="C218" s="25" t="s">
        <v>499</v>
      </c>
      <c r="D218" s="25">
        <v>1520000</v>
      </c>
      <c r="E218" s="25" t="s">
        <v>356</v>
      </c>
      <c r="F218" s="25" t="str">
        <f t="shared" si="6"/>
        <v>rtdc.l.rtdc.4028:itc</v>
      </c>
      <c r="G218" s="8">
        <f t="shared" si="7"/>
        <v>42576.614212962966</v>
      </c>
    </row>
    <row r="219" spans="1:7" x14ac:dyDescent="0.25">
      <c r="A219" s="8">
        <v>42576.520844907405</v>
      </c>
      <c r="B219" s="25" t="s">
        <v>159</v>
      </c>
      <c r="C219" s="25" t="s">
        <v>477</v>
      </c>
      <c r="D219" s="25">
        <v>1120000</v>
      </c>
      <c r="E219" s="25" t="s">
        <v>777</v>
      </c>
      <c r="F219" s="25" t="str">
        <f t="shared" si="6"/>
        <v>rtdc.l.rtdc.4009:itc</v>
      </c>
      <c r="G219" s="8">
        <f t="shared" si="7"/>
        <v>42576.520844907405</v>
      </c>
    </row>
    <row r="220" spans="1:7" x14ac:dyDescent="0.25">
      <c r="A220" s="8">
        <v>42576.654247685183</v>
      </c>
      <c r="B220" s="25" t="s">
        <v>78</v>
      </c>
      <c r="C220" s="25" t="s">
        <v>655</v>
      </c>
      <c r="D220" s="25">
        <v>1820000</v>
      </c>
      <c r="E220" s="25" t="s">
        <v>266</v>
      </c>
      <c r="F220" s="25" t="str">
        <f t="shared" si="6"/>
        <v>rtdc.l.rtdc.4042:itc</v>
      </c>
      <c r="G220" s="8">
        <f t="shared" si="7"/>
        <v>42576.654247685183</v>
      </c>
    </row>
    <row r="221" spans="1:7" x14ac:dyDescent="0.25">
      <c r="A221" s="8">
        <v>42576.503055555557</v>
      </c>
      <c r="B221" s="25" t="s">
        <v>118</v>
      </c>
      <c r="C221" s="25" t="s">
        <v>459</v>
      </c>
      <c r="D221" s="25">
        <v>880000</v>
      </c>
      <c r="E221" s="25" t="s">
        <v>361</v>
      </c>
      <c r="F221" s="25" t="str">
        <f t="shared" si="6"/>
        <v>rtdc.l.rtdc.4008:itc</v>
      </c>
      <c r="G221" s="8">
        <f t="shared" si="7"/>
        <v>42576.503055555557</v>
      </c>
    </row>
    <row r="222" spans="1:7" x14ac:dyDescent="0.25">
      <c r="A222" s="8">
        <v>42576.664826388886</v>
      </c>
      <c r="B222" s="25" t="s">
        <v>353</v>
      </c>
      <c r="C222" s="25" t="s">
        <v>661</v>
      </c>
      <c r="D222" s="25">
        <v>1770000</v>
      </c>
      <c r="E222" s="25" t="s">
        <v>359</v>
      </c>
      <c r="F222" s="25" t="str">
        <f t="shared" si="6"/>
        <v>rtdc.l.rtdc.4031:itc</v>
      </c>
      <c r="G222" s="8">
        <f t="shared" si="7"/>
        <v>42576.664826388886</v>
      </c>
    </row>
    <row r="223" spans="1:7" x14ac:dyDescent="0.25">
      <c r="A223" s="8">
        <v>42576.498935185184</v>
      </c>
      <c r="B223" s="25" t="s">
        <v>353</v>
      </c>
      <c r="C223" s="25" t="s">
        <v>609</v>
      </c>
      <c r="D223" s="25">
        <v>900000</v>
      </c>
      <c r="E223" s="25" t="s">
        <v>775</v>
      </c>
      <c r="F223" s="25" t="str">
        <f t="shared" si="6"/>
        <v>rtdc.l.rtdc.4031:itc</v>
      </c>
      <c r="G223" s="8">
        <f t="shared" si="7"/>
        <v>42576.498935185184</v>
      </c>
    </row>
    <row r="224" spans="1:7" x14ac:dyDescent="0.25">
      <c r="A224" s="8">
        <v>42576.66988425926</v>
      </c>
      <c r="B224" t="s">
        <v>114</v>
      </c>
      <c r="C224" t="s">
        <v>516</v>
      </c>
      <c r="D224">
        <v>1520000</v>
      </c>
      <c r="E224" t="s">
        <v>356</v>
      </c>
      <c r="F224" s="25" t="str">
        <f t="shared" si="6"/>
        <v>rtdc.l.rtdc.4027:itc</v>
      </c>
      <c r="G224" s="8">
        <f t="shared" si="7"/>
        <v>42576.66988425926</v>
      </c>
    </row>
    <row r="225" spans="1:7" x14ac:dyDescent="0.25">
      <c r="A225" s="8">
        <v>42576.808125000003</v>
      </c>
      <c r="B225" t="s">
        <v>268</v>
      </c>
      <c r="C225" t="s">
        <v>554</v>
      </c>
      <c r="D225">
        <v>1810000</v>
      </c>
      <c r="E225" t="s">
        <v>360</v>
      </c>
      <c r="F225" s="25" t="str">
        <f t="shared" si="6"/>
        <v>rtdc.l.rtdc.4014:itc</v>
      </c>
      <c r="G225" s="8">
        <f t="shared" si="7"/>
        <v>42576.808125000003</v>
      </c>
    </row>
    <row r="226" spans="1:7" x14ac:dyDescent="0.25">
      <c r="A226" s="8">
        <v>42576.75167824074</v>
      </c>
      <c r="B226" t="s">
        <v>757</v>
      </c>
      <c r="C226" t="s">
        <v>536</v>
      </c>
      <c r="D226">
        <v>1180000</v>
      </c>
      <c r="E226" t="s">
        <v>778</v>
      </c>
      <c r="F226" s="25" t="str">
        <f t="shared" si="6"/>
        <v>rtdc.l.rtdc.4037:itc</v>
      </c>
      <c r="G226" s="8">
        <f t="shared" si="7"/>
        <v>42576.75167824074</v>
      </c>
    </row>
    <row r="227" spans="1:7" x14ac:dyDescent="0.25">
      <c r="A227" s="8">
        <v>42576.767337962963</v>
      </c>
      <c r="B227" t="s">
        <v>121</v>
      </c>
      <c r="C227" t="s">
        <v>546</v>
      </c>
      <c r="D227">
        <v>1230000</v>
      </c>
      <c r="E227" t="s">
        <v>178</v>
      </c>
      <c r="F227" s="25" t="str">
        <f t="shared" si="6"/>
        <v>rtdc.l.rtdc.4007:itc</v>
      </c>
      <c r="G227" s="8">
        <f t="shared" si="7"/>
        <v>42576.767337962963</v>
      </c>
    </row>
    <row r="228" spans="1:7" x14ac:dyDescent="0.25">
      <c r="A228" s="8">
        <v>42576.830590277779</v>
      </c>
      <c r="B228" t="s">
        <v>145</v>
      </c>
      <c r="C228" t="s">
        <v>557</v>
      </c>
      <c r="D228">
        <v>1800000</v>
      </c>
      <c r="E228" t="s">
        <v>362</v>
      </c>
      <c r="F228" s="25" t="str">
        <f t="shared" si="6"/>
        <v>rtdc.l.rtdc.4016:itc</v>
      </c>
      <c r="G228" s="8">
        <f t="shared" si="7"/>
        <v>42576.830590277779</v>
      </c>
    </row>
    <row r="229" spans="1:7" x14ac:dyDescent="0.25">
      <c r="A229" s="8">
        <v>42576.764537037037</v>
      </c>
      <c r="B229" t="s">
        <v>354</v>
      </c>
      <c r="C229" t="s">
        <v>696</v>
      </c>
      <c r="D229">
        <v>1770000</v>
      </c>
      <c r="E229" t="s">
        <v>359</v>
      </c>
      <c r="F229" s="25" t="str">
        <f t="shared" si="6"/>
        <v>rtdc.l.rtdc.4032:itc</v>
      </c>
      <c r="G229" s="8">
        <f t="shared" si="7"/>
        <v>42576.764537037037</v>
      </c>
    </row>
    <row r="230" spans="1:7" x14ac:dyDescent="0.25">
      <c r="A230" s="8">
        <v>42576.487766203703</v>
      </c>
      <c r="B230" t="s">
        <v>70</v>
      </c>
      <c r="C230" t="s">
        <v>464</v>
      </c>
      <c r="D230">
        <v>940000</v>
      </c>
      <c r="E230" t="s">
        <v>798</v>
      </c>
      <c r="F230" s="25" t="str">
        <f t="shared" si="6"/>
        <v>rtdc.l.rtdc.4020:itc</v>
      </c>
      <c r="G230" s="8">
        <f t="shared" si="7"/>
        <v>42576.487766203703</v>
      </c>
    </row>
    <row r="231" spans="1:7" x14ac:dyDescent="0.25">
      <c r="A231" s="8">
        <v>42576.75990740741</v>
      </c>
      <c r="B231" t="s">
        <v>145</v>
      </c>
      <c r="C231" t="s">
        <v>544</v>
      </c>
      <c r="D231">
        <v>1800000</v>
      </c>
      <c r="E231" t="s">
        <v>362</v>
      </c>
      <c r="F231" s="25" t="str">
        <f t="shared" si="6"/>
        <v>rtdc.l.rtdc.4016:itc</v>
      </c>
      <c r="G231" s="8">
        <f t="shared" si="7"/>
        <v>42576.75990740741</v>
      </c>
    </row>
    <row r="232" spans="1:7" x14ac:dyDescent="0.25">
      <c r="A232" s="8">
        <v>42576.514710648145</v>
      </c>
      <c r="B232" t="s">
        <v>72</v>
      </c>
      <c r="C232" t="s">
        <v>463</v>
      </c>
      <c r="D232">
        <v>1280000</v>
      </c>
      <c r="E232" t="s">
        <v>363</v>
      </c>
      <c r="F232" s="25" t="str">
        <f t="shared" si="6"/>
        <v>rtdc.l.rtdc.4017:itc</v>
      </c>
      <c r="G232" s="8">
        <f t="shared" si="7"/>
        <v>42576.514710648145</v>
      </c>
    </row>
    <row r="233" spans="1:7" x14ac:dyDescent="0.25">
      <c r="A233" s="8">
        <v>42576.724675925929</v>
      </c>
      <c r="B233" t="s">
        <v>354</v>
      </c>
      <c r="C233" t="s">
        <v>682</v>
      </c>
      <c r="D233">
        <v>1770000</v>
      </c>
      <c r="E233" t="s">
        <v>359</v>
      </c>
      <c r="F233" s="25" t="str">
        <f t="shared" si="6"/>
        <v>rtdc.l.rtdc.4032:itc</v>
      </c>
      <c r="G233" s="8">
        <f t="shared" si="7"/>
        <v>42576.724675925929</v>
      </c>
    </row>
    <row r="234" spans="1:7" x14ac:dyDescent="0.25">
      <c r="A234" s="8">
        <v>42576.526284722226</v>
      </c>
      <c r="B234" t="s">
        <v>69</v>
      </c>
      <c r="C234" t="s">
        <v>465</v>
      </c>
      <c r="D234">
        <v>940000</v>
      </c>
      <c r="E234" t="s">
        <v>798</v>
      </c>
      <c r="F234" s="25" t="str">
        <f t="shared" si="6"/>
        <v>rtdc.l.rtdc.4019:itc</v>
      </c>
      <c r="G234" s="8">
        <f t="shared" si="7"/>
        <v>42576.526284722226</v>
      </c>
    </row>
    <row r="235" spans="1:7" x14ac:dyDescent="0.25">
      <c r="A235" s="8">
        <v>42576.684293981481</v>
      </c>
      <c r="B235" t="s">
        <v>145</v>
      </c>
      <c r="C235" t="s">
        <v>525</v>
      </c>
      <c r="D235">
        <v>2020000</v>
      </c>
      <c r="E235" t="s">
        <v>776</v>
      </c>
      <c r="F235" s="25" t="str">
        <f t="shared" si="6"/>
        <v>rtdc.l.rtdc.4016:itc</v>
      </c>
      <c r="G235" s="8">
        <f t="shared" si="7"/>
        <v>42576.684293981481</v>
      </c>
    </row>
    <row r="236" spans="1:7" x14ac:dyDescent="0.25">
      <c r="A236" s="8">
        <v>42576.529409722221</v>
      </c>
      <c r="B236" t="s">
        <v>145</v>
      </c>
      <c r="C236" t="s">
        <v>481</v>
      </c>
      <c r="D236">
        <v>2020000</v>
      </c>
      <c r="E236" t="s">
        <v>776</v>
      </c>
      <c r="F236" s="25" t="str">
        <f t="shared" ref="F236:F265" si="8">B236</f>
        <v>rtdc.l.rtdc.4016:itc</v>
      </c>
      <c r="G236" s="8">
        <f t="shared" ref="G236:G265" si="9">A236</f>
        <v>42576.529409722221</v>
      </c>
    </row>
    <row r="237" spans="1:7" x14ac:dyDescent="0.25">
      <c r="A237" s="8">
        <v>42576.650972222225</v>
      </c>
      <c r="B237" t="s">
        <v>144</v>
      </c>
      <c r="C237" t="s">
        <v>508</v>
      </c>
      <c r="D237">
        <v>2020000</v>
      </c>
      <c r="E237" t="s">
        <v>776</v>
      </c>
      <c r="F237" s="25" t="str">
        <f t="shared" si="8"/>
        <v>rtdc.l.rtdc.4015:itc</v>
      </c>
      <c r="G237" s="8">
        <f t="shared" si="9"/>
        <v>42576.650972222225</v>
      </c>
    </row>
    <row r="238" spans="1:7" x14ac:dyDescent="0.25">
      <c r="A238" s="8">
        <v>42576.58803240741</v>
      </c>
      <c r="B238" t="s">
        <v>72</v>
      </c>
      <c r="C238" t="s">
        <v>492</v>
      </c>
      <c r="D238">
        <v>1280000</v>
      </c>
      <c r="E238" t="s">
        <v>363</v>
      </c>
      <c r="F238" s="25" t="str">
        <f t="shared" si="8"/>
        <v>rtdc.l.rtdc.4017:itc</v>
      </c>
      <c r="G238" s="8">
        <f t="shared" si="9"/>
        <v>42576.58803240741</v>
      </c>
    </row>
    <row r="239" spans="1:7" x14ac:dyDescent="0.25">
      <c r="A239" s="8">
        <v>42576.599374999998</v>
      </c>
      <c r="B239" t="s">
        <v>159</v>
      </c>
      <c r="C239" t="s">
        <v>503</v>
      </c>
      <c r="D239">
        <v>1120000</v>
      </c>
      <c r="E239" t="s">
        <v>777</v>
      </c>
      <c r="F239" s="25" t="str">
        <f t="shared" si="8"/>
        <v>rtdc.l.rtdc.4009:itc</v>
      </c>
      <c r="G239" s="8">
        <f t="shared" si="9"/>
        <v>42576.599374999998</v>
      </c>
    </row>
    <row r="240" spans="1:7" x14ac:dyDescent="0.25">
      <c r="A240" s="8">
        <v>42576.643761574072</v>
      </c>
      <c r="B240" t="s">
        <v>354</v>
      </c>
      <c r="C240" t="s">
        <v>653</v>
      </c>
      <c r="D240">
        <v>1770000</v>
      </c>
      <c r="E240" t="s">
        <v>359</v>
      </c>
      <c r="F240" s="25" t="str">
        <f t="shared" si="8"/>
        <v>rtdc.l.rtdc.4032:itc</v>
      </c>
      <c r="G240" s="8">
        <f t="shared" si="9"/>
        <v>42576.643761574072</v>
      </c>
    </row>
    <row r="241" spans="1:7" x14ac:dyDescent="0.25">
      <c r="A241" s="8">
        <v>42576.596087962964</v>
      </c>
      <c r="B241" t="s">
        <v>110</v>
      </c>
      <c r="C241" t="s">
        <v>637</v>
      </c>
      <c r="D241">
        <v>1750000</v>
      </c>
      <c r="E241" t="s">
        <v>375</v>
      </c>
      <c r="F241" s="25" t="str">
        <f t="shared" si="8"/>
        <v>rtdc.l.rtdc.4025:itc</v>
      </c>
      <c r="G241" s="8">
        <f t="shared" si="9"/>
        <v>42576.596087962964</v>
      </c>
    </row>
    <row r="242" spans="1:7" x14ac:dyDescent="0.25">
      <c r="A242" s="8">
        <v>42576.64880787037</v>
      </c>
      <c r="B242" t="s">
        <v>144</v>
      </c>
      <c r="C242" t="s">
        <v>508</v>
      </c>
      <c r="D242">
        <v>2020000</v>
      </c>
      <c r="E242" t="s">
        <v>776</v>
      </c>
      <c r="F242" s="25" t="str">
        <f t="shared" si="8"/>
        <v>rtdc.l.rtdc.4015:itc</v>
      </c>
      <c r="G242" s="8">
        <f t="shared" si="9"/>
        <v>42576.64880787037</v>
      </c>
    </row>
    <row r="243" spans="1:7" x14ac:dyDescent="0.25">
      <c r="A243" s="8">
        <v>42576.591041666667</v>
      </c>
      <c r="B243" t="s">
        <v>163</v>
      </c>
      <c r="C243" t="s">
        <v>634</v>
      </c>
      <c r="D243">
        <v>1820000</v>
      </c>
      <c r="E243" t="s">
        <v>266</v>
      </c>
      <c r="F243" s="25" t="str">
        <f t="shared" si="8"/>
        <v>rtdc.l.rtdc.4041:itc</v>
      </c>
      <c r="G243" s="8">
        <f t="shared" si="9"/>
        <v>42576.591041666667</v>
      </c>
    </row>
    <row r="244" spans="1:7" x14ac:dyDescent="0.25">
      <c r="A244" s="8">
        <v>42576.715752314813</v>
      </c>
      <c r="B244" t="s">
        <v>160</v>
      </c>
      <c r="C244" t="s">
        <v>524</v>
      </c>
      <c r="D244">
        <v>1120000</v>
      </c>
      <c r="E244" t="s">
        <v>777</v>
      </c>
      <c r="F244" s="25" t="str">
        <f t="shared" si="8"/>
        <v>rtdc.l.rtdc.4010:itc</v>
      </c>
      <c r="G244" s="8">
        <f t="shared" si="9"/>
        <v>42576.715752314813</v>
      </c>
    </row>
    <row r="245" spans="1:7" x14ac:dyDescent="0.25">
      <c r="A245" s="8">
        <v>42576.566828703704</v>
      </c>
      <c r="B245" t="s">
        <v>144</v>
      </c>
      <c r="C245" t="s">
        <v>483</v>
      </c>
      <c r="D245">
        <v>2020000</v>
      </c>
      <c r="E245" t="s">
        <v>776</v>
      </c>
      <c r="F245" s="25" t="str">
        <f t="shared" si="8"/>
        <v>rtdc.l.rtdc.4015:itc</v>
      </c>
      <c r="G245" s="8">
        <f t="shared" si="9"/>
        <v>42576.566828703704</v>
      </c>
    </row>
    <row r="246" spans="1:7" x14ac:dyDescent="0.25">
      <c r="A246" s="8">
        <v>42576.739178240743</v>
      </c>
      <c r="B246" t="s">
        <v>108</v>
      </c>
      <c r="C246" t="s">
        <v>688</v>
      </c>
      <c r="D246">
        <v>1740000</v>
      </c>
      <c r="E246" t="s">
        <v>358</v>
      </c>
      <c r="F246" s="25" t="str">
        <f t="shared" si="8"/>
        <v>rtdc.l.rtdc.4026:itc</v>
      </c>
      <c r="G246" s="8">
        <f t="shared" si="9"/>
        <v>42576.739178240743</v>
      </c>
    </row>
    <row r="247" spans="1:7" x14ac:dyDescent="0.25">
      <c r="A247" s="8">
        <v>42576.525555555556</v>
      </c>
      <c r="B247" t="s">
        <v>78</v>
      </c>
      <c r="C247" t="s">
        <v>616</v>
      </c>
      <c r="D247">
        <v>1820000</v>
      </c>
      <c r="E247" t="s">
        <v>266</v>
      </c>
      <c r="F247" s="25" t="str">
        <f t="shared" si="8"/>
        <v>rtdc.l.rtdc.4042:itc</v>
      </c>
      <c r="G247" s="8">
        <f t="shared" si="9"/>
        <v>42576.525555555556</v>
      </c>
    </row>
    <row r="248" spans="1:7" x14ac:dyDescent="0.25">
      <c r="A248" s="8">
        <v>42576.76966435185</v>
      </c>
      <c r="B248" t="s">
        <v>109</v>
      </c>
      <c r="C248" t="s">
        <v>541</v>
      </c>
      <c r="D248">
        <v>1810000</v>
      </c>
      <c r="E248" t="s">
        <v>360</v>
      </c>
      <c r="F248" s="25" t="str">
        <f t="shared" si="8"/>
        <v>rtdc.l.rtdc.4013:itc</v>
      </c>
      <c r="G248" s="8">
        <f t="shared" si="9"/>
        <v>42576.76966435185</v>
      </c>
    </row>
    <row r="249" spans="1:7" x14ac:dyDescent="0.25">
      <c r="A249" s="8">
        <v>42576.483819444446</v>
      </c>
      <c r="B249" t="s">
        <v>78</v>
      </c>
      <c r="C249" t="s">
        <v>603</v>
      </c>
      <c r="D249">
        <v>1820000</v>
      </c>
      <c r="E249" t="s">
        <v>266</v>
      </c>
      <c r="F249" s="25" t="str">
        <f t="shared" si="8"/>
        <v>rtdc.l.rtdc.4042:itc</v>
      </c>
      <c r="G249" s="8">
        <f t="shared" si="9"/>
        <v>42576.483819444446</v>
      </c>
    </row>
    <row r="250" spans="1:7" x14ac:dyDescent="0.25">
      <c r="A250" s="8">
        <v>42576.803206018521</v>
      </c>
      <c r="B250" t="s">
        <v>110</v>
      </c>
      <c r="C250" t="s">
        <v>707</v>
      </c>
      <c r="D250">
        <v>1740000</v>
      </c>
      <c r="E250" t="s">
        <v>358</v>
      </c>
      <c r="F250" s="25" t="str">
        <f t="shared" si="8"/>
        <v>rtdc.l.rtdc.4025:itc</v>
      </c>
      <c r="G250" s="8">
        <f t="shared" si="9"/>
        <v>42576.803206018521</v>
      </c>
    </row>
    <row r="251" spans="1:7" x14ac:dyDescent="0.25">
      <c r="A251" s="8">
        <v>42576.475162037037</v>
      </c>
      <c r="B251" t="s">
        <v>109</v>
      </c>
      <c r="C251" t="s">
        <v>451</v>
      </c>
      <c r="D251">
        <v>1110000</v>
      </c>
      <c r="E251" t="s">
        <v>127</v>
      </c>
      <c r="F251" s="25" t="str">
        <f t="shared" si="8"/>
        <v>rtdc.l.rtdc.4013:itc</v>
      </c>
      <c r="G251" s="8">
        <f t="shared" si="9"/>
        <v>42576.475162037037</v>
      </c>
    </row>
    <row r="252" spans="1:7" x14ac:dyDescent="0.25">
      <c r="A252" s="8">
        <v>42576.831261574072</v>
      </c>
      <c r="B252" t="s">
        <v>353</v>
      </c>
      <c r="C252" t="s">
        <v>715</v>
      </c>
      <c r="D252">
        <v>1770000</v>
      </c>
      <c r="E252" t="s">
        <v>359</v>
      </c>
      <c r="F252" s="25" t="str">
        <f t="shared" si="8"/>
        <v>rtdc.l.rtdc.4031:itc</v>
      </c>
      <c r="G252" s="8">
        <f t="shared" si="9"/>
        <v>42576.831261574072</v>
      </c>
    </row>
    <row r="253" spans="1:7" x14ac:dyDescent="0.25">
      <c r="A253" s="8">
        <v>42575.935023148151</v>
      </c>
      <c r="B253" t="s">
        <v>177</v>
      </c>
      <c r="C253" t="s">
        <v>336</v>
      </c>
      <c r="D253">
        <v>1800000</v>
      </c>
      <c r="E253" t="s">
        <v>362</v>
      </c>
      <c r="F253" s="25" t="str">
        <f t="shared" si="8"/>
        <v>rtdc.l.rtdc.4011:itc</v>
      </c>
      <c r="G253" s="8">
        <f t="shared" si="9"/>
        <v>42575.935023148151</v>
      </c>
    </row>
    <row r="254" spans="1:7" x14ac:dyDescent="0.25">
      <c r="A254" s="8">
        <v>42576.841400462959</v>
      </c>
      <c r="B254" t="s">
        <v>163</v>
      </c>
      <c r="C254" t="s">
        <v>718</v>
      </c>
      <c r="D254">
        <v>1290000</v>
      </c>
      <c r="E254" t="s">
        <v>173</v>
      </c>
      <c r="F254" s="25" t="str">
        <f t="shared" si="8"/>
        <v>rtdc.l.rtdc.4041:itc</v>
      </c>
      <c r="G254" s="8">
        <f t="shared" si="9"/>
        <v>42576.841400462959</v>
      </c>
    </row>
    <row r="255" spans="1:7" x14ac:dyDescent="0.25">
      <c r="A255" s="8">
        <v>42575.892696759256</v>
      </c>
      <c r="B255" t="s">
        <v>179</v>
      </c>
      <c r="C255" t="s">
        <v>327</v>
      </c>
      <c r="D255">
        <v>1800000</v>
      </c>
      <c r="E255" t="s">
        <v>362</v>
      </c>
      <c r="F255" s="25" t="str">
        <f t="shared" si="8"/>
        <v>rtdc.l.rtdc.4012:itc</v>
      </c>
      <c r="G255" s="8">
        <f t="shared" si="9"/>
        <v>42575.892696759256</v>
      </c>
    </row>
    <row r="256" spans="1:7" x14ac:dyDescent="0.25">
      <c r="A256" s="8">
        <v>42576.84511574074</v>
      </c>
      <c r="B256" t="s">
        <v>110</v>
      </c>
      <c r="C256" t="s">
        <v>721</v>
      </c>
      <c r="D256">
        <v>1740000</v>
      </c>
      <c r="E256" t="s">
        <v>358</v>
      </c>
      <c r="F256" s="25" t="str">
        <f t="shared" si="8"/>
        <v>rtdc.l.rtdc.4025:itc</v>
      </c>
      <c r="G256" s="8">
        <f t="shared" si="9"/>
        <v>42576.84511574074</v>
      </c>
    </row>
    <row r="257" spans="1:7" x14ac:dyDescent="0.25">
      <c r="A257" s="8">
        <v>42575.850775462961</v>
      </c>
      <c r="B257" t="s">
        <v>177</v>
      </c>
      <c r="C257" t="s">
        <v>326</v>
      </c>
      <c r="D257">
        <v>1800000</v>
      </c>
      <c r="E257" t="s">
        <v>362</v>
      </c>
      <c r="F257" s="25" t="str">
        <f t="shared" si="8"/>
        <v>rtdc.l.rtdc.4011:itc</v>
      </c>
      <c r="G257" s="8">
        <f t="shared" si="9"/>
        <v>42575.850775462961</v>
      </c>
    </row>
    <row r="258" spans="1:7" x14ac:dyDescent="0.25">
      <c r="A258" s="8">
        <v>42576.849016203705</v>
      </c>
      <c r="B258" t="s">
        <v>354</v>
      </c>
      <c r="C258" t="s">
        <v>723</v>
      </c>
      <c r="D258">
        <v>1770000</v>
      </c>
      <c r="E258" t="s">
        <v>359</v>
      </c>
      <c r="F258" s="25" t="str">
        <f t="shared" si="8"/>
        <v>rtdc.l.rtdc.4032:itc</v>
      </c>
      <c r="G258" s="8">
        <f t="shared" si="9"/>
        <v>42576.849016203705</v>
      </c>
    </row>
    <row r="259" spans="1:7" x14ac:dyDescent="0.25">
      <c r="A259" s="8">
        <v>42575.846875000003</v>
      </c>
      <c r="B259" t="s">
        <v>119</v>
      </c>
      <c r="C259" t="s">
        <v>298</v>
      </c>
      <c r="D259">
        <v>1740000</v>
      </c>
      <c r="E259" t="s">
        <v>358</v>
      </c>
      <c r="F259" s="25" t="str">
        <f t="shared" si="8"/>
        <v>rtdc.l.rtdc.4043:itc</v>
      </c>
      <c r="G259" s="8">
        <f t="shared" si="9"/>
        <v>42575.846875000003</v>
      </c>
    </row>
    <row r="260" spans="1:7" x14ac:dyDescent="0.25">
      <c r="A260" s="8">
        <v>42576.895046296297</v>
      </c>
      <c r="B260" t="s">
        <v>354</v>
      </c>
      <c r="C260" t="s">
        <v>739</v>
      </c>
      <c r="D260">
        <v>1770000</v>
      </c>
      <c r="E260" t="s">
        <v>359</v>
      </c>
      <c r="F260" s="25" t="str">
        <f t="shared" si="8"/>
        <v>rtdc.l.rtdc.4032:itc</v>
      </c>
      <c r="G260" s="8">
        <f t="shared" si="9"/>
        <v>42576.895046296297</v>
      </c>
    </row>
    <row r="261" spans="1:7" x14ac:dyDescent="0.25">
      <c r="A261" s="8">
        <v>42576.388807870368</v>
      </c>
      <c r="B261" t="s">
        <v>353</v>
      </c>
      <c r="C261" t="s">
        <v>754</v>
      </c>
      <c r="D261">
        <v>900000</v>
      </c>
      <c r="E261" t="s">
        <v>775</v>
      </c>
      <c r="F261" s="25" t="str">
        <f t="shared" si="8"/>
        <v>rtdc.l.rtdc.4031:itc</v>
      </c>
      <c r="G261" s="8">
        <f t="shared" si="9"/>
        <v>42576.388807870368</v>
      </c>
    </row>
    <row r="262" spans="1:7" x14ac:dyDescent="0.25">
      <c r="A262" s="8">
        <v>42576.925138888888</v>
      </c>
      <c r="B262" t="s">
        <v>163</v>
      </c>
      <c r="C262" t="s">
        <v>747</v>
      </c>
      <c r="D262">
        <v>1290000</v>
      </c>
      <c r="E262" t="s">
        <v>173</v>
      </c>
      <c r="F262" s="25" t="str">
        <f t="shared" si="8"/>
        <v>rtdc.l.rtdc.4041:itc</v>
      </c>
      <c r="G262" s="8">
        <f t="shared" si="9"/>
        <v>42576.925138888888</v>
      </c>
    </row>
    <row r="263" spans="1:7" x14ac:dyDescent="0.25">
      <c r="A263" s="8">
        <v>42576.360439814816</v>
      </c>
      <c r="B263" t="s">
        <v>69</v>
      </c>
      <c r="C263" t="s">
        <v>422</v>
      </c>
      <c r="D263">
        <v>1190000</v>
      </c>
      <c r="E263" t="s">
        <v>162</v>
      </c>
      <c r="F263" s="25" t="str">
        <f t="shared" si="8"/>
        <v>rtdc.l.rtdc.4019:itc</v>
      </c>
      <c r="G263" s="8">
        <f t="shared" si="9"/>
        <v>42576.360439814816</v>
      </c>
    </row>
    <row r="264" spans="1:7" x14ac:dyDescent="0.25">
      <c r="A264" s="8">
        <v>42576.943738425929</v>
      </c>
      <c r="B264" t="s">
        <v>78</v>
      </c>
      <c r="C264" t="s">
        <v>799</v>
      </c>
      <c r="D264">
        <v>1290000</v>
      </c>
      <c r="E264" t="s">
        <v>173</v>
      </c>
      <c r="F264" s="25" t="str">
        <f t="shared" si="8"/>
        <v>rtdc.l.rtdc.4042:itc</v>
      </c>
      <c r="G264" s="8">
        <f t="shared" si="9"/>
        <v>42576.943738425929</v>
      </c>
    </row>
    <row r="265" spans="1:7" x14ac:dyDescent="0.25">
      <c r="A265" s="8">
        <v>42576.352384259262</v>
      </c>
      <c r="B265" t="s">
        <v>104</v>
      </c>
      <c r="C265" t="s">
        <v>428</v>
      </c>
      <c r="D265">
        <v>1110000</v>
      </c>
      <c r="E265" t="s">
        <v>127</v>
      </c>
      <c r="F265" s="25" t="str">
        <f t="shared" si="8"/>
        <v>rtdc.l.rtdc.4038:itc</v>
      </c>
      <c r="G265" s="8">
        <f t="shared" si="9"/>
        <v>42576.352384259262</v>
      </c>
    </row>
    <row r="266" spans="1:7" x14ac:dyDescent="0.25">
      <c r="A266" s="8">
        <v>42577.006863425922</v>
      </c>
      <c r="B266" t="s">
        <v>121</v>
      </c>
      <c r="C266" t="s">
        <v>582</v>
      </c>
      <c r="D266">
        <v>1230000</v>
      </c>
      <c r="E266" t="s">
        <v>178</v>
      </c>
      <c r="F266" s="25" t="str">
        <f t="shared" ref="F266:F281" si="10">B266</f>
        <v>rtdc.l.rtdc.4007:itc</v>
      </c>
      <c r="G266" s="8">
        <f t="shared" ref="G266:G281" si="11">A266</f>
        <v>42577.006863425922</v>
      </c>
    </row>
    <row r="267" spans="1:7" x14ac:dyDescent="0.25">
      <c r="A267" s="8">
        <v>42576.326481481483</v>
      </c>
      <c r="B267" t="s">
        <v>160</v>
      </c>
      <c r="C267" t="s">
        <v>414</v>
      </c>
      <c r="D267">
        <v>1480000</v>
      </c>
      <c r="E267" t="s">
        <v>107</v>
      </c>
      <c r="F267" s="25" t="str">
        <f t="shared" si="10"/>
        <v>rtdc.l.rtdc.4010:itc</v>
      </c>
      <c r="G267" s="8">
        <f t="shared" si="11"/>
        <v>42576.326481481483</v>
      </c>
    </row>
    <row r="268" spans="1:7" x14ac:dyDescent="0.25">
      <c r="A268" s="8">
        <v>42577.153067129628</v>
      </c>
      <c r="B268" t="s">
        <v>70</v>
      </c>
      <c r="C268" t="s">
        <v>800</v>
      </c>
      <c r="D268">
        <v>1260000</v>
      </c>
      <c r="E268" t="s">
        <v>369</v>
      </c>
      <c r="F268" s="25" t="str">
        <f t="shared" si="10"/>
        <v>rtdc.l.rtdc.4020:itc</v>
      </c>
      <c r="G268" s="8">
        <f t="shared" si="11"/>
        <v>42577.153067129628</v>
      </c>
    </row>
    <row r="269" spans="1:7" x14ac:dyDescent="0.25">
      <c r="A269" s="8">
        <v>42576.301319444443</v>
      </c>
      <c r="B269" t="s">
        <v>121</v>
      </c>
      <c r="C269" t="s">
        <v>371</v>
      </c>
      <c r="D269">
        <v>1310000</v>
      </c>
      <c r="E269" t="s">
        <v>105</v>
      </c>
      <c r="F269" s="25" t="str">
        <f t="shared" si="10"/>
        <v>rtdc.l.rtdc.4007:itc</v>
      </c>
      <c r="G269" s="8">
        <f t="shared" si="11"/>
        <v>42576.301319444443</v>
      </c>
    </row>
    <row r="270" spans="1:7" x14ac:dyDescent="0.25">
      <c r="A270" s="8">
        <v>42577.1953125</v>
      </c>
      <c r="B270" t="s">
        <v>353</v>
      </c>
      <c r="C270" t="s">
        <v>801</v>
      </c>
      <c r="D270">
        <v>1750000</v>
      </c>
      <c r="E270" t="s">
        <v>375</v>
      </c>
      <c r="F270" s="25" t="str">
        <f t="shared" si="10"/>
        <v>rtdc.l.rtdc.4031:itc</v>
      </c>
      <c r="G270" s="8">
        <f t="shared" si="11"/>
        <v>42577.1953125</v>
      </c>
    </row>
    <row r="271" spans="1:7" x14ac:dyDescent="0.25">
      <c r="A271" s="8">
        <v>42576.289421296293</v>
      </c>
      <c r="B271" t="s">
        <v>159</v>
      </c>
      <c r="C271" t="s">
        <v>372</v>
      </c>
      <c r="D271">
        <v>1480000</v>
      </c>
      <c r="E271" t="s">
        <v>107</v>
      </c>
      <c r="F271" s="25" t="str">
        <f t="shared" si="10"/>
        <v>rtdc.l.rtdc.4009:itc</v>
      </c>
      <c r="G271" s="8">
        <f t="shared" si="11"/>
        <v>42576.289421296293</v>
      </c>
    </row>
    <row r="272" spans="1:7" x14ac:dyDescent="0.25">
      <c r="A272" s="8">
        <v>42577.208692129629</v>
      </c>
      <c r="B272" t="s">
        <v>114</v>
      </c>
      <c r="C272" t="s">
        <v>802</v>
      </c>
      <c r="D272">
        <v>1100000</v>
      </c>
      <c r="E272" t="s">
        <v>265</v>
      </c>
      <c r="F272" s="25" t="str">
        <f t="shared" si="10"/>
        <v>rtdc.l.rtdc.4027:itc</v>
      </c>
      <c r="G272" s="8">
        <f t="shared" si="11"/>
        <v>42577.208692129629</v>
      </c>
    </row>
    <row r="273" spans="1:7" x14ac:dyDescent="0.25">
      <c r="A273" s="8">
        <v>42576.279409722221</v>
      </c>
      <c r="B273" t="s">
        <v>104</v>
      </c>
      <c r="C273" t="s">
        <v>373</v>
      </c>
      <c r="D273">
        <v>1110000</v>
      </c>
      <c r="E273" t="s">
        <v>127</v>
      </c>
      <c r="F273" s="25" t="str">
        <f t="shared" si="10"/>
        <v>rtdc.l.rtdc.4038:itc</v>
      </c>
      <c r="G273" s="8">
        <f t="shared" si="11"/>
        <v>42576.279409722221</v>
      </c>
    </row>
    <row r="274" spans="1:7" x14ac:dyDescent="0.25">
      <c r="A274" s="8">
        <v>42577.227013888885</v>
      </c>
      <c r="B274" t="s">
        <v>70</v>
      </c>
      <c r="C274" t="s">
        <v>803</v>
      </c>
      <c r="D274">
        <v>1240000</v>
      </c>
      <c r="E274" t="s">
        <v>120</v>
      </c>
      <c r="F274" s="25" t="str">
        <f t="shared" si="10"/>
        <v>rtdc.l.rtdc.4020:itc</v>
      </c>
      <c r="G274" s="8">
        <f t="shared" si="11"/>
        <v>42577.227013888885</v>
      </c>
    </row>
    <row r="275" spans="1:7" x14ac:dyDescent="0.25">
      <c r="A275" s="8">
        <v>42576.22152777778</v>
      </c>
      <c r="B275" t="s">
        <v>111</v>
      </c>
      <c r="C275" t="s">
        <v>374</v>
      </c>
      <c r="D275">
        <v>1090000</v>
      </c>
      <c r="E275" t="s">
        <v>116</v>
      </c>
      <c r="F275" s="25" t="str">
        <f t="shared" si="10"/>
        <v>rtdc.l.rtdc.4028:itc</v>
      </c>
      <c r="G275" s="8">
        <f t="shared" si="11"/>
        <v>42576.22152777778</v>
      </c>
    </row>
    <row r="276" spans="1:7" x14ac:dyDescent="0.25">
      <c r="A276" s="8">
        <v>42577.243854166663</v>
      </c>
      <c r="B276" t="s">
        <v>111</v>
      </c>
      <c r="C276" t="s">
        <v>804</v>
      </c>
      <c r="D276">
        <v>1100000</v>
      </c>
      <c r="E276" t="s">
        <v>265</v>
      </c>
      <c r="F276" s="25" t="str">
        <f t="shared" si="10"/>
        <v>rtdc.l.rtdc.4028:itc</v>
      </c>
      <c r="G276" s="8">
        <f t="shared" si="11"/>
        <v>42577.243854166663</v>
      </c>
    </row>
    <row r="277" spans="1:7" x14ac:dyDescent="0.25">
      <c r="A277" s="8">
        <v>42575.992361111108</v>
      </c>
      <c r="B277" t="s">
        <v>111</v>
      </c>
      <c r="C277" t="s">
        <v>340</v>
      </c>
      <c r="D277">
        <v>2030000</v>
      </c>
      <c r="E277" t="s">
        <v>126</v>
      </c>
      <c r="F277" s="25" t="str">
        <f t="shared" si="10"/>
        <v>rtdc.l.rtdc.4028:itc</v>
      </c>
      <c r="G277" s="8">
        <f t="shared" si="11"/>
        <v>42575.992361111108</v>
      </c>
    </row>
    <row r="278" spans="1:7" x14ac:dyDescent="0.25">
      <c r="A278" s="8">
        <v>42577.258946759262</v>
      </c>
      <c r="B278" t="s">
        <v>78</v>
      </c>
      <c r="C278" t="s">
        <v>805</v>
      </c>
      <c r="D278">
        <v>1090000</v>
      </c>
      <c r="E278" t="s">
        <v>116</v>
      </c>
      <c r="F278" s="25" t="str">
        <f t="shared" si="10"/>
        <v>rtdc.l.rtdc.4042:itc</v>
      </c>
      <c r="G278" s="8">
        <f t="shared" si="11"/>
        <v>42577.258946759262</v>
      </c>
    </row>
    <row r="279" spans="1:7" x14ac:dyDescent="0.25">
      <c r="A279" s="8">
        <v>42575.975613425922</v>
      </c>
      <c r="B279" t="s">
        <v>268</v>
      </c>
      <c r="C279" t="s">
        <v>341</v>
      </c>
      <c r="D279">
        <v>1290000</v>
      </c>
      <c r="E279" t="s">
        <v>173</v>
      </c>
      <c r="F279" s="25" t="str">
        <f t="shared" si="10"/>
        <v>rtdc.l.rtdc.4014:itc</v>
      </c>
      <c r="G279" s="8">
        <f t="shared" si="11"/>
        <v>42575.975613425922</v>
      </c>
    </row>
    <row r="280" spans="1:7" x14ac:dyDescent="0.25">
      <c r="A280" s="8">
        <v>42577.27175925926</v>
      </c>
      <c r="B280" t="s">
        <v>113</v>
      </c>
      <c r="C280" t="s">
        <v>785</v>
      </c>
      <c r="D280">
        <v>1260000</v>
      </c>
      <c r="E280" t="s">
        <v>369</v>
      </c>
      <c r="F280" s="25" t="str">
        <f t="shared" si="10"/>
        <v>rtdc.l.rtdc.4030:itc</v>
      </c>
      <c r="G280" s="8">
        <f t="shared" si="11"/>
        <v>42577.27175925926</v>
      </c>
    </row>
    <row r="281" spans="1:7" x14ac:dyDescent="0.25">
      <c r="A281" s="8">
        <v>42575.954884259256</v>
      </c>
      <c r="B281" t="s">
        <v>114</v>
      </c>
      <c r="C281" t="s">
        <v>339</v>
      </c>
      <c r="D281">
        <v>2030000</v>
      </c>
      <c r="E281" t="s">
        <v>126</v>
      </c>
      <c r="F281" s="25" t="str">
        <f t="shared" si="10"/>
        <v>rtdc.l.rtdc.4027:itc</v>
      </c>
      <c r="G281" s="8">
        <f t="shared" si="11"/>
        <v>42575.954884259256</v>
      </c>
    </row>
    <row r="282" spans="1:7" x14ac:dyDescent="0.25">
      <c r="A282" s="8">
        <v>42577.272557870368</v>
      </c>
      <c r="B282" t="s">
        <v>113</v>
      </c>
      <c r="C282" t="s">
        <v>785</v>
      </c>
      <c r="D282">
        <v>1260000</v>
      </c>
      <c r="E282" t="s">
        <v>369</v>
      </c>
      <c r="F282" s="25" t="str">
        <f t="shared" ref="F282:F345" si="12">B282</f>
        <v>rtdc.l.rtdc.4030:itc</v>
      </c>
      <c r="G282" s="8">
        <f t="shared" ref="G282:G345" si="13">A282</f>
        <v>42577.272557870368</v>
      </c>
    </row>
    <row r="283" spans="1:7" x14ac:dyDescent="0.25">
      <c r="A283" s="8">
        <v>42575.914571759262</v>
      </c>
      <c r="B283" t="s">
        <v>354</v>
      </c>
      <c r="C283" t="s">
        <v>313</v>
      </c>
      <c r="D283">
        <v>1750000</v>
      </c>
      <c r="E283" t="s">
        <v>375</v>
      </c>
      <c r="F283" s="25" t="str">
        <f t="shared" si="12"/>
        <v>rtdc.l.rtdc.4032:itc</v>
      </c>
      <c r="G283" s="8">
        <f t="shared" si="13"/>
        <v>42575.914571759262</v>
      </c>
    </row>
    <row r="284" spans="1:7" x14ac:dyDescent="0.25">
      <c r="A284" s="8">
        <v>42577.295208333337</v>
      </c>
      <c r="B284" t="s">
        <v>163</v>
      </c>
      <c r="C284" t="s">
        <v>806</v>
      </c>
      <c r="D284">
        <v>1090000</v>
      </c>
      <c r="E284" t="s">
        <v>116</v>
      </c>
      <c r="F284" s="25" t="str">
        <f t="shared" si="12"/>
        <v>rtdc.l.rtdc.4041:itc</v>
      </c>
      <c r="G284" s="8">
        <f t="shared" si="13"/>
        <v>42577.295208333337</v>
      </c>
    </row>
    <row r="285" spans="1:7" x14ac:dyDescent="0.25">
      <c r="A285" s="8">
        <v>42575.907106481478</v>
      </c>
      <c r="B285" t="s">
        <v>111</v>
      </c>
      <c r="C285" t="s">
        <v>330</v>
      </c>
      <c r="D285">
        <v>2030000</v>
      </c>
      <c r="E285" t="s">
        <v>126</v>
      </c>
      <c r="F285" s="25" t="str">
        <f t="shared" si="12"/>
        <v>rtdc.l.rtdc.4028:itc</v>
      </c>
      <c r="G285" s="8">
        <f t="shared" si="13"/>
        <v>42575.907106481478</v>
      </c>
    </row>
    <row r="286" spans="1:7" x14ac:dyDescent="0.25">
      <c r="A286" s="8">
        <v>42575.808807870373</v>
      </c>
      <c r="B286" t="s">
        <v>179</v>
      </c>
      <c r="C286" t="s">
        <v>319</v>
      </c>
      <c r="D286">
        <v>1800000</v>
      </c>
      <c r="E286" t="s">
        <v>362</v>
      </c>
      <c r="F286" s="25" t="str">
        <f t="shared" si="12"/>
        <v>rtdc.l.rtdc.4012:itc</v>
      </c>
      <c r="G286" s="8">
        <f t="shared" si="13"/>
        <v>42575.808807870373</v>
      </c>
    </row>
    <row r="287" spans="1:7" x14ac:dyDescent="0.25">
      <c r="A287" s="8">
        <v>42575.89880787037</v>
      </c>
      <c r="B287" t="s">
        <v>119</v>
      </c>
      <c r="C287" t="s">
        <v>307</v>
      </c>
      <c r="D287">
        <v>1740000</v>
      </c>
      <c r="E287" t="s">
        <v>358</v>
      </c>
      <c r="F287" s="25" t="str">
        <f t="shared" si="12"/>
        <v>rtdc.l.rtdc.4043:itc</v>
      </c>
      <c r="G287" s="8">
        <f t="shared" si="13"/>
        <v>42575.89880787037</v>
      </c>
    </row>
    <row r="288" spans="1:7" x14ac:dyDescent="0.25">
      <c r="A288" s="8">
        <v>42575.831585648149</v>
      </c>
      <c r="B288" t="s">
        <v>117</v>
      </c>
      <c r="C288" t="s">
        <v>297</v>
      </c>
      <c r="D288">
        <v>1740000</v>
      </c>
      <c r="E288" t="s">
        <v>358</v>
      </c>
      <c r="F288" s="25" t="str">
        <f t="shared" si="12"/>
        <v>rtdc.l.rtdc.4044:itc</v>
      </c>
      <c r="G288" s="8">
        <f t="shared" si="13"/>
        <v>42575.831585648149</v>
      </c>
    </row>
    <row r="289" spans="1:7" x14ac:dyDescent="0.25">
      <c r="A289" s="8">
        <v>42575.877615740741</v>
      </c>
      <c r="B289" t="s">
        <v>117</v>
      </c>
      <c r="C289" t="s">
        <v>306</v>
      </c>
      <c r="D289">
        <v>1740000</v>
      </c>
      <c r="E289" t="s">
        <v>358</v>
      </c>
      <c r="F289" s="25" t="str">
        <f t="shared" si="12"/>
        <v>rtdc.l.rtdc.4044:itc</v>
      </c>
      <c r="G289" s="8">
        <f t="shared" si="13"/>
        <v>42575.877615740741</v>
      </c>
    </row>
    <row r="290" spans="1:7" x14ac:dyDescent="0.25">
      <c r="A290" s="8">
        <v>42575.900393518517</v>
      </c>
      <c r="B290" t="s">
        <v>353</v>
      </c>
      <c r="C290" t="s">
        <v>308</v>
      </c>
      <c r="D290">
        <v>1750000</v>
      </c>
      <c r="E290" t="s">
        <v>375</v>
      </c>
      <c r="F290" s="25" t="str">
        <f t="shared" si="12"/>
        <v>rtdc.l.rtdc.4031:itc</v>
      </c>
      <c r="G290" s="8">
        <f t="shared" si="13"/>
        <v>42575.900393518517</v>
      </c>
    </row>
    <row r="291" spans="1:7" x14ac:dyDescent="0.25">
      <c r="A291" s="8">
        <v>42575.804513888892</v>
      </c>
      <c r="B291" t="s">
        <v>110</v>
      </c>
      <c r="C291" t="s">
        <v>291</v>
      </c>
      <c r="D291">
        <v>1820000</v>
      </c>
      <c r="E291" t="s">
        <v>266</v>
      </c>
      <c r="F291" s="25" t="str">
        <f t="shared" si="12"/>
        <v>rtdc.l.rtdc.4025:itc</v>
      </c>
      <c r="G291" s="8">
        <f t="shared" si="13"/>
        <v>42575.804513888892</v>
      </c>
    </row>
    <row r="292" spans="1:7" x14ac:dyDescent="0.25">
      <c r="A292" s="8">
        <v>42575.802094907405</v>
      </c>
      <c r="B292" t="s">
        <v>354</v>
      </c>
      <c r="C292" t="s">
        <v>286</v>
      </c>
      <c r="D292">
        <v>1750000</v>
      </c>
      <c r="E292" t="s">
        <v>375</v>
      </c>
      <c r="F292" s="25" t="str">
        <f t="shared" si="12"/>
        <v>rtdc.l.rtdc.4032:itc</v>
      </c>
      <c r="G292" s="8">
        <f t="shared" si="13"/>
        <v>42575.802094907405</v>
      </c>
    </row>
    <row r="293" spans="1:7" x14ac:dyDescent="0.25">
      <c r="A293" s="8">
        <v>42577.288622685184</v>
      </c>
      <c r="B293" t="s">
        <v>108</v>
      </c>
      <c r="C293" t="s">
        <v>807</v>
      </c>
      <c r="D293">
        <v>1990000</v>
      </c>
      <c r="E293" t="s">
        <v>782</v>
      </c>
      <c r="F293" s="25" t="str">
        <f t="shared" si="12"/>
        <v>rtdc.l.rtdc.4026:itc</v>
      </c>
      <c r="G293" s="8">
        <f t="shared" si="13"/>
        <v>42577.288622685184</v>
      </c>
    </row>
    <row r="294" spans="1:7" x14ac:dyDescent="0.25">
      <c r="A294" s="8">
        <v>42575.820509259262</v>
      </c>
      <c r="B294" t="s">
        <v>353</v>
      </c>
      <c r="C294" t="s">
        <v>294</v>
      </c>
      <c r="D294">
        <v>1540000</v>
      </c>
      <c r="E294" t="s">
        <v>376</v>
      </c>
      <c r="F294" s="25" t="str">
        <f t="shared" si="12"/>
        <v>rtdc.l.rtdc.4031:itc</v>
      </c>
      <c r="G294" s="8">
        <f t="shared" si="13"/>
        <v>42575.820509259262</v>
      </c>
    </row>
    <row r="295" spans="1:7" x14ac:dyDescent="0.25">
      <c r="A295" s="8">
        <v>42577.276747685188</v>
      </c>
      <c r="B295" t="s">
        <v>757</v>
      </c>
      <c r="C295" t="s">
        <v>808</v>
      </c>
      <c r="D295">
        <v>1300000</v>
      </c>
      <c r="E295" t="s">
        <v>167</v>
      </c>
      <c r="F295" s="25" t="str">
        <f t="shared" si="12"/>
        <v>rtdc.l.rtdc.4037:itc</v>
      </c>
      <c r="G295" s="8">
        <f t="shared" si="13"/>
        <v>42577.276747685188</v>
      </c>
    </row>
    <row r="296" spans="1:7" x14ac:dyDescent="0.25">
      <c r="A296" s="8">
        <v>42575.869398148148</v>
      </c>
      <c r="B296" t="s">
        <v>124</v>
      </c>
      <c r="C296" t="s">
        <v>325</v>
      </c>
      <c r="D296">
        <v>1810000</v>
      </c>
      <c r="E296" t="s">
        <v>360</v>
      </c>
      <c r="F296" s="25" t="str">
        <f t="shared" si="12"/>
        <v>rtdc.l.rtdc.4039:itc</v>
      </c>
      <c r="G296" s="8">
        <f t="shared" si="13"/>
        <v>42575.869398148148</v>
      </c>
    </row>
    <row r="297" spans="1:7" x14ac:dyDescent="0.25">
      <c r="A297" s="8">
        <v>42577.220706018517</v>
      </c>
      <c r="B297" t="s">
        <v>163</v>
      </c>
      <c r="C297" t="s">
        <v>794</v>
      </c>
      <c r="D297">
        <v>1090000</v>
      </c>
      <c r="E297" t="s">
        <v>116</v>
      </c>
      <c r="F297" s="25" t="str">
        <f t="shared" si="12"/>
        <v>rtdc.l.rtdc.4041:itc</v>
      </c>
      <c r="G297" s="8">
        <f t="shared" si="13"/>
        <v>42577.220706018517</v>
      </c>
    </row>
    <row r="298" spans="1:7" x14ac:dyDescent="0.25">
      <c r="A298" s="8">
        <v>42575.988217592596</v>
      </c>
      <c r="B298" t="s">
        <v>264</v>
      </c>
      <c r="C298" t="s">
        <v>343</v>
      </c>
      <c r="D298">
        <v>1810000</v>
      </c>
      <c r="E298" t="s">
        <v>360</v>
      </c>
      <c r="F298" s="25" t="str">
        <f t="shared" si="12"/>
        <v>rtdc.l.rtdc.4040:itc</v>
      </c>
      <c r="G298" s="8">
        <f t="shared" si="13"/>
        <v>42575.988217592596</v>
      </c>
    </row>
    <row r="299" spans="1:7" x14ac:dyDescent="0.25">
      <c r="A299" s="8">
        <v>42576.956053240741</v>
      </c>
      <c r="B299" t="s">
        <v>104</v>
      </c>
      <c r="C299" t="s">
        <v>574</v>
      </c>
      <c r="D299">
        <v>1180000</v>
      </c>
      <c r="E299" t="s">
        <v>778</v>
      </c>
      <c r="F299" s="25" t="str">
        <f t="shared" si="12"/>
        <v>rtdc.l.rtdc.4038:itc</v>
      </c>
      <c r="G299" s="8">
        <f t="shared" si="13"/>
        <v>42576.956053240741</v>
      </c>
    </row>
    <row r="300" spans="1:7" x14ac:dyDescent="0.25">
      <c r="A300" s="8">
        <v>42576.15053240741</v>
      </c>
      <c r="B300" t="s">
        <v>121</v>
      </c>
      <c r="C300" t="s">
        <v>388</v>
      </c>
      <c r="D300">
        <v>1260000</v>
      </c>
      <c r="E300" t="s">
        <v>369</v>
      </c>
      <c r="F300" s="25" t="str">
        <f t="shared" si="12"/>
        <v>rtdc.l.rtdc.4007:itc</v>
      </c>
      <c r="G300" s="8">
        <f t="shared" si="13"/>
        <v>42576.15053240741</v>
      </c>
    </row>
    <row r="301" spans="1:7" x14ac:dyDescent="0.25">
      <c r="A301" s="8">
        <v>42576.955509259256</v>
      </c>
      <c r="B301" t="s">
        <v>144</v>
      </c>
      <c r="C301" t="s">
        <v>571</v>
      </c>
      <c r="D301">
        <v>1800000</v>
      </c>
      <c r="E301" t="s">
        <v>362</v>
      </c>
      <c r="F301" s="25" t="str">
        <f t="shared" si="12"/>
        <v>rtdc.l.rtdc.4015:itc</v>
      </c>
      <c r="G301" s="8">
        <f t="shared" si="13"/>
        <v>42576.955509259256</v>
      </c>
    </row>
    <row r="302" spans="1:7" x14ac:dyDescent="0.25">
      <c r="A302" s="8">
        <v>42576.172442129631</v>
      </c>
      <c r="B302" t="s">
        <v>160</v>
      </c>
      <c r="C302" t="s">
        <v>385</v>
      </c>
      <c r="D302">
        <v>1480000</v>
      </c>
      <c r="E302" t="s">
        <v>107</v>
      </c>
      <c r="F302" s="25" t="str">
        <f t="shared" si="12"/>
        <v>rtdc.l.rtdc.4010:itc</v>
      </c>
      <c r="G302" s="8">
        <f t="shared" si="13"/>
        <v>42576.172442129631</v>
      </c>
    </row>
    <row r="303" spans="1:7" x14ac:dyDescent="0.25">
      <c r="A303" s="8">
        <v>42576.954583333332</v>
      </c>
      <c r="B303" t="s">
        <v>144</v>
      </c>
      <c r="C303" t="s">
        <v>571</v>
      </c>
      <c r="D303">
        <v>1800000</v>
      </c>
      <c r="E303" t="s">
        <v>362</v>
      </c>
      <c r="F303" s="25" t="str">
        <f t="shared" si="12"/>
        <v>rtdc.l.rtdc.4015:itc</v>
      </c>
      <c r="G303" s="8">
        <f t="shared" si="13"/>
        <v>42576.954583333332</v>
      </c>
    </row>
    <row r="304" spans="1:7" x14ac:dyDescent="0.25">
      <c r="A304" s="8">
        <v>42576.184108796297</v>
      </c>
      <c r="B304" t="s">
        <v>114</v>
      </c>
      <c r="C304" t="s">
        <v>389</v>
      </c>
      <c r="D304">
        <v>1090000</v>
      </c>
      <c r="E304" t="s">
        <v>116</v>
      </c>
      <c r="F304" s="25" t="str">
        <f t="shared" si="12"/>
        <v>rtdc.l.rtdc.4027:itc</v>
      </c>
      <c r="G304" s="8">
        <f t="shared" si="13"/>
        <v>42576.184108796297</v>
      </c>
    </row>
    <row r="305" spans="1:7" x14ac:dyDescent="0.25">
      <c r="A305" s="8">
        <v>42576.909930555557</v>
      </c>
      <c r="B305" t="s">
        <v>757</v>
      </c>
      <c r="C305" t="s">
        <v>566</v>
      </c>
      <c r="D305">
        <v>1180000</v>
      </c>
      <c r="E305" t="s">
        <v>778</v>
      </c>
      <c r="F305" s="25" t="str">
        <f t="shared" si="12"/>
        <v>rtdc.l.rtdc.4037:itc</v>
      </c>
      <c r="G305" s="8">
        <f t="shared" si="13"/>
        <v>42576.909930555557</v>
      </c>
    </row>
    <row r="306" spans="1:7" x14ac:dyDescent="0.25">
      <c r="A306" s="8">
        <v>42576.187685185185</v>
      </c>
      <c r="B306" t="s">
        <v>72</v>
      </c>
      <c r="C306" t="s">
        <v>390</v>
      </c>
      <c r="D306">
        <v>1260000</v>
      </c>
      <c r="E306" t="s">
        <v>369</v>
      </c>
      <c r="F306" s="25" t="str">
        <f t="shared" si="12"/>
        <v>rtdc.l.rtdc.4017:itc</v>
      </c>
      <c r="G306" s="8">
        <f t="shared" si="13"/>
        <v>42576.187685185185</v>
      </c>
    </row>
    <row r="307" spans="1:7" x14ac:dyDescent="0.25">
      <c r="A307" s="8">
        <v>42576.883668981478</v>
      </c>
      <c r="B307" t="s">
        <v>163</v>
      </c>
      <c r="C307" t="s">
        <v>734</v>
      </c>
      <c r="D307">
        <v>1290000</v>
      </c>
      <c r="E307" t="s">
        <v>173</v>
      </c>
      <c r="F307" s="25" t="str">
        <f t="shared" si="12"/>
        <v>rtdc.l.rtdc.4041:itc</v>
      </c>
      <c r="G307" s="8">
        <f t="shared" si="13"/>
        <v>42576.883668981478</v>
      </c>
    </row>
    <row r="308" spans="1:7" x14ac:dyDescent="0.25">
      <c r="A308" s="8">
        <v>42576.224629629629</v>
      </c>
      <c r="B308" t="s">
        <v>109</v>
      </c>
      <c r="C308" t="s">
        <v>391</v>
      </c>
      <c r="D308">
        <v>1830000</v>
      </c>
      <c r="E308" t="s">
        <v>267</v>
      </c>
      <c r="F308" s="25" t="str">
        <f t="shared" si="12"/>
        <v>rtdc.l.rtdc.4013:itc</v>
      </c>
      <c r="G308" s="8">
        <f t="shared" si="13"/>
        <v>42576.224629629629</v>
      </c>
    </row>
    <row r="309" spans="1:7" x14ac:dyDescent="0.25">
      <c r="A309" s="8">
        <v>42576.844421296293</v>
      </c>
      <c r="B309" t="s">
        <v>109</v>
      </c>
      <c r="C309" t="s">
        <v>556</v>
      </c>
      <c r="D309">
        <v>1810000</v>
      </c>
      <c r="E309" t="s">
        <v>360</v>
      </c>
      <c r="F309" s="25" t="str">
        <f t="shared" si="12"/>
        <v>rtdc.l.rtdc.4013:itc</v>
      </c>
      <c r="G309" s="8">
        <f t="shared" si="13"/>
        <v>42576.844421296293</v>
      </c>
    </row>
    <row r="310" spans="1:7" x14ac:dyDescent="0.25">
      <c r="A310" s="8">
        <v>42576.228206018517</v>
      </c>
      <c r="B310" t="s">
        <v>121</v>
      </c>
      <c r="C310" t="s">
        <v>392</v>
      </c>
      <c r="D310">
        <v>1310000</v>
      </c>
      <c r="E310" t="s">
        <v>105</v>
      </c>
      <c r="F310" s="25" t="str">
        <f t="shared" si="12"/>
        <v>rtdc.l.rtdc.4007:itc</v>
      </c>
      <c r="G310" s="8">
        <f t="shared" si="13"/>
        <v>42576.228206018517</v>
      </c>
    </row>
    <row r="311" spans="1:7" x14ac:dyDescent="0.25">
      <c r="A311" s="8">
        <v>42576.744131944448</v>
      </c>
      <c r="B311" t="s">
        <v>72</v>
      </c>
      <c r="C311" t="s">
        <v>533</v>
      </c>
      <c r="D311">
        <v>1280000</v>
      </c>
      <c r="E311" t="s">
        <v>363</v>
      </c>
      <c r="F311" s="25" t="str">
        <f t="shared" si="12"/>
        <v>rtdc.l.rtdc.4017:itc</v>
      </c>
      <c r="G311" s="8">
        <f t="shared" si="13"/>
        <v>42576.744131944448</v>
      </c>
    </row>
    <row r="312" spans="1:7" x14ac:dyDescent="0.25">
      <c r="A312" s="8">
        <v>42576.26226851852</v>
      </c>
      <c r="B312" t="s">
        <v>114</v>
      </c>
      <c r="C312" t="s">
        <v>393</v>
      </c>
      <c r="D312">
        <v>1090000</v>
      </c>
      <c r="E312" t="s">
        <v>116</v>
      </c>
      <c r="F312" s="25" t="str">
        <f t="shared" si="12"/>
        <v>rtdc.l.rtdc.4027:itc</v>
      </c>
      <c r="G312" s="8">
        <f t="shared" si="13"/>
        <v>42576.26226851852</v>
      </c>
    </row>
    <row r="313" spans="1:7" x14ac:dyDescent="0.25">
      <c r="A313" s="8">
        <v>42576.739722222221</v>
      </c>
      <c r="B313" t="s">
        <v>268</v>
      </c>
      <c r="C313" t="s">
        <v>539</v>
      </c>
      <c r="D313">
        <v>1810000</v>
      </c>
      <c r="E313" t="s">
        <v>360</v>
      </c>
      <c r="F313" s="25" t="str">
        <f t="shared" si="12"/>
        <v>rtdc.l.rtdc.4014:itc</v>
      </c>
      <c r="G313" s="8">
        <f t="shared" si="13"/>
        <v>42576.739722222221</v>
      </c>
    </row>
    <row r="314" spans="1:7" x14ac:dyDescent="0.25">
      <c r="A314" s="8">
        <v>42576.263993055552</v>
      </c>
      <c r="B314" t="s">
        <v>163</v>
      </c>
      <c r="C314" t="s">
        <v>365</v>
      </c>
      <c r="D314">
        <v>890000</v>
      </c>
      <c r="E314" t="s">
        <v>366</v>
      </c>
      <c r="F314" s="25" t="str">
        <f t="shared" si="12"/>
        <v>rtdc.l.rtdc.4041:itc</v>
      </c>
      <c r="G314" s="8">
        <f t="shared" si="13"/>
        <v>42576.263993055552</v>
      </c>
    </row>
    <row r="315" spans="1:7" x14ac:dyDescent="0.25">
      <c r="A315" s="8">
        <v>42576.734236111108</v>
      </c>
      <c r="B315" t="s">
        <v>78</v>
      </c>
      <c r="C315" t="s">
        <v>685</v>
      </c>
      <c r="D315">
        <v>1290000</v>
      </c>
      <c r="E315" t="s">
        <v>173</v>
      </c>
      <c r="F315" s="25" t="str">
        <f t="shared" si="12"/>
        <v>rtdc.l.rtdc.4042:itc</v>
      </c>
      <c r="G315" s="8">
        <f t="shared" si="13"/>
        <v>42576.734236111108</v>
      </c>
    </row>
    <row r="316" spans="1:7" x14ac:dyDescent="0.25">
      <c r="A316" s="8">
        <v>42576.272013888891</v>
      </c>
      <c r="B316" t="s">
        <v>72</v>
      </c>
      <c r="C316" t="s">
        <v>394</v>
      </c>
      <c r="D316">
        <v>1260000</v>
      </c>
      <c r="E316" t="s">
        <v>369</v>
      </c>
      <c r="F316" s="25" t="str">
        <f t="shared" si="12"/>
        <v>rtdc.l.rtdc.4017:itc</v>
      </c>
      <c r="G316" s="8">
        <f t="shared" si="13"/>
        <v>42576.272013888891</v>
      </c>
    </row>
    <row r="317" spans="1:7" x14ac:dyDescent="0.25">
      <c r="A317" s="8">
        <v>42576.734791666669</v>
      </c>
      <c r="B317" t="s">
        <v>118</v>
      </c>
      <c r="C317" t="s">
        <v>530</v>
      </c>
      <c r="D317">
        <v>880000</v>
      </c>
      <c r="E317" t="s">
        <v>361</v>
      </c>
      <c r="F317" s="25" t="str">
        <f t="shared" si="12"/>
        <v>rtdc.l.rtdc.4008:itc</v>
      </c>
      <c r="G317" s="8">
        <f t="shared" si="13"/>
        <v>42576.734791666669</v>
      </c>
    </row>
    <row r="318" spans="1:7" x14ac:dyDescent="0.25">
      <c r="A318" s="8">
        <v>42576.362187500003</v>
      </c>
      <c r="B318" t="s">
        <v>159</v>
      </c>
      <c r="C318" t="s">
        <v>431</v>
      </c>
      <c r="D318">
        <v>1480000</v>
      </c>
      <c r="E318" t="s">
        <v>107</v>
      </c>
      <c r="F318" s="25" t="str">
        <f t="shared" si="12"/>
        <v>rtdc.l.rtdc.4009:itc</v>
      </c>
      <c r="G318" s="8">
        <f t="shared" si="13"/>
        <v>42576.362187500003</v>
      </c>
    </row>
    <row r="319" spans="1:7" x14ac:dyDescent="0.25">
      <c r="A319" s="8">
        <v>42576.725763888891</v>
      </c>
      <c r="B319" t="s">
        <v>114</v>
      </c>
      <c r="C319" t="s">
        <v>537</v>
      </c>
      <c r="D319">
        <v>2030000</v>
      </c>
      <c r="E319" t="s">
        <v>126</v>
      </c>
      <c r="F319" s="25" t="str">
        <f t="shared" si="12"/>
        <v>rtdc.l.rtdc.4027:itc</v>
      </c>
      <c r="G319" s="8">
        <f t="shared" si="13"/>
        <v>42576.725763888891</v>
      </c>
    </row>
    <row r="320" spans="1:7" x14ac:dyDescent="0.25">
      <c r="A320" s="8">
        <v>42576.412060185183</v>
      </c>
      <c r="B320" t="s">
        <v>114</v>
      </c>
      <c r="C320" t="s">
        <v>446</v>
      </c>
      <c r="D320">
        <v>1090000</v>
      </c>
      <c r="E320" t="s">
        <v>116</v>
      </c>
      <c r="F320" s="25" t="str">
        <f t="shared" si="12"/>
        <v>rtdc.l.rtdc.4027:itc</v>
      </c>
      <c r="G320" s="8">
        <f t="shared" si="13"/>
        <v>42576.412060185183</v>
      </c>
    </row>
    <row r="321" spans="1:7" x14ac:dyDescent="0.25">
      <c r="A321" s="8">
        <v>42576.722291666665</v>
      </c>
      <c r="B321" t="s">
        <v>110</v>
      </c>
      <c r="C321" t="s">
        <v>680</v>
      </c>
      <c r="D321">
        <v>1790000</v>
      </c>
      <c r="E321" t="s">
        <v>809</v>
      </c>
      <c r="F321" s="25" t="str">
        <f t="shared" si="12"/>
        <v>rtdc.l.rtdc.4025:itc</v>
      </c>
      <c r="G321" s="8">
        <f t="shared" si="13"/>
        <v>42576.722291666665</v>
      </c>
    </row>
    <row r="322" spans="1:7" x14ac:dyDescent="0.25">
      <c r="A322" s="8">
        <v>42576.438726851855</v>
      </c>
      <c r="B322" t="s">
        <v>72</v>
      </c>
      <c r="C322" t="s">
        <v>444</v>
      </c>
      <c r="D322">
        <v>1260000</v>
      </c>
      <c r="E322" t="s">
        <v>369</v>
      </c>
      <c r="F322" s="25" t="str">
        <f t="shared" si="12"/>
        <v>rtdc.l.rtdc.4017:itc</v>
      </c>
      <c r="G322" s="8">
        <f t="shared" si="13"/>
        <v>42576.438726851855</v>
      </c>
    </row>
    <row r="323" spans="1:7" x14ac:dyDescent="0.25">
      <c r="A323" s="8">
        <v>42576.72115740741</v>
      </c>
      <c r="B323" t="s">
        <v>110</v>
      </c>
      <c r="C323" t="s">
        <v>680</v>
      </c>
      <c r="D323">
        <v>1790000</v>
      </c>
      <c r="E323" t="s">
        <v>809</v>
      </c>
      <c r="F323" s="25" t="str">
        <f t="shared" si="12"/>
        <v>rtdc.l.rtdc.4025:itc</v>
      </c>
      <c r="G323" s="8">
        <f t="shared" si="13"/>
        <v>42576.72115740741</v>
      </c>
    </row>
    <row r="324" spans="1:7" x14ac:dyDescent="0.25">
      <c r="A324" s="8">
        <v>42576.448680555557</v>
      </c>
      <c r="B324" t="s">
        <v>159</v>
      </c>
      <c r="C324" t="s">
        <v>452</v>
      </c>
      <c r="D324">
        <v>890000</v>
      </c>
      <c r="E324" t="s">
        <v>366</v>
      </c>
      <c r="F324" s="25" t="str">
        <f t="shared" si="12"/>
        <v>rtdc.l.rtdc.4009:itc</v>
      </c>
      <c r="G324" s="8">
        <f t="shared" si="13"/>
        <v>42576.448680555557</v>
      </c>
    </row>
    <row r="325" spans="1:7" x14ac:dyDescent="0.25">
      <c r="A325" s="8">
        <v>42576.705833333333</v>
      </c>
      <c r="B325" t="s">
        <v>353</v>
      </c>
      <c r="C325" t="s">
        <v>674</v>
      </c>
      <c r="D325">
        <v>1770000</v>
      </c>
      <c r="E325" t="s">
        <v>359</v>
      </c>
      <c r="F325" s="25" t="str">
        <f t="shared" si="12"/>
        <v>rtdc.l.rtdc.4031:itc</v>
      </c>
      <c r="G325" s="8">
        <f t="shared" si="13"/>
        <v>42576.705833333333</v>
      </c>
    </row>
    <row r="326" spans="1:7" x14ac:dyDescent="0.25">
      <c r="A326" s="8">
        <v>42576.45208333333</v>
      </c>
      <c r="B326" t="s">
        <v>69</v>
      </c>
      <c r="C326" t="s">
        <v>447</v>
      </c>
      <c r="D326">
        <v>1190000</v>
      </c>
      <c r="E326" t="s">
        <v>162</v>
      </c>
      <c r="F326" s="25" t="str">
        <f t="shared" si="12"/>
        <v>rtdc.l.rtdc.4019:itc</v>
      </c>
      <c r="G326" s="8">
        <f t="shared" si="13"/>
        <v>42576.45208333333</v>
      </c>
    </row>
    <row r="327" spans="1:7" x14ac:dyDescent="0.25">
      <c r="A327" s="8">
        <v>42576.679027777776</v>
      </c>
      <c r="B327" t="s">
        <v>757</v>
      </c>
      <c r="C327" t="s">
        <v>515</v>
      </c>
      <c r="D327">
        <v>940000</v>
      </c>
      <c r="E327" t="s">
        <v>798</v>
      </c>
      <c r="F327" s="25" t="str">
        <f t="shared" si="12"/>
        <v>rtdc.l.rtdc.4037:itc</v>
      </c>
      <c r="G327" s="8">
        <f t="shared" si="13"/>
        <v>42576.679027777776</v>
      </c>
    </row>
    <row r="328" spans="1:7" x14ac:dyDescent="0.25">
      <c r="A328" s="8">
        <v>42576.485891203702</v>
      </c>
      <c r="B328" t="s">
        <v>160</v>
      </c>
      <c r="C328" t="s">
        <v>454</v>
      </c>
      <c r="D328">
        <v>890000</v>
      </c>
      <c r="E328" t="s">
        <v>366</v>
      </c>
      <c r="F328" s="25" t="str">
        <f t="shared" si="12"/>
        <v>rtdc.l.rtdc.4010:itc</v>
      </c>
      <c r="G328" s="8">
        <f t="shared" si="13"/>
        <v>42576.485891203702</v>
      </c>
    </row>
    <row r="329" spans="1:7" x14ac:dyDescent="0.25">
      <c r="A329" s="8">
        <v>42576.661261574074</v>
      </c>
      <c r="B329" t="s">
        <v>118</v>
      </c>
      <c r="C329" t="s">
        <v>511</v>
      </c>
      <c r="D329">
        <v>880000</v>
      </c>
      <c r="E329" t="s">
        <v>361</v>
      </c>
      <c r="F329" s="25" t="str">
        <f t="shared" si="12"/>
        <v>rtdc.l.rtdc.4008:itc</v>
      </c>
      <c r="G329" s="8">
        <f t="shared" si="13"/>
        <v>42576.661261574074</v>
      </c>
    </row>
    <row r="330" spans="1:7" x14ac:dyDescent="0.25">
      <c r="A330" s="8">
        <v>42576.514247685183</v>
      </c>
      <c r="B330" t="s">
        <v>268</v>
      </c>
      <c r="C330" t="s">
        <v>473</v>
      </c>
      <c r="D330">
        <v>1140000</v>
      </c>
      <c r="E330" t="s">
        <v>357</v>
      </c>
      <c r="F330" s="25" t="str">
        <f t="shared" si="12"/>
        <v>rtdc.l.rtdc.4014:itc</v>
      </c>
      <c r="G330" s="8">
        <f t="shared" si="13"/>
        <v>42576.514247685183</v>
      </c>
    </row>
    <row r="331" spans="1:7" x14ac:dyDescent="0.25">
      <c r="A331" s="8">
        <v>42576.646689814814</v>
      </c>
      <c r="B331" t="s">
        <v>354</v>
      </c>
      <c r="C331" t="s">
        <v>653</v>
      </c>
      <c r="D331">
        <v>1770000</v>
      </c>
      <c r="E331" t="s">
        <v>359</v>
      </c>
      <c r="F331" s="25" t="str">
        <f t="shared" si="12"/>
        <v>rtdc.l.rtdc.4032:itc</v>
      </c>
      <c r="G331" s="8">
        <f t="shared" si="13"/>
        <v>42576.646689814814</v>
      </c>
    </row>
    <row r="332" spans="1:7" x14ac:dyDescent="0.25">
      <c r="A332" s="8">
        <v>42576.523981481485</v>
      </c>
      <c r="B332" t="s">
        <v>69</v>
      </c>
      <c r="C332" t="s">
        <v>465</v>
      </c>
      <c r="D332">
        <v>940000</v>
      </c>
      <c r="E332" t="s">
        <v>798</v>
      </c>
      <c r="F332" s="25" t="str">
        <f t="shared" si="12"/>
        <v>rtdc.l.rtdc.4019:itc</v>
      </c>
      <c r="G332" s="8">
        <f t="shared" si="13"/>
        <v>42576.523981481485</v>
      </c>
    </row>
    <row r="333" spans="1:7" x14ac:dyDescent="0.25">
      <c r="A333" s="8">
        <v>42576.628171296295</v>
      </c>
      <c r="B333" t="s">
        <v>353</v>
      </c>
      <c r="C333" t="s">
        <v>648</v>
      </c>
      <c r="D333">
        <v>1770000</v>
      </c>
      <c r="E333" t="s">
        <v>359</v>
      </c>
      <c r="F333" s="25" t="str">
        <f t="shared" si="12"/>
        <v>rtdc.l.rtdc.4031:itc</v>
      </c>
      <c r="G333" s="8">
        <f t="shared" si="13"/>
        <v>42576.628171296295</v>
      </c>
    </row>
    <row r="334" spans="1:7" x14ac:dyDescent="0.25">
      <c r="A334" s="8">
        <v>42576.541608796295</v>
      </c>
      <c r="B334" t="s">
        <v>121</v>
      </c>
      <c r="C334" t="s">
        <v>486</v>
      </c>
      <c r="D334">
        <v>880000</v>
      </c>
      <c r="E334" t="s">
        <v>361</v>
      </c>
      <c r="F334" s="25" t="str">
        <f t="shared" si="12"/>
        <v>rtdc.l.rtdc.4007:itc</v>
      </c>
      <c r="G334" s="8">
        <f t="shared" si="13"/>
        <v>42576.541608796295</v>
      </c>
    </row>
    <row r="335" spans="1:7" x14ac:dyDescent="0.25">
      <c r="A335" s="8">
        <v>42576.624432870369</v>
      </c>
      <c r="B335" t="s">
        <v>71</v>
      </c>
      <c r="C335" t="s">
        <v>512</v>
      </c>
      <c r="D335">
        <v>1280000</v>
      </c>
      <c r="E335" t="s">
        <v>363</v>
      </c>
      <c r="F335" s="25" t="str">
        <f t="shared" si="12"/>
        <v>rtdc.l.rtdc.4018:itc</v>
      </c>
      <c r="G335" s="8">
        <f t="shared" si="13"/>
        <v>42576.624432870369</v>
      </c>
    </row>
    <row r="336" spans="1:7" x14ac:dyDescent="0.25">
      <c r="A336" s="8">
        <v>42576.577361111114</v>
      </c>
      <c r="B336" t="s">
        <v>114</v>
      </c>
      <c r="C336" t="s">
        <v>498</v>
      </c>
      <c r="D336">
        <v>1520000</v>
      </c>
      <c r="E336" t="s">
        <v>356</v>
      </c>
      <c r="F336" s="25" t="str">
        <f t="shared" si="12"/>
        <v>rtdc.l.rtdc.4027:itc</v>
      </c>
      <c r="G336" s="8">
        <f t="shared" si="13"/>
        <v>42576.577361111114</v>
      </c>
    </row>
    <row r="337" spans="1:7" x14ac:dyDescent="0.25">
      <c r="A337" s="8">
        <v>42576.591747685183</v>
      </c>
      <c r="B337" t="s">
        <v>268</v>
      </c>
      <c r="C337" t="s">
        <v>501</v>
      </c>
      <c r="D337">
        <v>1140000</v>
      </c>
      <c r="E337" t="s">
        <v>357</v>
      </c>
      <c r="F337" s="25" t="str">
        <f t="shared" si="12"/>
        <v>rtdc.l.rtdc.4014:itc</v>
      </c>
      <c r="G337" s="8">
        <f t="shared" si="13"/>
        <v>42576.591747685183</v>
      </c>
    </row>
    <row r="338" spans="1:7" x14ac:dyDescent="0.25">
      <c r="A338" s="8">
        <v>42576.578379629631</v>
      </c>
      <c r="B338" t="s">
        <v>114</v>
      </c>
      <c r="C338" t="s">
        <v>498</v>
      </c>
      <c r="D338">
        <v>1520000</v>
      </c>
      <c r="E338" t="s">
        <v>356</v>
      </c>
      <c r="F338" s="25" t="str">
        <f t="shared" si="12"/>
        <v>rtdc.l.rtdc.4027:itc</v>
      </c>
      <c r="G338" s="8">
        <f t="shared" si="13"/>
        <v>42576.578379629631</v>
      </c>
    </row>
    <row r="339" spans="1:7" x14ac:dyDescent="0.25">
      <c r="A339" s="8">
        <v>42576.581932870373</v>
      </c>
      <c r="B339" t="s">
        <v>104</v>
      </c>
      <c r="C339" t="s">
        <v>493</v>
      </c>
      <c r="D339">
        <v>940000</v>
      </c>
      <c r="E339" t="s">
        <v>798</v>
      </c>
      <c r="F339" s="25" t="str">
        <f t="shared" si="12"/>
        <v>rtdc.l.rtdc.4038:itc</v>
      </c>
      <c r="G339" s="8">
        <f t="shared" si="13"/>
        <v>42576.581932870373</v>
      </c>
    </row>
    <row r="340" spans="1:7" x14ac:dyDescent="0.25">
      <c r="A340" s="8">
        <v>42576.597337962965</v>
      </c>
      <c r="B340" t="s">
        <v>354</v>
      </c>
      <c r="C340" t="s">
        <v>640</v>
      </c>
      <c r="D340">
        <v>900000</v>
      </c>
      <c r="E340" t="s">
        <v>775</v>
      </c>
      <c r="F340" s="25" t="str">
        <f t="shared" si="12"/>
        <v>rtdc.l.rtdc.4032:itc</v>
      </c>
      <c r="G340" s="8">
        <f t="shared" si="13"/>
        <v>42576.597337962965</v>
      </c>
    </row>
    <row r="341" spans="1:7" x14ac:dyDescent="0.25">
      <c r="A341" s="8">
        <v>42576.575613425928</v>
      </c>
      <c r="B341" t="s">
        <v>114</v>
      </c>
      <c r="C341" t="s">
        <v>498</v>
      </c>
      <c r="D341">
        <v>1520000</v>
      </c>
      <c r="E341" t="s">
        <v>356</v>
      </c>
      <c r="F341" s="25" t="str">
        <f t="shared" si="12"/>
        <v>rtdc.l.rtdc.4027:itc</v>
      </c>
      <c r="G341" s="8">
        <f t="shared" si="13"/>
        <v>42576.575613425928</v>
      </c>
    </row>
    <row r="342" spans="1:7" x14ac:dyDescent="0.25">
      <c r="A342" s="8">
        <v>42576.605462962965</v>
      </c>
      <c r="B342" t="s">
        <v>145</v>
      </c>
      <c r="C342" t="s">
        <v>506</v>
      </c>
      <c r="D342">
        <v>2020000</v>
      </c>
      <c r="E342" t="s">
        <v>776</v>
      </c>
      <c r="F342" s="25" t="str">
        <f t="shared" si="12"/>
        <v>rtdc.l.rtdc.4016:itc</v>
      </c>
      <c r="G342" s="8">
        <f t="shared" si="13"/>
        <v>42576.605462962965</v>
      </c>
    </row>
    <row r="343" spans="1:7" x14ac:dyDescent="0.25">
      <c r="A343" s="8">
        <v>42576.554965277777</v>
      </c>
      <c r="B343" t="s">
        <v>354</v>
      </c>
      <c r="C343" t="s">
        <v>627</v>
      </c>
      <c r="D343">
        <v>900000</v>
      </c>
      <c r="E343" t="s">
        <v>775</v>
      </c>
      <c r="F343" s="25" t="str">
        <f t="shared" si="12"/>
        <v>rtdc.l.rtdc.4032:itc</v>
      </c>
      <c r="G343" s="8">
        <f t="shared" si="13"/>
        <v>42576.554965277777</v>
      </c>
    </row>
    <row r="344" spans="1:7" x14ac:dyDescent="0.25">
      <c r="A344" s="8">
        <v>42576.612650462965</v>
      </c>
      <c r="B344" t="s">
        <v>354</v>
      </c>
      <c r="C344" t="s">
        <v>640</v>
      </c>
      <c r="D344">
        <v>900000</v>
      </c>
      <c r="E344" t="s">
        <v>775</v>
      </c>
      <c r="F344" s="25" t="str">
        <f t="shared" si="12"/>
        <v>rtdc.l.rtdc.4032:itc</v>
      </c>
      <c r="G344" s="8">
        <f t="shared" si="13"/>
        <v>42576.612650462965</v>
      </c>
    </row>
    <row r="345" spans="1:7" x14ac:dyDescent="0.25">
      <c r="A345" s="8">
        <v>42576.536782407406</v>
      </c>
      <c r="B345" t="s">
        <v>108</v>
      </c>
      <c r="C345" t="s">
        <v>619</v>
      </c>
      <c r="D345">
        <v>1750000</v>
      </c>
      <c r="E345" t="s">
        <v>375</v>
      </c>
      <c r="F345" s="25" t="str">
        <f t="shared" si="12"/>
        <v>rtdc.l.rtdc.4026:itc</v>
      </c>
      <c r="G345" s="8">
        <f t="shared" si="13"/>
        <v>42576.536782407406</v>
      </c>
    </row>
    <row r="346" spans="1:7" x14ac:dyDescent="0.25">
      <c r="A346" s="8">
        <v>42576.639780092592</v>
      </c>
      <c r="B346" t="s">
        <v>160</v>
      </c>
      <c r="C346" t="s">
        <v>504</v>
      </c>
      <c r="D346">
        <v>1120000</v>
      </c>
      <c r="E346" t="s">
        <v>777</v>
      </c>
      <c r="F346" s="25" t="str">
        <f t="shared" ref="F346:F409" si="14">B346</f>
        <v>rtdc.l.rtdc.4010:itc</v>
      </c>
      <c r="G346" s="8">
        <f t="shared" ref="G346:G409" si="15">A346</f>
        <v>42576.639780092592</v>
      </c>
    </row>
    <row r="347" spans="1:7" x14ac:dyDescent="0.25">
      <c r="A347" s="8">
        <v>42576.494479166664</v>
      </c>
      <c r="B347" t="s">
        <v>144</v>
      </c>
      <c r="C347" t="s">
        <v>456</v>
      </c>
      <c r="D347">
        <v>1240000</v>
      </c>
      <c r="E347" t="s">
        <v>120</v>
      </c>
      <c r="F347" s="25" t="str">
        <f t="shared" si="14"/>
        <v>rtdc.l.rtdc.4015:itc</v>
      </c>
      <c r="G347" s="8">
        <f t="shared" si="15"/>
        <v>42576.494479166664</v>
      </c>
    </row>
    <row r="348" spans="1:7" x14ac:dyDescent="0.25">
      <c r="A348" s="8">
        <v>42576.652731481481</v>
      </c>
      <c r="B348" t="s">
        <v>114</v>
      </c>
      <c r="C348" t="s">
        <v>516</v>
      </c>
      <c r="D348">
        <v>1520000</v>
      </c>
      <c r="E348" t="s">
        <v>356</v>
      </c>
      <c r="F348" s="25" t="str">
        <f t="shared" si="14"/>
        <v>rtdc.l.rtdc.4027:itc</v>
      </c>
      <c r="G348" s="8">
        <f t="shared" si="15"/>
        <v>42576.652731481481</v>
      </c>
    </row>
    <row r="349" spans="1:7" x14ac:dyDescent="0.25">
      <c r="A349" s="8">
        <v>42576.477465277778</v>
      </c>
      <c r="B349" t="s">
        <v>71</v>
      </c>
      <c r="C349" t="s">
        <v>461</v>
      </c>
      <c r="D349">
        <v>1280000</v>
      </c>
      <c r="E349" t="s">
        <v>363</v>
      </c>
      <c r="F349" s="25" t="str">
        <f t="shared" si="14"/>
        <v>rtdc.l.rtdc.4018:itc</v>
      </c>
      <c r="G349" s="8">
        <f t="shared" si="15"/>
        <v>42576.477465277778</v>
      </c>
    </row>
    <row r="350" spans="1:7" x14ac:dyDescent="0.25">
      <c r="A350" s="8">
        <v>42576.673900462964</v>
      </c>
      <c r="B350" t="s">
        <v>159</v>
      </c>
      <c r="C350" t="s">
        <v>522</v>
      </c>
      <c r="D350">
        <v>1120000</v>
      </c>
      <c r="E350" t="s">
        <v>777</v>
      </c>
      <c r="F350" s="25" t="str">
        <f t="shared" si="14"/>
        <v>rtdc.l.rtdc.4009:itc</v>
      </c>
      <c r="G350" s="8">
        <f t="shared" si="15"/>
        <v>42576.673900462964</v>
      </c>
    </row>
    <row r="351" spans="1:7" x14ac:dyDescent="0.25">
      <c r="A351" s="8">
        <v>42576.476168981484</v>
      </c>
      <c r="B351" t="s">
        <v>71</v>
      </c>
      <c r="C351" t="s">
        <v>461</v>
      </c>
      <c r="D351">
        <v>1280000</v>
      </c>
      <c r="E351" t="s">
        <v>363</v>
      </c>
      <c r="F351" s="25" t="str">
        <f t="shared" si="14"/>
        <v>rtdc.l.rtdc.4018:itc</v>
      </c>
      <c r="G351" s="8">
        <f t="shared" si="15"/>
        <v>42576.476168981484</v>
      </c>
    </row>
    <row r="352" spans="1:7" x14ac:dyDescent="0.25">
      <c r="A352" s="8">
        <v>42576.679247685184</v>
      </c>
      <c r="B352" t="s">
        <v>110</v>
      </c>
      <c r="C352" t="s">
        <v>666</v>
      </c>
      <c r="D352">
        <v>1290000</v>
      </c>
      <c r="E352" t="s">
        <v>173</v>
      </c>
      <c r="F352" s="25" t="str">
        <f t="shared" si="14"/>
        <v>rtdc.l.rtdc.4025:itc</v>
      </c>
      <c r="G352" s="8">
        <f t="shared" si="15"/>
        <v>42576.679247685184</v>
      </c>
    </row>
    <row r="353" spans="1:7" x14ac:dyDescent="0.25">
      <c r="A353" s="8">
        <v>42576.470196759263</v>
      </c>
      <c r="B353" t="s">
        <v>110</v>
      </c>
      <c r="C353" t="s">
        <v>598</v>
      </c>
      <c r="D353">
        <v>1750000</v>
      </c>
      <c r="E353" t="s">
        <v>375</v>
      </c>
      <c r="F353" s="25" t="str">
        <f t="shared" si="14"/>
        <v>rtdc.l.rtdc.4025:itc</v>
      </c>
      <c r="G353" s="8">
        <f t="shared" si="15"/>
        <v>42576.470196759263</v>
      </c>
    </row>
    <row r="354" spans="1:7" x14ac:dyDescent="0.25">
      <c r="A354" s="8">
        <v>42576.761956018519</v>
      </c>
      <c r="B354" t="s">
        <v>111</v>
      </c>
      <c r="C354" t="s">
        <v>538</v>
      </c>
      <c r="D354">
        <v>2030000</v>
      </c>
      <c r="E354" t="s">
        <v>126</v>
      </c>
      <c r="F354" s="25" t="str">
        <f t="shared" si="14"/>
        <v>rtdc.l.rtdc.4028:itc</v>
      </c>
      <c r="G354" s="8">
        <f t="shared" si="15"/>
        <v>42576.761956018519</v>
      </c>
    </row>
    <row r="355" spans="1:7" x14ac:dyDescent="0.25">
      <c r="A355" s="8">
        <v>42576.466782407406</v>
      </c>
      <c r="B355" t="s">
        <v>121</v>
      </c>
      <c r="C355" t="s">
        <v>457</v>
      </c>
      <c r="D355">
        <v>880000</v>
      </c>
      <c r="E355" t="s">
        <v>361</v>
      </c>
      <c r="F355" s="25" t="str">
        <f t="shared" si="14"/>
        <v>rtdc.l.rtdc.4007:itc</v>
      </c>
      <c r="G355" s="8">
        <f t="shared" si="15"/>
        <v>42576.466782407406</v>
      </c>
    </row>
    <row r="356" spans="1:7" x14ac:dyDescent="0.25">
      <c r="A356" s="8">
        <v>42576.788495370369</v>
      </c>
      <c r="B356" t="s">
        <v>104</v>
      </c>
      <c r="C356" t="s">
        <v>549</v>
      </c>
      <c r="D356">
        <v>1180000</v>
      </c>
      <c r="E356" t="s">
        <v>778</v>
      </c>
      <c r="F356" s="25" t="str">
        <f t="shared" si="14"/>
        <v>rtdc.l.rtdc.4038:itc</v>
      </c>
      <c r="G356" s="8">
        <f t="shared" si="15"/>
        <v>42576.788495370369</v>
      </c>
    </row>
    <row r="357" spans="1:7" x14ac:dyDescent="0.25">
      <c r="A357" s="8">
        <v>42576.449525462966</v>
      </c>
      <c r="B357" t="s">
        <v>159</v>
      </c>
      <c r="C357" t="s">
        <v>452</v>
      </c>
      <c r="D357">
        <v>890000</v>
      </c>
      <c r="E357" t="s">
        <v>366</v>
      </c>
      <c r="F357" s="25" t="str">
        <f t="shared" si="14"/>
        <v>rtdc.l.rtdc.4009:itc</v>
      </c>
      <c r="G357" s="8">
        <f t="shared" si="15"/>
        <v>42576.449525462966</v>
      </c>
    </row>
    <row r="358" spans="1:7" x14ac:dyDescent="0.25">
      <c r="A358" s="8">
        <v>42576.800694444442</v>
      </c>
      <c r="B358" t="s">
        <v>163</v>
      </c>
      <c r="C358" t="s">
        <v>705</v>
      </c>
      <c r="D358">
        <v>1290000</v>
      </c>
      <c r="E358" t="s">
        <v>173</v>
      </c>
      <c r="F358" s="25" t="str">
        <f t="shared" si="14"/>
        <v>rtdc.l.rtdc.4041:itc</v>
      </c>
      <c r="G358" s="8">
        <f t="shared" si="15"/>
        <v>42576.800694444442</v>
      </c>
    </row>
    <row r="359" spans="1:7" x14ac:dyDescent="0.25">
      <c r="A359" s="8">
        <v>42576.442013888889</v>
      </c>
      <c r="B359" t="s">
        <v>268</v>
      </c>
      <c r="C359" t="s">
        <v>449</v>
      </c>
      <c r="D359">
        <v>1110000</v>
      </c>
      <c r="E359" t="s">
        <v>127</v>
      </c>
      <c r="F359" s="25" t="str">
        <f t="shared" si="14"/>
        <v>rtdc.l.rtdc.4014:itc</v>
      </c>
      <c r="G359" s="8">
        <f t="shared" si="15"/>
        <v>42576.442013888889</v>
      </c>
    </row>
    <row r="360" spans="1:7" x14ac:dyDescent="0.25">
      <c r="A360" s="8">
        <v>42576.823796296296</v>
      </c>
      <c r="B360" t="s">
        <v>757</v>
      </c>
      <c r="C360" t="s">
        <v>551</v>
      </c>
      <c r="D360">
        <v>1180000</v>
      </c>
      <c r="E360" t="s">
        <v>778</v>
      </c>
      <c r="F360" s="25" t="str">
        <f t="shared" si="14"/>
        <v>rtdc.l.rtdc.4037:itc</v>
      </c>
      <c r="G360" s="8">
        <f t="shared" si="15"/>
        <v>42576.823796296296</v>
      </c>
    </row>
    <row r="361" spans="1:7" x14ac:dyDescent="0.25">
      <c r="A361" s="8">
        <v>42576.433715277781</v>
      </c>
      <c r="B361" t="s">
        <v>118</v>
      </c>
      <c r="C361" t="s">
        <v>441</v>
      </c>
      <c r="D361">
        <v>1310000</v>
      </c>
      <c r="E361" t="s">
        <v>105</v>
      </c>
      <c r="F361" s="25" t="str">
        <f t="shared" si="14"/>
        <v>rtdc.l.rtdc.4008:itc</v>
      </c>
      <c r="G361" s="8">
        <f t="shared" si="15"/>
        <v>42576.433715277781</v>
      </c>
    </row>
    <row r="362" spans="1:7" x14ac:dyDescent="0.25">
      <c r="A362" s="8">
        <v>42576.870648148149</v>
      </c>
      <c r="B362" t="s">
        <v>144</v>
      </c>
      <c r="C362" t="s">
        <v>558</v>
      </c>
      <c r="D362">
        <v>1800000</v>
      </c>
      <c r="E362" t="s">
        <v>362</v>
      </c>
      <c r="F362" s="25" t="str">
        <f t="shared" si="14"/>
        <v>rtdc.l.rtdc.4015:itc</v>
      </c>
      <c r="G362" s="8">
        <f t="shared" si="15"/>
        <v>42576.870648148149</v>
      </c>
    </row>
    <row r="363" spans="1:7" x14ac:dyDescent="0.25">
      <c r="A363" s="8">
        <v>42576.838576388887</v>
      </c>
      <c r="B363" t="s">
        <v>121</v>
      </c>
      <c r="C363" t="s">
        <v>559</v>
      </c>
      <c r="D363">
        <v>1230000</v>
      </c>
      <c r="E363" t="s">
        <v>178</v>
      </c>
      <c r="F363" s="25" t="str">
        <f t="shared" si="14"/>
        <v>rtdc.l.rtdc.4007:itc</v>
      </c>
      <c r="G363" s="8">
        <f t="shared" si="15"/>
        <v>42576.838576388887</v>
      </c>
    </row>
    <row r="364" spans="1:7" x14ac:dyDescent="0.25">
      <c r="A364" s="8">
        <v>42576.455277777779</v>
      </c>
      <c r="B364" t="s">
        <v>145</v>
      </c>
      <c r="C364" t="s">
        <v>455</v>
      </c>
      <c r="D364">
        <v>1240000</v>
      </c>
      <c r="E364" t="s">
        <v>120</v>
      </c>
      <c r="F364" s="25" t="str">
        <f t="shared" si="14"/>
        <v>rtdc.l.rtdc.4016:itc</v>
      </c>
      <c r="G364" s="8">
        <f t="shared" si="15"/>
        <v>42576.455277777779</v>
      </c>
    </row>
    <row r="365" spans="1:7" x14ac:dyDescent="0.25">
      <c r="A365" s="8">
        <v>42576.775138888886</v>
      </c>
      <c r="B365" t="s">
        <v>78</v>
      </c>
      <c r="C365" t="s">
        <v>698</v>
      </c>
      <c r="D365">
        <v>1290000</v>
      </c>
      <c r="E365" t="s">
        <v>173</v>
      </c>
      <c r="F365" s="25" t="str">
        <f t="shared" si="14"/>
        <v>rtdc.l.rtdc.4042:itc</v>
      </c>
      <c r="G365" s="8">
        <f t="shared" si="15"/>
        <v>42576.775138888886</v>
      </c>
    </row>
    <row r="366" spans="1:7" x14ac:dyDescent="0.25">
      <c r="A366" s="8">
        <v>42576.459409722222</v>
      </c>
      <c r="B366" t="s">
        <v>111</v>
      </c>
      <c r="C366" t="s">
        <v>448</v>
      </c>
      <c r="D366">
        <v>1090000</v>
      </c>
      <c r="E366" t="s">
        <v>116</v>
      </c>
      <c r="F366" s="25" t="str">
        <f t="shared" si="14"/>
        <v>rtdc.l.rtdc.4028:itc</v>
      </c>
      <c r="G366" s="8">
        <f t="shared" si="15"/>
        <v>42576.459409722222</v>
      </c>
    </row>
    <row r="367" spans="1:7" x14ac:dyDescent="0.25">
      <c r="A367" s="8">
        <v>42576.717534722222</v>
      </c>
      <c r="B367" t="s">
        <v>104</v>
      </c>
      <c r="C367" t="s">
        <v>534</v>
      </c>
      <c r="D367">
        <v>1180000</v>
      </c>
      <c r="E367" t="s">
        <v>778</v>
      </c>
      <c r="F367" s="25" t="str">
        <f t="shared" si="14"/>
        <v>rtdc.l.rtdc.4038:itc</v>
      </c>
      <c r="G367" s="8">
        <f t="shared" si="15"/>
        <v>42576.717534722222</v>
      </c>
    </row>
    <row r="368" spans="1:7" x14ac:dyDescent="0.25">
      <c r="A368" s="8">
        <v>42576.496388888889</v>
      </c>
      <c r="B368" t="s">
        <v>114</v>
      </c>
      <c r="C368" t="s">
        <v>470</v>
      </c>
      <c r="D368">
        <v>1520000</v>
      </c>
      <c r="E368" t="s">
        <v>356</v>
      </c>
      <c r="F368" s="25" t="str">
        <f t="shared" si="14"/>
        <v>rtdc.l.rtdc.4027:itc</v>
      </c>
      <c r="G368" s="8">
        <f t="shared" si="15"/>
        <v>42576.496388888889</v>
      </c>
    </row>
    <row r="369" spans="1:7" x14ac:dyDescent="0.25">
      <c r="A369" s="8">
        <v>42576.693206018521</v>
      </c>
      <c r="B369" t="s">
        <v>111</v>
      </c>
      <c r="C369" t="s">
        <v>518</v>
      </c>
      <c r="D369">
        <v>1520000</v>
      </c>
      <c r="E369" t="s">
        <v>356</v>
      </c>
      <c r="F369" s="25" t="str">
        <f t="shared" si="14"/>
        <v>rtdc.l.rtdc.4028:itc</v>
      </c>
      <c r="G369" s="8">
        <f t="shared" si="15"/>
        <v>42576.693206018521</v>
      </c>
    </row>
    <row r="370" spans="1:7" x14ac:dyDescent="0.25">
      <c r="A370" s="8">
        <v>42576.499166666668</v>
      </c>
      <c r="B370" t="s">
        <v>114</v>
      </c>
      <c r="C370" t="s">
        <v>470</v>
      </c>
      <c r="D370">
        <v>1520000</v>
      </c>
      <c r="E370" t="s">
        <v>356</v>
      </c>
      <c r="F370" s="25" t="str">
        <f t="shared" si="14"/>
        <v>rtdc.l.rtdc.4027:itc</v>
      </c>
      <c r="G370" s="8">
        <f t="shared" si="15"/>
        <v>42576.499166666668</v>
      </c>
    </row>
    <row r="371" spans="1:7" x14ac:dyDescent="0.25">
      <c r="A371" s="8">
        <v>42576.681238425925</v>
      </c>
      <c r="B371" t="s">
        <v>354</v>
      </c>
      <c r="C371" t="s">
        <v>669</v>
      </c>
      <c r="D371">
        <v>1770000</v>
      </c>
      <c r="E371" t="s">
        <v>359</v>
      </c>
      <c r="F371" s="25" t="str">
        <f t="shared" si="14"/>
        <v>rtdc.l.rtdc.4032:itc</v>
      </c>
      <c r="G371" s="8">
        <f t="shared" si="15"/>
        <v>42576.681238425925</v>
      </c>
    </row>
    <row r="372" spans="1:7" x14ac:dyDescent="0.25">
      <c r="A372" s="8">
        <v>42576.530300925922</v>
      </c>
      <c r="B372" t="s">
        <v>145</v>
      </c>
      <c r="C372" t="s">
        <v>481</v>
      </c>
      <c r="D372">
        <v>2020000</v>
      </c>
      <c r="E372" t="s">
        <v>776</v>
      </c>
      <c r="F372" s="25" t="str">
        <f t="shared" si="14"/>
        <v>rtdc.l.rtdc.4016:itc</v>
      </c>
      <c r="G372" s="8">
        <f t="shared" si="15"/>
        <v>42576.530300925922</v>
      </c>
    </row>
    <row r="373" spans="1:7" x14ac:dyDescent="0.25">
      <c r="A373" s="8">
        <v>42576.627557870372</v>
      </c>
      <c r="B373" t="s">
        <v>109</v>
      </c>
      <c r="C373" t="s">
        <v>502</v>
      </c>
      <c r="D373">
        <v>1140000</v>
      </c>
      <c r="E373" t="s">
        <v>357</v>
      </c>
      <c r="F373" s="25" t="str">
        <f t="shared" si="14"/>
        <v>rtdc.l.rtdc.4013:itc</v>
      </c>
      <c r="G373" s="8">
        <f t="shared" si="15"/>
        <v>42576.627557870372</v>
      </c>
    </row>
    <row r="374" spans="1:7" x14ac:dyDescent="0.25">
      <c r="A374" s="8">
        <v>42576.539293981485</v>
      </c>
      <c r="B374" t="s">
        <v>353</v>
      </c>
      <c r="C374" t="s">
        <v>621</v>
      </c>
      <c r="D374">
        <v>900000</v>
      </c>
      <c r="E374" t="s">
        <v>775</v>
      </c>
      <c r="F374" s="25" t="str">
        <f t="shared" si="14"/>
        <v>rtdc.l.rtdc.4031:itc</v>
      </c>
      <c r="G374" s="8">
        <f t="shared" si="15"/>
        <v>42576.539293981485</v>
      </c>
    </row>
    <row r="375" spans="1:7" x14ac:dyDescent="0.25">
      <c r="A375" s="8">
        <v>42576.58084490741</v>
      </c>
      <c r="B375" t="s">
        <v>353</v>
      </c>
      <c r="C375" t="s">
        <v>631</v>
      </c>
      <c r="D375">
        <v>900000</v>
      </c>
      <c r="E375" t="s">
        <v>775</v>
      </c>
      <c r="F375" s="25" t="str">
        <f t="shared" si="14"/>
        <v>rtdc.l.rtdc.4031:itc</v>
      </c>
      <c r="G375" s="8">
        <f t="shared" si="15"/>
        <v>42576.58084490741</v>
      </c>
    </row>
    <row r="376" spans="1:7" x14ac:dyDescent="0.25">
      <c r="A376" s="8">
        <v>42576.636446759258</v>
      </c>
      <c r="B376" t="s">
        <v>110</v>
      </c>
      <c r="C376" t="s">
        <v>651</v>
      </c>
      <c r="D376">
        <v>1290000</v>
      </c>
      <c r="E376" t="s">
        <v>173</v>
      </c>
      <c r="F376" s="25" t="str">
        <f t="shared" si="14"/>
        <v>rtdc.l.rtdc.4025:itc</v>
      </c>
      <c r="G376" s="8">
        <f t="shared" si="15"/>
        <v>42576.636446759258</v>
      </c>
    </row>
    <row r="377" spans="1:7" x14ac:dyDescent="0.25">
      <c r="A377" s="8">
        <v>42576.550405092596</v>
      </c>
      <c r="B377" t="s">
        <v>109</v>
      </c>
      <c r="C377" t="s">
        <v>475</v>
      </c>
      <c r="D377">
        <v>1140000</v>
      </c>
      <c r="E377" t="s">
        <v>357</v>
      </c>
      <c r="F377" s="25" t="str">
        <f t="shared" si="14"/>
        <v>rtdc.l.rtdc.4013:itc</v>
      </c>
      <c r="G377" s="8">
        <f t="shared" si="15"/>
        <v>42576.550405092596</v>
      </c>
    </row>
    <row r="378" spans="1:7" x14ac:dyDescent="0.25">
      <c r="A378" s="8">
        <v>42576.671944444446</v>
      </c>
      <c r="B378" t="s">
        <v>72</v>
      </c>
      <c r="C378" t="s">
        <v>513</v>
      </c>
      <c r="D378">
        <v>1280000</v>
      </c>
      <c r="E378" t="s">
        <v>363</v>
      </c>
      <c r="F378" s="25" t="str">
        <f t="shared" si="14"/>
        <v>rtdc.l.rtdc.4017:itc</v>
      </c>
      <c r="G378" s="8">
        <f t="shared" si="15"/>
        <v>42576.671944444446</v>
      </c>
    </row>
    <row r="379" spans="1:7" x14ac:dyDescent="0.25">
      <c r="A379" s="8">
        <v>42576.549953703703</v>
      </c>
      <c r="B379" t="s">
        <v>71</v>
      </c>
      <c r="C379" t="s">
        <v>490</v>
      </c>
      <c r="D379">
        <v>1280000</v>
      </c>
      <c r="E379" t="s">
        <v>363</v>
      </c>
      <c r="F379" s="25" t="str">
        <f t="shared" si="14"/>
        <v>rtdc.l.rtdc.4018:itc</v>
      </c>
      <c r="G379" s="8">
        <f t="shared" si="15"/>
        <v>42576.549953703703</v>
      </c>
    </row>
    <row r="380" spans="1:7" x14ac:dyDescent="0.25">
      <c r="A380" s="8">
        <v>42576.693229166667</v>
      </c>
      <c r="B380" t="s">
        <v>78</v>
      </c>
      <c r="C380" t="s">
        <v>671</v>
      </c>
      <c r="D380">
        <v>1820000</v>
      </c>
      <c r="E380" t="s">
        <v>266</v>
      </c>
      <c r="F380" s="25" t="str">
        <f t="shared" si="14"/>
        <v>rtdc.l.rtdc.4042:itc</v>
      </c>
      <c r="G380" s="8">
        <f t="shared" si="15"/>
        <v>42576.693229166667</v>
      </c>
    </row>
    <row r="381" spans="1:7" x14ac:dyDescent="0.25">
      <c r="A381" s="8">
        <v>42576.467627314814</v>
      </c>
      <c r="B381" t="s">
        <v>163</v>
      </c>
      <c r="C381" t="s">
        <v>595</v>
      </c>
      <c r="D381">
        <v>1820000</v>
      </c>
      <c r="E381" t="s">
        <v>266</v>
      </c>
      <c r="F381" s="25" t="str">
        <f t="shared" si="14"/>
        <v>rtdc.l.rtdc.4041:itc</v>
      </c>
      <c r="G381" s="8">
        <f t="shared" si="15"/>
        <v>42576.467627314814</v>
      </c>
    </row>
    <row r="382" spans="1:7" x14ac:dyDescent="0.25">
      <c r="A382" s="8">
        <v>42576.701863425929</v>
      </c>
      <c r="B382" t="s">
        <v>108</v>
      </c>
      <c r="C382" t="s">
        <v>673</v>
      </c>
      <c r="D382">
        <v>1290000</v>
      </c>
      <c r="E382" t="s">
        <v>173</v>
      </c>
      <c r="F382" s="25" t="str">
        <f t="shared" si="14"/>
        <v>rtdc.l.rtdc.4026:itc</v>
      </c>
      <c r="G382" s="8">
        <f t="shared" si="15"/>
        <v>42576.701863425929</v>
      </c>
    </row>
    <row r="383" spans="1:7" x14ac:dyDescent="0.25">
      <c r="A383" s="8">
        <v>42576.454328703701</v>
      </c>
      <c r="B383" t="s">
        <v>145</v>
      </c>
      <c r="C383" t="s">
        <v>455</v>
      </c>
      <c r="D383">
        <v>1240000</v>
      </c>
      <c r="E383" t="s">
        <v>120</v>
      </c>
      <c r="F383" s="25" t="str">
        <f t="shared" si="14"/>
        <v>rtdc.l.rtdc.4016:itc</v>
      </c>
      <c r="G383" s="8">
        <f t="shared" si="15"/>
        <v>42576.454328703701</v>
      </c>
    </row>
    <row r="384" spans="1:7" x14ac:dyDescent="0.25">
      <c r="A384" s="8">
        <v>42576.704907407409</v>
      </c>
      <c r="B384" t="s">
        <v>71</v>
      </c>
      <c r="C384" t="s">
        <v>532</v>
      </c>
      <c r="D384">
        <v>1280000</v>
      </c>
      <c r="E384" t="s">
        <v>363</v>
      </c>
      <c r="F384" s="25" t="str">
        <f t="shared" si="14"/>
        <v>rtdc.l.rtdc.4018:itc</v>
      </c>
      <c r="G384" s="8">
        <f t="shared" si="15"/>
        <v>42576.704907407409</v>
      </c>
    </row>
    <row r="385" spans="1:7" x14ac:dyDescent="0.25">
      <c r="A385" s="8">
        <v>42576.394594907404</v>
      </c>
      <c r="B385" t="s">
        <v>109</v>
      </c>
      <c r="C385" t="s">
        <v>430</v>
      </c>
      <c r="D385">
        <v>1830000</v>
      </c>
      <c r="E385" t="s">
        <v>267</v>
      </c>
      <c r="F385" s="25" t="str">
        <f t="shared" si="14"/>
        <v>rtdc.l.rtdc.4013:itc</v>
      </c>
      <c r="G385" s="8">
        <f t="shared" si="15"/>
        <v>42576.394594907404</v>
      </c>
    </row>
    <row r="386" spans="1:7" x14ac:dyDescent="0.25">
      <c r="A386" s="8">
        <v>42576.760231481479</v>
      </c>
      <c r="B386" t="s">
        <v>163</v>
      </c>
      <c r="C386" t="s">
        <v>694</v>
      </c>
      <c r="D386">
        <v>1290000</v>
      </c>
      <c r="E386" t="s">
        <v>173</v>
      </c>
      <c r="F386" s="25" t="str">
        <f t="shared" si="14"/>
        <v>rtdc.l.rtdc.4041:itc</v>
      </c>
      <c r="G386" s="8">
        <f t="shared" si="15"/>
        <v>42576.760231481479</v>
      </c>
    </row>
    <row r="387" spans="1:7" x14ac:dyDescent="0.25">
      <c r="A387" s="8">
        <v>42576.34443287037</v>
      </c>
      <c r="B387" t="s">
        <v>72</v>
      </c>
      <c r="C387" t="s">
        <v>419</v>
      </c>
      <c r="D387">
        <v>1260000</v>
      </c>
      <c r="E387" t="s">
        <v>369</v>
      </c>
      <c r="F387" s="25" t="str">
        <f t="shared" si="14"/>
        <v>rtdc.l.rtdc.4017:itc</v>
      </c>
      <c r="G387" s="8">
        <f t="shared" si="15"/>
        <v>42576.34443287037</v>
      </c>
    </row>
    <row r="388" spans="1:7" x14ac:dyDescent="0.25">
      <c r="A388" s="8">
        <v>42576.789398148147</v>
      </c>
      <c r="B388" t="s">
        <v>353</v>
      </c>
      <c r="C388" t="s">
        <v>703</v>
      </c>
      <c r="D388">
        <v>1770000</v>
      </c>
      <c r="E388" t="s">
        <v>359</v>
      </c>
      <c r="F388" s="25" t="str">
        <f t="shared" si="14"/>
        <v>rtdc.l.rtdc.4031:itc</v>
      </c>
      <c r="G388" s="8">
        <f t="shared" si="15"/>
        <v>42576.789398148147</v>
      </c>
    </row>
    <row r="389" spans="1:7" x14ac:dyDescent="0.25">
      <c r="A389" s="8">
        <v>42576.339803240742</v>
      </c>
      <c r="B389" t="s">
        <v>118</v>
      </c>
      <c r="C389" t="s">
        <v>415</v>
      </c>
      <c r="D389">
        <v>1310000</v>
      </c>
      <c r="E389" t="s">
        <v>105</v>
      </c>
      <c r="F389" s="25" t="str">
        <f t="shared" si="14"/>
        <v>rtdc.l.rtdc.4008:itc</v>
      </c>
      <c r="G389" s="8">
        <f t="shared" si="15"/>
        <v>42576.339803240742</v>
      </c>
    </row>
    <row r="390" spans="1:7" x14ac:dyDescent="0.25">
      <c r="A390" s="8">
        <v>42576.797766203701</v>
      </c>
      <c r="B390" t="s">
        <v>144</v>
      </c>
      <c r="C390" t="s">
        <v>545</v>
      </c>
      <c r="D390">
        <v>1800000</v>
      </c>
      <c r="E390" t="s">
        <v>362</v>
      </c>
      <c r="F390" s="25" t="str">
        <f t="shared" si="14"/>
        <v>rtdc.l.rtdc.4015:itc</v>
      </c>
      <c r="G390" s="8">
        <f t="shared" si="15"/>
        <v>42576.797766203701</v>
      </c>
    </row>
    <row r="391" spans="1:7" x14ac:dyDescent="0.25">
      <c r="A391" s="8">
        <v>42576.330613425926</v>
      </c>
      <c r="B391" t="s">
        <v>114</v>
      </c>
      <c r="C391" t="s">
        <v>424</v>
      </c>
      <c r="D391">
        <v>1090000</v>
      </c>
      <c r="E391" t="s">
        <v>116</v>
      </c>
      <c r="F391" s="25" t="str">
        <f t="shared" si="14"/>
        <v>rtdc.l.rtdc.4027:itc</v>
      </c>
      <c r="G391" s="8">
        <f t="shared" si="15"/>
        <v>42576.330613425926</v>
      </c>
    </row>
    <row r="392" spans="1:7" x14ac:dyDescent="0.25">
      <c r="A392" s="8">
        <v>42576.810208333336</v>
      </c>
      <c r="B392" t="s">
        <v>354</v>
      </c>
      <c r="C392" t="s">
        <v>709</v>
      </c>
      <c r="D392">
        <v>1770000</v>
      </c>
      <c r="E392" t="s">
        <v>359</v>
      </c>
      <c r="F392" s="25" t="str">
        <f t="shared" si="14"/>
        <v>rtdc.l.rtdc.4032:itc</v>
      </c>
      <c r="G392" s="8">
        <f t="shared" si="15"/>
        <v>42576.810208333336</v>
      </c>
    </row>
    <row r="393" spans="1:7" x14ac:dyDescent="0.25">
      <c r="A393" s="8">
        <v>42576.325173611112</v>
      </c>
      <c r="B393" t="s">
        <v>160</v>
      </c>
      <c r="C393" t="s">
        <v>414</v>
      </c>
      <c r="D393">
        <v>1480000</v>
      </c>
      <c r="E393" t="s">
        <v>107</v>
      </c>
      <c r="F393" s="25" t="str">
        <f t="shared" si="14"/>
        <v>rtdc.l.rtdc.4010:itc</v>
      </c>
      <c r="G393" s="8">
        <f t="shared" si="15"/>
        <v>42576.325173611112</v>
      </c>
    </row>
    <row r="394" spans="1:7" x14ac:dyDescent="0.25">
      <c r="A394" s="8">
        <v>42576.823125000003</v>
      </c>
      <c r="B394" t="s">
        <v>108</v>
      </c>
      <c r="C394" t="s">
        <v>712</v>
      </c>
      <c r="D394">
        <v>1740000</v>
      </c>
      <c r="E394" t="s">
        <v>358</v>
      </c>
      <c r="F394" s="25" t="str">
        <f t="shared" si="14"/>
        <v>rtdc.l.rtdc.4026:itc</v>
      </c>
      <c r="G394" s="8">
        <f t="shared" si="15"/>
        <v>42576.823125000003</v>
      </c>
    </row>
    <row r="395" spans="1:7" x14ac:dyDescent="0.25">
      <c r="A395" s="8">
        <v>42576.318796296298</v>
      </c>
      <c r="B395" t="s">
        <v>70</v>
      </c>
      <c r="C395" t="s">
        <v>421</v>
      </c>
      <c r="D395">
        <v>1190000</v>
      </c>
      <c r="E395" t="s">
        <v>162</v>
      </c>
      <c r="F395" s="25" t="str">
        <f t="shared" si="14"/>
        <v>rtdc.l.rtdc.4020:itc</v>
      </c>
      <c r="G395" s="8">
        <f t="shared" si="15"/>
        <v>42576.318796296298</v>
      </c>
    </row>
    <row r="396" spans="1:7" x14ac:dyDescent="0.25">
      <c r="A396" s="8">
        <v>42576.86010416667</v>
      </c>
      <c r="B396" t="s">
        <v>78</v>
      </c>
      <c r="C396" t="s">
        <v>726</v>
      </c>
      <c r="D396">
        <v>1290000</v>
      </c>
      <c r="E396" t="s">
        <v>173</v>
      </c>
      <c r="F396" s="25" t="str">
        <f t="shared" si="14"/>
        <v>rtdc.l.rtdc.4042:itc</v>
      </c>
      <c r="G396" s="8">
        <f t="shared" si="15"/>
        <v>42576.86010416667</v>
      </c>
    </row>
    <row r="397" spans="1:7" x14ac:dyDescent="0.25">
      <c r="A397" s="8">
        <v>42576.297581018516</v>
      </c>
      <c r="B397" t="s">
        <v>109</v>
      </c>
      <c r="C397" t="s">
        <v>381</v>
      </c>
      <c r="D397">
        <v>1830000</v>
      </c>
      <c r="E397" t="s">
        <v>267</v>
      </c>
      <c r="F397" s="25" t="str">
        <f t="shared" si="14"/>
        <v>rtdc.l.rtdc.4013:itc</v>
      </c>
      <c r="G397" s="8">
        <f t="shared" si="15"/>
        <v>42576.297581018516</v>
      </c>
    </row>
    <row r="398" spans="1:7" x14ac:dyDescent="0.25">
      <c r="A398" s="8">
        <v>42576.913483796299</v>
      </c>
      <c r="B398" t="s">
        <v>145</v>
      </c>
      <c r="C398" t="s">
        <v>570</v>
      </c>
      <c r="D398">
        <v>1800000</v>
      </c>
      <c r="E398" t="s">
        <v>362</v>
      </c>
      <c r="F398" s="25" t="str">
        <f t="shared" si="14"/>
        <v>rtdc.l.rtdc.4016:itc</v>
      </c>
      <c r="G398" s="8">
        <f t="shared" si="15"/>
        <v>42576.913483796299</v>
      </c>
    </row>
    <row r="399" spans="1:7" x14ac:dyDescent="0.25">
      <c r="A399" s="8">
        <v>42576.269976851851</v>
      </c>
      <c r="B399" t="s">
        <v>268</v>
      </c>
      <c r="C399" t="s">
        <v>382</v>
      </c>
      <c r="D399">
        <v>1830000</v>
      </c>
      <c r="E399" t="s">
        <v>267</v>
      </c>
      <c r="F399" s="25" t="str">
        <f t="shared" si="14"/>
        <v>rtdc.l.rtdc.4014:itc</v>
      </c>
      <c r="G399" s="8">
        <f t="shared" si="15"/>
        <v>42576.269976851851</v>
      </c>
    </row>
    <row r="400" spans="1:7" x14ac:dyDescent="0.25">
      <c r="A400" s="8">
        <v>42576.915046296293</v>
      </c>
      <c r="B400" t="s">
        <v>353</v>
      </c>
      <c r="C400" t="s">
        <v>745</v>
      </c>
      <c r="D400">
        <v>1770000</v>
      </c>
      <c r="E400" t="s">
        <v>359</v>
      </c>
      <c r="F400" s="25" t="str">
        <f t="shared" si="14"/>
        <v>rtdc.l.rtdc.4031:itc</v>
      </c>
      <c r="G400" s="8">
        <f t="shared" si="15"/>
        <v>42576.915046296293</v>
      </c>
    </row>
    <row r="401" spans="1:7" x14ac:dyDescent="0.25">
      <c r="A401" s="8">
        <v>42576.251608796294</v>
      </c>
      <c r="B401" t="s">
        <v>70</v>
      </c>
      <c r="C401" t="s">
        <v>383</v>
      </c>
      <c r="D401">
        <v>1240000</v>
      </c>
      <c r="E401" t="s">
        <v>120</v>
      </c>
      <c r="F401" s="25" t="str">
        <f t="shared" si="14"/>
        <v>rtdc.l.rtdc.4020:itc</v>
      </c>
      <c r="G401" s="8">
        <f t="shared" si="15"/>
        <v>42576.251608796294</v>
      </c>
    </row>
    <row r="402" spans="1:7" x14ac:dyDescent="0.25">
      <c r="A402" s="8">
        <v>42576.943530092591</v>
      </c>
      <c r="B402" t="s">
        <v>108</v>
      </c>
      <c r="C402" t="s">
        <v>755</v>
      </c>
      <c r="D402">
        <v>1740000</v>
      </c>
      <c r="E402" t="s">
        <v>358</v>
      </c>
      <c r="F402" s="25" t="str">
        <f t="shared" si="14"/>
        <v>rtdc.l.rtdc.4026:itc</v>
      </c>
      <c r="G402" s="8">
        <f t="shared" si="15"/>
        <v>42576.943530092591</v>
      </c>
    </row>
    <row r="403" spans="1:7" x14ac:dyDescent="0.25">
      <c r="A403" s="8">
        <v>42576.226782407408</v>
      </c>
      <c r="B403" t="s">
        <v>113</v>
      </c>
      <c r="C403" t="s">
        <v>367</v>
      </c>
      <c r="D403">
        <v>1190000</v>
      </c>
      <c r="E403" t="s">
        <v>162</v>
      </c>
      <c r="F403" s="25" t="str">
        <f t="shared" si="14"/>
        <v>rtdc.l.rtdc.4030:itc</v>
      </c>
      <c r="G403" s="8">
        <f t="shared" si="15"/>
        <v>42576.226782407408</v>
      </c>
    </row>
    <row r="404" spans="1:7" x14ac:dyDescent="0.25">
      <c r="A404" s="8">
        <v>42576.974062499998</v>
      </c>
      <c r="B404" t="s">
        <v>268</v>
      </c>
      <c r="C404" t="s">
        <v>578</v>
      </c>
      <c r="D404">
        <v>1810000</v>
      </c>
      <c r="E404" t="s">
        <v>360</v>
      </c>
      <c r="F404" s="25" t="str">
        <f t="shared" si="14"/>
        <v>rtdc.l.rtdc.4014:itc</v>
      </c>
      <c r="G404" s="8">
        <f t="shared" si="15"/>
        <v>42576.974062499998</v>
      </c>
    </row>
    <row r="405" spans="1:7" x14ac:dyDescent="0.25">
      <c r="A405" s="8">
        <v>42576.21025462963</v>
      </c>
      <c r="B405" t="s">
        <v>104</v>
      </c>
      <c r="C405" t="s">
        <v>384</v>
      </c>
      <c r="D405">
        <v>1110000</v>
      </c>
      <c r="E405" t="s">
        <v>127</v>
      </c>
      <c r="F405" s="25" t="str">
        <f t="shared" si="14"/>
        <v>rtdc.l.rtdc.4038:itc</v>
      </c>
      <c r="G405" s="8">
        <f t="shared" si="15"/>
        <v>42576.21025462963</v>
      </c>
    </row>
    <row r="406" spans="1:7" x14ac:dyDescent="0.25">
      <c r="A406" s="8">
        <v>42576.997789351852</v>
      </c>
      <c r="B406" t="s">
        <v>145</v>
      </c>
      <c r="C406" t="s">
        <v>580</v>
      </c>
      <c r="D406">
        <v>1800000</v>
      </c>
      <c r="E406" t="s">
        <v>362</v>
      </c>
      <c r="F406" s="25" t="str">
        <f t="shared" si="14"/>
        <v>rtdc.l.rtdc.4016:itc</v>
      </c>
      <c r="G406" s="8">
        <f t="shared" si="15"/>
        <v>42576.997789351852</v>
      </c>
    </row>
    <row r="407" spans="1:7" x14ac:dyDescent="0.25">
      <c r="A407" s="8">
        <v>42576.173506944448</v>
      </c>
      <c r="B407" t="s">
        <v>160</v>
      </c>
      <c r="C407" t="s">
        <v>385</v>
      </c>
      <c r="D407">
        <v>1480000</v>
      </c>
      <c r="E407" t="s">
        <v>107</v>
      </c>
      <c r="F407" s="25" t="str">
        <f t="shared" si="14"/>
        <v>rtdc.l.rtdc.4010:itc</v>
      </c>
      <c r="G407" s="8">
        <f t="shared" si="15"/>
        <v>42576.173506944448</v>
      </c>
    </row>
    <row r="408" spans="1:7" x14ac:dyDescent="0.25">
      <c r="A408" s="8">
        <v>42577.006099537037</v>
      </c>
      <c r="B408" t="s">
        <v>121</v>
      </c>
      <c r="C408" t="s">
        <v>582</v>
      </c>
      <c r="D408">
        <v>1230000</v>
      </c>
      <c r="E408" t="s">
        <v>178</v>
      </c>
      <c r="F408" s="25" t="str">
        <f t="shared" si="14"/>
        <v>rtdc.l.rtdc.4007:itc</v>
      </c>
      <c r="G408" s="8">
        <f t="shared" si="15"/>
        <v>42577.006099537037</v>
      </c>
    </row>
    <row r="409" spans="1:7" x14ac:dyDescent="0.25">
      <c r="A409" s="8">
        <v>42576.171527777777</v>
      </c>
      <c r="B409" t="s">
        <v>145</v>
      </c>
      <c r="C409" t="s">
        <v>386</v>
      </c>
      <c r="D409">
        <v>1190000</v>
      </c>
      <c r="E409" t="s">
        <v>162</v>
      </c>
      <c r="F409" s="25" t="str">
        <f t="shared" si="14"/>
        <v>rtdc.l.rtdc.4016:itc</v>
      </c>
      <c r="G409" s="8">
        <f t="shared" si="15"/>
        <v>42576.171527777777</v>
      </c>
    </row>
    <row r="410" spans="1:7" x14ac:dyDescent="0.25">
      <c r="A410" s="8">
        <v>42577.038541666669</v>
      </c>
      <c r="B410" t="s">
        <v>144</v>
      </c>
      <c r="C410" t="s">
        <v>581</v>
      </c>
      <c r="D410">
        <v>1800000</v>
      </c>
      <c r="E410" t="s">
        <v>362</v>
      </c>
      <c r="F410" s="25" t="str">
        <f t="shared" ref="F410:F473" si="16">B410</f>
        <v>rtdc.l.rtdc.4015:itc</v>
      </c>
      <c r="G410" s="8">
        <f t="shared" ref="G410:G473" si="17">A410</f>
        <v>42577.038541666669</v>
      </c>
    </row>
    <row r="411" spans="1:7" x14ac:dyDescent="0.25">
      <c r="A411" s="8">
        <v>42576.140347222223</v>
      </c>
      <c r="B411" t="s">
        <v>104</v>
      </c>
      <c r="C411" t="s">
        <v>387</v>
      </c>
      <c r="D411">
        <v>1480000</v>
      </c>
      <c r="E411" t="s">
        <v>107</v>
      </c>
      <c r="F411" s="25" t="str">
        <f t="shared" si="16"/>
        <v>rtdc.l.rtdc.4038:itc</v>
      </c>
      <c r="G411" s="8">
        <f t="shared" si="17"/>
        <v>42576.140347222223</v>
      </c>
    </row>
    <row r="412" spans="1:7" x14ac:dyDescent="0.25">
      <c r="A412" s="8">
        <v>42577.175497685188</v>
      </c>
      <c r="B412" t="s">
        <v>110</v>
      </c>
      <c r="C412" t="s">
        <v>810</v>
      </c>
      <c r="D412">
        <v>1990000</v>
      </c>
      <c r="E412" t="s">
        <v>782</v>
      </c>
      <c r="F412" s="25" t="str">
        <f t="shared" si="16"/>
        <v>rtdc.l.rtdc.4025:itc</v>
      </c>
      <c r="G412" s="8">
        <f t="shared" si="17"/>
        <v>42577.175497685188</v>
      </c>
    </row>
    <row r="413" spans="1:7" x14ac:dyDescent="0.25">
      <c r="A413" s="8">
        <v>42576.058923611112</v>
      </c>
      <c r="B413" t="s">
        <v>179</v>
      </c>
      <c r="C413" t="s">
        <v>346</v>
      </c>
      <c r="D413">
        <v>1800000</v>
      </c>
      <c r="E413" t="s">
        <v>362</v>
      </c>
      <c r="F413" s="25" t="str">
        <f t="shared" si="16"/>
        <v>rtdc.l.rtdc.4012:itc</v>
      </c>
      <c r="G413" s="8">
        <f t="shared" si="17"/>
        <v>42576.058923611112</v>
      </c>
    </row>
    <row r="414" spans="1:7" x14ac:dyDescent="0.25">
      <c r="A414" s="8">
        <v>42577.184363425928</v>
      </c>
      <c r="B414" t="s">
        <v>78</v>
      </c>
      <c r="C414" t="s">
        <v>811</v>
      </c>
      <c r="D414">
        <v>1090000</v>
      </c>
      <c r="E414" t="s">
        <v>116</v>
      </c>
      <c r="F414" s="25" t="str">
        <f t="shared" si="16"/>
        <v>rtdc.l.rtdc.4042:itc</v>
      </c>
      <c r="G414" s="8">
        <f t="shared" si="17"/>
        <v>42577.184363425928</v>
      </c>
    </row>
    <row r="415" spans="1:7" x14ac:dyDescent="0.25">
      <c r="A415" s="8">
        <v>42576.017511574071</v>
      </c>
      <c r="B415" t="s">
        <v>177</v>
      </c>
      <c r="C415" t="s">
        <v>345</v>
      </c>
      <c r="D415">
        <v>1800000</v>
      </c>
      <c r="E415" t="s">
        <v>362</v>
      </c>
      <c r="F415" s="25" t="str">
        <f t="shared" si="16"/>
        <v>rtdc.l.rtdc.4011:itc</v>
      </c>
      <c r="G415" s="8">
        <f t="shared" si="17"/>
        <v>42576.017511574071</v>
      </c>
    </row>
    <row r="416" spans="1:7" x14ac:dyDescent="0.25">
      <c r="A416" s="8">
        <v>42577.213009259256</v>
      </c>
      <c r="B416" t="s">
        <v>72</v>
      </c>
      <c r="C416" t="s">
        <v>812</v>
      </c>
      <c r="D416">
        <v>1990000</v>
      </c>
      <c r="E416" t="s">
        <v>782</v>
      </c>
      <c r="F416" s="25" t="str">
        <f t="shared" si="16"/>
        <v>rtdc.l.rtdc.4017:itc</v>
      </c>
      <c r="G416" s="8">
        <f t="shared" si="17"/>
        <v>42577.213009259256</v>
      </c>
    </row>
    <row r="417" spans="1:7" x14ac:dyDescent="0.25">
      <c r="A417" s="8">
        <v>42575.883391203701</v>
      </c>
      <c r="B417" t="s">
        <v>354</v>
      </c>
      <c r="C417" t="s">
        <v>304</v>
      </c>
      <c r="D417">
        <v>1750000</v>
      </c>
      <c r="E417" t="s">
        <v>375</v>
      </c>
      <c r="F417" s="25" t="str">
        <f t="shared" si="16"/>
        <v>rtdc.l.rtdc.4032:itc</v>
      </c>
      <c r="G417" s="8">
        <f t="shared" si="17"/>
        <v>42575.883391203701</v>
      </c>
    </row>
    <row r="418" spans="1:7" x14ac:dyDescent="0.25">
      <c r="A418" s="8">
        <v>42577.214444444442</v>
      </c>
      <c r="B418" t="s">
        <v>159</v>
      </c>
      <c r="C418" t="s">
        <v>813</v>
      </c>
      <c r="D418">
        <v>1540000</v>
      </c>
      <c r="E418" t="s">
        <v>376</v>
      </c>
      <c r="F418" s="25" t="str">
        <f t="shared" si="16"/>
        <v>rtdc.l.rtdc.4009:itc</v>
      </c>
      <c r="G418" s="8">
        <f t="shared" si="17"/>
        <v>42577.214444444442</v>
      </c>
    </row>
    <row r="419" spans="1:7" x14ac:dyDescent="0.25">
      <c r="A419" s="8">
        <v>42575.847673611112</v>
      </c>
      <c r="B419" t="s">
        <v>109</v>
      </c>
      <c r="C419" t="s">
        <v>323</v>
      </c>
      <c r="D419">
        <v>1290000</v>
      </c>
      <c r="E419" t="s">
        <v>173</v>
      </c>
      <c r="F419" s="25" t="str">
        <f t="shared" si="16"/>
        <v>rtdc.l.rtdc.4013:itc</v>
      </c>
      <c r="G419" s="8">
        <f t="shared" si="17"/>
        <v>42575.847673611112</v>
      </c>
    </row>
    <row r="420" spans="1:7" x14ac:dyDescent="0.25">
      <c r="A420" s="8">
        <v>42577.276863425926</v>
      </c>
      <c r="B420" t="s">
        <v>114</v>
      </c>
      <c r="C420" t="s">
        <v>814</v>
      </c>
      <c r="D420">
        <v>1100000</v>
      </c>
      <c r="E420" t="s">
        <v>265</v>
      </c>
      <c r="F420" s="25" t="str">
        <f t="shared" si="16"/>
        <v>rtdc.l.rtdc.4027:itc</v>
      </c>
      <c r="G420" s="8">
        <f t="shared" si="17"/>
        <v>42577.276863425926</v>
      </c>
    </row>
    <row r="421" spans="1:7" x14ac:dyDescent="0.25">
      <c r="A421" s="8">
        <v>42576.376134259262</v>
      </c>
      <c r="B421" t="s">
        <v>145</v>
      </c>
      <c r="C421" t="s">
        <v>434</v>
      </c>
      <c r="D421">
        <v>1240000</v>
      </c>
      <c r="E421" t="s">
        <v>120</v>
      </c>
      <c r="F421" s="25" t="str">
        <f t="shared" si="16"/>
        <v>rtdc.l.rtdc.4016:itc</v>
      </c>
      <c r="G421" s="8">
        <f t="shared" si="17"/>
        <v>42576.376134259262</v>
      </c>
    </row>
    <row r="422" spans="1:7" x14ac:dyDescent="0.25">
      <c r="A422" s="8">
        <v>42577.289629629631</v>
      </c>
      <c r="B422" t="s">
        <v>159</v>
      </c>
      <c r="C422" t="s">
        <v>815</v>
      </c>
      <c r="D422">
        <v>1540000</v>
      </c>
      <c r="E422" t="s">
        <v>376</v>
      </c>
      <c r="F422" s="25" t="str">
        <f t="shared" si="16"/>
        <v>rtdc.l.rtdc.4009:itc</v>
      </c>
      <c r="G422" s="8">
        <f t="shared" si="17"/>
        <v>42577.289629629631</v>
      </c>
    </row>
    <row r="423" spans="1:7" x14ac:dyDescent="0.25">
      <c r="A423" s="8">
        <v>42576.578298611108</v>
      </c>
      <c r="B423" t="s">
        <v>118</v>
      </c>
      <c r="C423" t="s">
        <v>489</v>
      </c>
      <c r="D423">
        <v>880000</v>
      </c>
      <c r="E423" t="s">
        <v>361</v>
      </c>
      <c r="F423" s="25" t="str">
        <f t="shared" si="16"/>
        <v>rtdc.l.rtdc.4008:itc</v>
      </c>
      <c r="G423" s="8">
        <f t="shared" si="17"/>
        <v>42576.578298611108</v>
      </c>
    </row>
    <row r="424" spans="1:7" x14ac:dyDescent="0.25">
      <c r="F424" s="25">
        <f t="shared" si="16"/>
        <v>0</v>
      </c>
      <c r="G424" s="8">
        <f t="shared" si="17"/>
        <v>0</v>
      </c>
    </row>
    <row r="425" spans="1:7" x14ac:dyDescent="0.25">
      <c r="F425" s="25">
        <f t="shared" si="16"/>
        <v>0</v>
      </c>
      <c r="G425" s="8">
        <f t="shared" si="17"/>
        <v>0</v>
      </c>
    </row>
    <row r="426" spans="1:7" x14ac:dyDescent="0.25">
      <c r="F426" s="25">
        <f t="shared" si="16"/>
        <v>0</v>
      </c>
      <c r="G426" s="8">
        <f t="shared" si="17"/>
        <v>0</v>
      </c>
    </row>
    <row r="427" spans="1:7" x14ac:dyDescent="0.25">
      <c r="F427" s="25">
        <f t="shared" si="16"/>
        <v>0</v>
      </c>
      <c r="G427" s="8">
        <f t="shared" si="17"/>
        <v>0</v>
      </c>
    </row>
    <row r="428" spans="1:7" x14ac:dyDescent="0.25">
      <c r="F428" s="25">
        <f t="shared" si="16"/>
        <v>0</v>
      </c>
      <c r="G428" s="8">
        <f t="shared" si="17"/>
        <v>0</v>
      </c>
    </row>
    <row r="429" spans="1:7" x14ac:dyDescent="0.25">
      <c r="F429" s="25">
        <f t="shared" si="16"/>
        <v>0</v>
      </c>
      <c r="G429" s="8">
        <f t="shared" si="17"/>
        <v>0</v>
      </c>
    </row>
    <row r="430" spans="1:7" x14ac:dyDescent="0.25">
      <c r="F430" s="25">
        <f t="shared" si="16"/>
        <v>0</v>
      </c>
      <c r="G430" s="8">
        <f t="shared" si="17"/>
        <v>0</v>
      </c>
    </row>
    <row r="431" spans="1:7" x14ac:dyDescent="0.25">
      <c r="F431" s="25">
        <f t="shared" si="16"/>
        <v>0</v>
      </c>
      <c r="G431" s="8">
        <f t="shared" si="17"/>
        <v>0</v>
      </c>
    </row>
    <row r="432" spans="1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1" bestFit="1" customWidth="1"/>
  </cols>
  <sheetData>
    <row r="1" spans="1:13" ht="45.75" x14ac:dyDescent="0.3">
      <c r="A1" s="14" t="s">
        <v>25</v>
      </c>
      <c r="C1" s="17" t="s">
        <v>46</v>
      </c>
      <c r="J1" s="39" t="s">
        <v>84</v>
      </c>
      <c r="K1" s="39" t="s">
        <v>85</v>
      </c>
      <c r="L1" s="39" t="s">
        <v>86</v>
      </c>
    </row>
    <row r="2" spans="1:13" ht="15.75" thickBot="1" x14ac:dyDescent="0.3">
      <c r="A2" s="15">
        <v>42576</v>
      </c>
      <c r="B2" s="4"/>
      <c r="C2" s="99">
        <v>50</v>
      </c>
      <c r="F2" t="s">
        <v>62</v>
      </c>
      <c r="J2" s="39" t="s">
        <v>84</v>
      </c>
      <c r="K2" s="39" t="s">
        <v>85</v>
      </c>
      <c r="L2" s="39" t="s">
        <v>86</v>
      </c>
    </row>
    <row r="3" spans="1:13" x14ac:dyDescent="0.25">
      <c r="F3" t="s">
        <v>63</v>
      </c>
      <c r="J3" s="40" t="s">
        <v>87</v>
      </c>
      <c r="K3" s="41">
        <v>2.7052</v>
      </c>
      <c r="L3" s="41">
        <v>2.7349999999999999</v>
      </c>
      <c r="M3" s="91">
        <f t="shared" ref="M3:M14" si="0">AVERAGE(K3:L3)</f>
        <v>2.7201</v>
      </c>
    </row>
    <row r="4" spans="1:13" x14ac:dyDescent="0.25">
      <c r="F4" t="s">
        <v>64</v>
      </c>
      <c r="J4" s="40" t="s">
        <v>88</v>
      </c>
      <c r="K4" s="41">
        <v>3.0830000000000002</v>
      </c>
      <c r="L4" s="41">
        <v>3.097</v>
      </c>
      <c r="M4" s="91">
        <f t="shared" si="0"/>
        <v>3.09</v>
      </c>
    </row>
    <row r="5" spans="1:13" x14ac:dyDescent="0.25">
      <c r="J5" s="40" t="s">
        <v>89</v>
      </c>
      <c r="K5" s="41">
        <v>3.3136000000000001</v>
      </c>
      <c r="L5" s="41">
        <v>3.3256999999999999</v>
      </c>
      <c r="M5" s="91">
        <f t="shared" si="0"/>
        <v>3.3196500000000002</v>
      </c>
    </row>
    <row r="6" spans="1:13" x14ac:dyDescent="0.25">
      <c r="J6" s="40" t="s">
        <v>90</v>
      </c>
      <c r="K6" s="41">
        <v>4.2778999999999998</v>
      </c>
      <c r="L6" s="41">
        <v>4.2961</v>
      </c>
      <c r="M6" s="91">
        <f t="shared" si="0"/>
        <v>4.2869999999999999</v>
      </c>
    </row>
    <row r="7" spans="1:13" x14ac:dyDescent="0.25">
      <c r="J7" s="40" t="s">
        <v>91</v>
      </c>
      <c r="K7" s="41">
        <v>4.7865000000000002</v>
      </c>
      <c r="L7" s="41">
        <v>4.8048000000000002</v>
      </c>
      <c r="M7" s="91">
        <f t="shared" si="0"/>
        <v>4.7956500000000002</v>
      </c>
    </row>
    <row r="8" spans="1:13" x14ac:dyDescent="0.25">
      <c r="J8" s="40" t="s">
        <v>92</v>
      </c>
      <c r="K8" s="41">
        <v>5.3155000000000001</v>
      </c>
      <c r="L8" s="41">
        <v>5.3277000000000001</v>
      </c>
      <c r="M8" s="91">
        <f t="shared" si="0"/>
        <v>5.3216000000000001</v>
      </c>
    </row>
    <row r="9" spans="1:13" x14ac:dyDescent="0.25">
      <c r="J9" s="40" t="s">
        <v>93</v>
      </c>
      <c r="K9" s="41">
        <v>5.8117000000000001</v>
      </c>
      <c r="L9" s="41">
        <v>5.8300999999999998</v>
      </c>
      <c r="M9" s="91">
        <f t="shared" si="0"/>
        <v>5.8209</v>
      </c>
    </row>
    <row r="10" spans="1:13" x14ac:dyDescent="0.25">
      <c r="J10" s="40" t="s">
        <v>94</v>
      </c>
      <c r="K10" s="41">
        <v>5.8783000000000003</v>
      </c>
      <c r="L10" s="41">
        <v>5.8903999999999996</v>
      </c>
      <c r="M10" s="91">
        <f t="shared" si="0"/>
        <v>5.8843499999999995</v>
      </c>
    </row>
    <row r="11" spans="1:13" x14ac:dyDescent="0.25">
      <c r="J11" s="40" t="s">
        <v>95</v>
      </c>
      <c r="K11" s="41">
        <v>6.3068</v>
      </c>
      <c r="L11" s="41">
        <v>6.3308999999999997</v>
      </c>
      <c r="M11" s="91">
        <f t="shared" si="0"/>
        <v>6.3188499999999994</v>
      </c>
    </row>
    <row r="12" spans="1:13" x14ac:dyDescent="0.25">
      <c r="J12" s="40" t="s">
        <v>96</v>
      </c>
      <c r="K12" s="41">
        <v>7.8349000000000002</v>
      </c>
      <c r="L12" s="41">
        <v>7.8468999999999998</v>
      </c>
      <c r="M12" s="91">
        <f t="shared" si="0"/>
        <v>7.8408999999999995</v>
      </c>
    </row>
    <row r="13" spans="1:13" x14ac:dyDescent="0.25">
      <c r="J13" s="40" t="s">
        <v>97</v>
      </c>
      <c r="K13" s="41">
        <v>10.373799999999999</v>
      </c>
      <c r="L13" s="41">
        <v>10.38</v>
      </c>
      <c r="M13" s="91">
        <f t="shared" si="0"/>
        <v>10.376899999999999</v>
      </c>
    </row>
    <row r="14" spans="1:13" x14ac:dyDescent="0.25">
      <c r="J14" s="40" t="s">
        <v>98</v>
      </c>
      <c r="K14" s="41">
        <v>10.8954</v>
      </c>
      <c r="L14" s="41">
        <v>10.913500000000001</v>
      </c>
      <c r="M14" s="91">
        <f t="shared" si="0"/>
        <v>10.904450000000001</v>
      </c>
    </row>
    <row r="15" spans="1:13" x14ac:dyDescent="0.25">
      <c r="J15" s="40"/>
      <c r="K15" s="41"/>
      <c r="L15" s="41"/>
    </row>
    <row r="16" spans="1:13" x14ac:dyDescent="0.25">
      <c r="J16" s="40"/>
      <c r="K16" s="41"/>
      <c r="L16" s="41"/>
    </row>
    <row r="17" spans="10:13" x14ac:dyDescent="0.25">
      <c r="J17" s="40"/>
      <c r="K17" s="41"/>
      <c r="L17" s="41"/>
    </row>
    <row r="18" spans="10:13" x14ac:dyDescent="0.25">
      <c r="J18" s="40" t="s">
        <v>130</v>
      </c>
      <c r="K18" s="41"/>
      <c r="L18" s="41"/>
      <c r="M18" s="91" t="str">
        <f>"""C:\Program Files (x86)\AstroGrep\AstroGrep.exe"""</f>
        <v>"C:\Program Files (x86)\AstroGrep\AstroGrep.exe"</v>
      </c>
    </row>
    <row r="19" spans="10:13" x14ac:dyDescent="0.25">
      <c r="J19" s="40" t="s">
        <v>131</v>
      </c>
      <c r="K19" s="41"/>
      <c r="L19" s="41"/>
      <c r="M19" s="91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132</v>
      </c>
      <c r="M20" s="91" t="s">
        <v>133</v>
      </c>
    </row>
    <row r="21" spans="10:13" x14ac:dyDescent="0.25">
      <c r="J21" s="25" t="s">
        <v>136</v>
      </c>
      <c r="K21" s="25" t="s">
        <v>137</v>
      </c>
      <c r="M21" s="91" t="s">
        <v>137</v>
      </c>
    </row>
    <row r="22" spans="10:13" x14ac:dyDescent="0.25">
      <c r="J22" s="25" t="s">
        <v>138</v>
      </c>
      <c r="K22" s="25" t="s">
        <v>139</v>
      </c>
      <c r="M22" s="91" t="s">
        <v>139</v>
      </c>
    </row>
    <row r="23" spans="10:13" x14ac:dyDescent="0.25">
      <c r="J23" s="36" t="s">
        <v>141</v>
      </c>
      <c r="K23" s="25"/>
      <c r="M23" s="91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2016-07-26T16:29:52Z</dcterms:modified>
</cp:coreProperties>
</file>