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Enforcements!$A$6:$N$73</definedName>
    <definedName name="_xlnm._FilterDatabase" localSheetId="2" hidden="1">'Missing Trips'!$A$2:$G$2</definedName>
    <definedName name="_xlnm._FilterDatabase" localSheetId="0" hidden="1">'Train Runs'!$A$12:$AC$160</definedName>
    <definedName name="_xlnm._FilterDatabase" localSheetId="3" hidden="1">'Trips&amp;Operators'!$A$1:$E$211</definedName>
    <definedName name="Denver_Train_Runs_04122016" localSheetId="0">'Train Runs'!$A$12:$J$140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0" i="1" l="1"/>
  <c r="X101" i="1"/>
  <c r="X102" i="1"/>
  <c r="X103" i="1"/>
  <c r="X104" i="1"/>
  <c r="X105" i="1"/>
  <c r="X106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U93" i="1" s="1"/>
  <c r="Z93" i="1"/>
  <c r="AB93" i="1"/>
  <c r="AC93" i="1"/>
  <c r="T94" i="1"/>
  <c r="V94" i="1"/>
  <c r="X94" i="1"/>
  <c r="Y94" i="1"/>
  <c r="Z94" i="1"/>
  <c r="AB94" i="1"/>
  <c r="AC94" i="1"/>
  <c r="Y80" i="1"/>
  <c r="Z80" i="1"/>
  <c r="AA80" i="1" s="1"/>
  <c r="Y81" i="1"/>
  <c r="Z81" i="1"/>
  <c r="Y82" i="1"/>
  <c r="Z82" i="1"/>
  <c r="Y83" i="1"/>
  <c r="Z83" i="1"/>
  <c r="Y84" i="1"/>
  <c r="Z84" i="1"/>
  <c r="X68" i="1"/>
  <c r="X69" i="1"/>
  <c r="X70" i="1"/>
  <c r="X71" i="1"/>
  <c r="X72" i="1"/>
  <c r="X73" i="1"/>
  <c r="AA91" i="1" l="1"/>
  <c r="W91" i="1" s="1"/>
  <c r="AA83" i="1"/>
  <c r="AA81" i="1"/>
  <c r="AA84" i="1"/>
  <c r="AA82" i="1"/>
  <c r="AA92" i="1"/>
  <c r="W92" i="1" s="1"/>
  <c r="AA94" i="1"/>
  <c r="W94" i="1" s="1"/>
  <c r="AA93" i="1"/>
  <c r="W93" i="1" s="1"/>
  <c r="U91" i="1"/>
  <c r="U94" i="1"/>
  <c r="U92" i="1"/>
  <c r="K160" i="1" l="1"/>
  <c r="L160" i="1"/>
  <c r="M160" i="1"/>
  <c r="N160" i="1" s="1"/>
  <c r="K21" i="1"/>
  <c r="L21" i="1"/>
  <c r="M21" i="1"/>
  <c r="P21" i="1" s="1"/>
  <c r="T21" i="1"/>
  <c r="V21" i="1"/>
  <c r="X21" i="1"/>
  <c r="Y21" i="1"/>
  <c r="Z21" i="1"/>
  <c r="AB21" i="1"/>
  <c r="AC21" i="1"/>
  <c r="K23" i="1"/>
  <c r="L23" i="1"/>
  <c r="M23" i="1"/>
  <c r="P23" i="1" s="1"/>
  <c r="T23" i="1"/>
  <c r="V23" i="1"/>
  <c r="X23" i="1"/>
  <c r="Y23" i="1"/>
  <c r="U23" i="1" s="1"/>
  <c r="S23" i="1" s="1"/>
  <c r="Z23" i="1"/>
  <c r="AB23" i="1"/>
  <c r="AC23" i="1"/>
  <c r="K59" i="1"/>
  <c r="L59" i="1"/>
  <c r="M59" i="1"/>
  <c r="P59" i="1" s="1"/>
  <c r="T59" i="1"/>
  <c r="V59" i="1"/>
  <c r="X59" i="1"/>
  <c r="Y59" i="1"/>
  <c r="Z59" i="1"/>
  <c r="AA59" i="1" s="1"/>
  <c r="W59" i="1" s="1"/>
  <c r="AB59" i="1"/>
  <c r="AC59" i="1"/>
  <c r="K91" i="1"/>
  <c r="L91" i="1"/>
  <c r="M91" i="1"/>
  <c r="P91" i="1" s="1"/>
  <c r="K121" i="1"/>
  <c r="L121" i="1"/>
  <c r="M121" i="1"/>
  <c r="P121" i="1" s="1"/>
  <c r="T121" i="1"/>
  <c r="V121" i="1"/>
  <c r="X121" i="1"/>
  <c r="Y121" i="1"/>
  <c r="Z121" i="1"/>
  <c r="AB121" i="1"/>
  <c r="AC121" i="1"/>
  <c r="K123" i="1"/>
  <c r="L123" i="1"/>
  <c r="M123" i="1"/>
  <c r="P123" i="1" s="1"/>
  <c r="T123" i="1"/>
  <c r="V123" i="1"/>
  <c r="X123" i="1"/>
  <c r="Y123" i="1"/>
  <c r="Z123" i="1"/>
  <c r="AB123" i="1"/>
  <c r="AC123" i="1"/>
  <c r="X156" i="1"/>
  <c r="X157" i="1"/>
  <c r="X158" i="1"/>
  <c r="X146" i="1"/>
  <c r="X147" i="1"/>
  <c r="X148" i="1"/>
  <c r="X149" i="1"/>
  <c r="X131" i="1"/>
  <c r="X132" i="1"/>
  <c r="X133" i="1"/>
  <c r="X99" i="1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X67" i="1"/>
  <c r="AA21" i="1" l="1"/>
  <c r="W21" i="1" s="1"/>
  <c r="U59" i="1"/>
  <c r="AA123" i="1"/>
  <c r="W123" i="1" s="1"/>
  <c r="AA121" i="1"/>
  <c r="W121" i="1" s="1"/>
  <c r="AA23" i="1"/>
  <c r="W23" i="1" s="1"/>
  <c r="U121" i="1"/>
  <c r="S121" i="1" s="1"/>
  <c r="U123" i="1"/>
  <c r="S123" i="1" s="1"/>
  <c r="U21" i="1"/>
  <c r="S21" i="1" s="1"/>
  <c r="S91" i="1"/>
  <c r="S59" i="1"/>
  <c r="P74" i="3"/>
  <c r="Q74" i="3"/>
  <c r="P75" i="3"/>
  <c r="Q75" i="3"/>
  <c r="P76" i="3"/>
  <c r="Q76" i="3"/>
  <c r="L36" i="3"/>
  <c r="P77" i="3"/>
  <c r="Q77" i="3"/>
  <c r="L38" i="3"/>
  <c r="P78" i="3"/>
  <c r="Q78" i="3"/>
  <c r="P79" i="3"/>
  <c r="Q79" i="3"/>
  <c r="P80" i="3"/>
  <c r="Q80" i="3"/>
  <c r="P81" i="3"/>
  <c r="Q81" i="3"/>
  <c r="L37" i="3"/>
  <c r="P82" i="3"/>
  <c r="Q82" i="3"/>
  <c r="P83" i="3"/>
  <c r="Q83" i="3"/>
  <c r="P84" i="3"/>
  <c r="Q84" i="3"/>
  <c r="P85" i="3"/>
  <c r="Q85" i="3"/>
  <c r="P86" i="3"/>
  <c r="Q86" i="3"/>
  <c r="L26" i="3"/>
  <c r="P87" i="3"/>
  <c r="Q87" i="3"/>
  <c r="L64" i="3"/>
  <c r="P88" i="3"/>
  <c r="Q88" i="3"/>
  <c r="L63" i="3"/>
  <c r="P89" i="3"/>
  <c r="Q89" i="3"/>
  <c r="L65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L39" i="3"/>
  <c r="P105" i="3"/>
  <c r="Q105" i="3"/>
  <c r="L66" i="3"/>
  <c r="P106" i="3"/>
  <c r="Q106" i="3"/>
  <c r="L16" i="3"/>
  <c r="P107" i="3"/>
  <c r="Q107" i="3"/>
  <c r="P108" i="3"/>
  <c r="Q108" i="3"/>
  <c r="P109" i="3"/>
  <c r="Q109" i="3"/>
  <c r="L67" i="3"/>
  <c r="P110" i="3"/>
  <c r="Q110" i="3"/>
  <c r="P111" i="3"/>
  <c r="Q111" i="3"/>
  <c r="P112" i="3"/>
  <c r="Q112" i="3"/>
  <c r="P113" i="3"/>
  <c r="Q113" i="3"/>
  <c r="L42" i="3"/>
  <c r="P114" i="3"/>
  <c r="Q114" i="3"/>
  <c r="P115" i="3"/>
  <c r="Q115" i="3"/>
  <c r="P116" i="3"/>
  <c r="Q116" i="3"/>
  <c r="P117" i="3"/>
  <c r="Q117" i="3"/>
  <c r="L68" i="3"/>
  <c r="P118" i="3"/>
  <c r="Q118" i="3"/>
  <c r="P119" i="3"/>
  <c r="Q119" i="3"/>
  <c r="P120" i="3"/>
  <c r="Q120" i="3"/>
  <c r="L69" i="3"/>
  <c r="P121" i="3"/>
  <c r="Q121" i="3"/>
  <c r="P122" i="3"/>
  <c r="Q122" i="3"/>
  <c r="L27" i="3"/>
  <c r="P123" i="3"/>
  <c r="Q123" i="3"/>
  <c r="L7" i="3"/>
  <c r="P124" i="3"/>
  <c r="Q124" i="3"/>
  <c r="L70" i="3"/>
  <c r="P125" i="3"/>
  <c r="Q125" i="3"/>
  <c r="T155" i="1"/>
  <c r="T156" i="1"/>
  <c r="T157" i="1"/>
  <c r="T158" i="1"/>
  <c r="T159" i="1"/>
  <c r="T160" i="1"/>
  <c r="U142" i="1"/>
  <c r="U61" i="1"/>
  <c r="U80" i="1"/>
  <c r="U100" i="1"/>
  <c r="V155" i="1"/>
  <c r="X155" i="1"/>
  <c r="Y155" i="1"/>
  <c r="Z155" i="1"/>
  <c r="AB155" i="1"/>
  <c r="AC155" i="1"/>
  <c r="V156" i="1"/>
  <c r="Y156" i="1"/>
  <c r="Z156" i="1"/>
  <c r="AB156" i="1"/>
  <c r="AC156" i="1"/>
  <c r="V157" i="1"/>
  <c r="Y157" i="1"/>
  <c r="Z157" i="1"/>
  <c r="AB157" i="1"/>
  <c r="AC157" i="1"/>
  <c r="V158" i="1"/>
  <c r="Y158" i="1"/>
  <c r="Z158" i="1"/>
  <c r="AB158" i="1"/>
  <c r="AC158" i="1"/>
  <c r="V159" i="1"/>
  <c r="X159" i="1"/>
  <c r="Y159" i="1"/>
  <c r="Z159" i="1"/>
  <c r="AB159" i="1"/>
  <c r="AC159" i="1"/>
  <c r="V160" i="1"/>
  <c r="X160" i="1"/>
  <c r="Y160" i="1"/>
  <c r="Z160" i="1"/>
  <c r="AB160" i="1"/>
  <c r="AC160" i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K157" i="1"/>
  <c r="L157" i="1"/>
  <c r="M157" i="1"/>
  <c r="N157" i="1" s="1"/>
  <c r="K158" i="1"/>
  <c r="L158" i="1"/>
  <c r="M158" i="1"/>
  <c r="N158" i="1" s="1"/>
  <c r="K159" i="1"/>
  <c r="L159" i="1"/>
  <c r="M159" i="1"/>
  <c r="N159" i="1" s="1"/>
  <c r="AA155" i="1" l="1"/>
  <c r="W155" i="1" s="1"/>
  <c r="AA160" i="1"/>
  <c r="W160" i="1" s="1"/>
  <c r="AA158" i="1"/>
  <c r="W158" i="1" s="1"/>
  <c r="AA157" i="1"/>
  <c r="W157" i="1" s="1"/>
  <c r="AA156" i="1"/>
  <c r="W156" i="1" s="1"/>
  <c r="U160" i="1"/>
  <c r="S160" i="1" s="1"/>
  <c r="U156" i="1"/>
  <c r="S156" i="1" s="1"/>
  <c r="U158" i="1"/>
  <c r="S158" i="1" s="1"/>
  <c r="U157" i="1"/>
  <c r="S157" i="1" s="1"/>
  <c r="U155" i="1"/>
  <c r="S155" i="1" s="1"/>
  <c r="U159" i="1"/>
  <c r="S159" i="1" s="1"/>
  <c r="AA159" i="1"/>
  <c r="W159" i="1" s="1"/>
  <c r="K80" i="1" l="1"/>
  <c r="L80" i="1"/>
  <c r="M80" i="1"/>
  <c r="N80" i="1" s="1"/>
  <c r="T80" i="1"/>
  <c r="V80" i="1"/>
  <c r="X80" i="1"/>
  <c r="S80" i="1"/>
  <c r="W80" i="1"/>
  <c r="AB80" i="1"/>
  <c r="AC80" i="1"/>
  <c r="X65" i="1"/>
  <c r="X66" i="1"/>
  <c r="X74" i="1"/>
  <c r="X75" i="1"/>
  <c r="X76" i="1"/>
  <c r="X77" i="1"/>
  <c r="T141" i="1"/>
  <c r="V141" i="1"/>
  <c r="X141" i="1"/>
  <c r="Y141" i="1"/>
  <c r="Z141" i="1"/>
  <c r="AB141" i="1"/>
  <c r="AC141" i="1"/>
  <c r="T68" i="1"/>
  <c r="V68" i="1"/>
  <c r="Y68" i="1"/>
  <c r="Z68" i="1"/>
  <c r="AB68" i="1"/>
  <c r="AC68" i="1"/>
  <c r="K141" i="1"/>
  <c r="L141" i="1"/>
  <c r="M141" i="1"/>
  <c r="N141" i="1" s="1"/>
  <c r="K68" i="1"/>
  <c r="L68" i="1"/>
  <c r="M68" i="1"/>
  <c r="N68" i="1" s="1"/>
  <c r="X125" i="1"/>
  <c r="X126" i="1"/>
  <c r="X127" i="1"/>
  <c r="X124" i="1"/>
  <c r="X41" i="1"/>
  <c r="X40" i="1"/>
  <c r="X42" i="1"/>
  <c r="X44" i="1"/>
  <c r="X43" i="1"/>
  <c r="X45" i="1"/>
  <c r="X28" i="1"/>
  <c r="X29" i="1"/>
  <c r="X30" i="1"/>
  <c r="X31" i="1"/>
  <c r="X32" i="1"/>
  <c r="X33" i="1"/>
  <c r="X34" i="1"/>
  <c r="X35" i="1"/>
  <c r="L52" i="3"/>
  <c r="L44" i="3"/>
  <c r="L30" i="3"/>
  <c r="L31" i="3"/>
  <c r="L50" i="3"/>
  <c r="L13" i="3"/>
  <c r="L51" i="3"/>
  <c r="L18" i="3"/>
  <c r="L21" i="3"/>
  <c r="L53" i="3"/>
  <c r="L28" i="3"/>
  <c r="L17" i="3"/>
  <c r="L32" i="3"/>
  <c r="L20" i="3"/>
  <c r="L48" i="3"/>
  <c r="L14" i="3"/>
  <c r="L54" i="3"/>
  <c r="L45" i="3"/>
  <c r="L8" i="3"/>
  <c r="L46" i="3"/>
  <c r="L33" i="3"/>
  <c r="L22" i="3"/>
  <c r="L23" i="3"/>
  <c r="L24" i="3"/>
  <c r="L34" i="3"/>
  <c r="L47" i="3"/>
  <c r="L19" i="3"/>
  <c r="L55" i="3"/>
  <c r="L56" i="3"/>
  <c r="L57" i="3"/>
  <c r="L59" i="3"/>
  <c r="L25" i="3"/>
  <c r="L43" i="3"/>
  <c r="L49" i="3"/>
  <c r="L29" i="3"/>
  <c r="L15" i="3"/>
  <c r="L41" i="3"/>
  <c r="L58" i="3"/>
  <c r="L10" i="3"/>
  <c r="L40" i="3"/>
  <c r="L60" i="3"/>
  <c r="L9" i="3"/>
  <c r="L61" i="3"/>
  <c r="L62" i="3"/>
  <c r="L11" i="3"/>
  <c r="L35" i="3"/>
  <c r="U141" i="1" l="1"/>
  <c r="S141" i="1" s="1"/>
  <c r="U68" i="1"/>
  <c r="S68" i="1" s="1"/>
  <c r="AA68" i="1"/>
  <c r="W68" i="1" s="1"/>
  <c r="AA141" i="1"/>
  <c r="W141" i="1" s="1"/>
  <c r="K105" i="1"/>
  <c r="L105" i="1"/>
  <c r="M105" i="1"/>
  <c r="N105" i="1" s="1"/>
  <c r="T105" i="1"/>
  <c r="V105" i="1"/>
  <c r="Y105" i="1"/>
  <c r="Z105" i="1"/>
  <c r="AB105" i="1"/>
  <c r="AC105" i="1"/>
  <c r="K130" i="1"/>
  <c r="L130" i="1"/>
  <c r="M130" i="1"/>
  <c r="N130" i="1" s="1"/>
  <c r="T130" i="1"/>
  <c r="V130" i="1"/>
  <c r="X130" i="1"/>
  <c r="Y130" i="1"/>
  <c r="Z130" i="1"/>
  <c r="AB130" i="1"/>
  <c r="AC130" i="1"/>
  <c r="X150" i="1"/>
  <c r="X151" i="1"/>
  <c r="X152" i="1"/>
  <c r="X153" i="1"/>
  <c r="X154" i="1"/>
  <c r="Q73" i="3"/>
  <c r="S61" i="1"/>
  <c r="S100" i="1"/>
  <c r="S142" i="1"/>
  <c r="U130" i="1" l="1"/>
  <c r="S130" i="1" s="1"/>
  <c r="U105" i="1"/>
  <c r="S105" i="1" s="1"/>
  <c r="AA130" i="1"/>
  <c r="W130" i="1" s="1"/>
  <c r="AA105" i="1"/>
  <c r="W105" i="1" s="1"/>
  <c r="T154" i="1"/>
  <c r="V154" i="1"/>
  <c r="Y154" i="1"/>
  <c r="Z154" i="1"/>
  <c r="AB154" i="1"/>
  <c r="AC154" i="1"/>
  <c r="U154" i="1" l="1"/>
  <c r="S154" i="1" s="1"/>
  <c r="AA154" i="1"/>
  <c r="W154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2" i="1"/>
  <c r="AC22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1" i="1"/>
  <c r="AC41" i="1"/>
  <c r="AB40" i="1"/>
  <c r="AC40" i="1"/>
  <c r="AB42" i="1"/>
  <c r="AC42" i="1"/>
  <c r="AB44" i="1"/>
  <c r="AC44" i="1"/>
  <c r="AB43" i="1"/>
  <c r="AC43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2" i="1"/>
  <c r="AC82" i="1"/>
  <c r="AB81" i="1"/>
  <c r="AC81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6" i="1"/>
  <c r="AC106" i="1"/>
  <c r="AB107" i="1"/>
  <c r="AC107" i="1"/>
  <c r="AB108" i="1"/>
  <c r="AC108" i="1"/>
  <c r="AB109" i="1"/>
  <c r="AC109" i="1"/>
  <c r="AB110" i="1"/>
  <c r="AC110" i="1"/>
  <c r="AB112" i="1"/>
  <c r="AC112" i="1"/>
  <c r="AB111" i="1"/>
  <c r="AC111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2" i="1"/>
  <c r="AC122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50" i="1"/>
  <c r="AC150" i="1"/>
  <c r="AB149" i="1"/>
  <c r="AC149" i="1"/>
  <c r="AB151" i="1"/>
  <c r="AC151" i="1"/>
  <c r="AB152" i="1"/>
  <c r="AC152" i="1"/>
  <c r="AB153" i="1"/>
  <c r="AC153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60" i="1" l="1"/>
  <c r="X60" i="1"/>
  <c r="Y60" i="1"/>
  <c r="Z60" i="1"/>
  <c r="V61" i="1"/>
  <c r="X61" i="1"/>
  <c r="AA61" i="1"/>
  <c r="W61" i="1" s="1"/>
  <c r="V99" i="1"/>
  <c r="Y99" i="1"/>
  <c r="Z99" i="1"/>
  <c r="V100" i="1"/>
  <c r="AA100" i="1"/>
  <c r="W100" i="1" s="1"/>
  <c r="V142" i="1"/>
  <c r="X142" i="1"/>
  <c r="AA142" i="1"/>
  <c r="W142" i="1" s="1"/>
  <c r="V143" i="1"/>
  <c r="X143" i="1"/>
  <c r="Y143" i="1"/>
  <c r="Z143" i="1"/>
  <c r="K100" i="1"/>
  <c r="L100" i="1"/>
  <c r="M100" i="1"/>
  <c r="N100" i="1" s="1"/>
  <c r="K142" i="1"/>
  <c r="L142" i="1"/>
  <c r="M142" i="1"/>
  <c r="N142" i="1" s="1"/>
  <c r="K61" i="1"/>
  <c r="L61" i="1"/>
  <c r="M61" i="1"/>
  <c r="N61" i="1" s="1"/>
  <c r="T100" i="1"/>
  <c r="T142" i="1"/>
  <c r="T61" i="1"/>
  <c r="X111" i="1"/>
  <c r="X113" i="1"/>
  <c r="X114" i="1"/>
  <c r="X115" i="1"/>
  <c r="X81" i="1"/>
  <c r="X83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9" i="3"/>
  <c r="Q31" i="3"/>
  <c r="Q36" i="3"/>
  <c r="Q37" i="3"/>
  <c r="Q38" i="3"/>
  <c r="Q32" i="3"/>
  <c r="Q33" i="3"/>
  <c r="Q40" i="3"/>
  <c r="Q41" i="3"/>
  <c r="Q42" i="3"/>
  <c r="Q34" i="3"/>
  <c r="Q35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L12" i="3"/>
  <c r="Z153" i="1"/>
  <c r="Y153" i="1"/>
  <c r="V153" i="1"/>
  <c r="T153" i="1"/>
  <c r="M153" i="1"/>
  <c r="N153" i="1" s="1"/>
  <c r="L153" i="1"/>
  <c r="K153" i="1"/>
  <c r="Z152" i="1"/>
  <c r="Y152" i="1"/>
  <c r="U152" i="1" s="1"/>
  <c r="V152" i="1"/>
  <c r="T152" i="1"/>
  <c r="M152" i="1"/>
  <c r="N152" i="1" s="1"/>
  <c r="L152" i="1"/>
  <c r="K152" i="1"/>
  <c r="Z151" i="1"/>
  <c r="Y151" i="1"/>
  <c r="V151" i="1"/>
  <c r="T151" i="1"/>
  <c r="M151" i="1"/>
  <c r="N151" i="1" s="1"/>
  <c r="L151" i="1"/>
  <c r="K151" i="1"/>
  <c r="Z149" i="1"/>
  <c r="Y149" i="1"/>
  <c r="V149" i="1"/>
  <c r="T149" i="1"/>
  <c r="M149" i="1"/>
  <c r="N149" i="1" s="1"/>
  <c r="L149" i="1"/>
  <c r="K149" i="1"/>
  <c r="Z150" i="1"/>
  <c r="Y150" i="1"/>
  <c r="V150" i="1"/>
  <c r="T150" i="1"/>
  <c r="M150" i="1"/>
  <c r="N150" i="1" s="1"/>
  <c r="L150" i="1"/>
  <c r="K150" i="1"/>
  <c r="Z148" i="1"/>
  <c r="Y148" i="1"/>
  <c r="U148" i="1" s="1"/>
  <c r="V148" i="1"/>
  <c r="T148" i="1"/>
  <c r="M148" i="1"/>
  <c r="N148" i="1" s="1"/>
  <c r="L148" i="1"/>
  <c r="K148" i="1"/>
  <c r="Z147" i="1"/>
  <c r="Y147" i="1"/>
  <c r="V147" i="1"/>
  <c r="T147" i="1"/>
  <c r="M147" i="1"/>
  <c r="N147" i="1" s="1"/>
  <c r="L147" i="1"/>
  <c r="K147" i="1"/>
  <c r="Y146" i="1"/>
  <c r="U146" i="1" s="1"/>
  <c r="V146" i="1"/>
  <c r="T146" i="1"/>
  <c r="M146" i="1"/>
  <c r="P146" i="1" s="1"/>
  <c r="L146" i="1"/>
  <c r="K146" i="1"/>
  <c r="Z145" i="1"/>
  <c r="Y145" i="1"/>
  <c r="X145" i="1"/>
  <c r="V145" i="1"/>
  <c r="T145" i="1"/>
  <c r="M145" i="1"/>
  <c r="N145" i="1" s="1"/>
  <c r="L145" i="1"/>
  <c r="K145" i="1"/>
  <c r="Z144" i="1"/>
  <c r="Y144" i="1"/>
  <c r="X144" i="1"/>
  <c r="V144" i="1"/>
  <c r="T144" i="1"/>
  <c r="M144" i="1"/>
  <c r="N144" i="1" s="1"/>
  <c r="L144" i="1"/>
  <c r="K144" i="1"/>
  <c r="T143" i="1"/>
  <c r="M143" i="1"/>
  <c r="N143" i="1" s="1"/>
  <c r="L143" i="1"/>
  <c r="K143" i="1"/>
  <c r="Z140" i="1"/>
  <c r="Y140" i="1"/>
  <c r="X140" i="1"/>
  <c r="V140" i="1"/>
  <c r="T140" i="1"/>
  <c r="M140" i="1"/>
  <c r="N140" i="1" s="1"/>
  <c r="L140" i="1"/>
  <c r="K140" i="1"/>
  <c r="Z139" i="1"/>
  <c r="Y139" i="1"/>
  <c r="X139" i="1"/>
  <c r="V139" i="1"/>
  <c r="T139" i="1"/>
  <c r="M139" i="1"/>
  <c r="P139" i="1" s="1"/>
  <c r="L139" i="1"/>
  <c r="K139" i="1"/>
  <c r="T15" i="1"/>
  <c r="U149" i="1" l="1"/>
  <c r="U139" i="1"/>
  <c r="U140" i="1"/>
  <c r="S140" i="1" s="1"/>
  <c r="U150" i="1"/>
  <c r="U153" i="1"/>
  <c r="S153" i="1" s="1"/>
  <c r="U151" i="1"/>
  <c r="U147" i="1"/>
  <c r="S147" i="1" s="1"/>
  <c r="U144" i="1"/>
  <c r="S144" i="1" s="1"/>
  <c r="U99" i="1"/>
  <c r="S99" i="1" s="1"/>
  <c r="U143" i="1"/>
  <c r="S143" i="1" s="1"/>
  <c r="U60" i="1"/>
  <c r="S60" i="1" s="1"/>
  <c r="U145" i="1"/>
  <c r="S145" i="1" s="1"/>
  <c r="S148" i="1"/>
  <c r="S152" i="1"/>
  <c r="S151" i="1"/>
  <c r="S149" i="1"/>
  <c r="S146" i="1"/>
  <c r="S139" i="1"/>
  <c r="S150" i="1"/>
  <c r="M2" i="3"/>
  <c r="M3" i="3" s="1"/>
  <c r="AA60" i="1"/>
  <c r="W60" i="1" s="1"/>
  <c r="AA143" i="1"/>
  <c r="W143" i="1" s="1"/>
  <c r="AA99" i="1"/>
  <c r="W99" i="1" s="1"/>
  <c r="AA140" i="1"/>
  <c r="W140" i="1" s="1"/>
  <c r="AA150" i="1"/>
  <c r="W150" i="1" s="1"/>
  <c r="AA153" i="1"/>
  <c r="W153" i="1" s="1"/>
  <c r="AA151" i="1"/>
  <c r="W151" i="1" s="1"/>
  <c r="AA144" i="1"/>
  <c r="W144" i="1" s="1"/>
  <c r="AA146" i="1"/>
  <c r="W146" i="1" s="1"/>
  <c r="AA145" i="1"/>
  <c r="W145" i="1" s="1"/>
  <c r="AA149" i="1"/>
  <c r="W149" i="1" s="1"/>
  <c r="AA147" i="1"/>
  <c r="W147" i="1" s="1"/>
  <c r="AA139" i="1"/>
  <c r="W139" i="1" s="1"/>
  <c r="AA148" i="1"/>
  <c r="W148" i="1" s="1"/>
  <c r="AA152" i="1"/>
  <c r="W152" i="1" s="1"/>
  <c r="Q7" i="3"/>
  <c r="Q8" i="3"/>
  <c r="Q9" i="3"/>
  <c r="Q10" i="3"/>
  <c r="Q11" i="3"/>
  <c r="T14" i="1"/>
  <c r="T16" i="1"/>
  <c r="T17" i="1"/>
  <c r="T18" i="1"/>
  <c r="T19" i="1"/>
  <c r="T20" i="1"/>
  <c r="T22" i="1"/>
  <c r="T24" i="1"/>
  <c r="T25" i="1"/>
  <c r="T26" i="1"/>
  <c r="T27" i="1"/>
  <c r="T28" i="1"/>
  <c r="T29" i="1"/>
  <c r="T30" i="1"/>
  <c r="T31" i="1"/>
  <c r="T32" i="1"/>
  <c r="T33" i="1"/>
  <c r="T34" i="1"/>
  <c r="T36" i="1"/>
  <c r="T35" i="1"/>
  <c r="T37" i="1"/>
  <c r="T38" i="1"/>
  <c r="T39" i="1"/>
  <c r="T41" i="1"/>
  <c r="T40" i="1"/>
  <c r="T42" i="1"/>
  <c r="T44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60" i="1"/>
  <c r="T62" i="1"/>
  <c r="T63" i="1"/>
  <c r="T64" i="1"/>
  <c r="T65" i="1"/>
  <c r="T66" i="1"/>
  <c r="T67" i="1"/>
  <c r="T69" i="1"/>
  <c r="T70" i="1"/>
  <c r="T71" i="1"/>
  <c r="T72" i="1"/>
  <c r="T73" i="1"/>
  <c r="T74" i="1"/>
  <c r="T75" i="1"/>
  <c r="T76" i="1"/>
  <c r="T77" i="1"/>
  <c r="T78" i="1"/>
  <c r="T79" i="1"/>
  <c r="T82" i="1"/>
  <c r="T81" i="1"/>
  <c r="T83" i="1"/>
  <c r="T84" i="1"/>
  <c r="T86" i="1"/>
  <c r="T85" i="1"/>
  <c r="T87" i="1"/>
  <c r="T88" i="1"/>
  <c r="T89" i="1"/>
  <c r="T90" i="1"/>
  <c r="T95" i="1"/>
  <c r="T96" i="1"/>
  <c r="T97" i="1"/>
  <c r="T99" i="1"/>
  <c r="T98" i="1"/>
  <c r="T101" i="1"/>
  <c r="T102" i="1"/>
  <c r="T103" i="1"/>
  <c r="T104" i="1"/>
  <c r="T106" i="1"/>
  <c r="T107" i="1"/>
  <c r="T108" i="1"/>
  <c r="T109" i="1"/>
  <c r="T110" i="1"/>
  <c r="T112" i="1"/>
  <c r="T111" i="1"/>
  <c r="T114" i="1"/>
  <c r="T113" i="1"/>
  <c r="T115" i="1"/>
  <c r="T116" i="1"/>
  <c r="T117" i="1"/>
  <c r="T118" i="1"/>
  <c r="T119" i="1"/>
  <c r="T120" i="1"/>
  <c r="T122" i="1"/>
  <c r="T124" i="1"/>
  <c r="T125" i="1"/>
  <c r="T127" i="1"/>
  <c r="T126" i="1"/>
  <c r="T128" i="1"/>
  <c r="T129" i="1"/>
  <c r="T131" i="1"/>
  <c r="T132" i="1"/>
  <c r="T133" i="1"/>
  <c r="T134" i="1"/>
  <c r="T135" i="1"/>
  <c r="T136" i="1"/>
  <c r="T137" i="1"/>
  <c r="T138" i="1"/>
  <c r="T13" i="1"/>
  <c r="M42" i="1" l="1"/>
  <c r="N42" i="1" s="1"/>
  <c r="L42" i="1"/>
  <c r="K42" i="1"/>
  <c r="V129" i="1"/>
  <c r="X129" i="1"/>
  <c r="Y129" i="1"/>
  <c r="Z129" i="1"/>
  <c r="K132" i="1"/>
  <c r="L132" i="1"/>
  <c r="M132" i="1"/>
  <c r="N132" i="1" s="1"/>
  <c r="V131" i="1"/>
  <c r="Y131" i="1"/>
  <c r="Z131" i="1"/>
  <c r="K133" i="1"/>
  <c r="L133" i="1"/>
  <c r="M133" i="1"/>
  <c r="N133" i="1" s="1"/>
  <c r="K134" i="1"/>
  <c r="L134" i="1"/>
  <c r="M134" i="1"/>
  <c r="P134" i="1" s="1"/>
  <c r="V132" i="1"/>
  <c r="Y132" i="1"/>
  <c r="Z132" i="1"/>
  <c r="K135" i="1"/>
  <c r="L135" i="1"/>
  <c r="M135" i="1"/>
  <c r="V133" i="1"/>
  <c r="Y133" i="1"/>
  <c r="Z133" i="1"/>
  <c r="K136" i="1"/>
  <c r="L136" i="1"/>
  <c r="M136" i="1"/>
  <c r="N136" i="1" s="1"/>
  <c r="V134" i="1"/>
  <c r="X134" i="1"/>
  <c r="Y134" i="1"/>
  <c r="Z134" i="1"/>
  <c r="K137" i="1"/>
  <c r="L137" i="1"/>
  <c r="M137" i="1"/>
  <c r="N137" i="1" s="1"/>
  <c r="V135" i="1"/>
  <c r="X135" i="1"/>
  <c r="Y135" i="1"/>
  <c r="Z135" i="1"/>
  <c r="K138" i="1"/>
  <c r="L138" i="1"/>
  <c r="M138" i="1"/>
  <c r="N138" i="1" s="1"/>
  <c r="V136" i="1"/>
  <c r="X136" i="1"/>
  <c r="Y136" i="1"/>
  <c r="Z136" i="1"/>
  <c r="V137" i="1"/>
  <c r="X137" i="1"/>
  <c r="Y137" i="1"/>
  <c r="Z137" i="1"/>
  <c r="V138" i="1"/>
  <c r="X138" i="1"/>
  <c r="Y138" i="1"/>
  <c r="Z138" i="1"/>
  <c r="U134" i="1" l="1"/>
  <c r="U132" i="1"/>
  <c r="U136" i="1"/>
  <c r="S136" i="1" s="1"/>
  <c r="U129" i="1"/>
  <c r="S129" i="1" s="1"/>
  <c r="U135" i="1"/>
  <c r="S135" i="1" s="1"/>
  <c r="U138" i="1"/>
  <c r="S138" i="1" s="1"/>
  <c r="U131" i="1"/>
  <c r="S131" i="1" s="1"/>
  <c r="U137" i="1"/>
  <c r="S137" i="1" s="1"/>
  <c r="U133" i="1"/>
  <c r="S133" i="1" s="1"/>
  <c r="S132" i="1"/>
  <c r="S134" i="1"/>
  <c r="P73" i="3"/>
  <c r="AA132" i="1"/>
  <c r="W132" i="1" s="1"/>
  <c r="AA133" i="1"/>
  <c r="W133" i="1" s="1"/>
  <c r="AA129" i="1"/>
  <c r="W129" i="1" s="1"/>
  <c r="AA135" i="1"/>
  <c r="W135" i="1" s="1"/>
  <c r="AA134" i="1"/>
  <c r="W134" i="1" s="1"/>
  <c r="AA131" i="1"/>
  <c r="W131" i="1" s="1"/>
  <c r="AA136" i="1"/>
  <c r="W136" i="1" s="1"/>
  <c r="AA138" i="1"/>
  <c r="W138" i="1" s="1"/>
  <c r="AA137" i="1"/>
  <c r="W137" i="1" s="1"/>
  <c r="X63" i="1" l="1"/>
  <c r="X64" i="1"/>
  <c r="V15" i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2" i="1"/>
  <c r="X22" i="1"/>
  <c r="Y22" i="1"/>
  <c r="Z22" i="1"/>
  <c r="V24" i="1"/>
  <c r="X24" i="1"/>
  <c r="Y24" i="1"/>
  <c r="Z24" i="1"/>
  <c r="V25" i="1"/>
  <c r="X25" i="1"/>
  <c r="Y25" i="1"/>
  <c r="Z25" i="1"/>
  <c r="V26" i="1"/>
  <c r="X26" i="1"/>
  <c r="Y26" i="1"/>
  <c r="Z26" i="1"/>
  <c r="V27" i="1"/>
  <c r="X27" i="1"/>
  <c r="Y27" i="1"/>
  <c r="Z27" i="1"/>
  <c r="V28" i="1"/>
  <c r="Y28" i="1"/>
  <c r="Z28" i="1"/>
  <c r="V29" i="1"/>
  <c r="Y29" i="1"/>
  <c r="Z29" i="1"/>
  <c r="V30" i="1"/>
  <c r="Y30" i="1"/>
  <c r="Z30" i="1"/>
  <c r="V31" i="1"/>
  <c r="Y31" i="1"/>
  <c r="Z31" i="1"/>
  <c r="V32" i="1"/>
  <c r="Y32" i="1"/>
  <c r="Z32" i="1"/>
  <c r="V33" i="1"/>
  <c r="Y33" i="1"/>
  <c r="Z33" i="1"/>
  <c r="V34" i="1"/>
  <c r="Y34" i="1"/>
  <c r="Z34" i="1"/>
  <c r="V36" i="1"/>
  <c r="X36" i="1"/>
  <c r="Y36" i="1"/>
  <c r="Z36" i="1"/>
  <c r="V35" i="1"/>
  <c r="Y35" i="1"/>
  <c r="Z35" i="1"/>
  <c r="V37" i="1"/>
  <c r="X37" i="1"/>
  <c r="Y37" i="1"/>
  <c r="Z37" i="1"/>
  <c r="V38" i="1"/>
  <c r="X38" i="1"/>
  <c r="Y38" i="1"/>
  <c r="V39" i="1"/>
  <c r="X39" i="1"/>
  <c r="Y39" i="1"/>
  <c r="Z39" i="1"/>
  <c r="V41" i="1"/>
  <c r="Y41" i="1"/>
  <c r="Z41" i="1"/>
  <c r="V40" i="1"/>
  <c r="Y40" i="1"/>
  <c r="Z40" i="1"/>
  <c r="V42" i="1"/>
  <c r="Y42" i="1"/>
  <c r="Z42" i="1"/>
  <c r="V44" i="1"/>
  <c r="Y44" i="1"/>
  <c r="Z44" i="1"/>
  <c r="V43" i="1"/>
  <c r="Y43" i="1"/>
  <c r="Z43" i="1"/>
  <c r="V45" i="1"/>
  <c r="Y45" i="1"/>
  <c r="Z45" i="1"/>
  <c r="V46" i="1"/>
  <c r="X46" i="1"/>
  <c r="Y46" i="1"/>
  <c r="U46" i="1" s="1"/>
  <c r="V47" i="1"/>
  <c r="X47" i="1"/>
  <c r="Y47" i="1"/>
  <c r="U47" i="1" s="1"/>
  <c r="V48" i="1"/>
  <c r="X48" i="1"/>
  <c r="Y48" i="1"/>
  <c r="Z48" i="1"/>
  <c r="V49" i="1"/>
  <c r="X49" i="1"/>
  <c r="Y49" i="1"/>
  <c r="U49" i="1" s="1"/>
  <c r="Z49" i="1"/>
  <c r="V50" i="1"/>
  <c r="X50" i="1"/>
  <c r="Y50" i="1"/>
  <c r="Z50" i="1"/>
  <c r="V51" i="1"/>
  <c r="X51" i="1"/>
  <c r="Y51" i="1"/>
  <c r="Z51" i="1"/>
  <c r="V52" i="1"/>
  <c r="X52" i="1"/>
  <c r="Y52" i="1"/>
  <c r="Z52" i="1"/>
  <c r="V53" i="1"/>
  <c r="X53" i="1"/>
  <c r="Y53" i="1"/>
  <c r="Z53" i="1"/>
  <c r="V54" i="1"/>
  <c r="X54" i="1"/>
  <c r="Y54" i="1"/>
  <c r="Z54" i="1"/>
  <c r="V55" i="1"/>
  <c r="X55" i="1"/>
  <c r="Y55" i="1"/>
  <c r="U55" i="1" s="1"/>
  <c r="Z55" i="1"/>
  <c r="V56" i="1"/>
  <c r="X56" i="1"/>
  <c r="Y56" i="1"/>
  <c r="Z56" i="1"/>
  <c r="V57" i="1"/>
  <c r="X57" i="1"/>
  <c r="Y57" i="1"/>
  <c r="Z57" i="1"/>
  <c r="V58" i="1"/>
  <c r="X58" i="1"/>
  <c r="Y58" i="1"/>
  <c r="Z58" i="1"/>
  <c r="V62" i="1"/>
  <c r="X62" i="1"/>
  <c r="Y62" i="1"/>
  <c r="Z62" i="1"/>
  <c r="V63" i="1"/>
  <c r="Y63" i="1"/>
  <c r="Z63" i="1"/>
  <c r="V64" i="1"/>
  <c r="Y64" i="1"/>
  <c r="Z64" i="1"/>
  <c r="V65" i="1"/>
  <c r="Y65" i="1"/>
  <c r="Z65" i="1"/>
  <c r="V66" i="1"/>
  <c r="Y66" i="1"/>
  <c r="Z66" i="1"/>
  <c r="V67" i="1"/>
  <c r="Y67" i="1"/>
  <c r="Z67" i="1"/>
  <c r="V69" i="1"/>
  <c r="Y69" i="1"/>
  <c r="Z69" i="1"/>
  <c r="V70" i="1"/>
  <c r="Y70" i="1"/>
  <c r="Z70" i="1"/>
  <c r="V71" i="1"/>
  <c r="Y71" i="1"/>
  <c r="Z71" i="1"/>
  <c r="V72" i="1"/>
  <c r="Y72" i="1"/>
  <c r="Z72" i="1"/>
  <c r="V73" i="1"/>
  <c r="Y73" i="1"/>
  <c r="Z73" i="1"/>
  <c r="V74" i="1"/>
  <c r="Y74" i="1"/>
  <c r="Z74" i="1"/>
  <c r="V75" i="1"/>
  <c r="Y75" i="1"/>
  <c r="Z75" i="1"/>
  <c r="V76" i="1"/>
  <c r="Y76" i="1"/>
  <c r="Z76" i="1"/>
  <c r="V77" i="1"/>
  <c r="Y77" i="1"/>
  <c r="Z77" i="1"/>
  <c r="V78" i="1"/>
  <c r="X78" i="1"/>
  <c r="Y78" i="1"/>
  <c r="Z78" i="1"/>
  <c r="V79" i="1"/>
  <c r="X79" i="1"/>
  <c r="Y79" i="1"/>
  <c r="Z79" i="1"/>
  <c r="V82" i="1"/>
  <c r="X82" i="1"/>
  <c r="V81" i="1"/>
  <c r="V83" i="1"/>
  <c r="V84" i="1"/>
  <c r="X84" i="1"/>
  <c r="V86" i="1"/>
  <c r="X86" i="1"/>
  <c r="Y86" i="1"/>
  <c r="Z86" i="1"/>
  <c r="V85" i="1"/>
  <c r="X85" i="1"/>
  <c r="Y85" i="1"/>
  <c r="Z85" i="1"/>
  <c r="V87" i="1"/>
  <c r="X87" i="1"/>
  <c r="Y87" i="1"/>
  <c r="Z87" i="1"/>
  <c r="V88" i="1"/>
  <c r="X88" i="1"/>
  <c r="Y88" i="1"/>
  <c r="U88" i="1" s="1"/>
  <c r="Z88" i="1"/>
  <c r="V89" i="1"/>
  <c r="X89" i="1"/>
  <c r="Y89" i="1"/>
  <c r="Z89" i="1"/>
  <c r="V90" i="1"/>
  <c r="X90" i="1"/>
  <c r="Y90" i="1"/>
  <c r="Z90" i="1"/>
  <c r="V95" i="1"/>
  <c r="X95" i="1"/>
  <c r="Y95" i="1"/>
  <c r="U95" i="1" s="1"/>
  <c r="Z95" i="1"/>
  <c r="V96" i="1"/>
  <c r="X96" i="1"/>
  <c r="Y96" i="1"/>
  <c r="Z96" i="1"/>
  <c r="V97" i="1"/>
  <c r="X97" i="1"/>
  <c r="Y97" i="1"/>
  <c r="Z97" i="1"/>
  <c r="V98" i="1"/>
  <c r="X98" i="1"/>
  <c r="Y98" i="1"/>
  <c r="Z98" i="1"/>
  <c r="V101" i="1"/>
  <c r="Y101" i="1"/>
  <c r="Z101" i="1"/>
  <c r="V102" i="1"/>
  <c r="Y102" i="1"/>
  <c r="Z102" i="1"/>
  <c r="V103" i="1"/>
  <c r="Y103" i="1"/>
  <c r="Z103" i="1"/>
  <c r="V104" i="1"/>
  <c r="Y104" i="1"/>
  <c r="Z104" i="1"/>
  <c r="V106" i="1"/>
  <c r="Y106" i="1"/>
  <c r="Z106" i="1"/>
  <c r="V107" i="1"/>
  <c r="X107" i="1"/>
  <c r="Y107" i="1"/>
  <c r="Z107" i="1"/>
  <c r="V108" i="1"/>
  <c r="X108" i="1"/>
  <c r="Y108" i="1"/>
  <c r="Z108" i="1"/>
  <c r="V109" i="1"/>
  <c r="X109" i="1"/>
  <c r="Y109" i="1"/>
  <c r="Z109" i="1"/>
  <c r="V110" i="1"/>
  <c r="X110" i="1"/>
  <c r="Y110" i="1"/>
  <c r="Z110" i="1"/>
  <c r="V112" i="1"/>
  <c r="X112" i="1"/>
  <c r="Y112" i="1"/>
  <c r="Z112" i="1"/>
  <c r="V111" i="1"/>
  <c r="Y111" i="1"/>
  <c r="Z111" i="1"/>
  <c r="V114" i="1"/>
  <c r="Y114" i="1"/>
  <c r="Z114" i="1"/>
  <c r="V113" i="1"/>
  <c r="Y113" i="1"/>
  <c r="Z113" i="1"/>
  <c r="V115" i="1"/>
  <c r="Y115" i="1"/>
  <c r="Z115" i="1"/>
  <c r="V116" i="1"/>
  <c r="X116" i="1"/>
  <c r="Y116" i="1"/>
  <c r="Z116" i="1"/>
  <c r="V117" i="1"/>
  <c r="X117" i="1"/>
  <c r="Y117" i="1"/>
  <c r="Z117" i="1"/>
  <c r="V118" i="1"/>
  <c r="X118" i="1"/>
  <c r="Y118" i="1"/>
  <c r="Z118" i="1"/>
  <c r="V119" i="1"/>
  <c r="P71" i="3" s="1"/>
  <c r="X119" i="1"/>
  <c r="Y119" i="1"/>
  <c r="Z119" i="1"/>
  <c r="V120" i="1"/>
  <c r="X120" i="1"/>
  <c r="Y120" i="1"/>
  <c r="Z120" i="1"/>
  <c r="V122" i="1"/>
  <c r="P72" i="3" s="1"/>
  <c r="X122" i="1"/>
  <c r="Y122" i="1"/>
  <c r="Z122" i="1"/>
  <c r="V124" i="1"/>
  <c r="Y124" i="1"/>
  <c r="Z124" i="1"/>
  <c r="V125" i="1"/>
  <c r="Y125" i="1"/>
  <c r="Z125" i="1"/>
  <c r="V127" i="1"/>
  <c r="Y127" i="1"/>
  <c r="Z127" i="1"/>
  <c r="V126" i="1"/>
  <c r="Y126" i="1"/>
  <c r="Z126" i="1"/>
  <c r="V128" i="1"/>
  <c r="X128" i="1"/>
  <c r="Y128" i="1"/>
  <c r="Z128" i="1"/>
  <c r="K117" i="1"/>
  <c r="L117" i="1"/>
  <c r="M117" i="1"/>
  <c r="N117" i="1" s="1"/>
  <c r="U29" i="1" l="1"/>
  <c r="S29" i="1" s="1"/>
  <c r="U117" i="1"/>
  <c r="U110" i="1"/>
  <c r="S110" i="1" s="1"/>
  <c r="U103" i="1"/>
  <c r="S103" i="1" s="1"/>
  <c r="U27" i="1"/>
  <c r="S27" i="1" s="1"/>
  <c r="U20" i="1"/>
  <c r="U15" i="1"/>
  <c r="S15" i="1" s="1"/>
  <c r="U101" i="1"/>
  <c r="S101" i="1" s="1"/>
  <c r="U79" i="1"/>
  <c r="S79" i="1" s="1"/>
  <c r="U125" i="1"/>
  <c r="U19" i="1"/>
  <c r="S19" i="1" s="1"/>
  <c r="U115" i="1"/>
  <c r="S115" i="1" s="1"/>
  <c r="S93" i="1"/>
  <c r="U71" i="1"/>
  <c r="S71" i="1" s="1"/>
  <c r="U78" i="1"/>
  <c r="S78" i="1" s="1"/>
  <c r="U18" i="1"/>
  <c r="S18" i="1" s="1"/>
  <c r="U41" i="1"/>
  <c r="U33" i="1"/>
  <c r="S33" i="1" s="1"/>
  <c r="U32" i="1"/>
  <c r="S32" i="1" s="1"/>
  <c r="U111" i="1"/>
  <c r="U76" i="1"/>
  <c r="S76" i="1" s="1"/>
  <c r="U52" i="1"/>
  <c r="S52" i="1" s="1"/>
  <c r="U16" i="1"/>
  <c r="S16" i="1" s="1"/>
  <c r="U112" i="1"/>
  <c r="U30" i="1"/>
  <c r="S30" i="1" s="1"/>
  <c r="U57" i="1"/>
  <c r="S57" i="1" s="1"/>
  <c r="U51" i="1"/>
  <c r="S51" i="1" s="1"/>
  <c r="U37" i="1"/>
  <c r="S37" i="1" s="1"/>
  <c r="U22" i="1"/>
  <c r="S22" i="1" s="1"/>
  <c r="U127" i="1"/>
  <c r="S127" i="1" s="1"/>
  <c r="U81" i="1"/>
  <c r="S81" i="1" s="1"/>
  <c r="U74" i="1"/>
  <c r="S74" i="1" s="1"/>
  <c r="U67" i="1"/>
  <c r="S67" i="1" s="1"/>
  <c r="U43" i="1"/>
  <c r="U34" i="1"/>
  <c r="S34" i="1" s="1"/>
  <c r="U119" i="1"/>
  <c r="S119" i="1" s="1"/>
  <c r="U106" i="1"/>
  <c r="S106" i="1" s="1"/>
  <c r="U75" i="1"/>
  <c r="S75" i="1" s="1"/>
  <c r="U69" i="1"/>
  <c r="S69" i="1" s="1"/>
  <c r="U53" i="1"/>
  <c r="S53" i="1" s="1"/>
  <c r="U128" i="1"/>
  <c r="S128" i="1" s="1"/>
  <c r="U97" i="1"/>
  <c r="S97" i="1" s="1"/>
  <c r="U84" i="1"/>
  <c r="S84" i="1" s="1"/>
  <c r="U64" i="1"/>
  <c r="S64" i="1" s="1"/>
  <c r="U54" i="1"/>
  <c r="S54" i="1" s="1"/>
  <c r="U107" i="1"/>
  <c r="S107" i="1" s="1"/>
  <c r="U86" i="1"/>
  <c r="S86" i="1" s="1"/>
  <c r="U39" i="1"/>
  <c r="S39" i="1" s="1"/>
  <c r="U82" i="1"/>
  <c r="S82" i="1" s="1"/>
  <c r="U73" i="1"/>
  <c r="S73" i="1" s="1"/>
  <c r="U66" i="1"/>
  <c r="S66" i="1" s="1"/>
  <c r="U56" i="1"/>
  <c r="S56" i="1" s="1"/>
  <c r="U50" i="1"/>
  <c r="S50" i="1" s="1"/>
  <c r="U44" i="1"/>
  <c r="U35" i="1"/>
  <c r="S35" i="1" s="1"/>
  <c r="U120" i="1"/>
  <c r="S120" i="1" s="1"/>
  <c r="U98" i="1"/>
  <c r="S98" i="1" s="1"/>
  <c r="U24" i="1"/>
  <c r="S24" i="1" s="1"/>
  <c r="U28" i="1"/>
  <c r="S28" i="1" s="1"/>
  <c r="U108" i="1"/>
  <c r="S108" i="1" s="1"/>
  <c r="U40" i="1"/>
  <c r="U26" i="1"/>
  <c r="S26" i="1" s="1"/>
  <c r="U70" i="1"/>
  <c r="S70" i="1" s="1"/>
  <c r="U114" i="1"/>
  <c r="S114" i="1" s="1"/>
  <c r="U126" i="1"/>
  <c r="S126" i="1" s="1"/>
  <c r="U104" i="1"/>
  <c r="S104" i="1" s="1"/>
  <c r="U96" i="1"/>
  <c r="S96" i="1" s="1"/>
  <c r="U83" i="1"/>
  <c r="S83" i="1" s="1"/>
  <c r="U102" i="1"/>
  <c r="S102" i="1" s="1"/>
  <c r="U116" i="1"/>
  <c r="S116" i="1" s="1"/>
  <c r="U109" i="1"/>
  <c r="S109" i="1" s="1"/>
  <c r="U122" i="1"/>
  <c r="S122" i="1" s="1"/>
  <c r="U85" i="1"/>
  <c r="S85" i="1" s="1"/>
  <c r="U48" i="1"/>
  <c r="S48" i="1" s="1"/>
  <c r="U113" i="1"/>
  <c r="S113" i="1" s="1"/>
  <c r="U63" i="1"/>
  <c r="S63" i="1" s="1"/>
  <c r="U77" i="1"/>
  <c r="S77" i="1" s="1"/>
  <c r="U62" i="1"/>
  <c r="S62" i="1" s="1"/>
  <c r="U17" i="1"/>
  <c r="S17" i="1" s="1"/>
  <c r="U31" i="1"/>
  <c r="S31" i="1" s="1"/>
  <c r="U45" i="1"/>
  <c r="S94" i="1"/>
  <c r="U87" i="1"/>
  <c r="S87" i="1" s="1"/>
  <c r="U124" i="1"/>
  <c r="S124" i="1" s="1"/>
  <c r="U72" i="1"/>
  <c r="S72" i="1" s="1"/>
  <c r="U65" i="1"/>
  <c r="S65" i="1" s="1"/>
  <c r="U42" i="1"/>
  <c r="S42" i="1" s="1"/>
  <c r="U36" i="1"/>
  <c r="S36" i="1" s="1"/>
  <c r="U90" i="1"/>
  <c r="S90" i="1" s="1"/>
  <c r="U25" i="1"/>
  <c r="S25" i="1" s="1"/>
  <c r="U58" i="1"/>
  <c r="S58" i="1" s="1"/>
  <c r="U38" i="1"/>
  <c r="S38" i="1" s="1"/>
  <c r="U118" i="1"/>
  <c r="S118" i="1" s="1"/>
  <c r="U89" i="1"/>
  <c r="S89" i="1" s="1"/>
  <c r="P25" i="3"/>
  <c r="S92" i="1"/>
  <c r="S117" i="1"/>
  <c r="S55" i="1"/>
  <c r="S49" i="1"/>
  <c r="S125" i="1"/>
  <c r="S88" i="1"/>
  <c r="S45" i="1"/>
  <c r="S95" i="1"/>
  <c r="S46" i="1"/>
  <c r="S20" i="1"/>
  <c r="P70" i="3"/>
  <c r="P55" i="3"/>
  <c r="P61" i="3"/>
  <c r="P40" i="3"/>
  <c r="P30" i="3"/>
  <c r="S47" i="1"/>
  <c r="P37" i="3"/>
  <c r="P14" i="3"/>
  <c r="P29" i="3"/>
  <c r="P58" i="3"/>
  <c r="P60" i="3"/>
  <c r="P50" i="3"/>
  <c r="P56" i="3"/>
  <c r="P17" i="3"/>
  <c r="P18" i="3"/>
  <c r="P68" i="3"/>
  <c r="P67" i="3"/>
  <c r="P44" i="3"/>
  <c r="P33" i="3"/>
  <c r="P38" i="3"/>
  <c r="P21" i="3"/>
  <c r="P64" i="3"/>
  <c r="P51" i="3"/>
  <c r="P10" i="3"/>
  <c r="P34" i="3"/>
  <c r="P65" i="3"/>
  <c r="P69" i="3"/>
  <c r="P28" i="3"/>
  <c r="P57" i="3"/>
  <c r="P27" i="3"/>
  <c r="P45" i="3"/>
  <c r="P59" i="3"/>
  <c r="P66" i="3"/>
  <c r="P22" i="3"/>
  <c r="P49" i="3"/>
  <c r="P42" i="3"/>
  <c r="P62" i="3"/>
  <c r="P63" i="3"/>
  <c r="P19" i="3"/>
  <c r="P20" i="3"/>
  <c r="P9" i="3"/>
  <c r="P53" i="3"/>
  <c r="P54" i="3"/>
  <c r="P52" i="3"/>
  <c r="P26" i="3"/>
  <c r="P31" i="3"/>
  <c r="P39" i="3"/>
  <c r="P24" i="3"/>
  <c r="P23" i="3"/>
  <c r="P48" i="3"/>
  <c r="P47" i="3"/>
  <c r="P46" i="3"/>
  <c r="P16" i="3"/>
  <c r="P15" i="3"/>
  <c r="P12" i="3"/>
  <c r="P13" i="3"/>
  <c r="P43" i="3"/>
  <c r="P35" i="3"/>
  <c r="P7" i="3"/>
  <c r="U14" i="1"/>
  <c r="S14" i="1" s="1"/>
  <c r="P8" i="3"/>
  <c r="P11" i="3"/>
  <c r="AA31" i="1"/>
  <c r="W31" i="1" s="1"/>
  <c r="AA14" i="1"/>
  <c r="W14" i="1" s="1"/>
  <c r="AA54" i="1"/>
  <c r="W54" i="1" s="1"/>
  <c r="AA40" i="1"/>
  <c r="W40" i="1" s="1"/>
  <c r="AA20" i="1"/>
  <c r="W20" i="1" s="1"/>
  <c r="AA16" i="1"/>
  <c r="W16" i="1" s="1"/>
  <c r="AA28" i="1"/>
  <c r="W28" i="1" s="1"/>
  <c r="AA44" i="1"/>
  <c r="W44" i="1" s="1"/>
  <c r="AA108" i="1"/>
  <c r="W108" i="1" s="1"/>
  <c r="AA56" i="1"/>
  <c r="W56" i="1" s="1"/>
  <c r="AA111" i="1"/>
  <c r="W111" i="1" s="1"/>
  <c r="AA88" i="1"/>
  <c r="W88" i="1" s="1"/>
  <c r="AA37" i="1"/>
  <c r="W37" i="1" s="1"/>
  <c r="AA66" i="1"/>
  <c r="W66" i="1" s="1"/>
  <c r="AA102" i="1"/>
  <c r="W102" i="1" s="1"/>
  <c r="AA79" i="1"/>
  <c r="W79" i="1" s="1"/>
  <c r="AA38" i="1"/>
  <c r="W38" i="1" s="1"/>
  <c r="AA77" i="1"/>
  <c r="W77" i="1" s="1"/>
  <c r="AA27" i="1"/>
  <c r="W27" i="1" s="1"/>
  <c r="AA15" i="1"/>
  <c r="W15" i="1" s="1"/>
  <c r="AA25" i="1"/>
  <c r="W25" i="1" s="1"/>
  <c r="AA112" i="1"/>
  <c r="W112" i="1" s="1"/>
  <c r="AA90" i="1"/>
  <c r="W90" i="1" s="1"/>
  <c r="AA74" i="1"/>
  <c r="W74" i="1" s="1"/>
  <c r="AA32" i="1"/>
  <c r="W32" i="1" s="1"/>
  <c r="AA46" i="1"/>
  <c r="W46" i="1" s="1"/>
  <c r="AA67" i="1"/>
  <c r="W67" i="1" s="1"/>
  <c r="AA107" i="1"/>
  <c r="W107" i="1" s="1"/>
  <c r="AA62" i="1"/>
  <c r="W62" i="1" s="1"/>
  <c r="AA120" i="1"/>
  <c r="W120" i="1" s="1"/>
  <c r="AA45" i="1"/>
  <c r="W45" i="1" s="1"/>
  <c r="AA119" i="1"/>
  <c r="W119" i="1" s="1"/>
  <c r="AA58" i="1"/>
  <c r="W58" i="1" s="1"/>
  <c r="AA101" i="1"/>
  <c r="W101" i="1" s="1"/>
  <c r="AA128" i="1"/>
  <c r="W128" i="1" s="1"/>
  <c r="AA95" i="1"/>
  <c r="W95" i="1" s="1"/>
  <c r="AA30" i="1"/>
  <c r="W30" i="1" s="1"/>
  <c r="AA49" i="1"/>
  <c r="W49" i="1" s="1"/>
  <c r="AA127" i="1"/>
  <c r="W127" i="1" s="1"/>
  <c r="AA124" i="1"/>
  <c r="W124" i="1" s="1"/>
  <c r="AA87" i="1"/>
  <c r="W87" i="1" s="1"/>
  <c r="AA33" i="1"/>
  <c r="W33" i="1" s="1"/>
  <c r="AA19" i="1"/>
  <c r="W19" i="1" s="1"/>
  <c r="AA85" i="1"/>
  <c r="W85" i="1" s="1"/>
  <c r="AA69" i="1"/>
  <c r="W69" i="1" s="1"/>
  <c r="W81" i="1"/>
  <c r="AA103" i="1"/>
  <c r="W103" i="1" s="1"/>
  <c r="AA86" i="1"/>
  <c r="W86" i="1" s="1"/>
  <c r="AA53" i="1"/>
  <c r="W53" i="1" s="1"/>
  <c r="AA114" i="1"/>
  <c r="W114" i="1" s="1"/>
  <c r="AA64" i="1"/>
  <c r="W64" i="1" s="1"/>
  <c r="AA57" i="1"/>
  <c r="W57" i="1" s="1"/>
  <c r="AA126" i="1"/>
  <c r="W126" i="1" s="1"/>
  <c r="AA113" i="1"/>
  <c r="W113" i="1" s="1"/>
  <c r="AA97" i="1"/>
  <c r="W97" i="1" s="1"/>
  <c r="AA96" i="1"/>
  <c r="W96" i="1" s="1"/>
  <c r="W82" i="1"/>
  <c r="AA109" i="1"/>
  <c r="W109" i="1" s="1"/>
  <c r="AA117" i="1"/>
  <c r="W117" i="1" s="1"/>
  <c r="W83" i="1"/>
  <c r="AA89" i="1"/>
  <c r="W89" i="1" s="1"/>
  <c r="AA116" i="1"/>
  <c r="W116" i="1" s="1"/>
  <c r="AA98" i="1"/>
  <c r="W98" i="1" s="1"/>
  <c r="AA50" i="1"/>
  <c r="W50" i="1" s="1"/>
  <c r="AA18" i="1"/>
  <c r="W18" i="1" s="1"/>
  <c r="W84" i="1"/>
  <c r="AA29" i="1"/>
  <c r="W29" i="1" s="1"/>
  <c r="AA24" i="1"/>
  <c r="W24" i="1" s="1"/>
  <c r="AA72" i="1"/>
  <c r="W72" i="1" s="1"/>
  <c r="AA106" i="1"/>
  <c r="W106" i="1" s="1"/>
  <c r="AA110" i="1"/>
  <c r="W110" i="1" s="1"/>
  <c r="AA52" i="1"/>
  <c r="W52" i="1" s="1"/>
  <c r="AA43" i="1"/>
  <c r="W43" i="1" s="1"/>
  <c r="AA51" i="1"/>
  <c r="W51" i="1" s="1"/>
  <c r="AA75" i="1"/>
  <c r="W75" i="1" s="1"/>
  <c r="AA70" i="1"/>
  <c r="W70" i="1" s="1"/>
  <c r="AA55" i="1"/>
  <c r="W55" i="1" s="1"/>
  <c r="AA118" i="1"/>
  <c r="W118" i="1" s="1"/>
  <c r="AA35" i="1"/>
  <c r="W35" i="1" s="1"/>
  <c r="AA115" i="1"/>
  <c r="W115" i="1" s="1"/>
  <c r="AA76" i="1"/>
  <c r="W76" i="1" s="1"/>
  <c r="AA41" i="1"/>
  <c r="W41" i="1" s="1"/>
  <c r="AA104" i="1"/>
  <c r="W104" i="1" s="1"/>
  <c r="AA78" i="1"/>
  <c r="W78" i="1" s="1"/>
  <c r="AA71" i="1"/>
  <c r="W71" i="1" s="1"/>
  <c r="AA39" i="1"/>
  <c r="W39" i="1" s="1"/>
  <c r="AA122" i="1"/>
  <c r="W122" i="1" s="1"/>
  <c r="AA34" i="1"/>
  <c r="W34" i="1" s="1"/>
  <c r="AA42" i="1"/>
  <c r="W42" i="1" s="1"/>
  <c r="AA22" i="1"/>
  <c r="W22" i="1" s="1"/>
  <c r="AA26" i="1"/>
  <c r="W26" i="1" s="1"/>
  <c r="AA125" i="1"/>
  <c r="W125" i="1" s="1"/>
  <c r="AA63" i="1"/>
  <c r="W63" i="1" s="1"/>
  <c r="AA48" i="1"/>
  <c r="W48" i="1" s="1"/>
  <c r="AA73" i="1"/>
  <c r="W73" i="1" s="1"/>
  <c r="AA65" i="1"/>
  <c r="W65" i="1" s="1"/>
  <c r="AA47" i="1"/>
  <c r="W47" i="1" s="1"/>
  <c r="AA36" i="1"/>
  <c r="W36" i="1" s="1"/>
  <c r="AA17" i="1"/>
  <c r="W17" i="1" s="1"/>
  <c r="K13" i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2" i="1"/>
  <c r="L22" i="1"/>
  <c r="M22" i="1"/>
  <c r="N22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6" i="1"/>
  <c r="L36" i="1"/>
  <c r="M36" i="1"/>
  <c r="P36" i="1" s="1"/>
  <c r="K35" i="1"/>
  <c r="L35" i="1"/>
  <c r="M35" i="1"/>
  <c r="N35" i="1" s="1"/>
  <c r="K37" i="1"/>
  <c r="L37" i="1"/>
  <c r="M37" i="1"/>
  <c r="P37" i="1" s="1"/>
  <c r="K38" i="1"/>
  <c r="L38" i="1"/>
  <c r="M38" i="1"/>
  <c r="N38" i="1" s="1"/>
  <c r="K39" i="1"/>
  <c r="L39" i="1"/>
  <c r="M39" i="1"/>
  <c r="N39" i="1" s="1"/>
  <c r="K41" i="1"/>
  <c r="L41" i="1"/>
  <c r="M41" i="1"/>
  <c r="K40" i="1"/>
  <c r="L40" i="1"/>
  <c r="M40" i="1"/>
  <c r="O40" i="1" s="1"/>
  <c r="K44" i="1"/>
  <c r="L44" i="1"/>
  <c r="M44" i="1"/>
  <c r="K43" i="1"/>
  <c r="L43" i="1"/>
  <c r="M43" i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P56" i="1" s="1"/>
  <c r="K57" i="1"/>
  <c r="L57" i="1"/>
  <c r="M57" i="1"/>
  <c r="N57" i="1" s="1"/>
  <c r="K58" i="1"/>
  <c r="L58" i="1"/>
  <c r="M58" i="1"/>
  <c r="N58" i="1" s="1"/>
  <c r="K60" i="1"/>
  <c r="L60" i="1"/>
  <c r="M60" i="1"/>
  <c r="N60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2" i="1"/>
  <c r="L82" i="1"/>
  <c r="M82" i="1"/>
  <c r="N82" i="1" s="1"/>
  <c r="K81" i="1"/>
  <c r="L81" i="1"/>
  <c r="M81" i="1"/>
  <c r="N81" i="1" s="1"/>
  <c r="K83" i="1"/>
  <c r="L83" i="1"/>
  <c r="M83" i="1"/>
  <c r="N83" i="1" s="1"/>
  <c r="K84" i="1"/>
  <c r="L84" i="1"/>
  <c r="M84" i="1"/>
  <c r="N84" i="1" s="1"/>
  <c r="K86" i="1"/>
  <c r="L86" i="1"/>
  <c r="M86" i="1"/>
  <c r="N86" i="1" s="1"/>
  <c r="K85" i="1"/>
  <c r="L85" i="1"/>
  <c r="M85" i="1"/>
  <c r="N85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2" i="1"/>
  <c r="L92" i="1"/>
  <c r="M92" i="1"/>
  <c r="N92" i="1" s="1"/>
  <c r="K90" i="1"/>
  <c r="L90" i="1"/>
  <c r="M90" i="1"/>
  <c r="N90" i="1" s="1"/>
  <c r="K93" i="1"/>
  <c r="L93" i="1"/>
  <c r="M93" i="1"/>
  <c r="N93" i="1" s="1"/>
  <c r="K95" i="1"/>
  <c r="L95" i="1"/>
  <c r="M95" i="1"/>
  <c r="N95" i="1" s="1"/>
  <c r="K94" i="1"/>
  <c r="L94" i="1"/>
  <c r="M94" i="1"/>
  <c r="N94" i="1" s="1"/>
  <c r="K97" i="1"/>
  <c r="L97" i="1"/>
  <c r="M97" i="1"/>
  <c r="N97" i="1" s="1"/>
  <c r="K96" i="1"/>
  <c r="L96" i="1"/>
  <c r="M96" i="1"/>
  <c r="N96" i="1" s="1"/>
  <c r="K99" i="1"/>
  <c r="L99" i="1"/>
  <c r="M99" i="1"/>
  <c r="N99" i="1" s="1"/>
  <c r="K98" i="1"/>
  <c r="L98" i="1"/>
  <c r="M98" i="1"/>
  <c r="N98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6" i="1"/>
  <c r="L106" i="1"/>
  <c r="M106" i="1"/>
  <c r="N106" i="1" s="1"/>
  <c r="K108" i="1"/>
  <c r="L108" i="1"/>
  <c r="M108" i="1"/>
  <c r="N108" i="1" s="1"/>
  <c r="K107" i="1"/>
  <c r="L107" i="1"/>
  <c r="M107" i="1"/>
  <c r="N107" i="1" s="1"/>
  <c r="K109" i="1"/>
  <c r="L109" i="1"/>
  <c r="M109" i="1"/>
  <c r="N109" i="1" s="1"/>
  <c r="K110" i="1"/>
  <c r="L110" i="1"/>
  <c r="M110" i="1"/>
  <c r="N110" i="1" s="1"/>
  <c r="K112" i="1"/>
  <c r="L112" i="1"/>
  <c r="M112" i="1"/>
  <c r="K111" i="1"/>
  <c r="L111" i="1"/>
  <c r="M111" i="1"/>
  <c r="K114" i="1"/>
  <c r="L114" i="1"/>
  <c r="M114" i="1"/>
  <c r="N114" i="1" s="1"/>
  <c r="K113" i="1"/>
  <c r="L113" i="1"/>
  <c r="M113" i="1"/>
  <c r="N113" i="1" s="1"/>
  <c r="K115" i="1"/>
  <c r="L115" i="1"/>
  <c r="M115" i="1"/>
  <c r="N115" i="1" s="1"/>
  <c r="K116" i="1"/>
  <c r="L116" i="1"/>
  <c r="M116" i="1"/>
  <c r="N116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2" i="1"/>
  <c r="L122" i="1"/>
  <c r="M122" i="1"/>
  <c r="N122" i="1" s="1"/>
  <c r="K124" i="1"/>
  <c r="L124" i="1"/>
  <c r="M124" i="1"/>
  <c r="N124" i="1" s="1"/>
  <c r="K127" i="1"/>
  <c r="L127" i="1"/>
  <c r="M127" i="1"/>
  <c r="N127" i="1" s="1"/>
  <c r="K125" i="1"/>
  <c r="L125" i="1"/>
  <c r="M125" i="1"/>
  <c r="N125" i="1" s="1"/>
  <c r="K126" i="1"/>
  <c r="L126" i="1"/>
  <c r="M126" i="1"/>
  <c r="N126" i="1" s="1"/>
  <c r="K128" i="1"/>
  <c r="L128" i="1"/>
  <c r="M128" i="1"/>
  <c r="N128" i="1" s="1"/>
  <c r="K129" i="1"/>
  <c r="L129" i="1"/>
  <c r="M129" i="1"/>
  <c r="N129" i="1" s="1"/>
  <c r="K131" i="1"/>
  <c r="L131" i="1"/>
  <c r="M131" i="1"/>
  <c r="N131" i="1" s="1"/>
  <c r="S111" i="1" l="1"/>
  <c r="O6" i="1"/>
  <c r="N6" i="1"/>
  <c r="M6" i="1"/>
  <c r="J6" i="1"/>
  <c r="S40" i="1"/>
  <c r="S43" i="1"/>
  <c r="P111" i="1"/>
  <c r="P43" i="1"/>
  <c r="O5" i="1"/>
  <c r="J8" i="1"/>
  <c r="N8" i="1"/>
  <c r="N5" i="1"/>
  <c r="J5" i="1"/>
  <c r="O8" i="1"/>
  <c r="M5" i="1"/>
  <c r="X13" i="1"/>
  <c r="J4" i="1" l="1"/>
  <c r="J9" i="1" s="1"/>
  <c r="J7" i="1"/>
  <c r="M8" i="1"/>
  <c r="V13" i="1"/>
  <c r="Y13" i="1"/>
  <c r="Z13" i="1"/>
  <c r="P32" i="3" l="1"/>
  <c r="P36" i="3"/>
  <c r="P41" i="3"/>
  <c r="U13" i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<sst xmlns="http://schemas.openxmlformats.org/spreadsheetml/2006/main" count="2065" uniqueCount="519">
  <si>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</si>
  <si>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</si>
  <si>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</si>
  <si>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</si>
  <si>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</si>
  <si>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</si>
  <si>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</si>
  <si>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</si>
  <si>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</si>
  <si>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</si>
  <si>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</si>
  <si>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</si>
  <si>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</si>
  <si>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</si>
  <si>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</si>
  <si>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</si>
  <si>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</si>
  <si>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</si>
  <si>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</si>
  <si>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</si>
  <si>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</si>
  <si>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</si>
  <si>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</si>
  <si>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</si>
  <si>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</si>
  <si>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</si>
  <si>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</si>
  <si>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</si>
  <si>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</si>
  <si>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</si>
  <si>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</si>
  <si>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</si>
  <si>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</si>
  <si>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</si>
  <si>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</si>
  <si>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</si>
  <si>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</si>
  <si>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</si>
  <si>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</si>
  <si>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</si>
  <si>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</si>
  <si>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</si>
  <si>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</si>
  <si>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</si>
  <si>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</si>
  <si>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</si>
  <si>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</si>
  <si>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</si>
  <si>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</si>
  <si>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</si>
  <si>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</si>
  <si>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</si>
  <si>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</si>
  <si>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</si>
  <si>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</si>
  <si>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</si>
  <si>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</si>
  <si>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</si>
  <si>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</si>
  <si>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</si>
  <si>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</si>
  <si>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</si>
  <si>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</si>
  <si>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</si>
  <si>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</si>
  <si>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</si>
  <si>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</si>
  <si>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</si>
  <si>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</si>
  <si>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</si>
  <si>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</si>
  <si>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</si>
  <si>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204:462</t>
  </si>
  <si>
    <t>Kibana URL</t>
  </si>
  <si>
    <t>204:457</t>
  </si>
  <si>
    <t>204:141</t>
  </si>
  <si>
    <t>204:156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</si>
  <si>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</si>
  <si>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</si>
  <si>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</si>
  <si>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</si>
  <si>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</si>
  <si>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</si>
  <si>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</si>
  <si>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</si>
  <si>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</si>
  <si>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</si>
  <si>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204:233315</t>
  </si>
  <si>
    <t>204:232975</t>
  </si>
  <si>
    <t>204:464</t>
  </si>
  <si>
    <t>STORY</t>
  </si>
  <si>
    <t>rtdc.l.rtdc.4008:itc</t>
  </si>
  <si>
    <t>rtdc.l.rtdc.4030:itc</t>
  </si>
  <si>
    <t>rtdc.l.rtdc.4007:itc</t>
  </si>
  <si>
    <t>rtdc.l.rtdc.4031:itc</t>
  </si>
  <si>
    <t>ROCHA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</si>
  <si>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</si>
  <si>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</si>
  <si>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</si>
  <si>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</si>
  <si>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</si>
  <si>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</si>
  <si>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</si>
  <si>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</si>
  <si>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</si>
  <si>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</si>
  <si>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</si>
  <si>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</si>
  <si>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</si>
  <si>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</si>
  <si>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204:232998</t>
  </si>
  <si>
    <t>204:170</t>
  </si>
  <si>
    <t>204:163</t>
  </si>
  <si>
    <t>204:469</t>
  </si>
  <si>
    <t>204:233291</t>
  </si>
  <si>
    <t>204:139</t>
  </si>
  <si>
    <t>MAELZER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</si>
  <si>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</si>
  <si>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</si>
  <si>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</si>
  <si>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</si>
  <si>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</si>
  <si>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</si>
  <si>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</si>
  <si>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</si>
  <si>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204:232983</t>
  </si>
  <si>
    <t>204:233301</t>
  </si>
  <si>
    <t>Xing Completion Percentage</t>
  </si>
  <si>
    <t>204:233278</t>
  </si>
  <si>
    <t>MOSES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</si>
  <si>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</si>
  <si>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</si>
  <si>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</si>
  <si>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</si>
  <si>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</si>
  <si>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</si>
  <si>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</si>
  <si>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</si>
  <si>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</si>
  <si>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</si>
  <si>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</si>
  <si>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</si>
  <si>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</si>
  <si>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</si>
  <si>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</si>
  <si>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</si>
  <si>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</si>
  <si>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</si>
  <si>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</si>
  <si>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</si>
  <si>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204:232989</t>
  </si>
  <si>
    <t>204:233274</t>
  </si>
  <si>
    <t>204:233288</t>
  </si>
  <si>
    <t>204:134</t>
  </si>
  <si>
    <t>204:473</t>
  </si>
  <si>
    <t>DAVIS</t>
  </si>
  <si>
    <t>KILLION</t>
  </si>
  <si>
    <t>ADANE</t>
  </si>
  <si>
    <t>SWITCH UNKNOWN</t>
  </si>
  <si>
    <t>Track device (7)</t>
  </si>
  <si>
    <t>Y</t>
  </si>
  <si>
    <t>N</t>
  </si>
  <si>
    <t>Comms</t>
  </si>
  <si>
    <t>Possible System Enforcement</t>
  </si>
  <si>
    <t>Training enforcement</t>
  </si>
  <si>
    <t>204:435</t>
  </si>
  <si>
    <t>204:233263</t>
  </si>
  <si>
    <t>204:233298</t>
  </si>
  <si>
    <t>204:233003</t>
  </si>
  <si>
    <t>204:471</t>
  </si>
  <si>
    <t>204:232974</t>
  </si>
  <si>
    <t>204:143</t>
  </si>
  <si>
    <t>204:233324</t>
  </si>
  <si>
    <t>204:232980</t>
  </si>
  <si>
    <t>204:233317</t>
  </si>
  <si>
    <t>204:233302</t>
  </si>
  <si>
    <t>204:233006</t>
  </si>
  <si>
    <t>204:233280</t>
  </si>
  <si>
    <t>204:475</t>
  </si>
  <si>
    <t>204:493</t>
  </si>
  <si>
    <t>204:232992</t>
  </si>
  <si>
    <t>rtdc.l.rtdc.4039:itc</t>
  </si>
  <si>
    <t>rtdc.l.rtdc.4010:itc</t>
  </si>
  <si>
    <t>rtdc.l.rtdc.4009:itc</t>
  </si>
  <si>
    <t>rtdc.l.rtdc.4040:itc</t>
  </si>
  <si>
    <t>MAYBERRY</t>
  </si>
  <si>
    <t>STEWART</t>
  </si>
  <si>
    <t>YORK</t>
  </si>
  <si>
    <t>rtdc.l.rtdc.4037:itc</t>
  </si>
  <si>
    <t>rtdc.l.rtdc.4038:itc</t>
  </si>
  <si>
    <t>CANFIELD</t>
  </si>
  <si>
    <t>NELSON</t>
  </si>
  <si>
    <t>MALAVE</t>
  </si>
  <si>
    <t>BRUDER</t>
  </si>
  <si>
    <t>BEAM</t>
  </si>
  <si>
    <t>204:232616</t>
  </si>
  <si>
    <t>204:477</t>
  </si>
  <si>
    <t>204:232996</t>
  </si>
  <si>
    <t>204:232969</t>
  </si>
  <si>
    <t>204:233300</t>
  </si>
  <si>
    <t>204:232985</t>
  </si>
  <si>
    <t>204:233004</t>
  </si>
  <si>
    <t>204:123</t>
  </si>
  <si>
    <t>204:233293</t>
  </si>
  <si>
    <t>204:232961</t>
  </si>
  <si>
    <t>204:438</t>
  </si>
  <si>
    <t>204:232972</t>
  </si>
  <si>
    <t>204:480</t>
  </si>
  <si>
    <t>204:233286</t>
  </si>
  <si>
    <t>204:169</t>
  </si>
  <si>
    <t>204:233283</t>
  </si>
  <si>
    <t>204:132</t>
  </si>
  <si>
    <t>204:232971</t>
  </si>
  <si>
    <t>204:232976</t>
  </si>
  <si>
    <t>204:440</t>
  </si>
  <si>
    <t>204:233321</t>
  </si>
  <si>
    <t>204:232963</t>
  </si>
  <si>
    <t>204:181</t>
  </si>
  <si>
    <t>204:136</t>
  </si>
  <si>
    <t>204:232965</t>
  </si>
  <si>
    <t>204:153994</t>
  </si>
  <si>
    <t>101-24</t>
  </si>
  <si>
    <t>204:631</t>
  </si>
  <si>
    <t>204:233418</t>
  </si>
  <si>
    <t>102-24</t>
  </si>
  <si>
    <t>103-24</t>
  </si>
  <si>
    <t>204:768</t>
  </si>
  <si>
    <t>104-24</t>
  </si>
  <si>
    <t>204:232635</t>
  </si>
  <si>
    <t>105-24</t>
  </si>
  <si>
    <t>204:774</t>
  </si>
  <si>
    <t>204:233299</t>
  </si>
  <si>
    <t>106-24</t>
  </si>
  <si>
    <t>204:232650</t>
  </si>
  <si>
    <t>107-24</t>
  </si>
  <si>
    <t>204:233306</t>
  </si>
  <si>
    <t>108-24</t>
  </si>
  <si>
    <t>204:232987</t>
  </si>
  <si>
    <t>110-24</t>
  </si>
  <si>
    <t>204:283</t>
  </si>
  <si>
    <t>112-24</t>
  </si>
  <si>
    <t>113-24</t>
  </si>
  <si>
    <t>114-24</t>
  </si>
  <si>
    <t>115-24</t>
  </si>
  <si>
    <t>204:697</t>
  </si>
  <si>
    <t>204:233151</t>
  </si>
  <si>
    <t>116-24</t>
  </si>
  <si>
    <t>204:232825</t>
  </si>
  <si>
    <t>117-24</t>
  </si>
  <si>
    <t>118-24</t>
  </si>
  <si>
    <t>204:232970</t>
  </si>
  <si>
    <t>119-24</t>
  </si>
  <si>
    <t>204:750</t>
  </si>
  <si>
    <t>120-24</t>
  </si>
  <si>
    <t>204:232950</t>
  </si>
  <si>
    <t>121-24</t>
  </si>
  <si>
    <t>122-24</t>
  </si>
  <si>
    <t>123-24</t>
  </si>
  <si>
    <t>204:588</t>
  </si>
  <si>
    <t>124-24</t>
  </si>
  <si>
    <t>204:85961</t>
  </si>
  <si>
    <t>125-24</t>
  </si>
  <si>
    <t>204:19130</t>
  </si>
  <si>
    <t>126-24</t>
  </si>
  <si>
    <t>127-24</t>
  </si>
  <si>
    <t>204:233303</t>
  </si>
  <si>
    <t>128-24</t>
  </si>
  <si>
    <t>129-24</t>
  </si>
  <si>
    <t>204:233327</t>
  </si>
  <si>
    <t>130-24</t>
  </si>
  <si>
    <t>204:233002</t>
  </si>
  <si>
    <t>204:218381</t>
  </si>
  <si>
    <t>131-24</t>
  </si>
  <si>
    <t>132-24</t>
  </si>
  <si>
    <t>204:232948</t>
  </si>
  <si>
    <t>204:172</t>
  </si>
  <si>
    <t>133-24</t>
  </si>
  <si>
    <t>204:156103</t>
  </si>
  <si>
    <t>134-24</t>
  </si>
  <si>
    <t>135-24</t>
  </si>
  <si>
    <t>136-24</t>
  </si>
  <si>
    <t>137-24</t>
  </si>
  <si>
    <t>204:449</t>
  </si>
  <si>
    <t>204:233289</t>
  </si>
  <si>
    <t>138-24</t>
  </si>
  <si>
    <t>204:232955</t>
  </si>
  <si>
    <t>139-24</t>
  </si>
  <si>
    <t>140-24</t>
  </si>
  <si>
    <t>141-24</t>
  </si>
  <si>
    <t>204:233284</t>
  </si>
  <si>
    <t>142-24</t>
  </si>
  <si>
    <t>204:232990</t>
  </si>
  <si>
    <t>204:62048</t>
  </si>
  <si>
    <t>143-24</t>
  </si>
  <si>
    <t>144-24</t>
  </si>
  <si>
    <t>146-24</t>
  </si>
  <si>
    <t>204:1667</t>
  </si>
  <si>
    <t>147-24</t>
  </si>
  <si>
    <t>148-24</t>
  </si>
  <si>
    <t>149-24</t>
  </si>
  <si>
    <t>204:451</t>
  </si>
  <si>
    <t>204:233316</t>
  </si>
  <si>
    <t>150-24</t>
  </si>
  <si>
    <t>204:233007</t>
  </si>
  <si>
    <t>151-24</t>
  </si>
  <si>
    <t>152-24</t>
  </si>
  <si>
    <t>204:232981</t>
  </si>
  <si>
    <t>153-24</t>
  </si>
  <si>
    <t>154-24</t>
  </si>
  <si>
    <t>204:232973</t>
  </si>
  <si>
    <t>204:127</t>
  </si>
  <si>
    <t>155-24</t>
  </si>
  <si>
    <t>156-24</t>
  </si>
  <si>
    <t>204:1165</t>
  </si>
  <si>
    <t>157-24</t>
  </si>
  <si>
    <t>158-24</t>
  </si>
  <si>
    <t>159-24</t>
  </si>
  <si>
    <t>160-24</t>
  </si>
  <si>
    <t>204:223</t>
  </si>
  <si>
    <t>161-24</t>
  </si>
  <si>
    <t>162-24</t>
  </si>
  <si>
    <t>163-24</t>
  </si>
  <si>
    <t>204:427</t>
  </si>
  <si>
    <t>204:233338</t>
  </si>
  <si>
    <t>164-24</t>
  </si>
  <si>
    <t>204:233013</t>
  </si>
  <si>
    <t>165-24</t>
  </si>
  <si>
    <t>204:233330</t>
  </si>
  <si>
    <t>166-24</t>
  </si>
  <si>
    <t>167-24</t>
  </si>
  <si>
    <t>204:444</t>
  </si>
  <si>
    <t>168-24</t>
  </si>
  <si>
    <t>169-24</t>
  </si>
  <si>
    <t>170-24</t>
  </si>
  <si>
    <t>204:183</t>
  </si>
  <si>
    <t>171-24</t>
  </si>
  <si>
    <t>172-24</t>
  </si>
  <si>
    <t>173-24</t>
  </si>
  <si>
    <t>204:549</t>
  </si>
  <si>
    <t>174-24</t>
  </si>
  <si>
    <t>204:233000</t>
  </si>
  <si>
    <t>175-24</t>
  </si>
  <si>
    <t>204:233312</t>
  </si>
  <si>
    <t>176-24</t>
  </si>
  <si>
    <t>177-24</t>
  </si>
  <si>
    <t>204:233347</t>
  </si>
  <si>
    <t>179-24</t>
  </si>
  <si>
    <t>204:233336</t>
  </si>
  <si>
    <t>180-24</t>
  </si>
  <si>
    <t>204:233023</t>
  </si>
  <si>
    <t>181-24</t>
  </si>
  <si>
    <t>182-24</t>
  </si>
  <si>
    <t>204:233009</t>
  </si>
  <si>
    <t>183-24</t>
  </si>
  <si>
    <t>204:491</t>
  </si>
  <si>
    <t>184-24</t>
  </si>
  <si>
    <t>185-24</t>
  </si>
  <si>
    <t>186-24</t>
  </si>
  <si>
    <t>187-24</t>
  </si>
  <si>
    <t>188-24</t>
  </si>
  <si>
    <t>189-24</t>
  </si>
  <si>
    <t>190-24</t>
  </si>
  <si>
    <t>191-24</t>
  </si>
  <si>
    <t>192-24</t>
  </si>
  <si>
    <t>204:121</t>
  </si>
  <si>
    <t>193-24</t>
  </si>
  <si>
    <t>204:233322</t>
  </si>
  <si>
    <t>194-24</t>
  </si>
  <si>
    <t>195-24</t>
  </si>
  <si>
    <t>196-24</t>
  </si>
  <si>
    <t>197-24</t>
  </si>
  <si>
    <t>204:488</t>
  </si>
  <si>
    <t>204:233257</t>
  </si>
  <si>
    <t>198-24</t>
  </si>
  <si>
    <t>204:232921</t>
  </si>
  <si>
    <t>199-24</t>
  </si>
  <si>
    <t>204:19121</t>
  </si>
  <si>
    <t>204:233331</t>
  </si>
  <si>
    <t>204:591</t>
  </si>
  <si>
    <t>204:1109</t>
  </si>
  <si>
    <t>200-24</t>
  </si>
  <si>
    <t>201-24</t>
  </si>
  <si>
    <t>202-24</t>
  </si>
  <si>
    <t>203-24</t>
  </si>
  <si>
    <t>204:233319</t>
  </si>
  <si>
    <t>204-24</t>
  </si>
  <si>
    <t>204:198</t>
  </si>
  <si>
    <t>205-24</t>
  </si>
  <si>
    <t>204:424</t>
  </si>
  <si>
    <t>206-24</t>
  </si>
  <si>
    <t>204:233030</t>
  </si>
  <si>
    <t>207-24</t>
  </si>
  <si>
    <t>204:233342</t>
  </si>
  <si>
    <t>209-24</t>
  </si>
  <si>
    <t>204:233328</t>
  </si>
  <si>
    <t>211-24</t>
  </si>
  <si>
    <t>212-24</t>
  </si>
  <si>
    <t>213-24</t>
  </si>
  <si>
    <t>214-24</t>
  </si>
  <si>
    <t>215-24</t>
  </si>
  <si>
    <t>204:478</t>
  </si>
  <si>
    <t>216-24</t>
  </si>
  <si>
    <t>217-24</t>
  </si>
  <si>
    <t>218-24</t>
  </si>
  <si>
    <t>219-24</t>
  </si>
  <si>
    <t>220-24</t>
  </si>
  <si>
    <t>221-24</t>
  </si>
  <si>
    <t>204:59881</t>
  </si>
  <si>
    <t>204:59282</t>
  </si>
  <si>
    <t>222-24</t>
  </si>
  <si>
    <t>204:232984</t>
  </si>
  <si>
    <t>223-24</t>
  </si>
  <si>
    <t>224-24</t>
  </si>
  <si>
    <t>225-24</t>
  </si>
  <si>
    <t>226-24</t>
  </si>
  <si>
    <t>227-24</t>
  </si>
  <si>
    <t>204:233276</t>
  </si>
  <si>
    <t>228-24</t>
  </si>
  <si>
    <t>204:232953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</si>
  <si>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</si>
  <si>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</si>
  <si>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</si>
  <si>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</si>
  <si>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</si>
  <si>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</si>
  <si>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</si>
  <si>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</si>
  <si>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</si>
  <si>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</si>
  <si>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</si>
  <si>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</si>
  <si>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</si>
  <si>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</si>
  <si>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204:232994</t>
  </si>
  <si>
    <t>243-24</t>
  </si>
  <si>
    <t>244-24</t>
  </si>
  <si>
    <t>245-24</t>
  </si>
  <si>
    <t>204:233332</t>
  </si>
  <si>
    <t>246-24</t>
  </si>
  <si>
    <t>204:871</t>
  </si>
  <si>
    <t>800-24</t>
  </si>
  <si>
    <t>801-24</t>
  </si>
  <si>
    <t>802-24</t>
  </si>
  <si>
    <t>803-24</t>
  </si>
  <si>
    <t>804-24</t>
  </si>
  <si>
    <t>805-24</t>
  </si>
  <si>
    <t>806-24</t>
  </si>
  <si>
    <t>807-24</t>
  </si>
  <si>
    <t>808-24</t>
  </si>
  <si>
    <t>809-24</t>
  </si>
  <si>
    <t>810-24</t>
  </si>
  <si>
    <t>811-24</t>
  </si>
  <si>
    <t>812-24</t>
  </si>
  <si>
    <t>813-24</t>
  </si>
  <si>
    <t>814-24</t>
  </si>
  <si>
    <t>815-24</t>
  </si>
  <si>
    <t>816-24</t>
  </si>
  <si>
    <t>817-24</t>
  </si>
  <si>
    <t>818-24</t>
  </si>
  <si>
    <t>819-24</t>
  </si>
  <si>
    <t>820-24</t>
  </si>
  <si>
    <t>821-24</t>
  </si>
  <si>
    <t>822-24</t>
  </si>
  <si>
    <t>823-24</t>
  </si>
  <si>
    <t>824-24</t>
  </si>
  <si>
    <t>825-24</t>
  </si>
  <si>
    <t>826-24</t>
  </si>
  <si>
    <t>827-24</t>
  </si>
  <si>
    <t>828-24</t>
  </si>
  <si>
    <t>829-24</t>
  </si>
  <si>
    <t>830-24</t>
  </si>
  <si>
    <t>831-24</t>
  </si>
  <si>
    <t>832-24</t>
  </si>
  <si>
    <t>833-24</t>
  </si>
  <si>
    <t>835-24</t>
  </si>
  <si>
    <t>836-24</t>
  </si>
  <si>
    <t>838-24</t>
  </si>
  <si>
    <t>839-24</t>
  </si>
  <si>
    <t>840-24</t>
  </si>
  <si>
    <t>841-24</t>
  </si>
  <si>
    <t>842-24</t>
  </si>
  <si>
    <t>843-24</t>
  </si>
  <si>
    <t>844-24</t>
  </si>
  <si>
    <t>845-24</t>
  </si>
  <si>
    <t>847-24</t>
  </si>
  <si>
    <t>906-24</t>
  </si>
  <si>
    <t>908-24</t>
  </si>
  <si>
    <t>rtdc.l.rtdc.4024:itc</t>
  </si>
  <si>
    <t>rtdc.l.rtdc.4023:itc</t>
  </si>
  <si>
    <t>rtdc.l.rtdc.4011:itc</t>
  </si>
  <si>
    <t>rtdc.l.rtdc.4012:itc</t>
  </si>
  <si>
    <t>EQUIPMENT RESTRICTION</t>
  </si>
  <si>
    <t>MADLOM</t>
  </si>
  <si>
    <t>SHOOK</t>
  </si>
  <si>
    <t>STURGEON</t>
  </si>
  <si>
    <t>WEBSTER</t>
  </si>
  <si>
    <t>210-24</t>
  </si>
  <si>
    <t>RIVERA</t>
  </si>
  <si>
    <t>LOCKLEAR</t>
  </si>
  <si>
    <t>CHANDLER</t>
  </si>
  <si>
    <t>111-24</t>
  </si>
  <si>
    <t>178-24</t>
  </si>
  <si>
    <t>145-24</t>
  </si>
  <si>
    <t>208-24</t>
  </si>
  <si>
    <t>109-24</t>
  </si>
  <si>
    <t>Onboard In-Route Failure</t>
  </si>
  <si>
    <t>Poor GPS at DUS</t>
  </si>
  <si>
    <t>Tentative</t>
  </si>
  <si>
    <t>Comm Issues at EC0816RH?</t>
  </si>
  <si>
    <t>Cut out button not pressed at DUS</t>
  </si>
  <si>
    <t>Poor GPS at DIA</t>
  </si>
  <si>
    <t>Wi-MAX outage</t>
  </si>
  <si>
    <t>Routing @ Quebec 4S</t>
  </si>
  <si>
    <t>Routing @ DUS 2N</t>
  </si>
  <si>
    <t>Early Arrival Enforcement at Quebec</t>
  </si>
  <si>
    <t>Form C</t>
  </si>
  <si>
    <t>Routing at 40th 4S</t>
  </si>
  <si>
    <t>Routing at Pena 4S</t>
  </si>
  <si>
    <t>Routing at DUS 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</si>
</sst>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rgb="FF444444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11" fillId="0" borderId="0" xfId="0" applyFont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4"/>
  <sheetViews>
    <sheetView showGridLines="0" zoomScale="85" zoomScaleNormal="85" workbookViewId="0">
      <selection activeCell="R139" sqref="R139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2851562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1">
        <f>Variables!A2</f>
        <v>42545</v>
      </c>
      <c r="J2" s="82"/>
      <c r="K2" s="50"/>
      <c r="L2" s="50"/>
      <c r="M2" s="83" t="s">
        <v>8</v>
      </c>
      <c r="N2" s="84"/>
      <c r="O2" s="85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6" t="s">
        <v>10</v>
      </c>
      <c r="J3" s="87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COUNT($N$13:$P$1980)</f>
        <v>144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COUNT($N$13:$N$1980)</f>
        <v>129</v>
      </c>
      <c r="K5" s="3"/>
      <c r="L5" s="3"/>
      <c r="M5" s="45">
        <f>AVERAGE($N$13:$N$980)</f>
        <v>43.828294573779502</v>
      </c>
      <c r="N5" s="5">
        <f>MIN($N$13:$N$980)</f>
        <v>32.900000000372529</v>
      </c>
      <c r="O5" s="6">
        <f>MAX($N$13:$N$980)</f>
        <v>54.616666672518477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COUNT($O$13:$O$980)</f>
        <v>1</v>
      </c>
      <c r="K6" s="3"/>
      <c r="L6" s="3"/>
      <c r="M6" s="45">
        <f>IFERROR(AVERAGE($O$13:$O$980),0)</f>
        <v>56.516666666138917</v>
      </c>
      <c r="N6" s="5">
        <f>MIN($O$13:$O$980)</f>
        <v>56.516666666138917</v>
      </c>
      <c r="O6" s="6">
        <f>MAX($O$13:$O$980)</f>
        <v>56.516666666138917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COUNT($P$13:$P$980)</f>
        <v>14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COUNT($N$13:$O$980)</f>
        <v>130</v>
      </c>
      <c r="K8" s="3"/>
      <c r="L8" s="3"/>
      <c r="M8" s="45">
        <f>AVERAGE($N$13:$P$980)</f>
        <v>41.423842592630535</v>
      </c>
      <c r="N8" s="5">
        <f>MIN($N$13:$O$980)</f>
        <v>32.900000000372529</v>
      </c>
      <c r="O8" s="6">
        <f>MAX($N$13:$O$980)</f>
        <v>56.516666666138917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0.90277777777777779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0" t="str">
        <f>"Eagle P3 System Performance - "&amp;TEXT(Variables!A2,"yyyy-mm-dd")</f>
        <v>Eagle P3 System Performance - 2016-06-24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127</v>
      </c>
      <c r="T12" s="9" t="s">
        <v>132</v>
      </c>
      <c r="U12" s="9" t="s">
        <v>133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221</v>
      </c>
      <c r="B13" s="43">
        <v>4038</v>
      </c>
      <c r="C13" s="43" t="s">
        <v>60</v>
      </c>
      <c r="D13" s="43" t="s">
        <v>222</v>
      </c>
      <c r="E13" s="25">
        <v>42545.125798611109</v>
      </c>
      <c r="F13" s="25">
        <v>42545.12771990741</v>
      </c>
      <c r="G13" s="31">
        <v>2</v>
      </c>
      <c r="H13" s="25" t="s">
        <v>223</v>
      </c>
      <c r="I13" s="25">
        <v>42545.160879629628</v>
      </c>
      <c r="J13" s="43">
        <v>0</v>
      </c>
      <c r="K13" s="43" t="str">
        <f t="shared" ref="K13:K44" si="0">IF(ISEVEN(B13),(B13-1)&amp;"/"&amp;B13,B13&amp;"/"&amp;(B13+1))</f>
        <v>4037/4038</v>
      </c>
      <c r="L13" s="43" t="str">
        <f>VLOOKUP(A13,'Trips&amp;Operators'!$C$1:$E$10000,3,FALSE)</f>
        <v>YORK</v>
      </c>
      <c r="M13" s="11">
        <f t="shared" ref="M13:M44" si="1">I13-F13</f>
        <v>3.3159722217533272E-2</v>
      </c>
      <c r="N13" s="12">
        <f t="shared" ref="N13:N20" si="2">24*60*SUM($M13:$M13)</f>
        <v>47.749999993247911</v>
      </c>
      <c r="O13" s="12"/>
      <c r="P13" s="12"/>
      <c r="Q13" s="44"/>
      <c r="R13" s="44"/>
      <c r="S13" s="70">
        <f t="shared" ref="S13:S42" si="3">SUM(U13:U13)/12</f>
        <v>1</v>
      </c>
      <c r="T13" s="2" t="str">
        <f t="shared" ref="T13:T44" si="4">IF(ISEVEN(LEFT(A13,3)),"Southbound","NorthBound")</f>
        <v>NorthBound</v>
      </c>
      <c r="U13" s="2">
        <f>COUNTIFS(Variables!$M$2:$M$19, "&gt;=" &amp; Y13, Variables!$M$2:$M$19, "&lt;=" &amp; Z13)</f>
        <v>12</v>
      </c>
      <c r="V13" s="48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https://search-rtdc-monitor-bjffxe2xuh6vdkpspy63sjmuny.us-east-1.es.amazonaws.com/_plugin/kibana/#/discover/Steve-Slow-Train-Analysis-(2080s-and-2083s)?_g=(refreshInterval:(display:Off,section:0,value:0),time:(from:'2016-06-24 03:00:09-0600',mode:absolute,to:'2016-06-24 03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" s="48" t="str">
        <f t="shared" ref="W13:W44" si="6">IF(AA13&lt;23,"Y","N")</f>
        <v>N</v>
      </c>
      <c r="X13" s="48" t="e">
        <f t="shared" ref="X13:X44" si="7">VALUE(LEFT(A13,3))-VALUE(LEFT(A12,3))</f>
        <v>#VALUE!</v>
      </c>
      <c r="Y13" s="48">
        <f t="shared" ref="Y13:Y60" si="8">RIGHT(D13,LEN(D13)-4)/10000</f>
        <v>6.3100000000000003E-2</v>
      </c>
      <c r="Z13" s="48">
        <f t="shared" ref="Z13:Z45" si="9">RIGHT(H13,LEN(H13)-4)/10000</f>
        <v>23.341799999999999</v>
      </c>
      <c r="AA13" s="48">
        <f t="shared" ref="AA13:AA44" si="10">ABS(Z13-Y13)</f>
        <v>23.278700000000001</v>
      </c>
      <c r="AB13" s="49" t="e">
        <f>VLOOKUP(A13,Enforcements!$C$7:$J$73,8,0)</f>
        <v>#N/A</v>
      </c>
      <c r="AC13" s="49" t="e">
        <f>VLOOKUP(A13,Enforcements!$C$7:$E$73,3,0)</f>
        <v>#N/A</v>
      </c>
    </row>
    <row r="14" spans="1:91" s="2" customFormat="1" x14ac:dyDescent="0.25">
      <c r="A14" s="43" t="s">
        <v>224</v>
      </c>
      <c r="B14" s="43">
        <v>4012</v>
      </c>
      <c r="C14" s="43" t="s">
        <v>60</v>
      </c>
      <c r="D14" s="43" t="s">
        <v>195</v>
      </c>
      <c r="E14" s="25">
        <v>42545.161932870367</v>
      </c>
      <c r="F14" s="25">
        <v>42545.163831018515</v>
      </c>
      <c r="G14" s="31">
        <v>2</v>
      </c>
      <c r="H14" s="25" t="s">
        <v>98</v>
      </c>
      <c r="I14" s="25">
        <v>42545.200497685182</v>
      </c>
      <c r="J14" s="43">
        <v>0</v>
      </c>
      <c r="K14" s="43" t="str">
        <f t="shared" si="0"/>
        <v>4011/4012</v>
      </c>
      <c r="L14" s="43" t="str">
        <f>VLOOKUP(A14,'Trips&amp;Operators'!$C$1:$E$10000,3,FALSE)</f>
        <v>YORK</v>
      </c>
      <c r="M14" s="11">
        <f t="shared" si="1"/>
        <v>3.6666666666860692E-2</v>
      </c>
      <c r="N14" s="12">
        <f t="shared" si="2"/>
        <v>52.800000000279397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 "&lt;=" &amp; Y14, Variables!$M$2:$M$19, "&gt;=" &amp; 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03:52:11-0600',mode:absolute,to:'2016-06-24 04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" s="48" t="str">
        <f t="shared" si="6"/>
        <v>N</v>
      </c>
      <c r="X14" s="48">
        <f t="shared" si="7"/>
        <v>1</v>
      </c>
      <c r="Y14" s="48">
        <f t="shared" si="8"/>
        <v>23.261600000000001</v>
      </c>
      <c r="Z14" s="48">
        <f t="shared" si="9"/>
        <v>1.61E-2</v>
      </c>
      <c r="AA14" s="48">
        <f t="shared" si="10"/>
        <v>23.2455</v>
      </c>
      <c r="AB14" s="49" t="e">
        <f>VLOOKUP(A14,Enforcements!$C$7:$J$73,8,0)</f>
        <v>#N/A</v>
      </c>
      <c r="AC14" s="49" t="e">
        <f>VLOOKUP(A14,Enforcements!$C$7:$E$73,3,0)</f>
        <v>#N/A</v>
      </c>
    </row>
    <row r="15" spans="1:91" s="2" customFormat="1" x14ac:dyDescent="0.25">
      <c r="A15" s="43" t="s">
        <v>225</v>
      </c>
      <c r="B15" s="43">
        <v>4029</v>
      </c>
      <c r="C15" s="43" t="s">
        <v>60</v>
      </c>
      <c r="D15" s="43" t="s">
        <v>226</v>
      </c>
      <c r="E15" s="25">
        <v>42545.1487037037</v>
      </c>
      <c r="F15" s="25">
        <v>42545.151423611111</v>
      </c>
      <c r="G15" s="31">
        <v>3</v>
      </c>
      <c r="H15" s="25" t="s">
        <v>151</v>
      </c>
      <c r="I15" s="25">
        <v>42545.183067129627</v>
      </c>
      <c r="J15" s="43">
        <v>0</v>
      </c>
      <c r="K15" s="43" t="str">
        <f t="shared" si="0"/>
        <v>4029/4030</v>
      </c>
      <c r="L15" s="43" t="str">
        <f>VLOOKUP(A15,'Trips&amp;Operators'!$C$1:$E$10000,3,FALSE)</f>
        <v>STURGEON</v>
      </c>
      <c r="M15" s="11">
        <f t="shared" si="1"/>
        <v>3.1643518515920732E-2</v>
      </c>
      <c r="N15" s="12">
        <f t="shared" si="2"/>
        <v>45.566666662925854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 "&gt;=" &amp; Y15, Variables!$M$2:$M$19, "&lt;=" &amp; 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03:33:08-0600',mode:absolute,to:'2016-06-24 04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7.6799999999999993E-2</v>
      </c>
      <c r="Z15" s="48">
        <f t="shared" si="9"/>
        <v>23.327400000000001</v>
      </c>
      <c r="AA15" s="48">
        <f t="shared" si="10"/>
        <v>23.250600000000002</v>
      </c>
      <c r="AB15" s="49" t="e">
        <f>VLOOKUP(A15,Enforcements!$C$7:$J$73,8,0)</f>
        <v>#N/A</v>
      </c>
      <c r="AC15" s="49" t="e">
        <f>VLOOKUP(A15,Enforcements!$C$7:$E$73,3,0)</f>
        <v>#N/A</v>
      </c>
    </row>
    <row r="16" spans="1:91" s="2" customFormat="1" x14ac:dyDescent="0.25">
      <c r="A16" s="43" t="s">
        <v>227</v>
      </c>
      <c r="B16" s="43">
        <v>4032</v>
      </c>
      <c r="C16" s="43" t="s">
        <v>60</v>
      </c>
      <c r="D16" s="43" t="s">
        <v>228</v>
      </c>
      <c r="E16" s="25">
        <v>42545.190266203703</v>
      </c>
      <c r="F16" s="25">
        <v>42545.191840277781</v>
      </c>
      <c r="G16" s="31">
        <v>2</v>
      </c>
      <c r="H16" s="25" t="s">
        <v>67</v>
      </c>
      <c r="I16" s="25">
        <v>42545.224305555559</v>
      </c>
      <c r="J16" s="43">
        <v>0</v>
      </c>
      <c r="K16" s="43" t="str">
        <f t="shared" si="0"/>
        <v>4031/4032</v>
      </c>
      <c r="L16" s="43" t="str">
        <f>VLOOKUP(A16,'Trips&amp;Operators'!$C$1:$E$10000,3,FALSE)</f>
        <v>STURGEON</v>
      </c>
      <c r="M16" s="11">
        <f t="shared" si="1"/>
        <v>3.2465277778101154E-2</v>
      </c>
      <c r="N16" s="12">
        <f t="shared" si="2"/>
        <v>46.750000000465661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 "&lt;=" &amp; Y16, Variables!$M$2:$M$19, "&gt;=" &amp; 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04:32:59-0600',mode:absolute,to:'2016-06-24 05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23.263500000000001</v>
      </c>
      <c r="Z16" s="48">
        <f t="shared" si="9"/>
        <v>1.47E-2</v>
      </c>
      <c r="AA16" s="48">
        <f t="shared" si="10"/>
        <v>23.248799999999999</v>
      </c>
      <c r="AB16" s="49" t="e">
        <f>VLOOKUP(A16,Enforcements!$C$7:$J$73,8,0)</f>
        <v>#N/A</v>
      </c>
      <c r="AC16" s="49" t="e">
        <f>VLOOKUP(A16,Enforcements!$C$7:$E$73,3,0)</f>
        <v>#N/A</v>
      </c>
    </row>
    <row r="17" spans="1:29" s="2" customFormat="1" x14ac:dyDescent="0.25">
      <c r="A17" s="43" t="s">
        <v>229</v>
      </c>
      <c r="B17" s="43">
        <v>4040</v>
      </c>
      <c r="C17" s="43" t="s">
        <v>60</v>
      </c>
      <c r="D17" s="43" t="s">
        <v>230</v>
      </c>
      <c r="E17" s="25">
        <v>42545.166550925926</v>
      </c>
      <c r="F17" s="25">
        <v>42545.169212962966</v>
      </c>
      <c r="G17" s="31">
        <v>3</v>
      </c>
      <c r="H17" s="25" t="s">
        <v>231</v>
      </c>
      <c r="I17" s="25">
        <v>42545.204398148147</v>
      </c>
      <c r="J17" s="43">
        <v>0</v>
      </c>
      <c r="K17" s="43" t="str">
        <f t="shared" si="0"/>
        <v>4039/4040</v>
      </c>
      <c r="L17" s="43" t="str">
        <f>VLOOKUP(A17,'Trips&amp;Operators'!$C$1:$E$10000,3,FALSE)</f>
        <v>CANFIELD</v>
      </c>
      <c r="M17" s="11">
        <f t="shared" si="1"/>
        <v>3.5185185181035195E-2</v>
      </c>
      <c r="N17" s="12">
        <f t="shared" si="2"/>
        <v>50.66666666069068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 "&gt;=" &amp; Y17, Variables!$M$2:$M$19, "&lt;=" &amp; 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03:58:50-0600',mode:absolute,to:'2016-06-24 04:55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7.7399999999999997E-2</v>
      </c>
      <c r="Z17" s="48">
        <f t="shared" si="9"/>
        <v>23.329899999999999</v>
      </c>
      <c r="AA17" s="48">
        <f t="shared" si="10"/>
        <v>23.252499999999998</v>
      </c>
      <c r="AB17" s="49" t="e">
        <f>VLOOKUP(A17,Enforcements!$C$7:$J$73,8,0)</f>
        <v>#N/A</v>
      </c>
      <c r="AC17" s="49" t="e">
        <f>VLOOKUP(A17,Enforcements!$C$7:$E$73,3,0)</f>
        <v>#N/A</v>
      </c>
    </row>
    <row r="18" spans="1:29" s="2" customFormat="1" x14ac:dyDescent="0.25">
      <c r="A18" s="43" t="s">
        <v>232</v>
      </c>
      <c r="B18" s="43">
        <v>4019</v>
      </c>
      <c r="C18" s="43" t="s">
        <v>60</v>
      </c>
      <c r="D18" s="43" t="s">
        <v>233</v>
      </c>
      <c r="E18" s="25">
        <v>42545.209976851853</v>
      </c>
      <c r="F18" s="25">
        <v>42545.213148148148</v>
      </c>
      <c r="G18" s="31">
        <v>4</v>
      </c>
      <c r="H18" s="25" t="s">
        <v>112</v>
      </c>
      <c r="I18" s="25">
        <v>42545.245520833334</v>
      </c>
      <c r="J18" s="43">
        <v>1</v>
      </c>
      <c r="K18" s="43" t="str">
        <f t="shared" si="0"/>
        <v>4019/4020</v>
      </c>
      <c r="L18" s="43" t="str">
        <f>VLOOKUP(A18,'Trips&amp;Operators'!$C$1:$E$10000,3,FALSE)</f>
        <v>CANFIELD</v>
      </c>
      <c r="M18" s="11">
        <f t="shared" si="1"/>
        <v>3.2372685185691807E-2</v>
      </c>
      <c r="N18" s="12">
        <f t="shared" si="2"/>
        <v>46.616666667396203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 "&lt;=" &amp; Y18, Variables!$M$2:$M$19, "&gt;=" &amp; 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05:01:22-0600',mode:absolute,to:'2016-06-24 05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23.265000000000001</v>
      </c>
      <c r="Z18" s="48">
        <f t="shared" si="9"/>
        <v>1.6299999999999999E-2</v>
      </c>
      <c r="AA18" s="48">
        <f t="shared" si="10"/>
        <v>23.248699999999999</v>
      </c>
      <c r="AB18" s="49">
        <f>VLOOKUP(A18,Enforcements!$C$7:$J$73,8,0)</f>
        <v>1</v>
      </c>
      <c r="AC18" s="49" t="str">
        <f>VLOOKUP(A18,Enforcements!$C$7:$E$73,3,0)</f>
        <v>TRACK WARRANT AUTHORITY</v>
      </c>
    </row>
    <row r="19" spans="1:29" s="2" customFormat="1" x14ac:dyDescent="0.25">
      <c r="A19" s="43" t="s">
        <v>234</v>
      </c>
      <c r="B19" s="43">
        <v>4007</v>
      </c>
      <c r="C19" s="43" t="s">
        <v>60</v>
      </c>
      <c r="D19" s="43" t="s">
        <v>72</v>
      </c>
      <c r="E19" s="25">
        <v>42545.183472222219</v>
      </c>
      <c r="F19" s="25">
        <v>42545.184618055559</v>
      </c>
      <c r="G19" s="31">
        <v>1</v>
      </c>
      <c r="H19" s="25" t="s">
        <v>235</v>
      </c>
      <c r="I19" s="25">
        <v>42545.213738425926</v>
      </c>
      <c r="J19" s="43">
        <v>0</v>
      </c>
      <c r="K19" s="43" t="str">
        <f t="shared" si="0"/>
        <v>4007/4008</v>
      </c>
      <c r="L19" s="43" t="str">
        <f>VLOOKUP(A19,'Trips&amp;Operators'!$C$1:$E$10000,3,FALSE)</f>
        <v>BEAM</v>
      </c>
      <c r="M19" s="11">
        <f t="shared" si="1"/>
        <v>2.9120370367309079E-2</v>
      </c>
      <c r="N19" s="12">
        <f t="shared" si="2"/>
        <v>41.933333328925073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 "&gt;=" &amp; Y19, Variables!$M$2:$M$19, "&lt;=" &amp; 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04:23:12-0600',mode:absolute,to:'2016-06-24 05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4.6199999999999998E-2</v>
      </c>
      <c r="Z19" s="48">
        <f t="shared" si="9"/>
        <v>23.3306</v>
      </c>
      <c r="AA19" s="48">
        <f t="shared" si="10"/>
        <v>23.284400000000002</v>
      </c>
      <c r="AB19" s="49" t="e">
        <f>VLOOKUP(A19,Enforcements!$C$7:$J$73,8,0)</f>
        <v>#N/A</v>
      </c>
      <c r="AC19" s="49" t="e">
        <f>VLOOKUP(A19,Enforcements!$C$7:$E$73,3,0)</f>
        <v>#N/A</v>
      </c>
    </row>
    <row r="20" spans="1:29" s="2" customFormat="1" x14ac:dyDescent="0.25">
      <c r="A20" s="43" t="s">
        <v>236</v>
      </c>
      <c r="B20" s="43">
        <v>4008</v>
      </c>
      <c r="C20" s="43" t="s">
        <v>60</v>
      </c>
      <c r="D20" s="43" t="s">
        <v>237</v>
      </c>
      <c r="E20" s="25">
        <v>42545.220682870371</v>
      </c>
      <c r="F20" s="25">
        <v>42545.22179398148</v>
      </c>
      <c r="G20" s="31">
        <v>1</v>
      </c>
      <c r="H20" s="25" t="s">
        <v>67</v>
      </c>
      <c r="I20" s="25">
        <v>42545.252083333333</v>
      </c>
      <c r="J20" s="43">
        <v>0</v>
      </c>
      <c r="K20" s="43" t="str">
        <f t="shared" si="0"/>
        <v>4007/4008</v>
      </c>
      <c r="L20" s="43" t="str">
        <f>VLOOKUP(A20,'Trips&amp;Operators'!$C$1:$E$10000,3,FALSE)</f>
        <v>BEAM</v>
      </c>
      <c r="M20" s="11">
        <f t="shared" si="1"/>
        <v>3.0289351852843538E-2</v>
      </c>
      <c r="N20" s="12">
        <f t="shared" si="2"/>
        <v>43.616666668094695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 "&lt;=" &amp; Y20, Variables!$M$2:$M$19, "&gt;=" &amp; 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05:16:47-0600',mode:absolute,to:'2016-06-24 06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23.2987</v>
      </c>
      <c r="Z20" s="48">
        <f t="shared" si="9"/>
        <v>1.47E-2</v>
      </c>
      <c r="AA20" s="48">
        <f t="shared" si="10"/>
        <v>23.283999999999999</v>
      </c>
      <c r="AB20" s="49" t="e">
        <f>VLOOKUP(A20,Enforcements!$C$7:$J$73,8,0)</f>
        <v>#N/A</v>
      </c>
      <c r="AC20" s="49" t="e">
        <f>VLOOKUP(A20,Enforcements!$C$7:$E$73,3,0)</f>
        <v>#N/A</v>
      </c>
    </row>
    <row r="21" spans="1:29" s="2" customFormat="1" x14ac:dyDescent="0.25">
      <c r="A21" s="43" t="s">
        <v>504</v>
      </c>
      <c r="B21" s="43">
        <v>4042</v>
      </c>
      <c r="C21" s="43"/>
      <c r="D21" s="43"/>
      <c r="E21" s="25"/>
      <c r="F21" s="25">
        <v>42545.196111111109</v>
      </c>
      <c r="G21" s="25"/>
      <c r="H21" s="25"/>
      <c r="I21" s="25">
        <v>42545.202199074076</v>
      </c>
      <c r="J21" s="43"/>
      <c r="K21" s="43" t="str">
        <f t="shared" si="0"/>
        <v>4041/4042</v>
      </c>
      <c r="L21" s="43" t="str">
        <f>VLOOKUP(A21,'Trips&amp;Operators'!$C$1:$E$10000,3,FALSE)</f>
        <v>MALAVE</v>
      </c>
      <c r="M21" s="11">
        <f t="shared" si="1"/>
        <v>6.0879629672854207E-3</v>
      </c>
      <c r="N21" s="12"/>
      <c r="O21" s="12"/>
      <c r="P21" s="12">
        <f>24*60*SUM($M21:$M21)</f>
        <v>8.7666666728910059</v>
      </c>
      <c r="Q21" s="44"/>
      <c r="R21" s="44" t="s">
        <v>506</v>
      </c>
      <c r="S21" s="70">
        <f t="shared" si="3"/>
        <v>0</v>
      </c>
      <c r="T21" s="2" t="str">
        <f t="shared" si="4"/>
        <v>NorthBound</v>
      </c>
      <c r="U21" s="2">
        <f>COUNTIFS(Variables!$M$2:$M$19, "&gt;=" &amp; Y21, Variables!$M$2:$M$19, "&lt;=" &amp; Z21)</f>
        <v>0</v>
      </c>
      <c r="V21" s="48" t="e">
        <f t="shared" si="5"/>
        <v>#VALUE!</v>
      </c>
      <c r="W21" s="48" t="e">
        <f t="shared" si="6"/>
        <v>#VALUE!</v>
      </c>
      <c r="X21" s="48">
        <f t="shared" si="7"/>
        <v>1</v>
      </c>
      <c r="Y21" s="48" t="e">
        <f t="shared" si="8"/>
        <v>#VALUE!</v>
      </c>
      <c r="Z21" s="48" t="e">
        <f t="shared" si="9"/>
        <v>#VALUE!</v>
      </c>
      <c r="AA21" s="48" t="e">
        <f t="shared" si="10"/>
        <v>#VALUE!</v>
      </c>
      <c r="AB21" s="49" t="e">
        <f>VLOOKUP(A21,Enforcements!$C$7:$J$73,8,0)</f>
        <v>#N/A</v>
      </c>
      <c r="AC21" s="49" t="e">
        <f>VLOOKUP(A21,Enforcements!$C$7:$E$73,3,0)</f>
        <v>#N/A</v>
      </c>
    </row>
    <row r="22" spans="1:29" s="2" customFormat="1" x14ac:dyDescent="0.25">
      <c r="A22" s="43" t="s">
        <v>238</v>
      </c>
      <c r="B22" s="43">
        <v>4041</v>
      </c>
      <c r="C22" s="43" t="s">
        <v>60</v>
      </c>
      <c r="D22" s="43" t="s">
        <v>88</v>
      </c>
      <c r="E22" s="25">
        <v>42545.235625000001</v>
      </c>
      <c r="F22" s="25">
        <v>42545.236608796295</v>
      </c>
      <c r="G22" s="31">
        <v>1</v>
      </c>
      <c r="H22" s="25" t="s">
        <v>239</v>
      </c>
      <c r="I22" s="25">
        <v>42545.264328703706</v>
      </c>
      <c r="J22" s="43">
        <v>2</v>
      </c>
      <c r="K22" s="43" t="str">
        <f t="shared" si="0"/>
        <v>4041/4042</v>
      </c>
      <c r="L22" s="43" t="str">
        <f>VLOOKUP(A22,'Trips&amp;Operators'!$C$1:$E$10000,3,FALSE)</f>
        <v>MALAVE</v>
      </c>
      <c r="M22" s="11">
        <f t="shared" si="1"/>
        <v>2.771990741166519E-2</v>
      </c>
      <c r="N22" s="12">
        <f>24*60*SUM($M22:$M22)</f>
        <v>39.916666672797874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 "&lt;=" &amp; Y22, Variables!$M$2:$M$19, "&gt;=" &amp; 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05:38:18-0600',mode:absolute,to:'2016-06-24 06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23.297499999999999</v>
      </c>
      <c r="Z22" s="48">
        <f t="shared" si="9"/>
        <v>2.8299999999999999E-2</v>
      </c>
      <c r="AA22" s="48">
        <f t="shared" si="10"/>
        <v>23.269199999999998</v>
      </c>
      <c r="AB22" s="49">
        <f>VLOOKUP(A22,Enforcements!$C$7:$J$73,8,0)</f>
        <v>10694</v>
      </c>
      <c r="AC22" s="49" t="str">
        <f>VLOOKUP(A22,Enforcements!$C$7:$E$73,3,0)</f>
        <v>PERMANENT SPEED RESTRICTION</v>
      </c>
    </row>
    <row r="23" spans="1:29" s="2" customFormat="1" x14ac:dyDescent="0.25">
      <c r="A23" s="43" t="s">
        <v>500</v>
      </c>
      <c r="B23" s="43">
        <v>4038</v>
      </c>
      <c r="C23" s="43"/>
      <c r="D23" s="43"/>
      <c r="E23" s="25"/>
      <c r="F23" s="25">
        <v>42545.206030092595</v>
      </c>
      <c r="G23" s="25"/>
      <c r="H23" s="25"/>
      <c r="I23" s="25">
        <v>42545.207754629628</v>
      </c>
      <c r="J23" s="43"/>
      <c r="K23" s="43" t="str">
        <f t="shared" si="0"/>
        <v>4037/4038</v>
      </c>
      <c r="L23" s="43" t="str">
        <f>VLOOKUP(A23,'Trips&amp;Operators'!$C$1:$E$10000,3,FALSE)</f>
        <v>STAMBAUGH</v>
      </c>
      <c r="M23" s="11">
        <f t="shared" si="1"/>
        <v>1.7245370327145793E-3</v>
      </c>
      <c r="N23" s="12"/>
      <c r="O23" s="12"/>
      <c r="P23" s="12">
        <f>24*60*SUM($M23:$M23)</f>
        <v>2.4833333271089941</v>
      </c>
      <c r="Q23" s="44"/>
      <c r="R23" s="44" t="s">
        <v>505</v>
      </c>
      <c r="S23" s="70">
        <f t="shared" si="3"/>
        <v>0</v>
      </c>
      <c r="T23" s="2" t="str">
        <f t="shared" si="4"/>
        <v>NorthBound</v>
      </c>
      <c r="U23" s="2">
        <f>COUNTIFS(Variables!$M$2:$M$19, "&gt;=" &amp; Y23, Variables!$M$2:$M$19, "&lt;=" &amp; Z23)</f>
        <v>0</v>
      </c>
      <c r="V23" s="48" t="e">
        <f t="shared" si="5"/>
        <v>#VALUE!</v>
      </c>
      <c r="W23" s="48" t="e">
        <f t="shared" si="6"/>
        <v>#VALUE!</v>
      </c>
      <c r="X23" s="48">
        <f t="shared" si="7"/>
        <v>1</v>
      </c>
      <c r="Y23" s="48" t="e">
        <f t="shared" si="8"/>
        <v>#VALUE!</v>
      </c>
      <c r="Z23" s="48" t="e">
        <f t="shared" si="9"/>
        <v>#VALUE!</v>
      </c>
      <c r="AA23" s="48" t="e">
        <f t="shared" si="10"/>
        <v>#VALUE!</v>
      </c>
      <c r="AB23" s="49" t="e">
        <f>VLOOKUP(A23,Enforcements!$C$7:$J$73,8,0)</f>
        <v>#N/A</v>
      </c>
      <c r="AC23" s="49" t="e">
        <f>VLOOKUP(A23,Enforcements!$C$7:$E$73,3,0)</f>
        <v>#N/A</v>
      </c>
    </row>
    <row r="24" spans="1:29" s="2" customFormat="1" x14ac:dyDescent="0.25">
      <c r="A24" s="43" t="s">
        <v>240</v>
      </c>
      <c r="B24" s="43">
        <v>4037</v>
      </c>
      <c r="C24" s="43" t="s">
        <v>60</v>
      </c>
      <c r="D24" s="43" t="s">
        <v>71</v>
      </c>
      <c r="E24" s="25">
        <v>42545.242314814815</v>
      </c>
      <c r="F24" s="25">
        <v>42545.243750000001</v>
      </c>
      <c r="G24" s="31">
        <v>2</v>
      </c>
      <c r="H24" s="25" t="s">
        <v>67</v>
      </c>
      <c r="I24" s="25">
        <v>42545.275833333333</v>
      </c>
      <c r="J24" s="43">
        <v>0</v>
      </c>
      <c r="K24" s="43" t="str">
        <f t="shared" si="0"/>
        <v>4037/4038</v>
      </c>
      <c r="L24" s="43" t="str">
        <f>VLOOKUP(A24,'Trips&amp;Operators'!$C$1:$E$10000,3,FALSE)</f>
        <v>STAMBAUGH</v>
      </c>
      <c r="M24" s="11">
        <f t="shared" si="1"/>
        <v>3.2083333331684116E-2</v>
      </c>
      <c r="N24" s="12">
        <f t="shared" ref="N24:N35" si="11">24*60*SUM($M24:$M24)</f>
        <v>46.199999997625127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 "&lt;=" &amp; Y24, Variables!$M$2:$M$19, "&gt;=" &amp; 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05:47:56-0600',mode:absolute,to:'2016-06-24 06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23.297699999999999</v>
      </c>
      <c r="Z24" s="48">
        <f t="shared" si="9"/>
        <v>1.47E-2</v>
      </c>
      <c r="AA24" s="48">
        <f t="shared" si="10"/>
        <v>23.282999999999998</v>
      </c>
      <c r="AB24" s="49" t="e">
        <f>VLOOKUP(A24,Enforcements!$C$7:$J$73,8,0)</f>
        <v>#N/A</v>
      </c>
      <c r="AC24" s="49" t="e">
        <f>VLOOKUP(A24,Enforcements!$C$7:$E$73,3,0)</f>
        <v>#N/A</v>
      </c>
    </row>
    <row r="25" spans="1:29" s="2" customFormat="1" x14ac:dyDescent="0.25">
      <c r="A25" s="43" t="s">
        <v>241</v>
      </c>
      <c r="B25" s="43">
        <v>4011</v>
      </c>
      <c r="C25" s="43" t="s">
        <v>60</v>
      </c>
      <c r="D25" s="43" t="s">
        <v>69</v>
      </c>
      <c r="E25" s="25">
        <v>42545.205046296294</v>
      </c>
      <c r="F25" s="25">
        <v>42545.205983796295</v>
      </c>
      <c r="G25" s="31">
        <v>1</v>
      </c>
      <c r="H25" s="25" t="s">
        <v>174</v>
      </c>
      <c r="I25" s="25">
        <v>42545.24391203704</v>
      </c>
      <c r="J25" s="43">
        <v>0</v>
      </c>
      <c r="K25" s="43" t="str">
        <f t="shared" si="0"/>
        <v>4011/4012</v>
      </c>
      <c r="L25" s="43" t="str">
        <f>VLOOKUP(A25,'Trips&amp;Operators'!$C$1:$E$10000,3,FALSE)</f>
        <v>YORK</v>
      </c>
      <c r="M25" s="11">
        <f t="shared" si="1"/>
        <v>3.7928240744804498E-2</v>
      </c>
      <c r="N25" s="12">
        <f t="shared" si="11"/>
        <v>54.616666672518477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 "&gt;=" &amp; Y25, Variables!$M$2:$M$19, "&lt;=" &amp; 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04:54:16-0600',mode:absolute,to:'2016-06-24 05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4.5999999999999999E-2</v>
      </c>
      <c r="Z25" s="48">
        <f t="shared" si="9"/>
        <v>23.331700000000001</v>
      </c>
      <c r="AA25" s="48">
        <f t="shared" si="10"/>
        <v>23.285700000000002</v>
      </c>
      <c r="AB25" s="49" t="e">
        <f>VLOOKUP(A25,Enforcements!$C$7:$J$73,8,0)</f>
        <v>#N/A</v>
      </c>
      <c r="AC25" s="49" t="e">
        <f>VLOOKUP(A25,Enforcements!$C$7:$E$73,3,0)</f>
        <v>#N/A</v>
      </c>
    </row>
    <row r="26" spans="1:29" s="2" customFormat="1" x14ac:dyDescent="0.25">
      <c r="A26" s="43" t="s">
        <v>242</v>
      </c>
      <c r="B26" s="43">
        <v>4012</v>
      </c>
      <c r="C26" s="43" t="s">
        <v>60</v>
      </c>
      <c r="D26" s="43" t="s">
        <v>150</v>
      </c>
      <c r="E26" s="25">
        <v>42545.244895833333</v>
      </c>
      <c r="F26" s="25">
        <v>42545.247048611112</v>
      </c>
      <c r="G26" s="31">
        <v>3</v>
      </c>
      <c r="H26" s="25" t="s">
        <v>68</v>
      </c>
      <c r="I26" s="25">
        <v>42545.28365740741</v>
      </c>
      <c r="J26" s="43">
        <v>0</v>
      </c>
      <c r="K26" s="43" t="str">
        <f t="shared" si="0"/>
        <v>4011/4012</v>
      </c>
      <c r="L26" s="43" t="str">
        <f>VLOOKUP(A26,'Trips&amp;Operators'!$C$1:$E$10000,3,FALSE)</f>
        <v>YORK</v>
      </c>
      <c r="M26" s="11">
        <f t="shared" si="1"/>
        <v>3.6608796297514345E-2</v>
      </c>
      <c r="N26" s="12">
        <f t="shared" si="11"/>
        <v>52.716666668420658</v>
      </c>
      <c r="O26" s="12"/>
      <c r="P26" s="12"/>
      <c r="Q26" s="44"/>
      <c r="R26" s="44"/>
      <c r="S26" s="70">
        <f t="shared" si="3"/>
        <v>1</v>
      </c>
      <c r="T26" s="2" t="str">
        <f t="shared" si="4"/>
        <v>Southbound</v>
      </c>
      <c r="U26" s="2">
        <f>COUNTIFS(Variables!$M$2:$M$19, "&lt;=" &amp; Y26, Variables!$M$2:$M$19, "&gt;=" &amp; 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05:51:39-0600',mode:absolute,to:'2016-06-24 06:49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6" s="48" t="str">
        <f t="shared" si="6"/>
        <v>N</v>
      </c>
      <c r="X26" s="48">
        <f t="shared" si="7"/>
        <v>1</v>
      </c>
      <c r="Y26" s="48">
        <f t="shared" si="8"/>
        <v>23.2989</v>
      </c>
      <c r="Z26" s="48">
        <f t="shared" si="9"/>
        <v>1.6E-2</v>
      </c>
      <c r="AA26" s="48">
        <f t="shared" si="10"/>
        <v>23.282900000000001</v>
      </c>
      <c r="AB26" s="49" t="e">
        <f>VLOOKUP(A26,Enforcements!$C$7:$J$73,8,0)</f>
        <v>#N/A</v>
      </c>
      <c r="AC26" s="49" t="e">
        <f>VLOOKUP(A26,Enforcements!$C$7:$E$73,3,0)</f>
        <v>#N/A</v>
      </c>
    </row>
    <row r="27" spans="1:29" s="2" customFormat="1" x14ac:dyDescent="0.25">
      <c r="A27" s="43" t="s">
        <v>243</v>
      </c>
      <c r="B27" s="43">
        <v>4029</v>
      </c>
      <c r="C27" s="43" t="s">
        <v>60</v>
      </c>
      <c r="D27" s="43" t="s">
        <v>244</v>
      </c>
      <c r="E27" s="25">
        <v>42545.226539351854</v>
      </c>
      <c r="F27" s="25">
        <v>42545.228171296294</v>
      </c>
      <c r="G27" s="31">
        <v>2</v>
      </c>
      <c r="H27" s="25" t="s">
        <v>245</v>
      </c>
      <c r="I27" s="25">
        <v>42545.257071759261</v>
      </c>
      <c r="J27" s="43">
        <v>1</v>
      </c>
      <c r="K27" s="43" t="str">
        <f t="shared" si="0"/>
        <v>4029/4030</v>
      </c>
      <c r="L27" s="43" t="str">
        <f>VLOOKUP(A27,'Trips&amp;Operators'!$C$1:$E$10000,3,FALSE)</f>
        <v>SHOOK</v>
      </c>
      <c r="M27" s="11">
        <f t="shared" si="1"/>
        <v>2.8900462966703344E-2</v>
      </c>
      <c r="N27" s="12">
        <f t="shared" si="11"/>
        <v>41.616666672052816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 "&gt;=" &amp; Y27, Variables!$M$2:$M$19, "&lt;=" &amp; 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05:25:13-0600',mode:absolute,to:'2016-06-24 06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6.9699999999999998E-2</v>
      </c>
      <c r="Z27" s="48">
        <f t="shared" si="9"/>
        <v>23.315100000000001</v>
      </c>
      <c r="AA27" s="48">
        <f t="shared" si="10"/>
        <v>23.2454</v>
      </c>
      <c r="AB27" s="49">
        <f>VLOOKUP(A27,Enforcements!$C$7:$J$73,8,0)</f>
        <v>233491</v>
      </c>
      <c r="AC27" s="49" t="str">
        <f>VLOOKUP(A27,Enforcements!$C$7:$E$73,3,0)</f>
        <v>TRACK WARRANT AUTHORITY</v>
      </c>
    </row>
    <row r="28" spans="1:29" s="2" customFormat="1" x14ac:dyDescent="0.25">
      <c r="A28" s="43" t="s">
        <v>246</v>
      </c>
      <c r="B28" s="43">
        <v>4030</v>
      </c>
      <c r="C28" s="43" t="s">
        <v>60</v>
      </c>
      <c r="D28" s="43" t="s">
        <v>247</v>
      </c>
      <c r="E28" s="25">
        <v>42545.261840277781</v>
      </c>
      <c r="F28" s="25">
        <v>42545.262962962966</v>
      </c>
      <c r="G28" s="31">
        <v>1</v>
      </c>
      <c r="H28" s="25" t="s">
        <v>76</v>
      </c>
      <c r="I28" s="25">
        <v>42545.295787037037</v>
      </c>
      <c r="J28" s="43">
        <v>0</v>
      </c>
      <c r="K28" s="43" t="str">
        <f t="shared" si="0"/>
        <v>4029/4030</v>
      </c>
      <c r="L28" s="43" t="str">
        <f>VLOOKUP(A28,'Trips&amp;Operators'!$C$1:$E$10000,3,FALSE)</f>
        <v>SHOOK</v>
      </c>
      <c r="M28" s="11">
        <f t="shared" si="1"/>
        <v>3.2824074070958886E-2</v>
      </c>
      <c r="N28" s="12">
        <f t="shared" si="11"/>
        <v>47.266666662180796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 "&lt;=" &amp; Y28, Variables!$M$2:$M$19, "&gt;=" &amp; 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06:16:03-0600',mode:absolute,to:'2016-06-24 07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8" s="48" t="str">
        <f t="shared" si="6"/>
        <v>N</v>
      </c>
      <c r="X28" s="48">
        <f t="shared" si="7"/>
        <v>1</v>
      </c>
      <c r="Y28" s="48">
        <f t="shared" si="8"/>
        <v>23.282499999999999</v>
      </c>
      <c r="Z28" s="48">
        <f t="shared" si="9"/>
        <v>1.5599999999999999E-2</v>
      </c>
      <c r="AA28" s="48">
        <f t="shared" si="10"/>
        <v>23.2669</v>
      </c>
      <c r="AB28" s="49" t="e">
        <f>VLOOKUP(A28,Enforcements!$C$7:$J$73,8,0)</f>
        <v>#N/A</v>
      </c>
      <c r="AC28" s="49" t="e">
        <f>VLOOKUP(A28,Enforcements!$C$7:$E$73,3,0)</f>
        <v>#N/A</v>
      </c>
    </row>
    <row r="29" spans="1:29" s="2" customFormat="1" x14ac:dyDescent="0.25">
      <c r="A29" s="43" t="s">
        <v>248</v>
      </c>
      <c r="B29" s="43">
        <v>4031</v>
      </c>
      <c r="C29" s="43" t="s">
        <v>60</v>
      </c>
      <c r="D29" s="43" t="s">
        <v>178</v>
      </c>
      <c r="E29" s="25">
        <v>42545.231365740743</v>
      </c>
      <c r="F29" s="25">
        <v>42545.232361111113</v>
      </c>
      <c r="G29" s="31">
        <v>1</v>
      </c>
      <c r="H29" s="25" t="s">
        <v>210</v>
      </c>
      <c r="I29" s="25">
        <v>42545.266446759262</v>
      </c>
      <c r="J29" s="43">
        <v>0</v>
      </c>
      <c r="K29" s="43" t="str">
        <f t="shared" si="0"/>
        <v>4031/4032</v>
      </c>
      <c r="L29" s="43" t="str">
        <f>VLOOKUP(A29,'Trips&amp;Operators'!$C$1:$E$10000,3,FALSE)</f>
        <v>STURGEON</v>
      </c>
      <c r="M29" s="11">
        <f t="shared" si="1"/>
        <v>3.4085648148902692E-2</v>
      </c>
      <c r="N29" s="12">
        <f t="shared" si="11"/>
        <v>49.083333334419876</v>
      </c>
      <c r="O29" s="12"/>
      <c r="P29" s="12"/>
      <c r="Q29" s="44"/>
      <c r="R29" s="44"/>
      <c r="S29" s="70">
        <f t="shared" si="3"/>
        <v>1</v>
      </c>
      <c r="T29" s="2" t="str">
        <f t="shared" si="4"/>
        <v>NorthBound</v>
      </c>
      <c r="U29" s="2">
        <f>COUNTIFS(Variables!$M$2:$M$19, "&gt;=" &amp; Y29, Variables!$M$2:$M$19, "&lt;=" &amp; Z29)</f>
        <v>12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05:32:10-0600',mode:absolute,to:'2016-06-24 06:24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9" s="48" t="str">
        <f t="shared" si="6"/>
        <v>N</v>
      </c>
      <c r="X29" s="48">
        <f t="shared" si="7"/>
        <v>1</v>
      </c>
      <c r="Y29" s="48">
        <f t="shared" si="8"/>
        <v>4.7500000000000001E-2</v>
      </c>
      <c r="Z29" s="48">
        <f t="shared" si="9"/>
        <v>23.328299999999999</v>
      </c>
      <c r="AA29" s="48">
        <f t="shared" si="10"/>
        <v>23.280799999999999</v>
      </c>
      <c r="AB29" s="49" t="e">
        <f>VLOOKUP(A29,Enforcements!$C$7:$J$73,8,0)</f>
        <v>#N/A</v>
      </c>
      <c r="AC29" s="49" t="e">
        <f>VLOOKUP(A29,Enforcements!$C$7:$E$73,3,0)</f>
        <v>#N/A</v>
      </c>
    </row>
    <row r="30" spans="1:29" s="2" customFormat="1" x14ac:dyDescent="0.25">
      <c r="A30" s="43" t="s">
        <v>249</v>
      </c>
      <c r="B30" s="43">
        <v>4032</v>
      </c>
      <c r="C30" s="43" t="s">
        <v>60</v>
      </c>
      <c r="D30" s="43" t="s">
        <v>250</v>
      </c>
      <c r="E30" s="25">
        <v>42545.273449074077</v>
      </c>
      <c r="F30" s="25">
        <v>42545.274456018517</v>
      </c>
      <c r="G30" s="31">
        <v>1</v>
      </c>
      <c r="H30" s="25" t="s">
        <v>68</v>
      </c>
      <c r="I30" s="25">
        <v>42545.30636574074</v>
      </c>
      <c r="J30" s="43">
        <v>0</v>
      </c>
      <c r="K30" s="43" t="str">
        <f t="shared" si="0"/>
        <v>4031/4032</v>
      </c>
      <c r="L30" s="43" t="str">
        <f>VLOOKUP(A30,'Trips&amp;Operators'!$C$1:$E$10000,3,FALSE)</f>
        <v>STURGEON</v>
      </c>
      <c r="M30" s="11">
        <f t="shared" si="1"/>
        <v>3.1909722223645076E-2</v>
      </c>
      <c r="N30" s="12">
        <f t="shared" si="11"/>
        <v>45.95000000204891</v>
      </c>
      <c r="O30" s="12"/>
      <c r="P30" s="12"/>
      <c r="Q30" s="44"/>
      <c r="R30" s="44"/>
      <c r="S30" s="70">
        <f t="shared" si="3"/>
        <v>1</v>
      </c>
      <c r="T30" s="2" t="str">
        <f t="shared" si="4"/>
        <v>Southbound</v>
      </c>
      <c r="U30" s="2">
        <f>COUNTIFS(Variables!$M$2:$M$19, "&lt;=" &amp; Y30, Variables!$M$2:$M$19, "&gt;=" &amp; Z30)</f>
        <v>12</v>
      </c>
      <c r="V3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06:32:46-0600',mode:absolute,to:'2016-06-24 07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0" s="48" t="str">
        <f t="shared" si="6"/>
        <v>N</v>
      </c>
      <c r="X30" s="48">
        <f t="shared" si="7"/>
        <v>1</v>
      </c>
      <c r="Y30" s="48">
        <f t="shared" si="8"/>
        <v>23.297000000000001</v>
      </c>
      <c r="Z30" s="48">
        <f t="shared" si="9"/>
        <v>1.6E-2</v>
      </c>
      <c r="AA30" s="48">
        <f t="shared" si="10"/>
        <v>23.281000000000002</v>
      </c>
      <c r="AB30" s="49" t="e">
        <f>VLOOKUP(A30,Enforcements!$C$7:$J$73,8,0)</f>
        <v>#N/A</v>
      </c>
      <c r="AC30" s="49" t="e">
        <f>VLOOKUP(A30,Enforcements!$C$7:$E$73,3,0)</f>
        <v>#N/A</v>
      </c>
    </row>
    <row r="31" spans="1:29" s="2" customFormat="1" x14ac:dyDescent="0.25">
      <c r="A31" s="43" t="s">
        <v>251</v>
      </c>
      <c r="B31" s="43">
        <v>4040</v>
      </c>
      <c r="C31" s="43" t="s">
        <v>60</v>
      </c>
      <c r="D31" s="43" t="s">
        <v>252</v>
      </c>
      <c r="E31" s="25">
        <v>42545.250057870369</v>
      </c>
      <c r="F31" s="25">
        <v>42545.251064814816</v>
      </c>
      <c r="G31" s="31">
        <v>1</v>
      </c>
      <c r="H31" s="25" t="s">
        <v>151</v>
      </c>
      <c r="I31" s="25">
        <v>42545.277430555558</v>
      </c>
      <c r="J31" s="43">
        <v>0</v>
      </c>
      <c r="K31" s="43" t="str">
        <f t="shared" si="0"/>
        <v>4039/4040</v>
      </c>
      <c r="L31" s="43" t="str">
        <f>VLOOKUP(A31,'Trips&amp;Operators'!$C$1:$E$10000,3,FALSE)</f>
        <v>CANFIELD</v>
      </c>
      <c r="M31" s="11">
        <f t="shared" si="1"/>
        <v>2.6365740741312038E-2</v>
      </c>
      <c r="N31" s="12">
        <f t="shared" si="11"/>
        <v>37.966666667489335</v>
      </c>
      <c r="O31" s="12"/>
      <c r="P31" s="12"/>
      <c r="Q31" s="44"/>
      <c r="R31" s="44"/>
      <c r="S31" s="70">
        <f t="shared" si="3"/>
        <v>1</v>
      </c>
      <c r="T31" s="2" t="str">
        <f t="shared" si="4"/>
        <v>NorthBound</v>
      </c>
      <c r="U31" s="2">
        <f>COUNTIFS(Variables!$M$2:$M$19, "&gt;=" &amp; Y31, Variables!$M$2:$M$19, "&lt;=" &amp; Z31)</f>
        <v>12</v>
      </c>
      <c r="V3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05:59:05-0600',mode:absolute,to:'2016-06-24 06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1" s="48" t="str">
        <f t="shared" si="6"/>
        <v>N</v>
      </c>
      <c r="X31" s="48">
        <f t="shared" si="7"/>
        <v>1</v>
      </c>
      <c r="Y31" s="48">
        <f t="shared" si="8"/>
        <v>7.4999999999999997E-2</v>
      </c>
      <c r="Z31" s="48">
        <f t="shared" si="9"/>
        <v>23.327400000000001</v>
      </c>
      <c r="AA31" s="48">
        <f t="shared" si="10"/>
        <v>23.252400000000002</v>
      </c>
      <c r="AB31" s="49" t="e">
        <f>VLOOKUP(A31,Enforcements!$C$7:$J$73,8,0)</f>
        <v>#N/A</v>
      </c>
      <c r="AC31" s="49" t="e">
        <f>VLOOKUP(A31,Enforcements!$C$7:$E$73,3,0)</f>
        <v>#N/A</v>
      </c>
    </row>
    <row r="32" spans="1:29" s="2" customFormat="1" x14ac:dyDescent="0.25">
      <c r="A32" s="43" t="s">
        <v>253</v>
      </c>
      <c r="B32" s="43">
        <v>4039</v>
      </c>
      <c r="C32" s="43" t="s">
        <v>60</v>
      </c>
      <c r="D32" s="43" t="s">
        <v>254</v>
      </c>
      <c r="E32" s="25">
        <v>42545.285405092596</v>
      </c>
      <c r="F32" s="25">
        <v>42545.286724537036</v>
      </c>
      <c r="G32" s="31">
        <v>1</v>
      </c>
      <c r="H32" s="25" t="s">
        <v>115</v>
      </c>
      <c r="I32" s="25">
        <v>42545.315358796295</v>
      </c>
      <c r="J32" s="43">
        <v>0</v>
      </c>
      <c r="K32" s="43" t="str">
        <f t="shared" si="0"/>
        <v>4039/4040</v>
      </c>
      <c r="L32" s="43" t="str">
        <f>VLOOKUP(A32,'Trips&amp;Operators'!$C$1:$E$10000,3,FALSE)</f>
        <v>CANFIELD</v>
      </c>
      <c r="M32" s="11">
        <f t="shared" si="1"/>
        <v>2.8634259258979E-2</v>
      </c>
      <c r="N32" s="12">
        <f t="shared" si="11"/>
        <v>41.23333333292976</v>
      </c>
      <c r="O32" s="12"/>
      <c r="P32" s="12"/>
      <c r="Q32" s="44"/>
      <c r="R32" s="44"/>
      <c r="S32" s="70">
        <f t="shared" si="3"/>
        <v>1</v>
      </c>
      <c r="T32" s="2" t="str">
        <f t="shared" si="4"/>
        <v>Southbound</v>
      </c>
      <c r="U32" s="2">
        <f>COUNTIFS(Variables!$M$2:$M$19, "&lt;=" &amp; Y32, Variables!$M$2:$M$19, "&gt;=" &amp; Z32)</f>
        <v>12</v>
      </c>
      <c r="V3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06:49:59-0600',mode:absolute,to:'2016-06-24 07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2" s="48" t="str">
        <f t="shared" si="6"/>
        <v>N</v>
      </c>
      <c r="X32" s="48">
        <f t="shared" si="7"/>
        <v>1</v>
      </c>
      <c r="Y32" s="48">
        <f t="shared" si="8"/>
        <v>23.295000000000002</v>
      </c>
      <c r="Z32" s="48">
        <f t="shared" si="9"/>
        <v>1.3899999999999999E-2</v>
      </c>
      <c r="AA32" s="48">
        <f t="shared" si="10"/>
        <v>23.281100000000002</v>
      </c>
      <c r="AB32" s="49" t="e">
        <f>VLOOKUP(A32,Enforcements!$C$7:$J$73,8,0)</f>
        <v>#N/A</v>
      </c>
      <c r="AC32" s="49" t="e">
        <f>VLOOKUP(A32,Enforcements!$C$7:$E$73,3,0)</f>
        <v>#N/A</v>
      </c>
    </row>
    <row r="33" spans="1:29" s="2" customFormat="1" x14ac:dyDescent="0.25">
      <c r="A33" s="43" t="s">
        <v>255</v>
      </c>
      <c r="B33" s="43">
        <v>4007</v>
      </c>
      <c r="C33" s="43" t="s">
        <v>60</v>
      </c>
      <c r="D33" s="43" t="s">
        <v>113</v>
      </c>
      <c r="E33" s="25">
        <v>42545.255949074075</v>
      </c>
      <c r="F33" s="25">
        <v>42545.25681712963</v>
      </c>
      <c r="G33" s="31">
        <v>1</v>
      </c>
      <c r="H33" s="25" t="s">
        <v>215</v>
      </c>
      <c r="I33" s="25">
        <v>42545.28702546296</v>
      </c>
      <c r="J33" s="43">
        <v>1</v>
      </c>
      <c r="K33" s="43" t="str">
        <f t="shared" si="0"/>
        <v>4007/4008</v>
      </c>
      <c r="L33" s="43" t="str">
        <f>VLOOKUP(A33,'Trips&amp;Operators'!$C$1:$E$10000,3,FALSE)</f>
        <v>BEAM</v>
      </c>
      <c r="M33" s="11">
        <f t="shared" si="1"/>
        <v>3.0208333329937886E-2</v>
      </c>
      <c r="N33" s="12">
        <f t="shared" si="11"/>
        <v>43.499999995110556</v>
      </c>
      <c r="O33" s="12"/>
      <c r="P33" s="12"/>
      <c r="Q33" s="44"/>
      <c r="R33" s="44"/>
      <c r="S33" s="70">
        <f t="shared" si="3"/>
        <v>1</v>
      </c>
      <c r="T33" s="2" t="str">
        <f t="shared" si="4"/>
        <v>NorthBound</v>
      </c>
      <c r="U33" s="2">
        <f>COUNTIFS(Variables!$M$2:$M$19, "&gt;=" &amp; Y33, Variables!$M$2:$M$19, "&lt;=" &amp; Z33)</f>
        <v>12</v>
      </c>
      <c r="V3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06:07:34-0600',mode:absolute,to:'2016-06-24 06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3" s="48" t="str">
        <f t="shared" si="6"/>
        <v>N</v>
      </c>
      <c r="X33" s="48">
        <f t="shared" si="7"/>
        <v>1</v>
      </c>
      <c r="Y33" s="48">
        <f t="shared" si="8"/>
        <v>4.6899999999999997E-2</v>
      </c>
      <c r="Z33" s="48">
        <f t="shared" si="9"/>
        <v>23.332100000000001</v>
      </c>
      <c r="AA33" s="48">
        <f t="shared" si="10"/>
        <v>23.2852</v>
      </c>
      <c r="AB33" s="49">
        <f>VLOOKUP(A33,Enforcements!$C$7:$J$73,8,0)</f>
        <v>198242</v>
      </c>
      <c r="AC33" s="49" t="str">
        <f>VLOOKUP(A33,Enforcements!$C$7:$E$73,3,0)</f>
        <v>SIGNAL</v>
      </c>
    </row>
    <row r="34" spans="1:29" s="2" customFormat="1" x14ac:dyDescent="0.25">
      <c r="A34" s="43" t="s">
        <v>256</v>
      </c>
      <c r="B34" s="43">
        <v>4008</v>
      </c>
      <c r="C34" s="43" t="s">
        <v>60</v>
      </c>
      <c r="D34" s="43" t="s">
        <v>197</v>
      </c>
      <c r="E34" s="25">
        <v>42545.292395833334</v>
      </c>
      <c r="F34" s="25">
        <v>42545.293356481481</v>
      </c>
      <c r="G34" s="31">
        <v>1</v>
      </c>
      <c r="H34" s="25" t="s">
        <v>61</v>
      </c>
      <c r="I34" s="25">
        <v>42545.325486111113</v>
      </c>
      <c r="J34" s="43">
        <v>0</v>
      </c>
      <c r="K34" s="43" t="str">
        <f t="shared" si="0"/>
        <v>4007/4008</v>
      </c>
      <c r="L34" s="43" t="str">
        <f>VLOOKUP(A34,'Trips&amp;Operators'!$C$1:$E$10000,3,FALSE)</f>
        <v>BEAM</v>
      </c>
      <c r="M34" s="11">
        <f t="shared" si="1"/>
        <v>3.2129629631526768E-2</v>
      </c>
      <c r="N34" s="12">
        <f t="shared" si="11"/>
        <v>46.266666669398546</v>
      </c>
      <c r="O34" s="12"/>
      <c r="P34" s="12"/>
      <c r="Q34" s="44"/>
      <c r="R34" s="44"/>
      <c r="S34" s="70">
        <f t="shared" si="3"/>
        <v>1</v>
      </c>
      <c r="T34" s="2" t="str">
        <f t="shared" si="4"/>
        <v>Southbound</v>
      </c>
      <c r="U34" s="2">
        <f>COUNTIFS(Variables!$M$2:$M$19, "&lt;=" &amp; Y34, Variables!$M$2:$M$19, "&gt;=" &amp; Z34)</f>
        <v>12</v>
      </c>
      <c r="V3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07:00:03-0600',mode:absolute,to:'2016-06-24 07:49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4" s="48" t="str">
        <f t="shared" si="6"/>
        <v>N</v>
      </c>
      <c r="X34" s="48">
        <f t="shared" si="7"/>
        <v>1</v>
      </c>
      <c r="Y34" s="48">
        <f t="shared" si="8"/>
        <v>23.299600000000002</v>
      </c>
      <c r="Z34" s="48">
        <f t="shared" si="9"/>
        <v>1.4500000000000001E-2</v>
      </c>
      <c r="AA34" s="48">
        <f t="shared" si="10"/>
        <v>23.2851</v>
      </c>
      <c r="AB34" s="49" t="e">
        <f>VLOOKUP(A34,Enforcements!$C$7:$J$73,8,0)</f>
        <v>#N/A</v>
      </c>
      <c r="AC34" s="49" t="e">
        <f>VLOOKUP(A34,Enforcements!$C$7:$E$73,3,0)</f>
        <v>#N/A</v>
      </c>
    </row>
    <row r="35" spans="1:29" s="2" customFormat="1" x14ac:dyDescent="0.25">
      <c r="A35" s="43" t="s">
        <v>257</v>
      </c>
      <c r="B35" s="43">
        <v>4042</v>
      </c>
      <c r="C35" s="43" t="s">
        <v>60</v>
      </c>
      <c r="D35" s="43" t="s">
        <v>258</v>
      </c>
      <c r="E35" s="25">
        <v>42545.267060185186</v>
      </c>
      <c r="F35" s="25">
        <v>42545.268518518518</v>
      </c>
      <c r="G35" s="31">
        <v>2</v>
      </c>
      <c r="H35" s="25" t="s">
        <v>208</v>
      </c>
      <c r="I35" s="25">
        <v>42545.296215277776</v>
      </c>
      <c r="J35" s="43">
        <v>1</v>
      </c>
      <c r="K35" s="43" t="str">
        <f t="shared" si="0"/>
        <v>4041/4042</v>
      </c>
      <c r="L35" s="43" t="str">
        <f>VLOOKUP(A35,'Trips&amp;Operators'!$C$1:$E$10000,3,FALSE)</f>
        <v>MALAVE</v>
      </c>
      <c r="M35" s="11">
        <f t="shared" si="1"/>
        <v>2.7696759258105885E-2</v>
      </c>
      <c r="N35" s="12">
        <f t="shared" si="11"/>
        <v>39.883333331672475</v>
      </c>
      <c r="O35" s="12"/>
      <c r="P35" s="12"/>
      <c r="Q35" s="44"/>
      <c r="R35" s="44"/>
      <c r="S35" s="70">
        <f t="shared" si="3"/>
        <v>1</v>
      </c>
      <c r="T35" s="2" t="str">
        <f t="shared" si="4"/>
        <v>NorthBound</v>
      </c>
      <c r="U35" s="2">
        <f>COUNTIFS(Variables!$M$2:$M$19, "&gt;=" &amp; Y35, Variables!$M$2:$M$19, "&lt;=" &amp; Z35)</f>
        <v>12</v>
      </c>
      <c r="V3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06:23:34-0600',mode:absolute,to:'2016-06-24 07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48" t="str">
        <f t="shared" si="6"/>
        <v>N</v>
      </c>
      <c r="X35" s="48">
        <f t="shared" si="7"/>
        <v>1</v>
      </c>
      <c r="Y35" s="48">
        <f t="shared" si="8"/>
        <v>5.8799999999999998E-2</v>
      </c>
      <c r="Z35" s="48">
        <f t="shared" si="9"/>
        <v>23.328600000000002</v>
      </c>
      <c r="AA35" s="48">
        <f t="shared" si="10"/>
        <v>23.2698</v>
      </c>
      <c r="AB35" s="49">
        <f>VLOOKUP(A35,Enforcements!$C$7:$J$73,8,0)</f>
        <v>233491</v>
      </c>
      <c r="AC35" s="49" t="str">
        <f>VLOOKUP(A35,Enforcements!$C$7:$E$73,3,0)</f>
        <v>TRACK WARRANT AUTHORITY</v>
      </c>
    </row>
    <row r="36" spans="1:29" s="2" customFormat="1" x14ac:dyDescent="0.25">
      <c r="A36" s="43" t="s">
        <v>259</v>
      </c>
      <c r="B36" s="43">
        <v>4041</v>
      </c>
      <c r="C36" s="43" t="s">
        <v>60</v>
      </c>
      <c r="D36" s="43" t="s">
        <v>216</v>
      </c>
      <c r="E36" s="25">
        <v>42545.303124999999</v>
      </c>
      <c r="F36" s="25">
        <v>42545.309884259259</v>
      </c>
      <c r="G36" s="31">
        <v>9</v>
      </c>
      <c r="H36" s="25" t="s">
        <v>260</v>
      </c>
      <c r="I36" s="25">
        <v>42545.324444444443</v>
      </c>
      <c r="J36" s="43">
        <v>0</v>
      </c>
      <c r="K36" s="43" t="str">
        <f t="shared" si="0"/>
        <v>4041/4042</v>
      </c>
      <c r="L36" s="43" t="str">
        <f>VLOOKUP(A36,'Trips&amp;Operators'!$C$1:$E$10000,3,FALSE)</f>
        <v>MALAVE</v>
      </c>
      <c r="M36" s="11">
        <f t="shared" si="1"/>
        <v>1.4560185183654539E-2</v>
      </c>
      <c r="N36" s="12"/>
      <c r="O36" s="12"/>
      <c r="P36" s="12">
        <f>24*60*SUM($M36:$M36)</f>
        <v>20.966666664462537</v>
      </c>
      <c r="Q36" s="44" t="s">
        <v>507</v>
      </c>
      <c r="R36" s="44" t="s">
        <v>508</v>
      </c>
      <c r="S36" s="70">
        <f t="shared" si="3"/>
        <v>0.16666666666666666</v>
      </c>
      <c r="T36" s="2" t="str">
        <f t="shared" si="4"/>
        <v>Southbound</v>
      </c>
      <c r="U36" s="2">
        <f>COUNTIFS(Variables!$M$2:$M$19, "&lt;=" &amp; Y36, Variables!$M$2:$M$19, "&gt;=" &amp; Z36)</f>
        <v>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07:15:30-0600',mode:absolute,to:'2016-06-24 07:48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48" t="str">
        <f t="shared" si="6"/>
        <v>Y</v>
      </c>
      <c r="X36" s="48">
        <f t="shared" si="7"/>
        <v>1</v>
      </c>
      <c r="Y36" s="48">
        <f t="shared" si="8"/>
        <v>23.296299999999999</v>
      </c>
      <c r="Z36" s="48">
        <f t="shared" si="9"/>
        <v>8.5960999999999999</v>
      </c>
      <c r="AA36" s="48">
        <f t="shared" si="10"/>
        <v>14.700199999999999</v>
      </c>
      <c r="AB36" s="49" t="e">
        <f>VLOOKUP(A36,Enforcements!$C$7:$J$73,8,0)</f>
        <v>#N/A</v>
      </c>
      <c r="AC36" s="49" t="e">
        <f>VLOOKUP(A36,Enforcements!$C$7:$E$73,3,0)</f>
        <v>#N/A</v>
      </c>
    </row>
    <row r="37" spans="1:29" s="2" customFormat="1" x14ac:dyDescent="0.25">
      <c r="A37" s="43" t="s">
        <v>261</v>
      </c>
      <c r="B37" s="43">
        <v>4038</v>
      </c>
      <c r="C37" s="43" t="s">
        <v>60</v>
      </c>
      <c r="D37" s="43" t="s">
        <v>262</v>
      </c>
      <c r="E37" s="25">
        <v>42545.28628472222</v>
      </c>
      <c r="F37" s="25">
        <v>42545.287800925929</v>
      </c>
      <c r="G37" s="31">
        <v>2</v>
      </c>
      <c r="H37" s="25" t="s">
        <v>175</v>
      </c>
      <c r="I37" s="25">
        <v>42545.313877314817</v>
      </c>
      <c r="J37" s="43">
        <v>0</v>
      </c>
      <c r="K37" s="43" t="str">
        <f t="shared" si="0"/>
        <v>4037/4038</v>
      </c>
      <c r="L37" s="43" t="str">
        <f>VLOOKUP(A37,'Trips&amp;Operators'!$C$1:$E$10000,3,FALSE)</f>
        <v>STAMBAUGH</v>
      </c>
      <c r="M37" s="11">
        <f t="shared" si="1"/>
        <v>2.6076388887304347E-2</v>
      </c>
      <c r="N37" s="12"/>
      <c r="O37" s="12"/>
      <c r="P37" s="12">
        <f>24*60*SUM($M37:$M37)</f>
        <v>37.54999999771826</v>
      </c>
      <c r="Q37" s="44" t="s">
        <v>507</v>
      </c>
      <c r="R37" s="44" t="s">
        <v>506</v>
      </c>
      <c r="S37" s="70">
        <f t="shared" si="3"/>
        <v>1</v>
      </c>
      <c r="T37" s="2" t="str">
        <f t="shared" si="4"/>
        <v>NorthBound</v>
      </c>
      <c r="U37" s="2">
        <f>COUNTIFS(Variables!$M$2:$M$19, "&gt;=" &amp; Y37, Variables!$M$2:$M$19, "&lt;=" &amp; 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06:51:15-0600',mode:absolute,to:'2016-06-24 07:32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7" s="48" t="str">
        <f t="shared" si="6"/>
        <v>Y</v>
      </c>
      <c r="X37" s="48">
        <f t="shared" si="7"/>
        <v>1</v>
      </c>
      <c r="Y37" s="48">
        <f t="shared" si="8"/>
        <v>1.913</v>
      </c>
      <c r="Z37" s="48">
        <f t="shared" si="9"/>
        <v>23.330200000000001</v>
      </c>
      <c r="AA37" s="48">
        <f t="shared" si="10"/>
        <v>21.417200000000001</v>
      </c>
      <c r="AB37" s="49" t="e">
        <f>VLOOKUP(A37,Enforcements!$C$7:$J$73,8,0)</f>
        <v>#N/A</v>
      </c>
      <c r="AC37" s="49" t="e">
        <f>VLOOKUP(A37,Enforcements!$C$7:$E$73,3,0)</f>
        <v>#N/A</v>
      </c>
    </row>
    <row r="38" spans="1:29" s="2" customFormat="1" ht="15.75" customHeight="1" x14ac:dyDescent="0.25">
      <c r="A38" s="43" t="s">
        <v>263</v>
      </c>
      <c r="B38" s="43">
        <v>4037</v>
      </c>
      <c r="C38" s="43" t="s">
        <v>60</v>
      </c>
      <c r="D38" s="43" t="s">
        <v>170</v>
      </c>
      <c r="E38" s="25">
        <v>42545.315532407411</v>
      </c>
      <c r="F38" s="25">
        <v>42545.316493055558</v>
      </c>
      <c r="G38" s="31">
        <v>1</v>
      </c>
      <c r="H38" s="25" t="s">
        <v>71</v>
      </c>
      <c r="I38" s="25">
        <v>42545.348240740743</v>
      </c>
      <c r="J38" s="43">
        <v>6</v>
      </c>
      <c r="K38" s="43" t="str">
        <f t="shared" si="0"/>
        <v>4037/4038</v>
      </c>
      <c r="L38" s="43" t="str">
        <f>VLOOKUP(A38,'Trips&amp;Operators'!$C$1:$E$10000,3,FALSE)</f>
        <v>STAMBAUGH</v>
      </c>
      <c r="M38" s="11">
        <f t="shared" si="1"/>
        <v>3.1747685185109731E-2</v>
      </c>
      <c r="N38" s="12">
        <f>24*60*SUM($M38:$M38)</f>
        <v>45.716666666558012</v>
      </c>
      <c r="O38" s="12"/>
      <c r="P38" s="12"/>
      <c r="Q38" s="44"/>
      <c r="R38" s="44" t="s">
        <v>509</v>
      </c>
      <c r="S38" s="70">
        <f t="shared" si="3"/>
        <v>1</v>
      </c>
      <c r="T38" s="2" t="str">
        <f t="shared" si="4"/>
        <v>Southbound</v>
      </c>
      <c r="U38" s="2">
        <f>COUNTIFS(Variables!$M$2:$M$19, "&lt;=" &amp; Y38, Variables!$M$2:$M$19, "&gt;=" &amp; 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23.2974</v>
      </c>
      <c r="Z38" s="48">
        <v>1.4500000000000001E-2</v>
      </c>
      <c r="AA38" s="48">
        <f t="shared" si="10"/>
        <v>23.282899999999998</v>
      </c>
      <c r="AB38" s="49">
        <f>VLOOKUP(A38,Enforcements!$C$7:$J$73,8,0)</f>
        <v>42779</v>
      </c>
      <c r="AC38" s="49" t="str">
        <f>VLOOKUP(A38,Enforcements!$C$7:$E$73,3,0)</f>
        <v>GRADE CROSSING</v>
      </c>
    </row>
    <row r="39" spans="1:29" s="2" customFormat="1" x14ac:dyDescent="0.25">
      <c r="A39" s="43" t="s">
        <v>264</v>
      </c>
      <c r="B39" s="43">
        <v>4011</v>
      </c>
      <c r="C39" s="43" t="s">
        <v>60</v>
      </c>
      <c r="D39" s="43" t="s">
        <v>80</v>
      </c>
      <c r="E39" s="25">
        <v>42545.285046296296</v>
      </c>
      <c r="F39" s="25">
        <v>42545.285717592589</v>
      </c>
      <c r="G39" s="31">
        <v>0</v>
      </c>
      <c r="H39" s="25" t="s">
        <v>265</v>
      </c>
      <c r="I39" s="25">
        <v>42545.317048611112</v>
      </c>
      <c r="J39" s="43">
        <v>1</v>
      </c>
      <c r="K39" s="43" t="str">
        <f t="shared" si="0"/>
        <v>4011/4012</v>
      </c>
      <c r="L39" s="43" t="str">
        <f>VLOOKUP(A39,'Trips&amp;Operators'!$C$1:$E$10000,3,FALSE)</f>
        <v>YORK</v>
      </c>
      <c r="M39" s="11">
        <f t="shared" si="1"/>
        <v>3.1331018522905651E-2</v>
      </c>
      <c r="N39" s="12">
        <f>24*60*SUM($M39:$M39)</f>
        <v>45.116666672984138</v>
      </c>
      <c r="O39" s="12"/>
      <c r="P39" s="12"/>
      <c r="Q39" s="44"/>
      <c r="R39" s="44"/>
      <c r="S39" s="70">
        <f t="shared" si="3"/>
        <v>1</v>
      </c>
      <c r="T39" s="2" t="str">
        <f t="shared" si="4"/>
        <v>NorthBound</v>
      </c>
      <c r="U39" s="2">
        <f>COUNTIFS(Variables!$M$2:$M$19, "&gt;=" &amp; Y39, Variables!$M$2:$M$19, "&lt;=" &amp; 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06:49:28-0600',mode:absolute,to:'2016-06-24 07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4.53E-2</v>
      </c>
      <c r="Z39" s="48">
        <f t="shared" si="9"/>
        <v>23.330300000000001</v>
      </c>
      <c r="AA39" s="48">
        <f t="shared" si="10"/>
        <v>23.285</v>
      </c>
      <c r="AB39" s="49">
        <f>VLOOKUP(A39,Enforcements!$C$7:$J$73,8,0)</f>
        <v>233491</v>
      </c>
      <c r="AC39" s="49" t="str">
        <f>VLOOKUP(A39,Enforcements!$C$7:$E$73,3,0)</f>
        <v>TRACK WARRANT AUTHORITY</v>
      </c>
    </row>
    <row r="40" spans="1:29" s="2" customFormat="1" x14ac:dyDescent="0.25">
      <c r="A40" s="43" t="s">
        <v>266</v>
      </c>
      <c r="B40" s="43">
        <v>4012</v>
      </c>
      <c r="C40" s="43" t="s">
        <v>60</v>
      </c>
      <c r="D40" s="43" t="s">
        <v>173</v>
      </c>
      <c r="E40" s="25">
        <v>42545.318136574075</v>
      </c>
      <c r="F40" s="25">
        <v>42545.318854166668</v>
      </c>
      <c r="G40" s="31">
        <v>1</v>
      </c>
      <c r="H40" s="25" t="s">
        <v>198</v>
      </c>
      <c r="I40" s="25">
        <v>42545.325810185182</v>
      </c>
      <c r="J40" s="43">
        <v>0</v>
      </c>
      <c r="K40" s="43" t="str">
        <f t="shared" si="0"/>
        <v>4011/4012</v>
      </c>
      <c r="L40" s="43" t="str">
        <f>VLOOKUP(A40,'Trips&amp;Operators'!$C$1:$E$10000,3,FALSE)</f>
        <v>MADLOM</v>
      </c>
      <c r="M40" s="11">
        <f t="shared" si="1"/>
        <v>6.956018514756579E-3</v>
      </c>
      <c r="N40" s="12"/>
      <c r="O40" s="12">
        <f>24*60*SUM($M40:$M41)</f>
        <v>56.516666666138917</v>
      </c>
      <c r="P40" s="12"/>
      <c r="Q40" s="44"/>
      <c r="R40" s="44" t="s">
        <v>510</v>
      </c>
      <c r="S40" s="70">
        <f>SUM(U40:U41)/12</f>
        <v>1</v>
      </c>
      <c r="T40" s="2" t="str">
        <f t="shared" si="4"/>
        <v>Southbound</v>
      </c>
      <c r="U40" s="2">
        <f>COUNTIFS(Variables!$M$2:$M$19, "&lt;=" &amp; Y40, Variables!$M$2:$M$19, "&gt;=" &amp; Z40)</f>
        <v>0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07:37:07-0600',mode:absolute,to:'2016-06-24 07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0" s="48" t="str">
        <f t="shared" si="6"/>
        <v>Y</v>
      </c>
      <c r="X40" s="48">
        <f t="shared" si="7"/>
        <v>1</v>
      </c>
      <c r="Y40" s="48">
        <f t="shared" si="8"/>
        <v>23.297999999999998</v>
      </c>
      <c r="Z40" s="48">
        <f t="shared" si="9"/>
        <v>23.296900000000001</v>
      </c>
      <c r="AA40" s="48">
        <f t="shared" si="10"/>
        <v>1.0999999999974364E-3</v>
      </c>
      <c r="AB40" s="49">
        <f>VLOOKUP(A40,Enforcements!$C$7:$J$73,8,0)</f>
        <v>190834</v>
      </c>
      <c r="AC40" s="49" t="str">
        <f>VLOOKUP(A40,Enforcements!$C$7:$E$73,3,0)</f>
        <v>PERMANENT SPEED RESTRICTION</v>
      </c>
    </row>
    <row r="41" spans="1:29" s="2" customFormat="1" x14ac:dyDescent="0.25">
      <c r="A41" s="43" t="s">
        <v>266</v>
      </c>
      <c r="B41" s="43">
        <v>4012</v>
      </c>
      <c r="C41" s="43" t="s">
        <v>60</v>
      </c>
      <c r="D41" s="43" t="s">
        <v>212</v>
      </c>
      <c r="E41" s="25">
        <v>42545.327650462961</v>
      </c>
      <c r="F41" s="25">
        <v>42545.329421296294</v>
      </c>
      <c r="G41" s="31">
        <v>2</v>
      </c>
      <c r="H41" s="25" t="s">
        <v>115</v>
      </c>
      <c r="I41" s="25">
        <v>42545.361712962964</v>
      </c>
      <c r="J41" s="43">
        <v>2</v>
      </c>
      <c r="K41" s="43" t="str">
        <f t="shared" si="0"/>
        <v>4011/4012</v>
      </c>
      <c r="L41" s="43" t="str">
        <f>VLOOKUP(A41,'Trips&amp;Operators'!$C$1:$E$10000,3,FALSE)</f>
        <v>MADLOM</v>
      </c>
      <c r="M41" s="11">
        <f t="shared" si="1"/>
        <v>3.2291666670062114E-2</v>
      </c>
      <c r="N41" s="12"/>
      <c r="O41" s="12"/>
      <c r="P41" s="12"/>
      <c r="Q41" s="44"/>
      <c r="R41" s="44"/>
      <c r="S41" s="70">
        <v>0</v>
      </c>
      <c r="T41" s="2" t="str">
        <f t="shared" si="4"/>
        <v>Southbound</v>
      </c>
      <c r="U41" s="2">
        <f>COUNTIFS(Variables!$M$2:$M$19, "&lt;=" &amp; Y41, Variables!$M$2:$M$19, "&gt;=" &amp; 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07:50:49-0600',mode:absolute,to:'2016-06-24 08:41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1" s="48" t="str">
        <f t="shared" si="6"/>
        <v>N</v>
      </c>
      <c r="X41" s="48">
        <f t="shared" si="7"/>
        <v>0</v>
      </c>
      <c r="Y41" s="48">
        <f t="shared" si="8"/>
        <v>23.2971</v>
      </c>
      <c r="Z41" s="48">
        <f t="shared" si="9"/>
        <v>1.3899999999999999E-2</v>
      </c>
      <c r="AA41" s="48">
        <f t="shared" si="10"/>
        <v>23.283200000000001</v>
      </c>
      <c r="AB41" s="49">
        <f>VLOOKUP(A41,Enforcements!$C$7:$J$73,8,0)</f>
        <v>190834</v>
      </c>
      <c r="AC41" s="49" t="str">
        <f>VLOOKUP(A41,Enforcements!$C$7:$E$73,3,0)</f>
        <v>PERMANENT SPEED RESTRICTION</v>
      </c>
    </row>
    <row r="42" spans="1:29" s="2" customFormat="1" x14ac:dyDescent="0.25">
      <c r="A42" s="66" t="s">
        <v>267</v>
      </c>
      <c r="B42" s="43">
        <v>4029</v>
      </c>
      <c r="C42" s="43" t="s">
        <v>60</v>
      </c>
      <c r="D42" s="43" t="s">
        <v>154</v>
      </c>
      <c r="E42" s="25">
        <v>42545.300520833334</v>
      </c>
      <c r="F42" s="25">
        <v>42545.301516203705</v>
      </c>
      <c r="G42" s="31">
        <v>1</v>
      </c>
      <c r="H42" s="25" t="s">
        <v>268</v>
      </c>
      <c r="I42" s="25">
        <v>42545.329872685186</v>
      </c>
      <c r="J42" s="43">
        <v>0</v>
      </c>
      <c r="K42" s="43" t="str">
        <f t="shared" si="0"/>
        <v>4029/4030</v>
      </c>
      <c r="L42" s="43" t="str">
        <f>VLOOKUP(A42,'Trips&amp;Operators'!$C$1:$E$10000,3,FALSE)</f>
        <v>SHOOK</v>
      </c>
      <c r="M42" s="11">
        <f t="shared" si="1"/>
        <v>2.8356481481750961E-2</v>
      </c>
      <c r="N42" s="12">
        <f>24*60*SUM($M42:$M42)</f>
        <v>40.833333333721384</v>
      </c>
      <c r="O42" s="12"/>
      <c r="P42" s="12"/>
      <c r="Q42" s="44"/>
      <c r="R42" s="44"/>
      <c r="S42" s="70">
        <f t="shared" si="3"/>
        <v>1</v>
      </c>
      <c r="T42" s="2" t="str">
        <f t="shared" si="4"/>
        <v>NorthBound</v>
      </c>
      <c r="U42" s="2">
        <f>COUNTIFS(Variables!$M$2:$M$19, "&gt;=" &amp; Y42, Variables!$M$2:$M$19, "&lt;=" &amp; Z42)</f>
        <v>12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07:11:45-0600',mode:absolute,to:'2016-06-24 07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2" s="48" t="str">
        <f t="shared" si="6"/>
        <v>N</v>
      </c>
      <c r="X42" s="48">
        <f t="shared" si="7"/>
        <v>1</v>
      </c>
      <c r="Y42" s="48">
        <f t="shared" si="8"/>
        <v>4.7300000000000002E-2</v>
      </c>
      <c r="Z42" s="48">
        <f t="shared" si="9"/>
        <v>23.332699999999999</v>
      </c>
      <c r="AA42" s="48">
        <f t="shared" si="10"/>
        <v>23.285399999999999</v>
      </c>
      <c r="AB42" s="49" t="e">
        <f>VLOOKUP(A42,Enforcements!$C$7:$J$73,8,0)</f>
        <v>#N/A</v>
      </c>
      <c r="AC42" s="49" t="e">
        <f>VLOOKUP(A42,Enforcements!$C$7:$E$73,3,0)</f>
        <v>#N/A</v>
      </c>
    </row>
    <row r="43" spans="1:29" s="2" customFormat="1" x14ac:dyDescent="0.25">
      <c r="A43" s="43" t="s">
        <v>269</v>
      </c>
      <c r="B43" s="43">
        <v>4030</v>
      </c>
      <c r="C43" s="43" t="s">
        <v>60</v>
      </c>
      <c r="D43" s="43" t="s">
        <v>270</v>
      </c>
      <c r="E43" s="25">
        <v>42545.339363425926</v>
      </c>
      <c r="F43" s="25">
        <v>42545.340324074074</v>
      </c>
      <c r="G43" s="31">
        <v>1</v>
      </c>
      <c r="H43" s="25" t="s">
        <v>271</v>
      </c>
      <c r="I43" s="25">
        <v>42545.343715277777</v>
      </c>
      <c r="J43" s="43">
        <v>1</v>
      </c>
      <c r="K43" s="43" t="str">
        <f t="shared" si="0"/>
        <v>4029/4030</v>
      </c>
      <c r="L43" s="43" t="str">
        <f>VLOOKUP(A43,'Trips&amp;Operators'!$C$1:$E$10000,3,FALSE)</f>
        <v>SHOOK</v>
      </c>
      <c r="M43" s="11">
        <f t="shared" si="1"/>
        <v>3.3912037033587694E-3</v>
      </c>
      <c r="N43" s="12"/>
      <c r="O43" s="12"/>
      <c r="P43" s="12">
        <f>24*60*SUM($M43:$M44)</f>
        <v>39.050000002607703</v>
      </c>
      <c r="Q43" s="44"/>
      <c r="R43" s="44" t="s">
        <v>511</v>
      </c>
      <c r="S43" s="70">
        <f>SUM(U43:U44)/12</f>
        <v>1</v>
      </c>
      <c r="T43" s="2" t="str">
        <f t="shared" si="4"/>
        <v>Southbound</v>
      </c>
      <c r="U43" s="2">
        <f>COUNTIFS(Variables!$M$2:$M$19, "&lt;=" &amp; Y43, Variables!$M$2:$M$19, "&gt;=" &amp; Z43)</f>
        <v>0</v>
      </c>
      <c r="V4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08:07:41-0600',mode:absolute,to:'2016-06-24 08:15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3" s="48" t="str">
        <f t="shared" si="6"/>
        <v>Y</v>
      </c>
      <c r="X43" s="48">
        <f t="shared" si="7"/>
        <v>1</v>
      </c>
      <c r="Y43" s="48">
        <f t="shared" si="8"/>
        <v>23.3002</v>
      </c>
      <c r="Z43" s="48">
        <f t="shared" si="9"/>
        <v>21.838100000000001</v>
      </c>
      <c r="AA43" s="48">
        <f t="shared" si="10"/>
        <v>1.4620999999999995</v>
      </c>
      <c r="AB43" s="49">
        <f>VLOOKUP(A43,Enforcements!$C$7:$J$73,8,0)</f>
        <v>219875</v>
      </c>
      <c r="AC43" s="49" t="str">
        <f>VLOOKUP(A43,Enforcements!$C$7:$E$73,3,0)</f>
        <v>SWITCH UNKNOWN</v>
      </c>
    </row>
    <row r="44" spans="1:29" s="2" customFormat="1" x14ac:dyDescent="0.25">
      <c r="A44" s="43" t="s">
        <v>269</v>
      </c>
      <c r="B44" s="43">
        <v>4030</v>
      </c>
      <c r="C44" s="43" t="s">
        <v>60</v>
      </c>
      <c r="D44" s="43" t="s">
        <v>220</v>
      </c>
      <c r="E44" s="25">
        <v>42545.350937499999</v>
      </c>
      <c r="F44" s="25">
        <v>42545.3515625</v>
      </c>
      <c r="G44" s="31">
        <v>0</v>
      </c>
      <c r="H44" s="25" t="s">
        <v>123</v>
      </c>
      <c r="I44" s="25">
        <v>42545.375289351854</v>
      </c>
      <c r="J44" s="43">
        <v>0</v>
      </c>
      <c r="K44" s="43" t="str">
        <f t="shared" si="0"/>
        <v>4029/4030</v>
      </c>
      <c r="L44" s="43" t="str">
        <f>VLOOKUP(A44,'Trips&amp;Operators'!$C$1:$E$10000,3,FALSE)</f>
        <v>SHOOK</v>
      </c>
      <c r="M44" s="11">
        <f t="shared" si="1"/>
        <v>2.3726851854007691E-2</v>
      </c>
      <c r="N44" s="12"/>
      <c r="O44" s="12"/>
      <c r="P44" s="12"/>
      <c r="Q44" s="44"/>
      <c r="R44" s="44"/>
      <c r="S44" s="70"/>
      <c r="T44" s="2" t="str">
        <f t="shared" si="4"/>
        <v>Southbound</v>
      </c>
      <c r="U44" s="2">
        <f>COUNTIFS(Variables!$M$2:$M$19, "&lt;=" &amp; Y44, Variables!$M$2:$M$19, "&gt;=" &amp; Z44)</f>
        <v>12</v>
      </c>
      <c r="V4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https://search-rtdc-monitor-bjffxe2xuh6vdkpspy63sjmuny.us-east-1.es.amazonaws.com/_plugin/kibana/#/discover/Steve-Slow-Train-Analysis-(2080s-and-2083s)?_g=(refreshInterval:(display:Off,section:0,value:0),time:(from:'2016-06-24 08:24:21-0600',mode:absolute,to:'2016-06-24 09:01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4" s="48" t="str">
        <f t="shared" si="6"/>
        <v>Y</v>
      </c>
      <c r="X44" s="48">
        <f t="shared" si="7"/>
        <v>0</v>
      </c>
      <c r="Y44" s="48">
        <f t="shared" si="8"/>
        <v>15.3994</v>
      </c>
      <c r="Z44" s="48">
        <f t="shared" si="9"/>
        <v>1.4999999999999999E-2</v>
      </c>
      <c r="AA44" s="48">
        <f t="shared" si="10"/>
        <v>15.384399999999999</v>
      </c>
      <c r="AB44" s="49">
        <f>VLOOKUP(A44,Enforcements!$C$7:$J$73,8,0)</f>
        <v>219875</v>
      </c>
      <c r="AC44" s="49" t="str">
        <f>VLOOKUP(A44,Enforcements!$C$7:$E$73,3,0)</f>
        <v>SWITCH UNKNOWN</v>
      </c>
    </row>
    <row r="45" spans="1:29" s="2" customFormat="1" x14ac:dyDescent="0.25">
      <c r="A45" s="43" t="s">
        <v>272</v>
      </c>
      <c r="B45" s="43">
        <v>4031</v>
      </c>
      <c r="C45" s="43" t="s">
        <v>60</v>
      </c>
      <c r="D45" s="43" t="s">
        <v>72</v>
      </c>
      <c r="E45" s="25">
        <v>42545.309317129628</v>
      </c>
      <c r="F45" s="25">
        <v>42545.310810185183</v>
      </c>
      <c r="G45" s="31">
        <v>2</v>
      </c>
      <c r="H45" s="25" t="s">
        <v>166</v>
      </c>
      <c r="I45" s="25">
        <v>42545.339375000003</v>
      </c>
      <c r="J45" s="43">
        <v>1</v>
      </c>
      <c r="K45" s="43" t="str">
        <f t="shared" ref="K45:K75" si="12">IF(ISEVEN(B45),(B45-1)&amp;"/"&amp;B45,B45&amp;"/"&amp;(B45+1))</f>
        <v>4031/4032</v>
      </c>
      <c r="L45" s="43" t="str">
        <f>VLOOKUP(A45,'Trips&amp;Operators'!$C$1:$E$10000,3,FALSE)</f>
        <v>STURGEON</v>
      </c>
      <c r="M45" s="11">
        <f t="shared" ref="M45:M75" si="13">I45-F45</f>
        <v>2.8564814820128959E-2</v>
      </c>
      <c r="N45" s="12">
        <f t="shared" ref="N45:N55" si="14">24*60*SUM($M45:$M45)</f>
        <v>41.1333333409857</v>
      </c>
      <c r="O45" s="12"/>
      <c r="P45" s="12"/>
      <c r="Q45" s="44"/>
      <c r="R45" s="44"/>
      <c r="S45" s="70">
        <f t="shared" ref="S45:S70" si="15">SUM(U45:U45)/12</f>
        <v>1</v>
      </c>
      <c r="T45" s="2" t="str">
        <f t="shared" ref="T45:T75" si="16">IF(ISEVEN(LEFT(A45,3)),"Southbound","NorthBound")</f>
        <v>NorthBound</v>
      </c>
      <c r="U45" s="2">
        <f>COUNTIFS(Variables!$M$2:$M$19, "&gt;=" &amp; Y45, Variables!$M$2:$M$19, "&lt;=" &amp; Z45)</f>
        <v>12</v>
      </c>
      <c r="V45" s="48" t="str">
        <f t="shared" ref="V45:V75" si="17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https://search-rtdc-monitor-bjffxe2xuh6vdkpspy63sjmuny.us-east-1.es.amazonaws.com/_plugin/kibana/#/discover/Steve-Slow-Train-Analysis-(2080s-and-2083s)?_g=(refreshInterval:(display:Off,section:0,value:0),time:(from:'2016-06-24 07:24:25-0600',mode:absolute,to:'2016-06-24 08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5" s="48" t="str">
        <f t="shared" ref="W45:W75" si="18">IF(AA45&lt;23,"Y","N")</f>
        <v>N</v>
      </c>
      <c r="X45" s="48">
        <f t="shared" ref="X45:X75" si="19">VALUE(LEFT(A45,3))-VALUE(LEFT(A44,3))</f>
        <v>1</v>
      </c>
      <c r="Y45" s="48">
        <f t="shared" si="8"/>
        <v>4.6199999999999998E-2</v>
      </c>
      <c r="Z45" s="48">
        <f t="shared" si="9"/>
        <v>23.3263</v>
      </c>
      <c r="AA45" s="48">
        <f t="shared" ref="AA45:AA75" si="20">ABS(Z45-Y45)</f>
        <v>23.280100000000001</v>
      </c>
      <c r="AB45" s="49">
        <f>VLOOKUP(A45,Enforcements!$C$7:$J$73,8,0)</f>
        <v>233491</v>
      </c>
      <c r="AC45" s="49" t="str">
        <f>VLOOKUP(A45,Enforcements!$C$7:$E$73,3,0)</f>
        <v>TRACK WARRANT AUTHORITY</v>
      </c>
    </row>
    <row r="46" spans="1:29" s="2" customFormat="1" x14ac:dyDescent="0.25">
      <c r="A46" s="43" t="s">
        <v>273</v>
      </c>
      <c r="B46" s="43">
        <v>4032</v>
      </c>
      <c r="C46" s="43" t="s">
        <v>60</v>
      </c>
      <c r="D46" s="43" t="s">
        <v>274</v>
      </c>
      <c r="E46" s="25">
        <v>42545.344398148147</v>
      </c>
      <c r="F46" s="25">
        <v>42545.346354166664</v>
      </c>
      <c r="G46" s="31">
        <v>2</v>
      </c>
      <c r="H46" s="25" t="s">
        <v>275</v>
      </c>
      <c r="I46" s="25">
        <v>42545.384004629632</v>
      </c>
      <c r="J46" s="43">
        <v>0</v>
      </c>
      <c r="K46" s="43" t="str">
        <f t="shared" si="12"/>
        <v>4031/4032</v>
      </c>
      <c r="L46" s="43" t="str">
        <f>VLOOKUP(A46,'Trips&amp;Operators'!$C$1:$E$10000,3,FALSE)</f>
        <v>STURGEON</v>
      </c>
      <c r="M46" s="11">
        <f t="shared" si="13"/>
        <v>3.7650462967576459E-2</v>
      </c>
      <c r="N46" s="12">
        <f t="shared" si="14"/>
        <v>54.216666673310101</v>
      </c>
      <c r="O46" s="12"/>
      <c r="P46" s="12"/>
      <c r="Q46" s="44"/>
      <c r="R46" s="44"/>
      <c r="S46" s="70">
        <f t="shared" si="15"/>
        <v>1</v>
      </c>
      <c r="T46" s="2" t="str">
        <f t="shared" si="16"/>
        <v>Southbound</v>
      </c>
      <c r="U46" s="2">
        <f>COUNTIFS(Variables!$M$2:$M$19, "&lt;=" &amp; Y46, Variables!$M$2:$M$19, "&gt;=" &amp; Z46)</f>
        <v>12</v>
      </c>
      <c r="V4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08:14:56-0600',mode:absolute,to:'2016-06-24 09:13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6" s="48" t="str">
        <f t="shared" si="18"/>
        <v>N</v>
      </c>
      <c r="X46" s="48">
        <f t="shared" si="19"/>
        <v>1</v>
      </c>
      <c r="Y46" s="48">
        <f t="shared" si="8"/>
        <v>23.294799999999999</v>
      </c>
      <c r="Z46" s="48">
        <v>5.5999999999999999E-3</v>
      </c>
      <c r="AA46" s="48">
        <f t="shared" si="20"/>
        <v>23.289199999999997</v>
      </c>
      <c r="AB46" s="49" t="e">
        <f>VLOOKUP(A46,Enforcements!$C$7:$J$73,8,0)</f>
        <v>#N/A</v>
      </c>
      <c r="AC46" s="49" t="e">
        <f>VLOOKUP(A46,Enforcements!$C$7:$E$73,3,0)</f>
        <v>#N/A</v>
      </c>
    </row>
    <row r="47" spans="1:29" s="2" customFormat="1" x14ac:dyDescent="0.25">
      <c r="A47" s="43" t="s">
        <v>276</v>
      </c>
      <c r="B47" s="43">
        <v>4040</v>
      </c>
      <c r="C47" s="43" t="s">
        <v>60</v>
      </c>
      <c r="D47" s="43" t="s">
        <v>117</v>
      </c>
      <c r="E47" s="25">
        <v>42545.319131944445</v>
      </c>
      <c r="F47" s="25">
        <v>42545.320231481484</v>
      </c>
      <c r="G47" s="31">
        <v>1</v>
      </c>
      <c r="H47" s="25" t="s">
        <v>277</v>
      </c>
      <c r="I47" s="25">
        <v>42545.343078703707</v>
      </c>
      <c r="J47" s="43">
        <v>1</v>
      </c>
      <c r="K47" s="43" t="str">
        <f t="shared" si="12"/>
        <v>4039/4040</v>
      </c>
      <c r="L47" s="43" t="str">
        <f>VLOOKUP(A47,'Trips&amp;Operators'!$C$1:$E$10000,3,FALSE)</f>
        <v>CANFIELD</v>
      </c>
      <c r="M47" s="11">
        <f t="shared" si="13"/>
        <v>2.2847222222480923E-2</v>
      </c>
      <c r="N47" s="12">
        <f t="shared" si="14"/>
        <v>32.900000000372529</v>
      </c>
      <c r="O47" s="12"/>
      <c r="P47" s="12"/>
      <c r="Q47" s="44"/>
      <c r="R47" s="44"/>
      <c r="S47" s="70">
        <f t="shared" si="15"/>
        <v>1</v>
      </c>
      <c r="T47" s="2" t="str">
        <f t="shared" si="16"/>
        <v>NorthBound</v>
      </c>
      <c r="U47" s="2">
        <f>COUNTIFS(Variables!$M$2:$M$19, "&gt;=" &amp; Y47, Variables!$M$2:$M$19, "&lt;=" &amp; Z47)</f>
        <v>12</v>
      </c>
      <c r="V4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07:38:33-0600',mode:absolute,to:'2016-06-24 08:15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48" t="str">
        <f t="shared" si="18"/>
        <v>N</v>
      </c>
      <c r="X47" s="48">
        <f t="shared" si="19"/>
        <v>1</v>
      </c>
      <c r="Y47" s="48">
        <f t="shared" si="8"/>
        <v>4.5499999999999999E-2</v>
      </c>
      <c r="Z47" s="79">
        <v>23.3293</v>
      </c>
      <c r="AA47" s="48">
        <f t="shared" si="20"/>
        <v>23.283799999999999</v>
      </c>
      <c r="AB47" s="49">
        <f>VLOOKUP(A47,Enforcements!$C$7:$J$73,8,0)</f>
        <v>155600</v>
      </c>
      <c r="AC47" s="49" t="str">
        <f>VLOOKUP(A47,Enforcements!$C$7:$E$73,3,0)</f>
        <v>SWITCH UNKNOWN</v>
      </c>
    </row>
    <row r="48" spans="1:29" s="2" customFormat="1" x14ac:dyDescent="0.25">
      <c r="A48" s="43" t="s">
        <v>278</v>
      </c>
      <c r="B48" s="43">
        <v>4039</v>
      </c>
      <c r="C48" s="43" t="s">
        <v>60</v>
      </c>
      <c r="D48" s="43" t="s">
        <v>200</v>
      </c>
      <c r="E48" s="25">
        <v>42545.354270833333</v>
      </c>
      <c r="F48" s="25">
        <v>42545.355300925927</v>
      </c>
      <c r="G48" s="31">
        <v>1</v>
      </c>
      <c r="H48" s="25" t="s">
        <v>106</v>
      </c>
      <c r="I48" s="25">
        <v>42545.390636574077</v>
      </c>
      <c r="J48" s="43">
        <v>1</v>
      </c>
      <c r="K48" s="43" t="str">
        <f t="shared" si="12"/>
        <v>4039/4040</v>
      </c>
      <c r="L48" s="43" t="str">
        <f>VLOOKUP(A48,'Trips&amp;Operators'!$C$1:$E$10000,3,FALSE)</f>
        <v>CANFIELD</v>
      </c>
      <c r="M48" s="11">
        <f t="shared" si="13"/>
        <v>3.5335648150066845E-2</v>
      </c>
      <c r="N48" s="12">
        <f t="shared" si="14"/>
        <v>50.883333336096257</v>
      </c>
      <c r="O48" s="12"/>
      <c r="P48" s="12"/>
      <c r="Q48" s="44"/>
      <c r="R48" s="44"/>
      <c r="S48" s="70">
        <f t="shared" si="15"/>
        <v>1</v>
      </c>
      <c r="T48" s="2" t="str">
        <f t="shared" si="16"/>
        <v>Southbound</v>
      </c>
      <c r="U48" s="2">
        <f>COUNTIFS(Variables!$M$2:$M$19, "&lt;=" &amp; Y48, Variables!$M$2:$M$19, "&gt;=" &amp; Z48)</f>
        <v>12</v>
      </c>
      <c r="V4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08:29:09-0600',mode:absolute,to:'2016-06-24 09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48" t="str">
        <f t="shared" si="18"/>
        <v>N</v>
      </c>
      <c r="X48" s="48">
        <f t="shared" si="19"/>
        <v>1</v>
      </c>
      <c r="Y48" s="48">
        <f t="shared" si="8"/>
        <v>23.298500000000001</v>
      </c>
      <c r="Z48" s="48">
        <f t="shared" ref="Z48:Z60" si="21">RIGHT(H48,LEN(H48)-4)/10000</f>
        <v>1.5800000000000002E-2</v>
      </c>
      <c r="AA48" s="48">
        <f t="shared" si="20"/>
        <v>23.282700000000002</v>
      </c>
      <c r="AB48" s="49">
        <f>VLOOKUP(A48,Enforcements!$C$7:$J$73,8,0)</f>
        <v>1</v>
      </c>
      <c r="AC48" s="49" t="str">
        <f>VLOOKUP(A48,Enforcements!$C$7:$E$73,3,0)</f>
        <v>TRACK WARRANT AUTHORITY</v>
      </c>
    </row>
    <row r="49" spans="1:29" s="2" customFormat="1" x14ac:dyDescent="0.25">
      <c r="A49" s="43" t="s">
        <v>279</v>
      </c>
      <c r="B49" s="43">
        <v>4007</v>
      </c>
      <c r="C49" s="43" t="s">
        <v>60</v>
      </c>
      <c r="D49" s="43" t="s">
        <v>74</v>
      </c>
      <c r="E49" s="25">
        <v>42545.330810185187</v>
      </c>
      <c r="F49" s="25">
        <v>42545.331423611111</v>
      </c>
      <c r="G49" s="31">
        <v>0</v>
      </c>
      <c r="H49" s="25" t="s">
        <v>122</v>
      </c>
      <c r="I49" s="25">
        <v>42545.359270833331</v>
      </c>
      <c r="J49" s="43">
        <v>2</v>
      </c>
      <c r="K49" s="43" t="str">
        <f t="shared" si="12"/>
        <v>4007/4008</v>
      </c>
      <c r="L49" s="43" t="str">
        <f>VLOOKUP(A49,'Trips&amp;Operators'!$C$1:$E$10000,3,FALSE)</f>
        <v>BEAM</v>
      </c>
      <c r="M49" s="11">
        <f t="shared" si="13"/>
        <v>2.7847222219861578E-2</v>
      </c>
      <c r="N49" s="12">
        <f t="shared" si="14"/>
        <v>40.099999996600673</v>
      </c>
      <c r="O49" s="12"/>
      <c r="P49" s="12"/>
      <c r="Q49" s="44"/>
      <c r="R49" s="44"/>
      <c r="S49" s="70">
        <f t="shared" si="15"/>
        <v>1</v>
      </c>
      <c r="T49" s="2" t="str">
        <f t="shared" si="16"/>
        <v>NorthBound</v>
      </c>
      <c r="U49" s="2">
        <f>COUNTIFS(Variables!$M$2:$M$19, "&gt;=" &amp; Y49, Variables!$M$2:$M$19, "&lt;=" &amp; Z49)</f>
        <v>12</v>
      </c>
      <c r="V4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07:55:22-0600',mode:absolute,to:'2016-06-24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9" s="48" t="str">
        <f t="shared" si="18"/>
        <v>N</v>
      </c>
      <c r="X49" s="48">
        <f t="shared" si="19"/>
        <v>1</v>
      </c>
      <c r="Y49" s="48">
        <f t="shared" si="8"/>
        <v>4.5699999999999998E-2</v>
      </c>
      <c r="Z49" s="48">
        <f t="shared" si="21"/>
        <v>23.3307</v>
      </c>
      <c r="AA49" s="48">
        <f t="shared" si="20"/>
        <v>23.285</v>
      </c>
      <c r="AB49" s="49">
        <f>VLOOKUP(A49,Enforcements!$C$7:$J$73,8,0)</f>
        <v>63995</v>
      </c>
      <c r="AC49" s="49" t="str">
        <f>VLOOKUP(A49,Enforcements!$C$7:$E$73,3,0)</f>
        <v>SIGNAL</v>
      </c>
    </row>
    <row r="50" spans="1:29" s="2" customFormat="1" x14ac:dyDescent="0.25">
      <c r="A50" s="43" t="s">
        <v>280</v>
      </c>
      <c r="B50" s="43">
        <v>4008</v>
      </c>
      <c r="C50" s="43" t="s">
        <v>60</v>
      </c>
      <c r="D50" s="43" t="s">
        <v>212</v>
      </c>
      <c r="E50" s="25">
        <v>42545.369560185187</v>
      </c>
      <c r="F50" s="25">
        <v>42545.37023148148</v>
      </c>
      <c r="G50" s="31">
        <v>0</v>
      </c>
      <c r="H50" s="25" t="s">
        <v>67</v>
      </c>
      <c r="I50" s="25">
        <v>42545.399895833332</v>
      </c>
      <c r="J50" s="43">
        <v>1</v>
      </c>
      <c r="K50" s="43" t="str">
        <f t="shared" si="12"/>
        <v>4007/4008</v>
      </c>
      <c r="L50" s="43" t="str">
        <f>VLOOKUP(A50,'Trips&amp;Operators'!$C$1:$E$10000,3,FALSE)</f>
        <v>BEAM</v>
      </c>
      <c r="M50" s="11">
        <f t="shared" si="13"/>
        <v>2.9664351852261461E-2</v>
      </c>
      <c r="N50" s="12">
        <f t="shared" si="14"/>
        <v>42.716666667256504</v>
      </c>
      <c r="O50" s="12"/>
      <c r="P50" s="12"/>
      <c r="Q50" s="44"/>
      <c r="R50" s="44"/>
      <c r="S50" s="70">
        <f t="shared" si="15"/>
        <v>1</v>
      </c>
      <c r="T50" s="2" t="str">
        <f t="shared" si="16"/>
        <v>Southbound</v>
      </c>
      <c r="U50" s="2">
        <f>COUNTIFS(Variables!$M$2:$M$19, "&lt;=" &amp; Y50, Variables!$M$2:$M$19, "&gt;=" &amp; Z50)</f>
        <v>12</v>
      </c>
      <c r="V5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08:51:10-0600',mode:absolute,to:'2016-06-24 09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0" s="48" t="str">
        <f t="shared" si="18"/>
        <v>N</v>
      </c>
      <c r="X50" s="48">
        <f t="shared" si="19"/>
        <v>1</v>
      </c>
      <c r="Y50" s="48">
        <f t="shared" si="8"/>
        <v>23.2971</v>
      </c>
      <c r="Z50" s="48">
        <f t="shared" si="21"/>
        <v>1.47E-2</v>
      </c>
      <c r="AA50" s="48">
        <f t="shared" si="20"/>
        <v>23.282399999999999</v>
      </c>
      <c r="AB50" s="49">
        <f>VLOOKUP(A50,Enforcements!$C$7:$J$73,8,0)</f>
        <v>127587</v>
      </c>
      <c r="AC50" s="49" t="str">
        <f>VLOOKUP(A50,Enforcements!$C$7:$E$73,3,0)</f>
        <v>SIGNAL</v>
      </c>
    </row>
    <row r="51" spans="1:29" s="2" customFormat="1" x14ac:dyDescent="0.25">
      <c r="A51" s="43" t="s">
        <v>281</v>
      </c>
      <c r="B51" s="43">
        <v>4042</v>
      </c>
      <c r="C51" s="43" t="s">
        <v>60</v>
      </c>
      <c r="D51" s="43" t="s">
        <v>282</v>
      </c>
      <c r="E51" s="25">
        <v>42545.341979166667</v>
      </c>
      <c r="F51" s="25">
        <v>42545.343194444446</v>
      </c>
      <c r="G51" s="31">
        <v>1</v>
      </c>
      <c r="H51" s="25" t="s">
        <v>283</v>
      </c>
      <c r="I51" s="25">
        <v>42545.37636574074</v>
      </c>
      <c r="J51" s="43">
        <v>2</v>
      </c>
      <c r="K51" s="43" t="str">
        <f t="shared" si="12"/>
        <v>4041/4042</v>
      </c>
      <c r="L51" s="43" t="str">
        <f>VLOOKUP(A51,'Trips&amp;Operators'!$C$1:$E$10000,3,FALSE)</f>
        <v>MALAVE</v>
      </c>
      <c r="M51" s="11">
        <f t="shared" si="13"/>
        <v>3.3171296294312924E-2</v>
      </c>
      <c r="N51" s="12">
        <f t="shared" si="14"/>
        <v>47.766666663810611</v>
      </c>
      <c r="O51" s="12"/>
      <c r="P51" s="12"/>
      <c r="Q51" s="44"/>
      <c r="R51" s="44"/>
      <c r="S51" s="70">
        <f t="shared" si="15"/>
        <v>1</v>
      </c>
      <c r="T51" s="2" t="str">
        <f t="shared" si="16"/>
        <v>NorthBound</v>
      </c>
      <c r="U51" s="2">
        <f>COUNTIFS(Variables!$M$2:$M$19, "&gt;=" &amp; Y51, Variables!$M$2:$M$19, "&lt;=" &amp; Z51)</f>
        <v>12</v>
      </c>
      <c r="V5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08:11:27-0600',mode:absolute,to:'2016-06-24 09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48" t="str">
        <f t="shared" si="18"/>
        <v>N</v>
      </c>
      <c r="X51" s="48">
        <f t="shared" si="19"/>
        <v>1</v>
      </c>
      <c r="Y51" s="48">
        <f t="shared" si="8"/>
        <v>4.4900000000000002E-2</v>
      </c>
      <c r="Z51" s="48">
        <f t="shared" si="21"/>
        <v>23.328900000000001</v>
      </c>
      <c r="AA51" s="48">
        <f t="shared" si="20"/>
        <v>23.284000000000002</v>
      </c>
      <c r="AB51" s="49">
        <f>VLOOKUP(A51,Enforcements!$C$7:$J$73,8,0)</f>
        <v>63068</v>
      </c>
      <c r="AC51" s="49" t="str">
        <f>VLOOKUP(A51,Enforcements!$C$7:$E$73,3,0)</f>
        <v>GRADE CROSSING</v>
      </c>
    </row>
    <row r="52" spans="1:29" s="2" customFormat="1" x14ac:dyDescent="0.25">
      <c r="A52" s="43" t="s">
        <v>284</v>
      </c>
      <c r="B52" s="43">
        <v>4041</v>
      </c>
      <c r="C52" s="43" t="s">
        <v>60</v>
      </c>
      <c r="D52" s="43" t="s">
        <v>285</v>
      </c>
      <c r="E52" s="25">
        <v>42545.38040509259</v>
      </c>
      <c r="F52" s="25">
        <v>42545.382777777777</v>
      </c>
      <c r="G52" s="31">
        <v>3</v>
      </c>
      <c r="H52" s="25" t="s">
        <v>68</v>
      </c>
      <c r="I52" s="25">
        <v>42545.411759259259</v>
      </c>
      <c r="J52" s="43">
        <v>1</v>
      </c>
      <c r="K52" s="43" t="str">
        <f t="shared" si="12"/>
        <v>4041/4042</v>
      </c>
      <c r="L52" s="43" t="str">
        <f>VLOOKUP(A52,'Trips&amp;Operators'!$C$1:$E$10000,3,FALSE)</f>
        <v>MALAVE</v>
      </c>
      <c r="M52" s="11">
        <f t="shared" si="13"/>
        <v>2.8981481482333038E-2</v>
      </c>
      <c r="N52" s="12">
        <f t="shared" si="14"/>
        <v>41.733333334559575</v>
      </c>
      <c r="O52" s="12"/>
      <c r="P52" s="12"/>
      <c r="Q52" s="44"/>
      <c r="R52" s="44"/>
      <c r="S52" s="70">
        <f t="shared" si="15"/>
        <v>1</v>
      </c>
      <c r="T52" s="2" t="str">
        <f t="shared" si="16"/>
        <v>Southbound</v>
      </c>
      <c r="U52" s="2">
        <f>COUNTIFS(Variables!$M$2:$M$19, "&lt;=" &amp; Y52, Variables!$M$2:$M$19, "&gt;=" &amp; Z52)</f>
        <v>12</v>
      </c>
      <c r="V5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09:06:47-0600',mode:absolute,to:'2016-06-24 09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2" s="48" t="str">
        <f t="shared" si="18"/>
        <v>N</v>
      </c>
      <c r="X52" s="48">
        <f t="shared" si="19"/>
        <v>1</v>
      </c>
      <c r="Y52" s="48">
        <f t="shared" si="8"/>
        <v>23.295500000000001</v>
      </c>
      <c r="Z52" s="48">
        <f t="shared" si="21"/>
        <v>1.6E-2</v>
      </c>
      <c r="AA52" s="48">
        <f t="shared" si="20"/>
        <v>23.279500000000002</v>
      </c>
      <c r="AB52" s="49">
        <f>VLOOKUP(A52,Enforcements!$C$7:$J$73,8,0)</f>
        <v>1</v>
      </c>
      <c r="AC52" s="49" t="str">
        <f>VLOOKUP(A52,Enforcements!$C$7:$E$73,3,0)</f>
        <v>TRACK WARRANT AUTHORITY</v>
      </c>
    </row>
    <row r="53" spans="1:29" s="2" customFormat="1" x14ac:dyDescent="0.25">
      <c r="A53" s="43" t="s">
        <v>286</v>
      </c>
      <c r="B53" s="43">
        <v>4038</v>
      </c>
      <c r="C53" s="43" t="s">
        <v>60</v>
      </c>
      <c r="D53" s="43" t="s">
        <v>89</v>
      </c>
      <c r="E53" s="25">
        <v>42545.350173611114</v>
      </c>
      <c r="F53" s="25">
        <v>42545.351076388892</v>
      </c>
      <c r="G53" s="31">
        <v>1</v>
      </c>
      <c r="H53" s="25" t="s">
        <v>199</v>
      </c>
      <c r="I53" s="25">
        <v>42545.381932870368</v>
      </c>
      <c r="J53" s="43">
        <v>0</v>
      </c>
      <c r="K53" s="43" t="str">
        <f t="shared" si="12"/>
        <v>4037/4038</v>
      </c>
      <c r="L53" s="43" t="str">
        <f>VLOOKUP(A53,'Trips&amp;Operators'!$C$1:$E$10000,3,FALSE)</f>
        <v>STAMBAUGH</v>
      </c>
      <c r="M53" s="11">
        <f t="shared" si="13"/>
        <v>3.085648147680331E-2</v>
      </c>
      <c r="N53" s="12">
        <f t="shared" si="14"/>
        <v>44.433333326596767</v>
      </c>
      <c r="O53" s="12"/>
      <c r="P53" s="12"/>
      <c r="Q53" s="44"/>
      <c r="R53" s="44"/>
      <c r="S53" s="70">
        <f t="shared" si="15"/>
        <v>1</v>
      </c>
      <c r="T53" s="2" t="str">
        <f t="shared" si="16"/>
        <v>NorthBound</v>
      </c>
      <c r="U53" s="2">
        <f>COUNTIFS(Variables!$M$2:$M$19, "&gt;=" &amp; Y53, Variables!$M$2:$M$19, "&lt;=" &amp; Z53)</f>
        <v>12</v>
      </c>
      <c r="V5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08:23:15-0600',mode:absolute,to:'2016-06-24 09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3" s="48" t="str">
        <f t="shared" si="18"/>
        <v>N</v>
      </c>
      <c r="X53" s="48">
        <f t="shared" si="19"/>
        <v>1</v>
      </c>
      <c r="Y53" s="48">
        <f t="shared" si="8"/>
        <v>4.6399999999999997E-2</v>
      </c>
      <c r="Z53" s="48">
        <f t="shared" si="21"/>
        <v>23.33</v>
      </c>
      <c r="AA53" s="48">
        <f t="shared" si="20"/>
        <v>23.2836</v>
      </c>
      <c r="AB53" s="49" t="e">
        <f>VLOOKUP(A53,Enforcements!$C$7:$J$73,8,0)</f>
        <v>#N/A</v>
      </c>
      <c r="AC53" s="49" t="e">
        <f>VLOOKUP(A53,Enforcements!$C$7:$E$73,3,0)</f>
        <v>#N/A</v>
      </c>
    </row>
    <row r="54" spans="1:29" s="2" customFormat="1" x14ac:dyDescent="0.25">
      <c r="A54" s="43" t="s">
        <v>287</v>
      </c>
      <c r="B54" s="43">
        <v>4037</v>
      </c>
      <c r="C54" s="43" t="s">
        <v>60</v>
      </c>
      <c r="D54" s="43" t="s">
        <v>213</v>
      </c>
      <c r="E54" s="25">
        <v>42545.390231481484</v>
      </c>
      <c r="F54" s="25">
        <v>42545.391516203701</v>
      </c>
      <c r="G54" s="31">
        <v>1</v>
      </c>
      <c r="H54" s="25" t="s">
        <v>76</v>
      </c>
      <c r="I54" s="25">
        <v>42545.420995370368</v>
      </c>
      <c r="J54" s="43">
        <v>1</v>
      </c>
      <c r="K54" s="43" t="str">
        <f t="shared" si="12"/>
        <v>4037/4038</v>
      </c>
      <c r="L54" s="43" t="str">
        <f>VLOOKUP(A54,'Trips&amp;Operators'!$C$1:$E$10000,3,FALSE)</f>
        <v>STAMBAUGH</v>
      </c>
      <c r="M54" s="11">
        <f t="shared" si="13"/>
        <v>2.9479166667442769E-2</v>
      </c>
      <c r="N54" s="12">
        <f t="shared" si="14"/>
        <v>42.450000001117587</v>
      </c>
      <c r="O54" s="12"/>
      <c r="P54" s="12"/>
      <c r="Q54" s="44"/>
      <c r="R54" s="44"/>
      <c r="S54" s="70">
        <f t="shared" si="15"/>
        <v>1</v>
      </c>
      <c r="T54" s="2" t="str">
        <f t="shared" si="16"/>
        <v>Southbound</v>
      </c>
      <c r="U54" s="2">
        <f>COUNTIFS(Variables!$M$2:$M$19, "&lt;=" &amp; Y54, Variables!$M$2:$M$19, "&gt;=" &amp; Z54)</f>
        <v>12</v>
      </c>
      <c r="V5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09:20:56-0600',mode:absolute,to:'2016-06-24 10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4" s="48" t="str">
        <f t="shared" si="18"/>
        <v>N</v>
      </c>
      <c r="X54" s="48">
        <f t="shared" si="19"/>
        <v>1</v>
      </c>
      <c r="Y54" s="48">
        <f t="shared" si="8"/>
        <v>23.297599999999999</v>
      </c>
      <c r="Z54" s="48">
        <f t="shared" si="21"/>
        <v>1.5599999999999999E-2</v>
      </c>
      <c r="AA54" s="48">
        <f t="shared" si="20"/>
        <v>23.282</v>
      </c>
      <c r="AB54" s="49">
        <f>VLOOKUP(A54,Enforcements!$C$7:$J$73,8,0)</f>
        <v>15167</v>
      </c>
      <c r="AC54" s="49" t="str">
        <f>VLOOKUP(A54,Enforcements!$C$7:$E$73,3,0)</f>
        <v>PERMANENT SPEED RESTRICTION</v>
      </c>
    </row>
    <row r="55" spans="1:29" s="2" customFormat="1" x14ac:dyDescent="0.25">
      <c r="A55" s="43" t="s">
        <v>288</v>
      </c>
      <c r="B55" s="43">
        <v>4011</v>
      </c>
      <c r="C55" s="43" t="s">
        <v>60</v>
      </c>
      <c r="D55" s="43" t="s">
        <v>214</v>
      </c>
      <c r="E55" s="25">
        <v>42545.363645833335</v>
      </c>
      <c r="F55" s="25">
        <v>42545.364768518521</v>
      </c>
      <c r="G55" s="31">
        <v>1</v>
      </c>
      <c r="H55" s="25" t="s">
        <v>289</v>
      </c>
      <c r="I55" s="25">
        <v>42545.392638888887</v>
      </c>
      <c r="J55" s="43">
        <v>1</v>
      </c>
      <c r="K55" s="43" t="str">
        <f t="shared" si="12"/>
        <v>4011/4012</v>
      </c>
      <c r="L55" s="43" t="str">
        <f>VLOOKUP(A55,'Trips&amp;Operators'!$C$1:$E$10000,3,FALSE)</f>
        <v>MADLOM</v>
      </c>
      <c r="M55" s="11">
        <f t="shared" si="13"/>
        <v>2.7870370366144925E-2</v>
      </c>
      <c r="N55" s="12">
        <f t="shared" si="14"/>
        <v>40.133333327248693</v>
      </c>
      <c r="O55" s="12"/>
      <c r="P55" s="12"/>
      <c r="Q55" s="44"/>
      <c r="R55" s="44"/>
      <c r="S55" s="70">
        <f t="shared" si="15"/>
        <v>1</v>
      </c>
      <c r="T55" s="2" t="str">
        <f t="shared" si="16"/>
        <v>NorthBound</v>
      </c>
      <c r="U55" s="2">
        <f>COUNTIFS(Variables!$M$2:$M$19, "&gt;=" &amp; Y55, Variables!$M$2:$M$19, "&lt;=" &amp; Z55)</f>
        <v>12</v>
      </c>
      <c r="V5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08:42:39-0600',mode:absolute,to:'2016-06-24 09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5" s="48" t="str">
        <f t="shared" si="18"/>
        <v>N</v>
      </c>
      <c r="X55" s="48">
        <f t="shared" si="19"/>
        <v>1</v>
      </c>
      <c r="Y55" s="48">
        <f t="shared" si="8"/>
        <v>4.3999999999999997E-2</v>
      </c>
      <c r="Z55" s="48">
        <f t="shared" si="21"/>
        <v>23.328399999999998</v>
      </c>
      <c r="AA55" s="48">
        <f t="shared" si="20"/>
        <v>23.284399999999998</v>
      </c>
      <c r="AB55" s="49">
        <f>VLOOKUP(A55,Enforcements!$C$7:$J$73,8,0)</f>
        <v>224231</v>
      </c>
      <c r="AC55" s="49" t="str">
        <f>VLOOKUP(A55,Enforcements!$C$7:$E$73,3,0)</f>
        <v>SIGNAL</v>
      </c>
    </row>
    <row r="56" spans="1:29" s="2" customFormat="1" x14ac:dyDescent="0.25">
      <c r="A56" s="43" t="s">
        <v>290</v>
      </c>
      <c r="B56" s="43">
        <v>4012</v>
      </c>
      <c r="C56" s="43" t="s">
        <v>60</v>
      </c>
      <c r="D56" s="43" t="s">
        <v>291</v>
      </c>
      <c r="E56" s="25">
        <v>42545.393877314818</v>
      </c>
      <c r="F56" s="25">
        <v>42545.394803240742</v>
      </c>
      <c r="G56" s="31">
        <v>1</v>
      </c>
      <c r="H56" s="25" t="s">
        <v>292</v>
      </c>
      <c r="I56" s="25">
        <v>42545.421458333331</v>
      </c>
      <c r="J56" s="43">
        <v>1</v>
      </c>
      <c r="K56" s="43" t="str">
        <f t="shared" si="12"/>
        <v>4011/4012</v>
      </c>
      <c r="L56" s="43" t="str">
        <f>VLOOKUP(A56,'Trips&amp;Operators'!$C$1:$E$10000,3,FALSE)</f>
        <v>YORK</v>
      </c>
      <c r="M56" s="11">
        <f t="shared" si="13"/>
        <v>2.6655092588043772E-2</v>
      </c>
      <c r="N56" s="12"/>
      <c r="O56" s="12"/>
      <c r="P56" s="12">
        <f>24*60*SUM($M56:$M56)</f>
        <v>38.383333326783031</v>
      </c>
      <c r="Q56" s="44"/>
      <c r="R56" s="44" t="s">
        <v>512</v>
      </c>
      <c r="S56" s="70">
        <f t="shared" si="15"/>
        <v>0.33333333333333331</v>
      </c>
      <c r="T56" s="2" t="str">
        <f t="shared" si="16"/>
        <v>Southbound</v>
      </c>
      <c r="U56" s="2">
        <f>COUNTIFS(Variables!$M$2:$M$19, "&lt;=" &amp; Y56, Variables!$M$2:$M$19, "&gt;=" &amp; Z56)</f>
        <v>4</v>
      </c>
      <c r="V5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09:26:11-0600',mode:absolute,to:'2016-06-24 10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6" s="48" t="str">
        <f t="shared" si="18"/>
        <v>Y</v>
      </c>
      <c r="X56" s="48">
        <f t="shared" si="19"/>
        <v>1</v>
      </c>
      <c r="Y56" s="48">
        <f t="shared" si="8"/>
        <v>23.298999999999999</v>
      </c>
      <c r="Z56" s="48">
        <f t="shared" si="21"/>
        <v>6.2047999999999996</v>
      </c>
      <c r="AA56" s="48">
        <f t="shared" si="20"/>
        <v>17.094200000000001</v>
      </c>
      <c r="AB56" s="49">
        <f>VLOOKUP(A56,Enforcements!$C$7:$J$73,8,0)</f>
        <v>127587</v>
      </c>
      <c r="AC56" s="49" t="str">
        <f>VLOOKUP(A56,Enforcements!$C$7:$E$73,3,0)</f>
        <v>SIGNAL</v>
      </c>
    </row>
    <row r="57" spans="1:29" s="2" customFormat="1" x14ac:dyDescent="0.25">
      <c r="A57" s="43" t="s">
        <v>293</v>
      </c>
      <c r="B57" s="43">
        <v>4029</v>
      </c>
      <c r="C57" s="43" t="s">
        <v>60</v>
      </c>
      <c r="D57" s="43" t="s">
        <v>69</v>
      </c>
      <c r="E57" s="25">
        <v>42545.37672453704</v>
      </c>
      <c r="F57" s="25">
        <v>42545.377766203703</v>
      </c>
      <c r="G57" s="31">
        <v>1</v>
      </c>
      <c r="H57" s="25" t="s">
        <v>128</v>
      </c>
      <c r="I57" s="25">
        <v>42545.410162037035</v>
      </c>
      <c r="J57" s="43">
        <v>1</v>
      </c>
      <c r="K57" s="43" t="str">
        <f t="shared" si="12"/>
        <v>4029/4030</v>
      </c>
      <c r="L57" s="43" t="str">
        <f>VLOOKUP(A57,'Trips&amp;Operators'!$C$1:$E$10000,3,FALSE)</f>
        <v>SHOOK</v>
      </c>
      <c r="M57" s="11">
        <f t="shared" si="13"/>
        <v>3.2395833331975155E-2</v>
      </c>
      <c r="N57" s="12">
        <f>24*60*SUM($M57:$M57)</f>
        <v>46.649999998044223</v>
      </c>
      <c r="O57" s="12"/>
      <c r="P57" s="12"/>
      <c r="Q57" s="44"/>
      <c r="R57" s="44"/>
      <c r="S57" s="70">
        <f t="shared" si="15"/>
        <v>1</v>
      </c>
      <c r="T57" s="2" t="str">
        <f t="shared" si="16"/>
        <v>NorthBound</v>
      </c>
      <c r="U57" s="2">
        <f>COUNTIFS(Variables!$M$2:$M$19, "&gt;=" &amp; Y57, Variables!$M$2:$M$19, "&lt;=" &amp; Z57)</f>
        <v>12</v>
      </c>
      <c r="V5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09:01:29-0600',mode:absolute,to:'2016-06-24 09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7" s="48" t="str">
        <f t="shared" si="18"/>
        <v>N</v>
      </c>
      <c r="X57" s="48">
        <f t="shared" si="19"/>
        <v>1</v>
      </c>
      <c r="Y57" s="48">
        <f t="shared" si="8"/>
        <v>4.5999999999999999E-2</v>
      </c>
      <c r="Z57" s="48">
        <f t="shared" si="21"/>
        <v>23.3278</v>
      </c>
      <c r="AA57" s="48">
        <f t="shared" si="20"/>
        <v>23.2818</v>
      </c>
      <c r="AB57" s="49">
        <f>VLOOKUP(A57,Enforcements!$C$7:$J$73,8,0)</f>
        <v>222090</v>
      </c>
      <c r="AC57" s="49" t="str">
        <f>VLOOKUP(A57,Enforcements!$C$7:$E$73,3,0)</f>
        <v>PERMANENT SPEED RESTRICTION</v>
      </c>
    </row>
    <row r="58" spans="1:29" s="2" customFormat="1" x14ac:dyDescent="0.25">
      <c r="A58" s="43" t="s">
        <v>294</v>
      </c>
      <c r="B58" s="43">
        <v>4030</v>
      </c>
      <c r="C58" s="43" t="s">
        <v>60</v>
      </c>
      <c r="D58" s="43" t="s">
        <v>204</v>
      </c>
      <c r="E58" s="25">
        <v>42545.411874999998</v>
      </c>
      <c r="F58" s="25">
        <v>42545.412997685184</v>
      </c>
      <c r="G58" s="31">
        <v>1</v>
      </c>
      <c r="H58" s="25" t="s">
        <v>77</v>
      </c>
      <c r="I58" s="25">
        <v>42545.442627314813</v>
      </c>
      <c r="J58" s="43">
        <v>0</v>
      </c>
      <c r="K58" s="43" t="str">
        <f t="shared" si="12"/>
        <v>4029/4030</v>
      </c>
      <c r="L58" s="43" t="str">
        <f>VLOOKUP(A58,'Trips&amp;Operators'!$C$1:$E$10000,3,FALSE)</f>
        <v>SHOOK</v>
      </c>
      <c r="M58" s="11">
        <f t="shared" si="13"/>
        <v>2.9629629629198462E-2</v>
      </c>
      <c r="N58" s="12">
        <f>24*60*SUM($M58:$M58)</f>
        <v>42.666666666045785</v>
      </c>
      <c r="O58" s="12"/>
      <c r="P58" s="12"/>
      <c r="Q58" s="44"/>
      <c r="R58" s="44"/>
      <c r="S58" s="70">
        <f t="shared" si="15"/>
        <v>1</v>
      </c>
      <c r="T58" s="2" t="str">
        <f t="shared" si="16"/>
        <v>Southbound</v>
      </c>
      <c r="U58" s="2">
        <f>COUNTIFS(Variables!$M$2:$M$19, "&lt;=" &amp; Y58, Variables!$M$2:$M$19, "&gt;=" &amp; Z58)</f>
        <v>12</v>
      </c>
      <c r="V5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09:52:06-0600',mode:absolute,to:'2016-06-24 10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8" s="48" t="str">
        <f t="shared" si="18"/>
        <v>N</v>
      </c>
      <c r="X58" s="48">
        <f t="shared" si="19"/>
        <v>1</v>
      </c>
      <c r="Y58" s="48">
        <f t="shared" si="8"/>
        <v>23.296099999999999</v>
      </c>
      <c r="Z58" s="48">
        <f t="shared" si="21"/>
        <v>1.49E-2</v>
      </c>
      <c r="AA58" s="48">
        <f t="shared" si="20"/>
        <v>23.281199999999998</v>
      </c>
      <c r="AB58" s="49" t="e">
        <f>VLOOKUP(A58,Enforcements!$C$7:$J$73,8,0)</f>
        <v>#N/A</v>
      </c>
      <c r="AC58" s="49" t="e">
        <f>VLOOKUP(A58,Enforcements!$C$7:$E$73,3,0)</f>
        <v>#N/A</v>
      </c>
    </row>
    <row r="59" spans="1:29" s="2" customFormat="1" x14ac:dyDescent="0.25">
      <c r="A59" s="43" t="s">
        <v>502</v>
      </c>
      <c r="B59" s="43">
        <v>4031</v>
      </c>
      <c r="C59" s="43"/>
      <c r="D59" s="43"/>
      <c r="E59" s="25"/>
      <c r="F59" s="25">
        <v>42545.386064814818</v>
      </c>
      <c r="G59" s="25"/>
      <c r="H59" s="25"/>
      <c r="I59" s="25">
        <v>42545.388009259259</v>
      </c>
      <c r="J59" s="43"/>
      <c r="K59" s="43" t="str">
        <f t="shared" si="12"/>
        <v>4031/4032</v>
      </c>
      <c r="L59" s="43" t="str">
        <f>VLOOKUP(A59,'Trips&amp;Operators'!$C$1:$E$10000,3,FALSE)</f>
        <v>STURGEON</v>
      </c>
      <c r="M59" s="11">
        <f t="shared" si="13"/>
        <v>1.9444444405962713E-3</v>
      </c>
      <c r="N59" s="12"/>
      <c r="O59" s="12"/>
      <c r="P59" s="12">
        <f>24*60*SUM($M59:$M59)</f>
        <v>2.7999999944586307</v>
      </c>
      <c r="Q59" s="44"/>
      <c r="R59" s="44" t="s">
        <v>505</v>
      </c>
      <c r="S59" s="70">
        <f t="shared" si="15"/>
        <v>0</v>
      </c>
      <c r="T59" s="2" t="str">
        <f t="shared" si="16"/>
        <v>NorthBound</v>
      </c>
      <c r="U59" s="2">
        <f>COUNTIFS(Variables!$M$2:$M$19, "&gt;=" &amp; Y59, Variables!$M$2:$M$19, "&lt;=" &amp; Z59)</f>
        <v>0</v>
      </c>
      <c r="V59" s="48" t="e">
        <f t="shared" si="17"/>
        <v>#VALUE!</v>
      </c>
      <c r="W59" s="48" t="e">
        <f t="shared" si="18"/>
        <v>#VALUE!</v>
      </c>
      <c r="X59" s="48">
        <f t="shared" si="19"/>
        <v>1</v>
      </c>
      <c r="Y59" s="48" t="e">
        <f t="shared" si="8"/>
        <v>#VALUE!</v>
      </c>
      <c r="Z59" s="48" t="e">
        <f t="shared" si="21"/>
        <v>#VALUE!</v>
      </c>
      <c r="AA59" s="48" t="e">
        <f t="shared" si="20"/>
        <v>#VALUE!</v>
      </c>
      <c r="AB59" s="49" t="e">
        <f>VLOOKUP(A59,Enforcements!$C$7:$J$73,8,0)</f>
        <v>#N/A</v>
      </c>
      <c r="AC59" s="49" t="e">
        <f>VLOOKUP(A59,Enforcements!$C$7:$E$73,3,0)</f>
        <v>#N/A</v>
      </c>
    </row>
    <row r="60" spans="1:29" s="2" customFormat="1" x14ac:dyDescent="0.25">
      <c r="A60" s="43" t="s">
        <v>295</v>
      </c>
      <c r="B60" s="43">
        <v>4032</v>
      </c>
      <c r="C60" s="43" t="s">
        <v>60</v>
      </c>
      <c r="D60" s="43" t="s">
        <v>212</v>
      </c>
      <c r="E60" s="25">
        <v>42545.421377314815</v>
      </c>
      <c r="F60" s="25">
        <v>42545.422500000001</v>
      </c>
      <c r="G60" s="31">
        <v>1</v>
      </c>
      <c r="H60" s="25" t="s">
        <v>296</v>
      </c>
      <c r="I60" s="25">
        <v>42545.453344907408</v>
      </c>
      <c r="J60" s="43">
        <v>0</v>
      </c>
      <c r="K60" s="43" t="str">
        <f t="shared" si="12"/>
        <v>4031/4032</v>
      </c>
      <c r="L60" s="43" t="str">
        <f>VLOOKUP(A60,'Trips&amp;Operators'!$C$1:$E$10000,3,FALSE)</f>
        <v>STURGEON</v>
      </c>
      <c r="M60" s="11">
        <f t="shared" si="13"/>
        <v>3.0844907407299615E-2</v>
      </c>
      <c r="N60" s="12">
        <f t="shared" ref="N60:N68" si="22">24*60*SUM($M60:$M60)</f>
        <v>44.416666666511446</v>
      </c>
      <c r="O60" s="12"/>
      <c r="P60" s="12"/>
      <c r="Q60" s="44"/>
      <c r="R60" s="44"/>
      <c r="S60" s="70">
        <f t="shared" si="15"/>
        <v>1</v>
      </c>
      <c r="T60" s="2" t="str">
        <f t="shared" si="16"/>
        <v>Southbound</v>
      </c>
      <c r="U60" s="2">
        <f>COUNTIFS(Variables!$M$2:$M$19, "&lt;=" &amp; Y60, Variables!$M$2:$M$19, "&gt;=" &amp; Z60)</f>
        <v>12</v>
      </c>
      <c r="V6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10:05:47-0600',mode:absolute,to:'2016-06-24 10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48" t="str">
        <f t="shared" si="18"/>
        <v>N</v>
      </c>
      <c r="X60" s="48">
        <f t="shared" si="19"/>
        <v>1</v>
      </c>
      <c r="Y60" s="48">
        <f t="shared" si="8"/>
        <v>23.2971</v>
      </c>
      <c r="Z60" s="48">
        <f t="shared" si="21"/>
        <v>0.16669999999999999</v>
      </c>
      <c r="AA60" s="48">
        <f t="shared" si="20"/>
        <v>23.130400000000002</v>
      </c>
      <c r="AB60" s="49" t="e">
        <f>VLOOKUP(A60,Enforcements!$C$7:$J$73,8,0)</f>
        <v>#N/A</v>
      </c>
      <c r="AC60" s="49" t="e">
        <f>VLOOKUP(A60,Enforcements!$C$7:$E$73,3,0)</f>
        <v>#N/A</v>
      </c>
    </row>
    <row r="61" spans="1:29" s="2" customFormat="1" x14ac:dyDescent="0.25">
      <c r="A61" s="66" t="s">
        <v>297</v>
      </c>
      <c r="B61" s="43">
        <v>4040</v>
      </c>
      <c r="C61" s="43" t="s">
        <v>60</v>
      </c>
      <c r="D61" s="43" t="s">
        <v>207</v>
      </c>
      <c r="E61" s="25">
        <v>42545.394756944443</v>
      </c>
      <c r="F61" s="25">
        <v>42545.395856481482</v>
      </c>
      <c r="G61" s="31">
        <v>1</v>
      </c>
      <c r="H61" s="25" t="s">
        <v>174</v>
      </c>
      <c r="I61" s="25">
        <v>42545.422905092593</v>
      </c>
      <c r="J61" s="43">
        <v>0</v>
      </c>
      <c r="K61" s="43" t="str">
        <f t="shared" si="12"/>
        <v>4039/4040</v>
      </c>
      <c r="L61" s="43" t="str">
        <f>VLOOKUP(A61,'Trips&amp;Operators'!$C$1:$E$10000,3,FALSE)</f>
        <v>CANFIELD</v>
      </c>
      <c r="M61" s="11">
        <f t="shared" si="13"/>
        <v>2.7048611111240461E-2</v>
      </c>
      <c r="N61" s="12">
        <f t="shared" si="22"/>
        <v>38.950000000186265</v>
      </c>
      <c r="O61" s="12"/>
      <c r="P61" s="12"/>
      <c r="Q61" s="44"/>
      <c r="R61" s="44"/>
      <c r="S61" s="70">
        <f t="shared" si="15"/>
        <v>0</v>
      </c>
      <c r="T61" s="2" t="str">
        <f t="shared" si="16"/>
        <v>NorthBound</v>
      </c>
      <c r="U61" s="2">
        <f>COUNTIFS(Variables!$M$2:$M$19, "&gt;=" &amp; Y61, Variables!$M$2:$M$19, "&lt;=" &amp; Z61)</f>
        <v>0</v>
      </c>
      <c r="V6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09:27:27-0600',mode:absolute,to:'2016-06-24 10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1" s="48" t="str">
        <f t="shared" si="18"/>
        <v>N</v>
      </c>
      <c r="X61" s="48">
        <f t="shared" si="19"/>
        <v>1</v>
      </c>
      <c r="Y61" s="48">
        <v>23.297499999999999</v>
      </c>
      <c r="Z61" s="48">
        <v>1.5599999999999999E-2</v>
      </c>
      <c r="AA61" s="48">
        <f t="shared" si="20"/>
        <v>23.2819</v>
      </c>
      <c r="AB61" s="49" t="e">
        <f>VLOOKUP(A61,Enforcements!$C$7:$J$73,8,0)</f>
        <v>#N/A</v>
      </c>
      <c r="AC61" s="49" t="e">
        <f>VLOOKUP(A61,Enforcements!$C$7:$E$73,3,0)</f>
        <v>#N/A</v>
      </c>
    </row>
    <row r="62" spans="1:29" s="2" customFormat="1" x14ac:dyDescent="0.25">
      <c r="A62" s="43" t="s">
        <v>298</v>
      </c>
      <c r="B62" s="43">
        <v>4039</v>
      </c>
      <c r="C62" s="43" t="s">
        <v>60</v>
      </c>
      <c r="D62" s="43" t="s">
        <v>176</v>
      </c>
      <c r="E62" s="25">
        <v>42545.425694444442</v>
      </c>
      <c r="F62" s="25">
        <v>42545.42664351852</v>
      </c>
      <c r="G62" s="31">
        <v>1</v>
      </c>
      <c r="H62" s="25" t="s">
        <v>106</v>
      </c>
      <c r="I62" s="25">
        <v>42545.462442129632</v>
      </c>
      <c r="J62" s="43">
        <v>0</v>
      </c>
      <c r="K62" s="43" t="str">
        <f t="shared" si="12"/>
        <v>4039/4040</v>
      </c>
      <c r="L62" s="43" t="str">
        <f>VLOOKUP(A62,'Trips&amp;Operators'!$C$1:$E$10000,3,FALSE)</f>
        <v>CANFIELD</v>
      </c>
      <c r="M62" s="11">
        <f t="shared" si="13"/>
        <v>3.5798611112113576E-2</v>
      </c>
      <c r="N62" s="12">
        <f t="shared" si="22"/>
        <v>51.55000000144355</v>
      </c>
      <c r="O62" s="12"/>
      <c r="P62" s="12"/>
      <c r="Q62" s="44"/>
      <c r="R62" s="44"/>
      <c r="S62" s="70">
        <f t="shared" si="15"/>
        <v>1</v>
      </c>
      <c r="T62" s="2" t="str">
        <f t="shared" si="16"/>
        <v>Southbound</v>
      </c>
      <c r="U62" s="2">
        <f>COUNTIFS(Variables!$M$2:$M$19, "&lt;=" &amp; Y62, Variables!$M$2:$M$19, "&gt;=" &amp; Z62)</f>
        <v>12</v>
      </c>
      <c r="V6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10:12:00-0600',mode:absolute,to:'2016-06-24 11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2" s="48" t="str">
        <f t="shared" si="18"/>
        <v>N</v>
      </c>
      <c r="X62" s="48">
        <f t="shared" si="19"/>
        <v>1</v>
      </c>
      <c r="Y62" s="48">
        <f t="shared" ref="Y62:Y79" si="23">RIGHT(D62,LEN(D62)-4)/10000</f>
        <v>23.300599999999999</v>
      </c>
      <c r="Z62" s="48">
        <f t="shared" ref="Z62:Z79" si="24">RIGHT(H62,LEN(H62)-4)/10000</f>
        <v>1.5800000000000002E-2</v>
      </c>
      <c r="AA62" s="48">
        <f t="shared" si="20"/>
        <v>23.284800000000001</v>
      </c>
      <c r="AB62" s="49" t="e">
        <f>VLOOKUP(A62,Enforcements!$C$7:$J$73,8,0)</f>
        <v>#N/A</v>
      </c>
      <c r="AC62" s="49" t="e">
        <f>VLOOKUP(A62,Enforcements!$C$7:$E$73,3,0)</f>
        <v>#N/A</v>
      </c>
    </row>
    <row r="63" spans="1:29" s="2" customFormat="1" x14ac:dyDescent="0.25">
      <c r="A63" s="43" t="s">
        <v>299</v>
      </c>
      <c r="B63" s="43">
        <v>4007</v>
      </c>
      <c r="C63" s="43" t="s">
        <v>60</v>
      </c>
      <c r="D63" s="43" t="s">
        <v>300</v>
      </c>
      <c r="E63" s="25">
        <v>42545.403113425928</v>
      </c>
      <c r="F63" s="25">
        <v>42545.404074074075</v>
      </c>
      <c r="G63" s="31">
        <v>1</v>
      </c>
      <c r="H63" s="25" t="s">
        <v>301</v>
      </c>
      <c r="I63" s="25">
        <v>42545.431238425925</v>
      </c>
      <c r="J63" s="43">
        <v>0</v>
      </c>
      <c r="K63" s="43" t="str">
        <f t="shared" si="12"/>
        <v>4007/4008</v>
      </c>
      <c r="L63" s="43" t="str">
        <f>VLOOKUP(A63,'Trips&amp;Operators'!$C$1:$E$10000,3,FALSE)</f>
        <v>BEAM</v>
      </c>
      <c r="M63" s="11">
        <f t="shared" si="13"/>
        <v>2.7164351849933155E-2</v>
      </c>
      <c r="N63" s="12">
        <f t="shared" si="22"/>
        <v>39.116666663903743</v>
      </c>
      <c r="O63" s="12"/>
      <c r="P63" s="12"/>
      <c r="Q63" s="44"/>
      <c r="R63" s="44"/>
      <c r="S63" s="70">
        <f t="shared" si="15"/>
        <v>1</v>
      </c>
      <c r="T63" s="2" t="str">
        <f t="shared" si="16"/>
        <v>NorthBound</v>
      </c>
      <c r="U63" s="2">
        <f>COUNTIFS(Variables!$M$2:$M$19, "&gt;=" &amp; Y63, Variables!$M$2:$M$19, "&lt;=" &amp; Z63)</f>
        <v>12</v>
      </c>
      <c r="V6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09:39:29-0600',mode:absolute,to:'2016-06-24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3" s="48" t="str">
        <f t="shared" si="18"/>
        <v>N</v>
      </c>
      <c r="X63" s="48">
        <f t="shared" si="19"/>
        <v>1</v>
      </c>
      <c r="Y63" s="48">
        <f t="shared" si="23"/>
        <v>4.5100000000000001E-2</v>
      </c>
      <c r="Z63" s="48">
        <f t="shared" si="24"/>
        <v>23.331600000000002</v>
      </c>
      <c r="AA63" s="48">
        <f t="shared" si="20"/>
        <v>23.2865</v>
      </c>
      <c r="AB63" s="49" t="e">
        <f>VLOOKUP(A63,Enforcements!$C$7:$J$73,8,0)</f>
        <v>#N/A</v>
      </c>
      <c r="AC63" s="49" t="e">
        <f>VLOOKUP(A63,Enforcements!$C$7:$E$73,3,0)</f>
        <v>#N/A</v>
      </c>
    </row>
    <row r="64" spans="1:29" s="2" customFormat="1" x14ac:dyDescent="0.25">
      <c r="A64" s="43" t="s">
        <v>302</v>
      </c>
      <c r="B64" s="43">
        <v>4008</v>
      </c>
      <c r="C64" s="43" t="s">
        <v>60</v>
      </c>
      <c r="D64" s="43" t="s">
        <v>303</v>
      </c>
      <c r="E64" s="25">
        <v>42545.442106481481</v>
      </c>
      <c r="F64" s="25">
        <v>42545.442939814813</v>
      </c>
      <c r="G64" s="31">
        <v>1</v>
      </c>
      <c r="H64" s="25" t="s">
        <v>77</v>
      </c>
      <c r="I64" s="25">
        <v>42545.475185185183</v>
      </c>
      <c r="J64" s="43">
        <v>1</v>
      </c>
      <c r="K64" s="43" t="str">
        <f t="shared" si="12"/>
        <v>4007/4008</v>
      </c>
      <c r="L64" s="43" t="str">
        <f>VLOOKUP(A64,'Trips&amp;Operators'!$C$1:$E$10000,3,FALSE)</f>
        <v>BEAM</v>
      </c>
      <c r="M64" s="11">
        <f t="shared" si="13"/>
        <v>3.2245370370219462E-2</v>
      </c>
      <c r="N64" s="12">
        <f t="shared" si="22"/>
        <v>46.433333333116025</v>
      </c>
      <c r="O64" s="12"/>
      <c r="P64" s="12"/>
      <c r="Q64" s="44"/>
      <c r="R64" s="44"/>
      <c r="S64" s="70">
        <f t="shared" si="15"/>
        <v>1</v>
      </c>
      <c r="T64" s="2" t="str">
        <f t="shared" si="16"/>
        <v>Southbound</v>
      </c>
      <c r="U64" s="2">
        <f>COUNTIFS(Variables!$M$2:$M$19, "&lt;=" &amp; Y64, Variables!$M$2:$M$19, "&gt;=" &amp; Z64)</f>
        <v>12</v>
      </c>
      <c r="V6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10:35:38-0600',mode:absolute,to:'2016-06-24 11:25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4" s="48" t="str">
        <f t="shared" si="18"/>
        <v>N</v>
      </c>
      <c r="X64" s="48">
        <f t="shared" si="19"/>
        <v>1</v>
      </c>
      <c r="Y64" s="48">
        <f t="shared" si="23"/>
        <v>23.300699999999999</v>
      </c>
      <c r="Z64" s="48">
        <f t="shared" si="24"/>
        <v>1.49E-2</v>
      </c>
      <c r="AA64" s="48">
        <f t="shared" si="20"/>
        <v>23.285799999999998</v>
      </c>
      <c r="AB64" s="49">
        <f>VLOOKUP(A64,Enforcements!$C$7:$J$73,8,0)</f>
        <v>119716</v>
      </c>
      <c r="AC64" s="49" t="str">
        <f>VLOOKUP(A64,Enforcements!$C$7:$E$73,3,0)</f>
        <v>PERMANENT SPEED RESTRICTION</v>
      </c>
    </row>
    <row r="65" spans="1:29" s="2" customFormat="1" x14ac:dyDescent="0.25">
      <c r="A65" s="43" t="s">
        <v>304</v>
      </c>
      <c r="B65" s="43">
        <v>4042</v>
      </c>
      <c r="C65" s="43" t="s">
        <v>60</v>
      </c>
      <c r="D65" s="43" t="s">
        <v>154</v>
      </c>
      <c r="E65" s="25">
        <v>42545.415844907409</v>
      </c>
      <c r="F65" s="25">
        <v>42545.416631944441</v>
      </c>
      <c r="G65" s="31">
        <v>1</v>
      </c>
      <c r="H65" s="25" t="s">
        <v>235</v>
      </c>
      <c r="I65" s="25">
        <v>42545.442986111113</v>
      </c>
      <c r="J65" s="43">
        <v>2</v>
      </c>
      <c r="K65" s="43" t="str">
        <f t="shared" si="12"/>
        <v>4041/4042</v>
      </c>
      <c r="L65" s="43" t="str">
        <f>VLOOKUP(A65,'Trips&amp;Operators'!$C$1:$E$10000,3,FALSE)</f>
        <v>MALAVE</v>
      </c>
      <c r="M65" s="11">
        <f t="shared" si="13"/>
        <v>2.6354166671808343E-2</v>
      </c>
      <c r="N65" s="12">
        <f t="shared" si="22"/>
        <v>37.950000007404014</v>
      </c>
      <c r="O65" s="12"/>
      <c r="P65" s="12"/>
      <c r="Q65" s="44"/>
      <c r="R65" s="44"/>
      <c r="S65" s="70">
        <f t="shared" si="15"/>
        <v>1</v>
      </c>
      <c r="T65" s="2" t="str">
        <f t="shared" si="16"/>
        <v>NorthBound</v>
      </c>
      <c r="U65" s="2">
        <f>COUNTIFS(Variables!$M$2:$M$19, "&gt;=" &amp; Y65, Variables!$M$2:$M$19, "&lt;=" &amp; Z65)</f>
        <v>12</v>
      </c>
      <c r="V6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09:57:49-0600',mode:absolute,to:'2016-06-24 10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5" s="48" t="str">
        <f t="shared" si="18"/>
        <v>N</v>
      </c>
      <c r="X65" s="48">
        <f t="shared" si="19"/>
        <v>1</v>
      </c>
      <c r="Y65" s="48">
        <f t="shared" si="23"/>
        <v>4.7300000000000002E-2</v>
      </c>
      <c r="Z65" s="48">
        <f t="shared" si="24"/>
        <v>23.3306</v>
      </c>
      <c r="AA65" s="48">
        <f t="shared" si="20"/>
        <v>23.283300000000001</v>
      </c>
      <c r="AB65" s="49">
        <f>VLOOKUP(A65,Enforcements!$C$7:$J$73,8,0)</f>
        <v>42779</v>
      </c>
      <c r="AC65" s="49" t="str">
        <f>VLOOKUP(A65,Enforcements!$C$7:$E$73,3,0)</f>
        <v>GRADE CROSSING</v>
      </c>
    </row>
    <row r="66" spans="1:29" s="2" customFormat="1" x14ac:dyDescent="0.25">
      <c r="A66" s="43" t="s">
        <v>305</v>
      </c>
      <c r="B66" s="43">
        <v>4041</v>
      </c>
      <c r="C66" s="43" t="s">
        <v>60</v>
      </c>
      <c r="D66" s="43" t="s">
        <v>306</v>
      </c>
      <c r="E66" s="25">
        <v>42545.453356481485</v>
      </c>
      <c r="F66" s="25">
        <v>42545.455567129633</v>
      </c>
      <c r="G66" s="31">
        <v>3</v>
      </c>
      <c r="H66" s="25" t="s">
        <v>75</v>
      </c>
      <c r="I66" s="25">
        <v>42545.484224537038</v>
      </c>
      <c r="J66" s="43">
        <v>1</v>
      </c>
      <c r="K66" s="43" t="str">
        <f t="shared" si="12"/>
        <v>4041/4042</v>
      </c>
      <c r="L66" s="43" t="str">
        <f>VLOOKUP(A66,'Trips&amp;Operators'!$C$1:$E$10000,3,FALSE)</f>
        <v>MALAVE</v>
      </c>
      <c r="M66" s="11">
        <f t="shared" si="13"/>
        <v>2.8657407405262347E-2</v>
      </c>
      <c r="N66" s="12">
        <f t="shared" si="22"/>
        <v>41.26666666357778</v>
      </c>
      <c r="O66" s="12"/>
      <c r="P66" s="12"/>
      <c r="Q66" s="44"/>
      <c r="R66" s="44"/>
      <c r="S66" s="70">
        <f t="shared" si="15"/>
        <v>1</v>
      </c>
      <c r="T66" s="2" t="str">
        <f t="shared" si="16"/>
        <v>Southbound</v>
      </c>
      <c r="U66" s="2">
        <f>COUNTIFS(Variables!$M$2:$M$19, "&lt;=" &amp; Y66, Variables!$M$2:$M$19, "&gt;=" &amp; Z66)</f>
        <v>12</v>
      </c>
      <c r="V66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10:51:50-0600',mode:absolute,to:'2016-06-24 11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6" s="48" t="str">
        <f t="shared" si="18"/>
        <v>N</v>
      </c>
      <c r="X66" s="48">
        <f t="shared" si="19"/>
        <v>1</v>
      </c>
      <c r="Y66" s="48">
        <f t="shared" si="23"/>
        <v>23.298100000000002</v>
      </c>
      <c r="Z66" s="48">
        <f t="shared" si="24"/>
        <v>1.41E-2</v>
      </c>
      <c r="AA66" s="48">
        <f t="shared" si="20"/>
        <v>23.284000000000002</v>
      </c>
      <c r="AB66" s="49">
        <f>VLOOKUP(A66,Enforcements!$C$7:$J$73,8,0)</f>
        <v>224244</v>
      </c>
      <c r="AC66" s="49" t="str">
        <f>VLOOKUP(A66,Enforcements!$C$7:$E$73,3,0)</f>
        <v>SIGNAL</v>
      </c>
    </row>
    <row r="67" spans="1:29" s="2" customFormat="1" x14ac:dyDescent="0.25">
      <c r="A67" s="43" t="s">
        <v>307</v>
      </c>
      <c r="B67" s="43">
        <v>4038</v>
      </c>
      <c r="C67" s="43" t="s">
        <v>60</v>
      </c>
      <c r="D67" s="43" t="s">
        <v>72</v>
      </c>
      <c r="E67" s="25">
        <v>42545.421157407407</v>
      </c>
      <c r="F67" s="25">
        <v>42545.422372685185</v>
      </c>
      <c r="G67" s="31">
        <v>1</v>
      </c>
      <c r="H67" s="25" t="s">
        <v>152</v>
      </c>
      <c r="I67" s="25">
        <v>42545.451874999999</v>
      </c>
      <c r="J67" s="43">
        <v>0</v>
      </c>
      <c r="K67" s="43" t="str">
        <f t="shared" si="12"/>
        <v>4037/4038</v>
      </c>
      <c r="L67" s="43" t="str">
        <f>VLOOKUP(A67,'Trips&amp;Operators'!$C$1:$E$10000,3,FALSE)</f>
        <v>KILLION</v>
      </c>
      <c r="M67" s="11">
        <f t="shared" si="13"/>
        <v>2.9502314813726116E-2</v>
      </c>
      <c r="N67" s="12">
        <f t="shared" si="22"/>
        <v>42.483333331765607</v>
      </c>
      <c r="O67" s="12"/>
      <c r="P67" s="12"/>
      <c r="Q67" s="44"/>
      <c r="R67" s="44"/>
      <c r="S67" s="70">
        <f t="shared" si="15"/>
        <v>1</v>
      </c>
      <c r="T67" s="2" t="str">
        <f t="shared" si="16"/>
        <v>NorthBound</v>
      </c>
      <c r="U67" s="2">
        <f>COUNTIFS(Variables!$M$2:$M$19, "&gt;=" &amp; Y67, Variables!$M$2:$M$19, "&lt;=" &amp; Z67)</f>
        <v>12</v>
      </c>
      <c r="V67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10:05:28-0600',mode:absolute,to:'2016-06-24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7" s="48" t="str">
        <f t="shared" si="18"/>
        <v>N</v>
      </c>
      <c r="X67" s="48">
        <f t="shared" si="19"/>
        <v>1</v>
      </c>
      <c r="Y67" s="48">
        <f t="shared" si="23"/>
        <v>4.6199999999999998E-2</v>
      </c>
      <c r="Z67" s="48">
        <f t="shared" si="24"/>
        <v>23.328800000000001</v>
      </c>
      <c r="AA67" s="48">
        <f t="shared" si="20"/>
        <v>23.282600000000002</v>
      </c>
      <c r="AB67" s="49" t="e">
        <f>VLOOKUP(A67,Enforcements!$C$7:$J$73,8,0)</f>
        <v>#N/A</v>
      </c>
      <c r="AC67" s="49" t="e">
        <f>VLOOKUP(A67,Enforcements!$C$7:$E$73,3,0)</f>
        <v>#N/A</v>
      </c>
    </row>
    <row r="68" spans="1:29" s="2" customFormat="1" x14ac:dyDescent="0.25">
      <c r="A68" s="43" t="s">
        <v>308</v>
      </c>
      <c r="B68" s="43">
        <v>4037</v>
      </c>
      <c r="C68" s="43" t="s">
        <v>60</v>
      </c>
      <c r="D68" s="43" t="s">
        <v>309</v>
      </c>
      <c r="E68" s="25">
        <v>42545.461550925924</v>
      </c>
      <c r="F68" s="25">
        <v>42545.462858796294</v>
      </c>
      <c r="G68" s="31">
        <v>1</v>
      </c>
      <c r="H68" s="25" t="s">
        <v>310</v>
      </c>
      <c r="I68" s="25">
        <v>42545.493680555555</v>
      </c>
      <c r="J68" s="43">
        <v>1</v>
      </c>
      <c r="K68" s="43" t="str">
        <f t="shared" si="12"/>
        <v>4037/4038</v>
      </c>
      <c r="L68" s="43" t="str">
        <f>VLOOKUP(A68,'Trips&amp;Operators'!$C$1:$E$10000,3,FALSE)</f>
        <v>KILLION</v>
      </c>
      <c r="M68" s="11">
        <f t="shared" si="13"/>
        <v>3.0821759261016268E-2</v>
      </c>
      <c r="N68" s="12">
        <f t="shared" si="22"/>
        <v>44.383333335863426</v>
      </c>
      <c r="O68" s="12"/>
      <c r="P68" s="12"/>
      <c r="Q68" s="44"/>
      <c r="R68" s="44"/>
      <c r="S68" s="70">
        <f t="shared" si="15"/>
        <v>1</v>
      </c>
      <c r="T68" s="2" t="str">
        <f t="shared" si="16"/>
        <v>Southbound</v>
      </c>
      <c r="U68" s="2">
        <f>COUNTIFS(Variables!$M$2:$M$19, "&lt;=" &amp; Y68, Variables!$M$2:$M$19, "&gt;=" &amp; Z68)</f>
        <v>12</v>
      </c>
      <c r="V68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11:03:38-0600',mode:absolute,to:'2016-06-24 11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8" s="48" t="str">
        <f t="shared" si="18"/>
        <v>N</v>
      </c>
      <c r="X68" s="48">
        <f t="shared" si="19"/>
        <v>1</v>
      </c>
      <c r="Y68" s="48">
        <f t="shared" si="23"/>
        <v>23.2973</v>
      </c>
      <c r="Z68" s="48">
        <f t="shared" si="24"/>
        <v>1.2699999999999999E-2</v>
      </c>
      <c r="AA68" s="48">
        <f t="shared" si="20"/>
        <v>23.284600000000001</v>
      </c>
      <c r="AB68" s="49">
        <f>VLOOKUP(A68,Enforcements!$C$7:$J$73,8,0)</f>
        <v>127587</v>
      </c>
      <c r="AC68" s="49" t="str">
        <f>VLOOKUP(A68,Enforcements!$C$7:$E$73,3,0)</f>
        <v>SIGNAL</v>
      </c>
    </row>
    <row r="69" spans="1:29" s="2" customFormat="1" x14ac:dyDescent="0.25">
      <c r="A69" s="43" t="s">
        <v>312</v>
      </c>
      <c r="B69" s="43">
        <v>4012</v>
      </c>
      <c r="C69" s="43" t="s">
        <v>60</v>
      </c>
      <c r="D69" s="43" t="s">
        <v>71</v>
      </c>
      <c r="E69" s="25">
        <v>42545.472800925927</v>
      </c>
      <c r="F69" s="25">
        <v>42545.474317129629</v>
      </c>
      <c r="G69" s="31">
        <v>2</v>
      </c>
      <c r="H69" s="25" t="s">
        <v>313</v>
      </c>
      <c r="I69" s="25">
        <v>42545.504942129628</v>
      </c>
      <c r="J69" s="43">
        <v>1</v>
      </c>
      <c r="K69" s="43" t="str">
        <f t="shared" si="12"/>
        <v>4011/4012</v>
      </c>
      <c r="L69" s="43" t="str">
        <f>VLOOKUP(A69,'Trips&amp;Operators'!$C$1:$E$10000,3,FALSE)</f>
        <v>STAMBAUGH</v>
      </c>
      <c r="M69" s="11">
        <f t="shared" si="13"/>
        <v>3.0624999999417923E-2</v>
      </c>
      <c r="N69" s="12">
        <f t="shared" ref="N69:N79" si="25">24*60*SUM($M69:$M69)</f>
        <v>44.09999999916181</v>
      </c>
      <c r="O69" s="12"/>
      <c r="P69" s="12"/>
      <c r="Q69" s="44"/>
      <c r="R69" s="44"/>
      <c r="S69" s="70">
        <f t="shared" si="15"/>
        <v>1</v>
      </c>
      <c r="T69" s="2" t="str">
        <f t="shared" si="16"/>
        <v>Southbound</v>
      </c>
      <c r="U69" s="2">
        <f>COUNTIFS(Variables!$M$2:$M$19, "&lt;=" &amp; Y69, Variables!$M$2:$M$19, "&gt;=" &amp; Z69)</f>
        <v>12</v>
      </c>
      <c r="V69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11:19:50-0600',mode:absolute,to:'2016-06-24 12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48" t="str">
        <f t="shared" si="18"/>
        <v>N</v>
      </c>
      <c r="X69" s="48">
        <f t="shared" si="19"/>
        <v>2</v>
      </c>
      <c r="Y69" s="48">
        <f t="shared" si="23"/>
        <v>23.297699999999999</v>
      </c>
      <c r="Z69" s="48">
        <f t="shared" si="24"/>
        <v>0.11650000000000001</v>
      </c>
      <c r="AA69" s="48">
        <f t="shared" si="20"/>
        <v>23.1812</v>
      </c>
      <c r="AB69" s="49">
        <f>VLOOKUP(A69,Enforcements!$C$7:$J$73,8,0)</f>
        <v>839</v>
      </c>
      <c r="AC69" s="49" t="str">
        <f>VLOOKUP(A69,Enforcements!$C$7:$E$73,3,0)</f>
        <v>TRACK WARRANT AUTHORITY</v>
      </c>
    </row>
    <row r="70" spans="1:29" s="2" customFormat="1" x14ac:dyDescent="0.25">
      <c r="A70" s="43" t="s">
        <v>314</v>
      </c>
      <c r="B70" s="43">
        <v>4029</v>
      </c>
      <c r="C70" s="43" t="s">
        <v>60</v>
      </c>
      <c r="D70" s="43" t="s">
        <v>118</v>
      </c>
      <c r="E70" s="25">
        <v>42545.447615740741</v>
      </c>
      <c r="F70" s="25">
        <v>42545.448229166665</v>
      </c>
      <c r="G70" s="31">
        <v>0</v>
      </c>
      <c r="H70" s="25" t="s">
        <v>152</v>
      </c>
      <c r="I70" s="25">
        <v>42545.473495370374</v>
      </c>
      <c r="J70" s="43">
        <v>0</v>
      </c>
      <c r="K70" s="43" t="str">
        <f t="shared" si="12"/>
        <v>4029/4030</v>
      </c>
      <c r="L70" s="43" t="str">
        <f>VLOOKUP(A70,'Trips&amp;Operators'!$C$1:$E$10000,3,FALSE)</f>
        <v>ROCHA</v>
      </c>
      <c r="M70" s="11">
        <f t="shared" si="13"/>
        <v>2.5266203709179536E-2</v>
      </c>
      <c r="N70" s="12">
        <f t="shared" si="25"/>
        <v>36.383333341218531</v>
      </c>
      <c r="O70" s="12"/>
      <c r="P70" s="12"/>
      <c r="Q70" s="44"/>
      <c r="R70" s="44"/>
      <c r="S70" s="70">
        <f t="shared" si="15"/>
        <v>1</v>
      </c>
      <c r="T70" s="2" t="str">
        <f t="shared" si="16"/>
        <v>NorthBound</v>
      </c>
      <c r="U70" s="2">
        <f>COUNTIFS(Variables!$M$2:$M$19, "&gt;=" &amp; Y70, Variables!$M$2:$M$19, "&lt;=" &amp; Z70)</f>
        <v>12</v>
      </c>
      <c r="V70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10:43:34-0600',mode:absolute,to:'2016-06-24 11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0" s="48" t="str">
        <f t="shared" si="18"/>
        <v>N</v>
      </c>
      <c r="X70" s="48">
        <f t="shared" si="19"/>
        <v>1</v>
      </c>
      <c r="Y70" s="48">
        <f t="shared" si="23"/>
        <v>4.6699999999999998E-2</v>
      </c>
      <c r="Z70" s="48">
        <f t="shared" si="24"/>
        <v>23.328800000000001</v>
      </c>
      <c r="AA70" s="48">
        <f t="shared" si="20"/>
        <v>23.2821</v>
      </c>
      <c r="AB70" s="49" t="e">
        <f>VLOOKUP(A70,Enforcements!$C$7:$J$73,8,0)</f>
        <v>#N/A</v>
      </c>
      <c r="AC70" s="49" t="e">
        <f>VLOOKUP(A70,Enforcements!$C$7:$E$73,3,0)</f>
        <v>#N/A</v>
      </c>
    </row>
    <row r="71" spans="1:29" s="2" customFormat="1" x14ac:dyDescent="0.25">
      <c r="A71" s="43" t="s">
        <v>315</v>
      </c>
      <c r="B71" s="43">
        <v>4030</v>
      </c>
      <c r="C71" s="43" t="s">
        <v>60</v>
      </c>
      <c r="D71" s="43" t="s">
        <v>149</v>
      </c>
      <c r="E71" s="25">
        <v>42545.485682870371</v>
      </c>
      <c r="F71" s="25">
        <v>42545.486631944441</v>
      </c>
      <c r="G71" s="31">
        <v>1</v>
      </c>
      <c r="H71" s="25" t="s">
        <v>77</v>
      </c>
      <c r="I71" s="25">
        <v>42545.51421296296</v>
      </c>
      <c r="J71" s="43">
        <v>0</v>
      </c>
      <c r="K71" s="43" t="str">
        <f t="shared" si="12"/>
        <v>4029/4030</v>
      </c>
      <c r="L71" s="43" t="str">
        <f>VLOOKUP(A71,'Trips&amp;Operators'!$C$1:$E$10000,3,FALSE)</f>
        <v>ROCHA</v>
      </c>
      <c r="M71" s="11">
        <f t="shared" si="13"/>
        <v>2.7581018519413192E-2</v>
      </c>
      <c r="N71" s="12">
        <f t="shared" si="25"/>
        <v>39.716666667954996</v>
      </c>
      <c r="O71" s="12"/>
      <c r="P71" s="12"/>
      <c r="Q71" s="44"/>
      <c r="R71" s="44"/>
      <c r="S71" s="70">
        <f>SUM(U71:U71)/12</f>
        <v>1</v>
      </c>
      <c r="T71" s="2" t="str">
        <f t="shared" si="16"/>
        <v>Southbound</v>
      </c>
      <c r="U71" s="2">
        <f>COUNTIFS(Variables!$M$2:$M$19, "&lt;=" &amp; Y71, Variables!$M$2:$M$19, "&gt;=" &amp; Z71)</f>
        <v>12</v>
      </c>
      <c r="V71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11:38:23-0600',mode:absolute,to:'2016-06-24 12:21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1" s="48" t="str">
        <f t="shared" si="18"/>
        <v>N</v>
      </c>
      <c r="X71" s="48">
        <f t="shared" si="19"/>
        <v>1</v>
      </c>
      <c r="Y71" s="48">
        <f t="shared" si="23"/>
        <v>23.298200000000001</v>
      </c>
      <c r="Z71" s="48">
        <f t="shared" si="24"/>
        <v>1.49E-2</v>
      </c>
      <c r="AA71" s="48">
        <f t="shared" si="20"/>
        <v>23.283300000000001</v>
      </c>
      <c r="AB71" s="49" t="e">
        <f>VLOOKUP(A71,Enforcements!$C$7:$J$73,8,0)</f>
        <v>#N/A</v>
      </c>
      <c r="AC71" s="49" t="e">
        <f>VLOOKUP(A71,Enforcements!$C$7:$E$73,3,0)</f>
        <v>#N/A</v>
      </c>
    </row>
    <row r="72" spans="1:29" s="2" customFormat="1" x14ac:dyDescent="0.25">
      <c r="A72" s="43" t="s">
        <v>316</v>
      </c>
      <c r="B72" s="43">
        <v>4020</v>
      </c>
      <c r="C72" s="43" t="s">
        <v>60</v>
      </c>
      <c r="D72" s="43" t="s">
        <v>207</v>
      </c>
      <c r="E72" s="25">
        <v>42545.454282407409</v>
      </c>
      <c r="F72" s="25">
        <v>42545.455729166664</v>
      </c>
      <c r="G72" s="31">
        <v>2</v>
      </c>
      <c r="H72" s="25" t="s">
        <v>203</v>
      </c>
      <c r="I72" s="25">
        <v>42545.485069444447</v>
      </c>
      <c r="J72" s="43">
        <v>1</v>
      </c>
      <c r="K72" s="43" t="str">
        <f t="shared" si="12"/>
        <v>4019/4020</v>
      </c>
      <c r="L72" s="43" t="str">
        <f>VLOOKUP(A72,'Trips&amp;Operators'!$C$1:$E$10000,3,FALSE)</f>
        <v>SHOOK</v>
      </c>
      <c r="M72" s="11">
        <f t="shared" si="13"/>
        <v>2.9340277782466728E-2</v>
      </c>
      <c r="N72" s="12">
        <f t="shared" si="25"/>
        <v>42.250000006752089</v>
      </c>
      <c r="O72" s="12"/>
      <c r="P72" s="12"/>
      <c r="Q72" s="44"/>
      <c r="R72" s="44"/>
      <c r="S72" s="70">
        <f>SUM(U72:U72)/12</f>
        <v>1</v>
      </c>
      <c r="T72" s="2" t="str">
        <f t="shared" si="16"/>
        <v>NorthBound</v>
      </c>
      <c r="U72" s="2">
        <f>COUNTIFS(Variables!$M$2:$M$19, "&gt;=" &amp; Y72, Variables!$M$2:$M$19, "&lt;=" &amp; Z72)</f>
        <v>12</v>
      </c>
      <c r="V72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10:53:10-0600',mode:absolute,to:'2016-06-24 11:39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2" s="48" t="str">
        <f t="shared" si="18"/>
        <v>N</v>
      </c>
      <c r="X72" s="48">
        <f t="shared" si="19"/>
        <v>1</v>
      </c>
      <c r="Y72" s="48">
        <f t="shared" si="23"/>
        <v>4.8000000000000001E-2</v>
      </c>
      <c r="Z72" s="48">
        <f t="shared" si="24"/>
        <v>23.3293</v>
      </c>
      <c r="AA72" s="48">
        <f t="shared" si="20"/>
        <v>23.281300000000002</v>
      </c>
      <c r="AB72" s="49">
        <f>VLOOKUP(A72,Enforcements!$C$7:$J$73,8,0)</f>
        <v>20338</v>
      </c>
      <c r="AC72" s="49" t="str">
        <f>VLOOKUP(A72,Enforcements!$C$7:$E$73,3,0)</f>
        <v>PERMANENT SPEED RESTRICTION</v>
      </c>
    </row>
    <row r="73" spans="1:29" s="2" customFormat="1" x14ac:dyDescent="0.25">
      <c r="A73" s="43" t="s">
        <v>317</v>
      </c>
      <c r="B73" s="43">
        <v>4019</v>
      </c>
      <c r="C73" s="43" t="s">
        <v>60</v>
      </c>
      <c r="D73" s="43" t="s">
        <v>150</v>
      </c>
      <c r="E73" s="25">
        <v>42545.494039351855</v>
      </c>
      <c r="F73" s="25">
        <v>42545.49559027778</v>
      </c>
      <c r="G73" s="31">
        <v>2</v>
      </c>
      <c r="H73" s="25" t="s">
        <v>318</v>
      </c>
      <c r="I73" s="25">
        <v>42545.523078703707</v>
      </c>
      <c r="J73" s="43">
        <v>2</v>
      </c>
      <c r="K73" s="43" t="str">
        <f t="shared" si="12"/>
        <v>4019/4020</v>
      </c>
      <c r="L73" s="43" t="str">
        <f>VLOOKUP(A73,'Trips&amp;Operators'!$C$1:$E$10000,3,FALSE)</f>
        <v>SHOOK</v>
      </c>
      <c r="M73" s="11">
        <f t="shared" si="13"/>
        <v>2.7488425927003846E-2</v>
      </c>
      <c r="N73" s="12">
        <f t="shared" si="25"/>
        <v>39.583333334885538</v>
      </c>
      <c r="O73" s="12"/>
      <c r="P73" s="12"/>
      <c r="Q73" s="44"/>
      <c r="R73" s="44"/>
      <c r="S73" s="70">
        <f t="shared" ref="S73:S103" si="26">SUM(U73:U73)/12</f>
        <v>1</v>
      </c>
      <c r="T73" s="2" t="str">
        <f t="shared" si="16"/>
        <v>Southbound</v>
      </c>
      <c r="U73" s="2">
        <f>COUNTIFS(Variables!$M$2:$M$19, "&lt;=" &amp; Y73, Variables!$M$2:$M$19, "&gt;=" &amp; Z73)</f>
        <v>12</v>
      </c>
      <c r="V73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11:50:25-0600',mode:absolute,to:'2016-06-24 12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3" s="48" t="str">
        <f t="shared" si="18"/>
        <v>N</v>
      </c>
      <c r="X73" s="48">
        <f t="shared" si="19"/>
        <v>1</v>
      </c>
      <c r="Y73" s="48">
        <f t="shared" si="23"/>
        <v>23.2989</v>
      </c>
      <c r="Z73" s="48">
        <f t="shared" si="24"/>
        <v>2.23E-2</v>
      </c>
      <c r="AA73" s="48">
        <f t="shared" si="20"/>
        <v>23.276599999999998</v>
      </c>
      <c r="AB73" s="49">
        <f>VLOOKUP(A73,Enforcements!$C$7:$J$73,8,0)</f>
        <v>1</v>
      </c>
      <c r="AC73" s="49" t="str">
        <f>VLOOKUP(A73,Enforcements!$C$7:$E$73,3,0)</f>
        <v>TRACK WARRANT AUTHORITY</v>
      </c>
    </row>
    <row r="74" spans="1:29" s="2" customFormat="1" x14ac:dyDescent="0.25">
      <c r="A74" s="43" t="s">
        <v>319</v>
      </c>
      <c r="B74" s="43">
        <v>4040</v>
      </c>
      <c r="C74" s="43" t="s">
        <v>60</v>
      </c>
      <c r="D74" s="43" t="s">
        <v>84</v>
      </c>
      <c r="E74" s="25">
        <v>42545.465763888889</v>
      </c>
      <c r="F74" s="25">
        <v>42545.466851851852</v>
      </c>
      <c r="G74" s="31">
        <v>1</v>
      </c>
      <c r="H74" s="25" t="s">
        <v>231</v>
      </c>
      <c r="I74" s="25">
        <v>42545.496724537035</v>
      </c>
      <c r="J74" s="43">
        <v>1</v>
      </c>
      <c r="K74" s="43" t="str">
        <f t="shared" si="12"/>
        <v>4039/4040</v>
      </c>
      <c r="L74" s="43" t="str">
        <f>VLOOKUP(A74,'Trips&amp;Operators'!$C$1:$E$10000,3,FALSE)</f>
        <v>SPECTOR</v>
      </c>
      <c r="M74" s="11">
        <f t="shared" si="13"/>
        <v>2.9872685183363501E-2</v>
      </c>
      <c r="N74" s="12">
        <f t="shared" si="25"/>
        <v>43.016666664043441</v>
      </c>
      <c r="O74" s="12"/>
      <c r="P74" s="12"/>
      <c r="Q74" s="44"/>
      <c r="R74" s="44"/>
      <c r="S74" s="70">
        <f t="shared" si="26"/>
        <v>1</v>
      </c>
      <c r="T74" s="2" t="str">
        <f t="shared" si="16"/>
        <v>NorthBound</v>
      </c>
      <c r="U74" s="2">
        <f>COUNTIFS(Variables!$M$2:$M$19, "&gt;=" &amp; Y74, Variables!$M$2:$M$19, "&lt;=" &amp; Z74)</f>
        <v>12</v>
      </c>
      <c r="V74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11:09:42-0600',mode:absolute,to:'2016-06-24 11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48" t="str">
        <f t="shared" si="18"/>
        <v>N</v>
      </c>
      <c r="X74" s="48">
        <f t="shared" si="19"/>
        <v>1</v>
      </c>
      <c r="Y74" s="48">
        <f t="shared" si="23"/>
        <v>4.58E-2</v>
      </c>
      <c r="Z74" s="48">
        <f t="shared" si="24"/>
        <v>23.329899999999999</v>
      </c>
      <c r="AA74" s="48">
        <f t="shared" si="20"/>
        <v>23.284099999999999</v>
      </c>
      <c r="AB74" s="49">
        <f>VLOOKUP(A74,Enforcements!$C$7:$J$73,8,0)</f>
        <v>20338</v>
      </c>
      <c r="AC74" s="49" t="str">
        <f>VLOOKUP(A74,Enforcements!$C$7:$E$73,3,0)</f>
        <v>PERMANENT SPEED RESTRICTION</v>
      </c>
    </row>
    <row r="75" spans="1:29" s="2" customFormat="1" x14ac:dyDescent="0.25">
      <c r="A75" s="43" t="s">
        <v>320</v>
      </c>
      <c r="B75" s="43">
        <v>4039</v>
      </c>
      <c r="C75" s="43" t="s">
        <v>60</v>
      </c>
      <c r="D75" s="43" t="s">
        <v>180</v>
      </c>
      <c r="E75" s="25">
        <v>42545.502766203703</v>
      </c>
      <c r="F75" s="25">
        <v>42545.503969907404</v>
      </c>
      <c r="G75" s="31">
        <v>1</v>
      </c>
      <c r="H75" s="25" t="s">
        <v>77</v>
      </c>
      <c r="I75" s="25">
        <v>42545.535868055558</v>
      </c>
      <c r="J75" s="43">
        <v>0</v>
      </c>
      <c r="K75" s="43" t="str">
        <f t="shared" si="12"/>
        <v>4039/4040</v>
      </c>
      <c r="L75" s="43" t="str">
        <f>VLOOKUP(A75,'Trips&amp;Operators'!$C$1:$E$10000,3,FALSE)</f>
        <v>SPECTOR</v>
      </c>
      <c r="M75" s="11">
        <f t="shared" si="13"/>
        <v>3.1898148154141381E-2</v>
      </c>
      <c r="N75" s="12">
        <f t="shared" si="25"/>
        <v>45.933333341963589</v>
      </c>
      <c r="O75" s="12"/>
      <c r="P75" s="12"/>
      <c r="Q75" s="44"/>
      <c r="R75" s="44"/>
      <c r="S75" s="70">
        <f t="shared" si="26"/>
        <v>1</v>
      </c>
      <c r="T75" s="2" t="str">
        <f t="shared" si="16"/>
        <v>Southbound</v>
      </c>
      <c r="U75" s="2">
        <f>COUNTIFS(Variables!$M$2:$M$19, "&lt;=" &amp; Y75, Variables!$M$2:$M$19, "&gt;=" &amp; Z75)</f>
        <v>12</v>
      </c>
      <c r="V75" s="48" t="str">
        <f t="shared" si="17"/>
        <v>https://search-rtdc-monitor-bjffxe2xuh6vdkpspy63sjmuny.us-east-1.es.amazonaws.com/_plugin/kibana/#/discover/Steve-Slow-Train-Analysis-(2080s-and-2083s)?_g=(refreshInterval:(display:Off,section:0,value:0),time:(from:'2016-06-24 12:02:59-0600',mode:absolute,to:'2016-06-24 12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48" t="str">
        <f t="shared" si="18"/>
        <v>N</v>
      </c>
      <c r="X75" s="48">
        <f t="shared" si="19"/>
        <v>1</v>
      </c>
      <c r="Y75" s="48">
        <f t="shared" si="23"/>
        <v>23.299199999999999</v>
      </c>
      <c r="Z75" s="48">
        <f t="shared" si="24"/>
        <v>1.49E-2</v>
      </c>
      <c r="AA75" s="48">
        <f t="shared" si="20"/>
        <v>23.284299999999998</v>
      </c>
      <c r="AB75" s="49" t="e">
        <f>VLOOKUP(A75,Enforcements!$C$7:$J$73,8,0)</f>
        <v>#N/A</v>
      </c>
      <c r="AC75" s="49" t="e">
        <f>VLOOKUP(A75,Enforcements!$C$7:$E$73,3,0)</f>
        <v>#N/A</v>
      </c>
    </row>
    <row r="76" spans="1:29" s="2" customFormat="1" ht="16.5" customHeight="1" x14ac:dyDescent="0.25">
      <c r="A76" s="43" t="s">
        <v>321</v>
      </c>
      <c r="B76" s="43">
        <v>4007</v>
      </c>
      <c r="C76" s="43" t="s">
        <v>60</v>
      </c>
      <c r="D76" s="43" t="s">
        <v>322</v>
      </c>
      <c r="E76" s="25">
        <v>42545.480023148149</v>
      </c>
      <c r="F76" s="25">
        <v>42545.481041666666</v>
      </c>
      <c r="G76" s="31">
        <v>1</v>
      </c>
      <c r="H76" s="25" t="s">
        <v>323</v>
      </c>
      <c r="I76" s="25">
        <v>42545.51152777778</v>
      </c>
      <c r="J76" s="43">
        <v>0</v>
      </c>
      <c r="K76" s="43" t="str">
        <f t="shared" ref="K76:K106" si="27">IF(ISEVEN(B76),(B76-1)&amp;"/"&amp;B76,B76&amp;"/"&amp;(B76+1))</f>
        <v>4007/4008</v>
      </c>
      <c r="L76" s="43" t="str">
        <f>VLOOKUP(A76,'Trips&amp;Operators'!$C$1:$E$10000,3,FALSE)</f>
        <v>DAVIS</v>
      </c>
      <c r="M76" s="11">
        <f t="shared" ref="M76:M106" si="28">I76-F76</f>
        <v>3.0486111114441883E-2</v>
      </c>
      <c r="N76" s="12">
        <f t="shared" si="25"/>
        <v>43.900000004796311</v>
      </c>
      <c r="O76" s="12"/>
      <c r="P76" s="12"/>
      <c r="Q76" s="44"/>
      <c r="R76" s="44"/>
      <c r="S76" s="70">
        <f t="shared" si="26"/>
        <v>1</v>
      </c>
      <c r="T76" s="2" t="str">
        <f t="shared" ref="T76:T106" si="29">IF(ISEVEN(LEFT(A76,3)),"Southbound","NorthBound")</f>
        <v>NorthBound</v>
      </c>
      <c r="U76" s="2">
        <f>COUNTIFS(Variables!$M$2:$M$19, "&gt;=" &amp; Y76, Variables!$M$2:$M$19, "&lt;=" &amp; Z76)</f>
        <v>12</v>
      </c>
      <c r="V76" s="48" t="str">
        <f t="shared" ref="V76:V106" si="30"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https://search-rtdc-monitor-bjffxe2xuh6vdkpspy63sjmuny.us-east-1.es.amazonaws.com/_plugin/kibana/#/discover/Steve-Slow-Train-Analysis-(2080s-and-2083s)?_g=(refreshInterval:(display:Off,section:0,value:0),time:(from:'2016-06-24 11:30:14-0600',mode:absolute,to:'2016-06-24 12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6" s="48" t="str">
        <f t="shared" ref="W76:W106" si="31">IF(AA76&lt;23,"Y","N")</f>
        <v>N</v>
      </c>
      <c r="X76" s="48">
        <f t="shared" ref="X76:X106" si="32">VALUE(LEFT(A76,3))-VALUE(LEFT(A75,3))</f>
        <v>1</v>
      </c>
      <c r="Y76" s="48">
        <f t="shared" si="23"/>
        <v>4.2700000000000002E-2</v>
      </c>
      <c r="Z76" s="48">
        <f t="shared" si="24"/>
        <v>23.3338</v>
      </c>
      <c r="AA76" s="48">
        <f t="shared" ref="AA76:AA106" si="33">ABS(Z76-Y76)</f>
        <v>23.2911</v>
      </c>
      <c r="AB76" s="49" t="e">
        <f>VLOOKUP(A76,Enforcements!$C$7:$J$73,8,0)</f>
        <v>#N/A</v>
      </c>
      <c r="AC76" s="49" t="e">
        <f>VLOOKUP(A76,Enforcements!$C$7:$E$73,3,0)</f>
        <v>#N/A</v>
      </c>
    </row>
    <row r="77" spans="1:29" s="2" customFormat="1" ht="16.5" customHeight="1" x14ac:dyDescent="0.25">
      <c r="A77" s="43" t="s">
        <v>324</v>
      </c>
      <c r="B77" s="43">
        <v>4008</v>
      </c>
      <c r="C77" s="43" t="s">
        <v>60</v>
      </c>
      <c r="D77" s="43" t="s">
        <v>325</v>
      </c>
      <c r="E77" s="25">
        <v>42545.51489583333</v>
      </c>
      <c r="F77" s="25">
        <v>42545.516539351855</v>
      </c>
      <c r="G77" s="31">
        <v>2</v>
      </c>
      <c r="H77" s="25" t="s">
        <v>202</v>
      </c>
      <c r="I77" s="25">
        <v>42545.548564814817</v>
      </c>
      <c r="J77" s="43">
        <v>0</v>
      </c>
      <c r="K77" s="43" t="str">
        <f t="shared" si="27"/>
        <v>4007/4008</v>
      </c>
      <c r="L77" s="43" t="str">
        <f>VLOOKUP(A77,'Trips&amp;Operators'!$C$1:$E$10000,3,FALSE)</f>
        <v>DAVIS</v>
      </c>
      <c r="M77" s="11">
        <f t="shared" si="28"/>
        <v>3.202546296233777E-2</v>
      </c>
      <c r="N77" s="12">
        <f t="shared" si="25"/>
        <v>46.116666665766388</v>
      </c>
      <c r="O77" s="12"/>
      <c r="P77" s="12"/>
      <c r="Q77" s="44"/>
      <c r="R77" s="44"/>
      <c r="S77" s="70">
        <f t="shared" si="26"/>
        <v>1</v>
      </c>
      <c r="T77" s="2" t="str">
        <f t="shared" si="29"/>
        <v>Southbound</v>
      </c>
      <c r="U77" s="2">
        <f>COUNTIFS(Variables!$M$2:$M$19, "&lt;=" &amp; Y77, Variables!$M$2:$M$19, "&gt;=" &amp; Z77)</f>
        <v>12</v>
      </c>
      <c r="V77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12:20:27-0600',mode:absolute,to:'2016-06-24 13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7" s="48" t="str">
        <f t="shared" si="31"/>
        <v>N</v>
      </c>
      <c r="X77" s="48">
        <f t="shared" si="32"/>
        <v>1</v>
      </c>
      <c r="Y77" s="48">
        <f t="shared" si="23"/>
        <v>23.301300000000001</v>
      </c>
      <c r="Z77" s="48">
        <f t="shared" si="24"/>
        <v>1.23E-2</v>
      </c>
      <c r="AA77" s="48">
        <f t="shared" si="33"/>
        <v>23.289000000000001</v>
      </c>
      <c r="AB77" s="49" t="e">
        <f>VLOOKUP(A77,Enforcements!$C$7:$J$73,8,0)</f>
        <v>#N/A</v>
      </c>
      <c r="AC77" s="49" t="e">
        <f>VLOOKUP(A77,Enforcements!$C$7:$E$73,3,0)</f>
        <v>#N/A</v>
      </c>
    </row>
    <row r="78" spans="1:29" s="2" customFormat="1" x14ac:dyDescent="0.25">
      <c r="A78" s="43" t="s">
        <v>326</v>
      </c>
      <c r="B78" s="43">
        <v>4042</v>
      </c>
      <c r="C78" s="43" t="s">
        <v>60</v>
      </c>
      <c r="D78" s="43" t="s">
        <v>80</v>
      </c>
      <c r="E78" s="25">
        <v>42545.486400462964</v>
      </c>
      <c r="F78" s="25">
        <v>42545.489629629628</v>
      </c>
      <c r="G78" s="31">
        <v>4</v>
      </c>
      <c r="H78" s="25" t="s">
        <v>327</v>
      </c>
      <c r="I78" s="25">
        <v>42545.515636574077</v>
      </c>
      <c r="J78" s="43">
        <v>0</v>
      </c>
      <c r="K78" s="43" t="str">
        <f t="shared" si="27"/>
        <v>4041/4042</v>
      </c>
      <c r="L78" s="43" t="str">
        <f>VLOOKUP(A78,'Trips&amp;Operators'!$C$1:$E$10000,3,FALSE)</f>
        <v>LOCKLEAR</v>
      </c>
      <c r="M78" s="11">
        <f t="shared" si="28"/>
        <v>2.6006944448454306E-2</v>
      </c>
      <c r="N78" s="12">
        <f t="shared" si="25"/>
        <v>37.4500000057742</v>
      </c>
      <c r="O78" s="12"/>
      <c r="P78" s="12"/>
      <c r="Q78" s="44"/>
      <c r="R78" s="44"/>
      <c r="S78" s="70">
        <f t="shared" si="26"/>
        <v>1</v>
      </c>
      <c r="T78" s="2" t="str">
        <f t="shared" si="29"/>
        <v>NorthBound</v>
      </c>
      <c r="U78" s="2">
        <f>COUNTIFS(Variables!$M$2:$M$19, "&gt;=" &amp; Y78, Variables!$M$2:$M$19, "&lt;=" &amp; Z78)</f>
        <v>12</v>
      </c>
      <c r="V78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11:39:25-0600',mode:absolute,to:'2016-06-24 12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8" s="48" t="str">
        <f t="shared" si="31"/>
        <v>N</v>
      </c>
      <c r="X78" s="48">
        <f t="shared" si="32"/>
        <v>1</v>
      </c>
      <c r="Y78" s="48">
        <f t="shared" si="23"/>
        <v>4.53E-2</v>
      </c>
      <c r="Z78" s="48">
        <f t="shared" si="24"/>
        <v>23.332999999999998</v>
      </c>
      <c r="AA78" s="48">
        <f t="shared" si="33"/>
        <v>23.287699999999997</v>
      </c>
      <c r="AB78" s="49" t="e">
        <f>VLOOKUP(A78,Enforcements!$C$7:$J$73,8,0)</f>
        <v>#N/A</v>
      </c>
      <c r="AC78" s="49" t="e">
        <f>VLOOKUP(A78,Enforcements!$C$7:$E$73,3,0)</f>
        <v>#N/A</v>
      </c>
    </row>
    <row r="79" spans="1:29" s="2" customFormat="1" x14ac:dyDescent="0.25">
      <c r="A79" s="43" t="s">
        <v>328</v>
      </c>
      <c r="B79" s="43">
        <v>4041</v>
      </c>
      <c r="C79" s="43" t="s">
        <v>60</v>
      </c>
      <c r="D79" s="43" t="s">
        <v>325</v>
      </c>
      <c r="E79" s="25">
        <v>42545.524409722224</v>
      </c>
      <c r="F79" s="25">
        <v>42545.525543981479</v>
      </c>
      <c r="G79" s="31">
        <v>1</v>
      </c>
      <c r="H79" s="25" t="s">
        <v>98</v>
      </c>
      <c r="I79" s="25">
        <v>42545.557916666665</v>
      </c>
      <c r="J79" s="43">
        <v>0</v>
      </c>
      <c r="K79" s="43" t="str">
        <f t="shared" si="27"/>
        <v>4041/4042</v>
      </c>
      <c r="L79" s="43" t="str">
        <f>VLOOKUP(A79,'Trips&amp;Operators'!$C$1:$E$10000,3,FALSE)</f>
        <v>LOCKLEAR</v>
      </c>
      <c r="M79" s="11">
        <f t="shared" si="28"/>
        <v>3.2372685185691807E-2</v>
      </c>
      <c r="N79" s="12">
        <f t="shared" si="25"/>
        <v>46.616666667396203</v>
      </c>
      <c r="O79" s="12"/>
      <c r="P79" s="12"/>
      <c r="Q79" s="44"/>
      <c r="R79" s="44"/>
      <c r="S79" s="70">
        <f t="shared" si="26"/>
        <v>1</v>
      </c>
      <c r="T79" s="2" t="str">
        <f t="shared" si="29"/>
        <v>Southbound</v>
      </c>
      <c r="U79" s="2">
        <f>COUNTIFS(Variables!$M$2:$M$19, "&lt;=" &amp; Y79, Variables!$M$2:$M$19, "&gt;=" &amp; Z79)</f>
        <v>12</v>
      </c>
      <c r="V79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12:34:09-0600',mode:absolute,to:'2016-06-24 13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9" s="48" t="str">
        <f t="shared" si="31"/>
        <v>N</v>
      </c>
      <c r="X79" s="48">
        <f t="shared" si="32"/>
        <v>1</v>
      </c>
      <c r="Y79" s="48">
        <f t="shared" si="23"/>
        <v>23.301300000000001</v>
      </c>
      <c r="Z79" s="48">
        <f t="shared" si="24"/>
        <v>1.61E-2</v>
      </c>
      <c r="AA79" s="48">
        <f t="shared" si="33"/>
        <v>23.2852</v>
      </c>
      <c r="AB79" s="49" t="e">
        <f>VLOOKUP(A79,Enforcements!$C$7:$J$73,8,0)</f>
        <v>#N/A</v>
      </c>
      <c r="AC79" s="49" t="e">
        <f>VLOOKUP(A79,Enforcements!$C$7:$E$73,3,0)</f>
        <v>#N/A</v>
      </c>
    </row>
    <row r="80" spans="1:29" s="2" customFormat="1" x14ac:dyDescent="0.25">
      <c r="A80" s="66" t="s">
        <v>329</v>
      </c>
      <c r="B80" s="43">
        <v>4038</v>
      </c>
      <c r="C80" s="43" t="s">
        <v>60</v>
      </c>
      <c r="D80" s="43" t="s">
        <v>330</v>
      </c>
      <c r="E80" s="25">
        <v>42545.49554398148</v>
      </c>
      <c r="F80" s="25">
        <v>42545.496898148151</v>
      </c>
      <c r="G80" s="25">
        <v>1</v>
      </c>
      <c r="H80" s="25" t="s">
        <v>121</v>
      </c>
      <c r="I80" s="25">
        <v>42545.526446759257</v>
      </c>
      <c r="J80" s="43">
        <v>0</v>
      </c>
      <c r="K80" s="43" t="str">
        <f t="shared" si="27"/>
        <v>4037/4038</v>
      </c>
      <c r="L80" s="43" t="str">
        <f>VLOOKUP(A80,'Trips&amp;Operators'!$C$1:$E$10000,3,FALSE)</f>
        <v>KILLION</v>
      </c>
      <c r="M80" s="11">
        <f t="shared" si="28"/>
        <v>2.954861110629281E-2</v>
      </c>
      <c r="N80" s="12">
        <f>24*60*SUM($M80:$M80)</f>
        <v>42.549999993061647</v>
      </c>
      <c r="O80" s="12"/>
      <c r="P80" s="12"/>
      <c r="Q80" s="44"/>
      <c r="R80" s="44"/>
      <c r="S80" s="70">
        <f t="shared" si="26"/>
        <v>1</v>
      </c>
      <c r="T80" s="2" t="str">
        <f t="shared" si="29"/>
        <v>NorthBound</v>
      </c>
      <c r="U80" s="2">
        <f>COUNTIFS(Variables!$M$2:$M$19, "&gt;=" &amp; Y80, Variables!$M$2:$M$19, "&lt;=" &amp; Z80)</f>
        <v>12</v>
      </c>
      <c r="V80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11:52:35-0600',mode:absolute,to:'2016-06-24 12:39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0" s="48" t="str">
        <f t="shared" si="31"/>
        <v>N</v>
      </c>
      <c r="X80" s="48">
        <f t="shared" si="32"/>
        <v>1</v>
      </c>
      <c r="Y80" s="48">
        <f t="shared" ref="Y80:Y84" si="34">RIGHT(D80,LEN(D80)-4)/10000</f>
        <v>4.4400000000000002E-2</v>
      </c>
      <c r="Z80" s="48">
        <f t="shared" ref="Z80:Z84" si="35">RIGHT(H80,LEN(H80)-4)/10000</f>
        <v>23.331</v>
      </c>
      <c r="AA80" s="48">
        <f t="shared" ref="AA80:AA84" si="36">ABS(Z80-Y80)</f>
        <v>23.2866</v>
      </c>
      <c r="AB80" s="49" t="e">
        <f>VLOOKUP(A80,Enforcements!$C$7:$J$73,8,0)</f>
        <v>#N/A</v>
      </c>
      <c r="AC80" s="49" t="e">
        <f>VLOOKUP(A80,Enforcements!$C$7:$E$73,3,0)</f>
        <v>#N/A</v>
      </c>
    </row>
    <row r="81" spans="1:29" s="2" customFormat="1" x14ac:dyDescent="0.25">
      <c r="A81" s="43" t="s">
        <v>331</v>
      </c>
      <c r="B81" s="43">
        <v>4037</v>
      </c>
      <c r="C81" s="43" t="s">
        <v>60</v>
      </c>
      <c r="D81" s="43" t="s">
        <v>150</v>
      </c>
      <c r="E81" s="25">
        <v>42545.533414351848</v>
      </c>
      <c r="F81" s="25">
        <v>42545.53434027778</v>
      </c>
      <c r="G81" s="31">
        <v>1</v>
      </c>
      <c r="H81" s="25" t="s">
        <v>112</v>
      </c>
      <c r="I81" s="25">
        <v>42545.569166666668</v>
      </c>
      <c r="J81" s="43">
        <v>0</v>
      </c>
      <c r="K81" s="43" t="str">
        <f t="shared" si="27"/>
        <v>4037/4038</v>
      </c>
      <c r="L81" s="43" t="str">
        <f>VLOOKUP(A81,'Trips&amp;Operators'!$C$1:$E$10000,3,FALSE)</f>
        <v>KILLION</v>
      </c>
      <c r="M81" s="11">
        <f t="shared" si="28"/>
        <v>3.4826388888177462E-2</v>
      </c>
      <c r="N81" s="12">
        <f t="shared" ref="N81:N90" si="37">24*60*SUM($M81:$M81)</f>
        <v>50.149999998975545</v>
      </c>
      <c r="O81" s="12"/>
      <c r="P81" s="12"/>
      <c r="Q81" s="44"/>
      <c r="R81" s="44"/>
      <c r="S81" s="70">
        <f t="shared" si="26"/>
        <v>1</v>
      </c>
      <c r="T81" s="2" t="str">
        <f t="shared" si="29"/>
        <v>Southbound</v>
      </c>
      <c r="U81" s="2">
        <f>COUNTIFS(Variables!$M$2:$M$19, "&lt;=" &amp; Y81, Variables!$M$2:$M$19, "&gt;=" &amp; Z81)</f>
        <v>12</v>
      </c>
      <c r="V81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12:47:07-0600',mode:absolute,to:'2016-06-24 13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1" s="48" t="str">
        <f t="shared" si="31"/>
        <v>N</v>
      </c>
      <c r="X81" s="48">
        <f t="shared" si="32"/>
        <v>1</v>
      </c>
      <c r="Y81" s="48">
        <f t="shared" si="34"/>
        <v>23.2989</v>
      </c>
      <c r="Z81" s="48">
        <f t="shared" si="35"/>
        <v>1.6299999999999999E-2</v>
      </c>
      <c r="AA81" s="48">
        <f t="shared" si="36"/>
        <v>23.282599999999999</v>
      </c>
      <c r="AB81" s="49" t="e">
        <f>VLOOKUP(A81,Enforcements!$C$7:$J$73,8,0)</f>
        <v>#N/A</v>
      </c>
      <c r="AC81" s="49" t="e">
        <f>VLOOKUP(A81,Enforcements!$C$7:$E$73,3,0)</f>
        <v>#N/A</v>
      </c>
    </row>
    <row r="82" spans="1:29" s="64" customFormat="1" x14ac:dyDescent="0.25">
      <c r="A82" s="43" t="s">
        <v>332</v>
      </c>
      <c r="B82" s="43">
        <v>4031</v>
      </c>
      <c r="C82" s="43" t="s">
        <v>60</v>
      </c>
      <c r="D82" s="43" t="s">
        <v>165</v>
      </c>
      <c r="E82" s="25">
        <v>42545.506365740737</v>
      </c>
      <c r="F82" s="25">
        <v>42545.507557870369</v>
      </c>
      <c r="G82" s="31">
        <v>1</v>
      </c>
      <c r="H82" s="25" t="s">
        <v>152</v>
      </c>
      <c r="I82" s="25">
        <v>42545.537210648145</v>
      </c>
      <c r="J82" s="43">
        <v>0</v>
      </c>
      <c r="K82" s="43" t="str">
        <f t="shared" si="27"/>
        <v>4031/4032</v>
      </c>
      <c r="L82" s="43" t="str">
        <f>VLOOKUP(A82,'Trips&amp;Operators'!$C$1:$E$10000,3,FALSE)</f>
        <v>STEWART</v>
      </c>
      <c r="M82" s="11">
        <f t="shared" si="28"/>
        <v>2.9652777775481809E-2</v>
      </c>
      <c r="N82" s="12">
        <f t="shared" si="37"/>
        <v>42.699999996693805</v>
      </c>
      <c r="O82" s="12"/>
      <c r="P82" s="12"/>
      <c r="Q82" s="44"/>
      <c r="R82" s="44"/>
      <c r="S82" s="70">
        <f t="shared" si="26"/>
        <v>1</v>
      </c>
      <c r="T82" s="2" t="str">
        <f t="shared" si="29"/>
        <v>NorthBound</v>
      </c>
      <c r="U82" s="2">
        <f>COUNTIFS(Variables!$M$2:$M$19, "&gt;=" &amp; Y82, Variables!$M$2:$M$19, "&lt;=" &amp; Z82)</f>
        <v>12</v>
      </c>
      <c r="V82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12:08:10-0600',mode:absolute,to:'2016-06-24 12:54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2" s="48" t="str">
        <f t="shared" si="31"/>
        <v>N</v>
      </c>
      <c r="X82" s="48">
        <f t="shared" si="32"/>
        <v>1</v>
      </c>
      <c r="Y82" s="48">
        <f t="shared" si="34"/>
        <v>4.3499999999999997E-2</v>
      </c>
      <c r="Z82" s="48">
        <f t="shared" si="35"/>
        <v>23.328800000000001</v>
      </c>
      <c r="AA82" s="48">
        <f t="shared" si="36"/>
        <v>23.285299999999999</v>
      </c>
      <c r="AB82" s="49" t="e">
        <f>VLOOKUP(A82,Enforcements!$C$7:$J$73,8,0)</f>
        <v>#N/A</v>
      </c>
      <c r="AC82" s="49" t="e">
        <f>VLOOKUP(A82,Enforcements!$C$7:$E$73,3,0)</f>
        <v>#N/A</v>
      </c>
    </row>
    <row r="83" spans="1:29" s="2" customFormat="1" x14ac:dyDescent="0.25">
      <c r="A83" s="43" t="s">
        <v>333</v>
      </c>
      <c r="B83" s="43">
        <v>4032</v>
      </c>
      <c r="C83" s="43" t="s">
        <v>60</v>
      </c>
      <c r="D83" s="43" t="s">
        <v>81</v>
      </c>
      <c r="E83" s="25">
        <v>42545.546597222223</v>
      </c>
      <c r="F83" s="25">
        <v>42545.548078703701</v>
      </c>
      <c r="G83" s="31">
        <v>2</v>
      </c>
      <c r="H83" s="25" t="s">
        <v>334</v>
      </c>
      <c r="I83" s="25">
        <v>42545.584467592591</v>
      </c>
      <c r="J83" s="43">
        <v>1</v>
      </c>
      <c r="K83" s="43" t="str">
        <f t="shared" si="27"/>
        <v>4031/4032</v>
      </c>
      <c r="L83" s="43" t="str">
        <f>VLOOKUP(A83,'Trips&amp;Operators'!$C$1:$E$10000,3,FALSE)</f>
        <v>STEWART</v>
      </c>
      <c r="M83" s="11">
        <f t="shared" si="28"/>
        <v>3.6388888889632653E-2</v>
      </c>
      <c r="N83" s="12">
        <f t="shared" si="37"/>
        <v>52.400000001071021</v>
      </c>
      <c r="O83" s="12"/>
      <c r="P83" s="12"/>
      <c r="Q83" s="44"/>
      <c r="R83" s="44"/>
      <c r="S83" s="70">
        <f t="shared" si="26"/>
        <v>1</v>
      </c>
      <c r="T83" s="2" t="str">
        <f t="shared" si="29"/>
        <v>Southbound</v>
      </c>
      <c r="U83" s="2">
        <f>COUNTIFS(Variables!$M$2:$M$19, "&lt;=" &amp; Y83, Variables!$M$2:$M$19, "&gt;=" &amp; Z83)</f>
        <v>12</v>
      </c>
      <c r="V83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13:06:06-0600',mode:absolute,to:'2016-06-24 14:02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3" s="48" t="str">
        <f t="shared" si="31"/>
        <v>N</v>
      </c>
      <c r="X83" s="48">
        <f t="shared" si="32"/>
        <v>1</v>
      </c>
      <c r="Y83" s="48">
        <f t="shared" si="34"/>
        <v>23.297799999999999</v>
      </c>
      <c r="Z83" s="48">
        <f t="shared" si="35"/>
        <v>1.83E-2</v>
      </c>
      <c r="AA83" s="48">
        <f t="shared" si="36"/>
        <v>23.279499999999999</v>
      </c>
      <c r="AB83" s="49">
        <f>VLOOKUP(A83,Enforcements!$C$7:$J$73,8,0)</f>
        <v>1</v>
      </c>
      <c r="AC83" s="49" t="str">
        <f>VLOOKUP(A83,Enforcements!$C$7:$E$73,3,0)</f>
        <v>TRACK WARRANT AUTHORITY</v>
      </c>
    </row>
    <row r="84" spans="1:29" s="2" customFormat="1" ht="14.25" customHeight="1" x14ac:dyDescent="0.25">
      <c r="A84" s="43" t="s">
        <v>335</v>
      </c>
      <c r="B84" s="43">
        <v>4029</v>
      </c>
      <c r="C84" s="43" t="s">
        <v>60</v>
      </c>
      <c r="D84" s="43" t="s">
        <v>69</v>
      </c>
      <c r="E84" s="25">
        <v>42545.516203703701</v>
      </c>
      <c r="F84" s="25">
        <v>42545.51703703704</v>
      </c>
      <c r="G84" s="31">
        <v>1</v>
      </c>
      <c r="H84" s="25" t="s">
        <v>235</v>
      </c>
      <c r="I84" s="25">
        <v>42545.545370370368</v>
      </c>
      <c r="J84" s="43">
        <v>0</v>
      </c>
      <c r="K84" s="43" t="str">
        <f t="shared" si="27"/>
        <v>4029/4030</v>
      </c>
      <c r="L84" s="43" t="str">
        <f>VLOOKUP(A84,'Trips&amp;Operators'!$C$1:$E$10000,3,FALSE)</f>
        <v>ROCHA</v>
      </c>
      <c r="M84" s="11">
        <f t="shared" si="28"/>
        <v>2.8333333328191657E-2</v>
      </c>
      <c r="N84" s="12">
        <f t="shared" si="37"/>
        <v>40.799999992595986</v>
      </c>
      <c r="O84" s="12"/>
      <c r="P84" s="12"/>
      <c r="Q84" s="44"/>
      <c r="R84" s="44"/>
      <c r="S84" s="70">
        <f t="shared" si="26"/>
        <v>1</v>
      </c>
      <c r="T84" s="2" t="str">
        <f t="shared" si="29"/>
        <v>NorthBound</v>
      </c>
      <c r="U84" s="2">
        <f>COUNTIFS(Variables!$M$2:$M$19, "&gt;=" &amp; Y84, Variables!$M$2:$M$19, "&lt;=" &amp; Z84)</f>
        <v>12</v>
      </c>
      <c r="V84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12:22:20-0600',mode:absolute,to:'2016-06-24 13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4" s="48" t="str">
        <f t="shared" si="31"/>
        <v>N</v>
      </c>
      <c r="X84" s="48">
        <f t="shared" si="32"/>
        <v>1</v>
      </c>
      <c r="Y84" s="48">
        <f t="shared" si="34"/>
        <v>4.5999999999999999E-2</v>
      </c>
      <c r="Z84" s="48">
        <f t="shared" si="35"/>
        <v>23.3306</v>
      </c>
      <c r="AA84" s="48">
        <f t="shared" si="36"/>
        <v>23.284600000000001</v>
      </c>
      <c r="AB84" s="49">
        <f>VLOOKUP(A84,Enforcements!$C$7:$J$73,8,0)</f>
        <v>233491</v>
      </c>
      <c r="AC84" s="49" t="str">
        <f>VLOOKUP(A84,Enforcements!$C$7:$E$73,3,0)</f>
        <v>TRACK WARRANT AUTHORITY</v>
      </c>
    </row>
    <row r="85" spans="1:29" s="2" customFormat="1" x14ac:dyDescent="0.25">
      <c r="A85" s="43" t="s">
        <v>336</v>
      </c>
      <c r="B85" s="43">
        <v>4030</v>
      </c>
      <c r="C85" s="43" t="s">
        <v>60</v>
      </c>
      <c r="D85" s="43" t="s">
        <v>237</v>
      </c>
      <c r="E85" s="25">
        <v>42545.557476851849</v>
      </c>
      <c r="F85" s="25">
        <v>42545.558645833335</v>
      </c>
      <c r="G85" s="31">
        <v>1</v>
      </c>
      <c r="H85" s="25" t="s">
        <v>211</v>
      </c>
      <c r="I85" s="25">
        <v>42545.587569444448</v>
      </c>
      <c r="J85" s="43">
        <v>1</v>
      </c>
      <c r="K85" s="43" t="str">
        <f t="shared" si="27"/>
        <v>4029/4030</v>
      </c>
      <c r="L85" s="43" t="str">
        <f>VLOOKUP(A85,'Trips&amp;Operators'!$C$1:$E$10000,3,FALSE)</f>
        <v>ROCHA</v>
      </c>
      <c r="M85" s="11">
        <f t="shared" si="28"/>
        <v>2.8923611112986691E-2</v>
      </c>
      <c r="N85" s="12">
        <f t="shared" si="37"/>
        <v>41.650000002700835</v>
      </c>
      <c r="O85" s="12"/>
      <c r="P85" s="12"/>
      <c r="Q85" s="44"/>
      <c r="R85" s="44"/>
      <c r="S85" s="70">
        <f t="shared" si="26"/>
        <v>1</v>
      </c>
      <c r="T85" s="2" t="str">
        <f t="shared" si="29"/>
        <v>Southbound</v>
      </c>
      <c r="U85" s="2">
        <f>COUNTIFS(Variables!$M$2:$M$19, "&lt;=" &amp; Y85, Variables!$M$2:$M$19, "&gt;=" &amp; Z85)</f>
        <v>12</v>
      </c>
      <c r="V85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13:21:46-0600',mode:absolute,to:'2016-06-24 14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5" s="48" t="str">
        <f t="shared" si="31"/>
        <v>N</v>
      </c>
      <c r="X85" s="48">
        <f t="shared" si="32"/>
        <v>1</v>
      </c>
      <c r="Y85" s="48">
        <f t="shared" ref="Y85:Y99" si="38">RIGHT(D85,LEN(D85)-4)/10000</f>
        <v>23.2987</v>
      </c>
      <c r="Z85" s="48">
        <f t="shared" ref="Z85:Z99" si="39">RIGHT(H85,LEN(H85)-4)/10000</f>
        <v>1.32E-2</v>
      </c>
      <c r="AA85" s="48">
        <f t="shared" si="33"/>
        <v>23.285499999999999</v>
      </c>
      <c r="AB85" s="49">
        <f>VLOOKUP(A85,Enforcements!$C$7:$J$73,8,0)</f>
        <v>1</v>
      </c>
      <c r="AC85" s="49" t="str">
        <f>VLOOKUP(A85,Enforcements!$C$7:$E$73,3,0)</f>
        <v>TRACK WARRANT AUTHORITY</v>
      </c>
    </row>
    <row r="86" spans="1:29" s="2" customFormat="1" x14ac:dyDescent="0.25">
      <c r="A86" s="43" t="s">
        <v>337</v>
      </c>
      <c r="B86" s="43">
        <v>4020</v>
      </c>
      <c r="C86" s="43" t="s">
        <v>60</v>
      </c>
      <c r="D86" s="43" t="s">
        <v>338</v>
      </c>
      <c r="E86" s="25">
        <v>42545.526597222219</v>
      </c>
      <c r="F86" s="25">
        <v>42545.527604166666</v>
      </c>
      <c r="G86" s="31">
        <v>1</v>
      </c>
      <c r="H86" s="25" t="s">
        <v>172</v>
      </c>
      <c r="I86" s="25">
        <v>42545.559305555558</v>
      </c>
      <c r="J86" s="43">
        <v>0</v>
      </c>
      <c r="K86" s="43" t="str">
        <f t="shared" si="27"/>
        <v>4019/4020</v>
      </c>
      <c r="L86" s="43" t="str">
        <f>VLOOKUP(A86,'Trips&amp;Operators'!$C$1:$E$10000,3,FALSE)</f>
        <v>WEBSTER</v>
      </c>
      <c r="M86" s="11">
        <f t="shared" si="28"/>
        <v>3.1701388892543036E-2</v>
      </c>
      <c r="N86" s="12">
        <f t="shared" si="37"/>
        <v>45.650000005261973</v>
      </c>
      <c r="O86" s="12"/>
      <c r="P86" s="12"/>
      <c r="Q86" s="44"/>
      <c r="R86" s="44"/>
      <c r="S86" s="70">
        <f t="shared" si="26"/>
        <v>1</v>
      </c>
      <c r="T86" s="2" t="str">
        <f t="shared" si="29"/>
        <v>NorthBound</v>
      </c>
      <c r="U86" s="2">
        <f>COUNTIFS(Variables!$M$2:$M$19, "&gt;=" &amp; Y86, Variables!$M$2:$M$19, "&lt;=" &amp; Z86)</f>
        <v>12</v>
      </c>
      <c r="V86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12:37:18-0600',mode:absolute,to:'2016-06-24 13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6" s="48" t="str">
        <f t="shared" si="31"/>
        <v>N</v>
      </c>
      <c r="X86" s="48">
        <f t="shared" si="32"/>
        <v>1</v>
      </c>
      <c r="Y86" s="48">
        <f t="shared" si="38"/>
        <v>5.4899999999999997E-2</v>
      </c>
      <c r="Z86" s="48">
        <f t="shared" si="39"/>
        <v>23.3324</v>
      </c>
      <c r="AA86" s="48">
        <f t="shared" si="33"/>
        <v>23.2775</v>
      </c>
      <c r="AB86" s="49" t="e">
        <f>VLOOKUP(A86,Enforcements!$C$7:$J$73,8,0)</f>
        <v>#N/A</v>
      </c>
      <c r="AC86" s="49" t="e">
        <f>VLOOKUP(A86,Enforcements!$C$7:$E$73,3,0)</f>
        <v>#N/A</v>
      </c>
    </row>
    <row r="87" spans="1:29" s="2" customFormat="1" x14ac:dyDescent="0.25">
      <c r="A87" s="43" t="s">
        <v>339</v>
      </c>
      <c r="B87" s="43">
        <v>4019</v>
      </c>
      <c r="C87" s="43" t="s">
        <v>60</v>
      </c>
      <c r="D87" s="43" t="s">
        <v>340</v>
      </c>
      <c r="E87" s="25">
        <v>42545.565833333334</v>
      </c>
      <c r="F87" s="25">
        <v>42545.567141203705</v>
      </c>
      <c r="G87" s="31">
        <v>1</v>
      </c>
      <c r="H87" s="25" t="s">
        <v>62</v>
      </c>
      <c r="I87" s="25">
        <v>42545.599317129629</v>
      </c>
      <c r="J87" s="43">
        <v>1</v>
      </c>
      <c r="K87" s="43" t="str">
        <f t="shared" si="27"/>
        <v>4019/4020</v>
      </c>
      <c r="L87" s="43" t="str">
        <f>VLOOKUP(A87,'Trips&amp;Operators'!$C$1:$E$10000,3,FALSE)</f>
        <v>WEBSTER</v>
      </c>
      <c r="M87" s="11">
        <f t="shared" si="28"/>
        <v>3.2175925924093463E-2</v>
      </c>
      <c r="N87" s="12">
        <f t="shared" si="37"/>
        <v>46.333333330694586</v>
      </c>
      <c r="O87" s="12"/>
      <c r="P87" s="12"/>
      <c r="Q87" s="44"/>
      <c r="R87" s="44"/>
      <c r="S87" s="70">
        <f t="shared" si="26"/>
        <v>1</v>
      </c>
      <c r="T87" s="2" t="str">
        <f t="shared" si="29"/>
        <v>Southbound</v>
      </c>
      <c r="U87" s="2">
        <f>COUNTIFS(Variables!$M$2:$M$19, "&lt;=" &amp; Y87, Variables!$M$2:$M$19, "&gt;=" &amp; Z87)</f>
        <v>12</v>
      </c>
      <c r="V87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13:33:48-0600',mode:absolute,to:'2016-06-24 14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7" s="48" t="str">
        <f t="shared" si="31"/>
        <v>N</v>
      </c>
      <c r="X87" s="48">
        <f t="shared" si="32"/>
        <v>1</v>
      </c>
      <c r="Y87" s="48">
        <f t="shared" si="38"/>
        <v>23.3</v>
      </c>
      <c r="Z87" s="48">
        <f t="shared" si="39"/>
        <v>1.52E-2</v>
      </c>
      <c r="AA87" s="48">
        <f t="shared" si="33"/>
        <v>23.284800000000001</v>
      </c>
      <c r="AB87" s="49">
        <f>VLOOKUP(A87,Enforcements!$C$7:$J$73,8,0)</f>
        <v>1</v>
      </c>
      <c r="AC87" s="49" t="str">
        <f>VLOOKUP(A87,Enforcements!$C$7:$E$73,3,0)</f>
        <v>TRACK WARRANT AUTHORITY</v>
      </c>
    </row>
    <row r="88" spans="1:29" s="2" customFormat="1" x14ac:dyDescent="0.25">
      <c r="A88" s="43" t="s">
        <v>341</v>
      </c>
      <c r="B88" s="43">
        <v>4040</v>
      </c>
      <c r="C88" s="43" t="s">
        <v>60</v>
      </c>
      <c r="D88" s="43" t="s">
        <v>300</v>
      </c>
      <c r="E88" s="25">
        <v>42545.540162037039</v>
      </c>
      <c r="F88" s="25">
        <v>42545.540995370371</v>
      </c>
      <c r="G88" s="31">
        <v>1</v>
      </c>
      <c r="H88" s="25" t="s">
        <v>342</v>
      </c>
      <c r="I88" s="25">
        <v>42545.574456018519</v>
      </c>
      <c r="J88" s="43">
        <v>0</v>
      </c>
      <c r="K88" s="43" t="str">
        <f t="shared" si="27"/>
        <v>4039/4040</v>
      </c>
      <c r="L88" s="43" t="str">
        <f>VLOOKUP(A88,'Trips&amp;Operators'!$C$1:$E$10000,3,FALSE)</f>
        <v>SPECTOR</v>
      </c>
      <c r="M88" s="11">
        <f t="shared" si="28"/>
        <v>3.3460648148320615E-2</v>
      </c>
      <c r="N88" s="12">
        <f t="shared" si="37"/>
        <v>48.183333333581686</v>
      </c>
      <c r="O88" s="12"/>
      <c r="P88" s="12"/>
      <c r="Q88" s="44"/>
      <c r="R88" s="44"/>
      <c r="S88" s="70">
        <f t="shared" si="26"/>
        <v>1</v>
      </c>
      <c r="T88" s="2" t="str">
        <f t="shared" si="29"/>
        <v>NorthBound</v>
      </c>
      <c r="U88" s="2">
        <f>COUNTIFS(Variables!$M$2:$M$19, "&gt;=" &amp; Y88, Variables!$M$2:$M$19, "&lt;=" &amp; Z88)</f>
        <v>12</v>
      </c>
      <c r="V88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12:56:50-0600',mode:absolute,to:'2016-06-24 13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48" t="str">
        <f t="shared" si="31"/>
        <v>N</v>
      </c>
      <c r="X88" s="48">
        <f t="shared" si="32"/>
        <v>1</v>
      </c>
      <c r="Y88" s="48">
        <f t="shared" si="38"/>
        <v>4.5100000000000001E-2</v>
      </c>
      <c r="Z88" s="48">
        <f t="shared" si="39"/>
        <v>23.331199999999999</v>
      </c>
      <c r="AA88" s="48">
        <f t="shared" si="33"/>
        <v>23.286099999999998</v>
      </c>
      <c r="AB88" s="49" t="e">
        <f>VLOOKUP(A88,Enforcements!$C$7:$J$73,8,0)</f>
        <v>#N/A</v>
      </c>
      <c r="AC88" s="49" t="e">
        <f>VLOOKUP(A88,Enforcements!$C$7:$E$73,3,0)</f>
        <v>#N/A</v>
      </c>
    </row>
    <row r="89" spans="1:29" s="2" customFormat="1" x14ac:dyDescent="0.25">
      <c r="A89" s="43" t="s">
        <v>343</v>
      </c>
      <c r="B89" s="43">
        <v>4039</v>
      </c>
      <c r="C89" s="43" t="s">
        <v>60</v>
      </c>
      <c r="D89" s="43" t="s">
        <v>197</v>
      </c>
      <c r="E89" s="25">
        <v>42545.576238425929</v>
      </c>
      <c r="F89" s="25">
        <v>42545.577037037037</v>
      </c>
      <c r="G89" s="31">
        <v>1</v>
      </c>
      <c r="H89" s="25" t="s">
        <v>171</v>
      </c>
      <c r="I89" s="25">
        <v>42545.610659722224</v>
      </c>
      <c r="J89" s="43">
        <v>0</v>
      </c>
      <c r="K89" s="43" t="str">
        <f t="shared" si="27"/>
        <v>4039/4040</v>
      </c>
      <c r="L89" s="43" t="str">
        <f>VLOOKUP(A89,'Trips&amp;Operators'!$C$1:$E$10000,3,FALSE)</f>
        <v>SPECTOR</v>
      </c>
      <c r="M89" s="11">
        <f t="shared" si="28"/>
        <v>3.3622685186855961E-2</v>
      </c>
      <c r="N89" s="12">
        <f t="shared" si="37"/>
        <v>48.416666669072583</v>
      </c>
      <c r="O89" s="12"/>
      <c r="P89" s="12"/>
      <c r="Q89" s="44"/>
      <c r="R89" s="44"/>
      <c r="S89" s="70">
        <f t="shared" si="26"/>
        <v>1</v>
      </c>
      <c r="T89" s="2" t="str">
        <f t="shared" si="29"/>
        <v>Southbound</v>
      </c>
      <c r="U89" s="2">
        <f>COUNTIFS(Variables!$M$2:$M$19, "&lt;=" &amp; Y89, Variables!$M$2:$M$19, "&gt;=" &amp; Z89)</f>
        <v>12</v>
      </c>
      <c r="V89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13:48:47-0600',mode:absolute,to:'2016-06-24 14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9" s="48" t="str">
        <f t="shared" si="31"/>
        <v>N</v>
      </c>
      <c r="X89" s="48">
        <f t="shared" si="32"/>
        <v>1</v>
      </c>
      <c r="Y89" s="48">
        <f t="shared" si="38"/>
        <v>23.299600000000002</v>
      </c>
      <c r="Z89" s="48">
        <f t="shared" si="39"/>
        <v>1.43E-2</v>
      </c>
      <c r="AA89" s="48">
        <f t="shared" si="33"/>
        <v>23.285300000000003</v>
      </c>
      <c r="AB89" s="49" t="e">
        <f>VLOOKUP(A89,Enforcements!$C$7:$J$73,8,0)</f>
        <v>#N/A</v>
      </c>
      <c r="AC89" s="49" t="e">
        <f>VLOOKUP(A89,Enforcements!$C$7:$E$73,3,0)</f>
        <v>#N/A</v>
      </c>
    </row>
    <row r="90" spans="1:29" s="2" customFormat="1" x14ac:dyDescent="0.25">
      <c r="A90" s="43" t="s">
        <v>344</v>
      </c>
      <c r="B90" s="43">
        <v>4007</v>
      </c>
      <c r="C90" s="43" t="s">
        <v>60</v>
      </c>
      <c r="D90" s="43" t="s">
        <v>205</v>
      </c>
      <c r="E90" s="25">
        <v>42545.550092592595</v>
      </c>
      <c r="F90" s="25">
        <v>42545.55164351852</v>
      </c>
      <c r="G90" s="31">
        <v>2</v>
      </c>
      <c r="H90" s="25" t="s">
        <v>345</v>
      </c>
      <c r="I90" s="25">
        <v>42545.583495370367</v>
      </c>
      <c r="J90" s="43">
        <v>1</v>
      </c>
      <c r="K90" s="43" t="str">
        <f t="shared" si="27"/>
        <v>4007/4008</v>
      </c>
      <c r="L90" s="43" t="str">
        <f>VLOOKUP(A90,'Trips&amp;Operators'!$C$1:$E$10000,3,FALSE)</f>
        <v>DAVIS</v>
      </c>
      <c r="M90" s="11">
        <f t="shared" si="28"/>
        <v>3.1851851847022772E-2</v>
      </c>
      <c r="N90" s="12">
        <f t="shared" si="37"/>
        <v>45.866666659712791</v>
      </c>
      <c r="O90" s="12"/>
      <c r="P90" s="12"/>
      <c r="Q90" s="44"/>
      <c r="R90" s="44"/>
      <c r="S90" s="70">
        <f t="shared" si="26"/>
        <v>1</v>
      </c>
      <c r="T90" s="2" t="str">
        <f t="shared" si="29"/>
        <v>NorthBound</v>
      </c>
      <c r="U90" s="2">
        <f>COUNTIFS(Variables!$M$2:$M$19, "&gt;=" &amp; Y90, Variables!$M$2:$M$19, "&lt;=" &amp; Z90)</f>
        <v>12</v>
      </c>
      <c r="V90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13:11:08-0600',mode:absolute,to:'2016-06-24 14:01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0" s="48" t="str">
        <f t="shared" si="31"/>
        <v>N</v>
      </c>
      <c r="X90" s="48">
        <f t="shared" si="32"/>
        <v>1</v>
      </c>
      <c r="Y90" s="48">
        <f t="shared" si="38"/>
        <v>4.3799999999999999E-2</v>
      </c>
      <c r="Z90" s="48">
        <f t="shared" si="39"/>
        <v>23.334700000000002</v>
      </c>
      <c r="AA90" s="48">
        <f t="shared" si="33"/>
        <v>23.290900000000001</v>
      </c>
      <c r="AB90" s="49">
        <f>VLOOKUP(A90,Enforcements!$C$7:$J$73,8,0)</f>
        <v>20338</v>
      </c>
      <c r="AC90" s="49" t="str">
        <f>VLOOKUP(A90,Enforcements!$C$7:$E$73,3,0)</f>
        <v>PERMANENT SPEED RESTRICTION</v>
      </c>
    </row>
    <row r="91" spans="1:29" s="2" customFormat="1" x14ac:dyDescent="0.25">
      <c r="A91" s="43" t="s">
        <v>501</v>
      </c>
      <c r="B91" s="43">
        <v>4008</v>
      </c>
      <c r="C91" s="43"/>
      <c r="D91" s="43"/>
      <c r="E91" s="25"/>
      <c r="F91" s="25">
        <v>42545.590069444443</v>
      </c>
      <c r="G91" s="25"/>
      <c r="H91" s="25"/>
      <c r="I91" s="25">
        <v>42545.592349537037</v>
      </c>
      <c r="J91" s="43"/>
      <c r="K91" s="43" t="str">
        <f t="shared" si="27"/>
        <v>4007/4008</v>
      </c>
      <c r="L91" s="43" t="str">
        <f>VLOOKUP(A91,'Trips&amp;Operators'!$C$1:$E$10000,3,FALSE)</f>
        <v>DAVIS</v>
      </c>
      <c r="M91" s="11">
        <f t="shared" si="28"/>
        <v>2.2800925944466144E-3</v>
      </c>
      <c r="N91" s="12"/>
      <c r="O91" s="12"/>
      <c r="P91" s="12">
        <f>24*60*SUM($M91:$M91)</f>
        <v>3.2833333360031247</v>
      </c>
      <c r="Q91" s="44"/>
      <c r="R91" s="44" t="s">
        <v>505</v>
      </c>
      <c r="S91" s="70">
        <f t="shared" si="26"/>
        <v>0</v>
      </c>
      <c r="T91" s="2" t="str">
        <f t="shared" ref="T91:T94" si="40">IF(ISEVEN(LEFT(A91,3)),"Southbound","NorthBound")</f>
        <v>Southbound</v>
      </c>
      <c r="U91" s="2">
        <f>COUNTIFS(Variables!$M$2:$M$19, "&gt;=" &amp; Y91, Variables!$M$2:$M$19, "&lt;=" &amp; Z91)</f>
        <v>0</v>
      </c>
      <c r="V91" s="48" t="e">
        <f t="shared" ref="V91:V94" si="41"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#VALUE!</v>
      </c>
      <c r="W91" s="48" t="e">
        <f t="shared" ref="W91:W94" si="42">IF(AA91&lt;23,"Y","N")</f>
        <v>#VALUE!</v>
      </c>
      <c r="X91" s="48">
        <f t="shared" ref="X91:X94" si="43">VALUE(LEFT(A91,3))-VALUE(LEFT(A90,3))</f>
        <v>1</v>
      </c>
      <c r="Y91" s="48" t="e">
        <f t="shared" ref="Y91:Y94" si="44">RIGHT(D91,LEN(D91)-4)/10000</f>
        <v>#VALUE!</v>
      </c>
      <c r="Z91" s="48" t="e">
        <f t="shared" ref="Z91:Z94" si="45">RIGHT(H91,LEN(H91)-4)/10000</f>
        <v>#VALUE!</v>
      </c>
      <c r="AA91" s="48" t="e">
        <f t="shared" ref="AA91:AA94" si="46">ABS(Z91-Y91)</f>
        <v>#VALUE!</v>
      </c>
      <c r="AB91" s="49" t="e">
        <f>VLOOKUP(A91,Enforcements!$C$7:$J$73,8,0)</f>
        <v>#N/A</v>
      </c>
      <c r="AC91" s="49" t="e">
        <f>VLOOKUP(A91,Enforcements!$C$7:$E$73,3,0)</f>
        <v>#N/A</v>
      </c>
    </row>
    <row r="92" spans="1:29" s="2" customFormat="1" x14ac:dyDescent="0.25">
      <c r="A92" s="43" t="s">
        <v>346</v>
      </c>
      <c r="B92" s="43">
        <v>4042</v>
      </c>
      <c r="C92" s="43" t="s">
        <v>60</v>
      </c>
      <c r="D92" s="43" t="s">
        <v>89</v>
      </c>
      <c r="E92" s="25">
        <v>42545.558900462966</v>
      </c>
      <c r="F92" s="25">
        <v>42545.55982638889</v>
      </c>
      <c r="G92" s="31">
        <v>1</v>
      </c>
      <c r="H92" s="25" t="s">
        <v>347</v>
      </c>
      <c r="I92" s="25">
        <v>42545.58997685185</v>
      </c>
      <c r="J92" s="43">
        <v>1</v>
      </c>
      <c r="K92" s="43" t="str">
        <f t="shared" si="27"/>
        <v>4041/4042</v>
      </c>
      <c r="L92" s="43" t="str">
        <f>VLOOKUP(A92,'Trips&amp;Operators'!$C$1:$E$10000,3,FALSE)</f>
        <v>LOCKLEAR</v>
      </c>
      <c r="M92" s="11">
        <f t="shared" si="28"/>
        <v>3.015046296059154E-2</v>
      </c>
      <c r="N92" s="12">
        <f t="shared" ref="N92:N100" si="47">24*60*SUM($M92:$M92)</f>
        <v>43.416666663251817</v>
      </c>
      <c r="O92" s="12"/>
      <c r="P92" s="12"/>
      <c r="Q92" s="44"/>
      <c r="R92" s="44"/>
      <c r="S92" s="70">
        <f t="shared" si="26"/>
        <v>1</v>
      </c>
      <c r="T92" s="2" t="str">
        <f t="shared" si="40"/>
        <v>NorthBound</v>
      </c>
      <c r="U92" s="2">
        <f>COUNTIFS(Variables!$M$2:$M$19, "&gt;=" &amp; Y92, Variables!$M$2:$M$19, "&lt;=" &amp; Z92)</f>
        <v>12</v>
      </c>
      <c r="V92" s="48" t="str">
        <f t="shared" si="41"/>
        <v>https://search-rtdc-monitor-bjffxe2xuh6vdkpspy63sjmuny.us-east-1.es.amazonaws.com/_plugin/kibana/#/discover/Steve-Slow-Train-Analysis-(2080s-and-2083s)?_g=(refreshInterval:(display:Off,section:0,value:0),time:(from:'2016-06-24 13:23:49-0600',mode:absolute,to:'2016-06-24 14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2" s="48" t="str">
        <f t="shared" si="42"/>
        <v>N</v>
      </c>
      <c r="X92" s="48">
        <f t="shared" si="43"/>
        <v>1</v>
      </c>
      <c r="Y92" s="48">
        <f t="shared" si="44"/>
        <v>4.6399999999999997E-2</v>
      </c>
      <c r="Z92" s="48">
        <f t="shared" si="45"/>
        <v>23.333600000000001</v>
      </c>
      <c r="AA92" s="48">
        <f t="shared" si="46"/>
        <v>23.287200000000002</v>
      </c>
      <c r="AB92" s="49">
        <f>VLOOKUP(A92,Enforcements!$C$7:$J$73,8,0)</f>
        <v>127562</v>
      </c>
      <c r="AC92" s="49" t="str">
        <f>VLOOKUP(A92,Enforcements!$C$7:$E$73,3,0)</f>
        <v>GRADE CROSSING</v>
      </c>
    </row>
    <row r="93" spans="1:29" s="2" customFormat="1" x14ac:dyDescent="0.25">
      <c r="A93" s="43" t="s">
        <v>348</v>
      </c>
      <c r="B93" s="43">
        <v>4041</v>
      </c>
      <c r="C93" s="43" t="s">
        <v>60</v>
      </c>
      <c r="D93" s="43" t="s">
        <v>349</v>
      </c>
      <c r="E93" s="25">
        <v>42545.598854166667</v>
      </c>
      <c r="F93" s="25">
        <v>42545.60083333333</v>
      </c>
      <c r="G93" s="31">
        <v>2</v>
      </c>
      <c r="H93" s="25" t="s">
        <v>153</v>
      </c>
      <c r="I93" s="25">
        <v>42545.630208333336</v>
      </c>
      <c r="J93" s="43">
        <v>0</v>
      </c>
      <c r="K93" s="43" t="str">
        <f t="shared" si="27"/>
        <v>4041/4042</v>
      </c>
      <c r="L93" s="43" t="str">
        <f>VLOOKUP(A93,'Trips&amp;Operators'!$C$1:$E$10000,3,FALSE)</f>
        <v>LOCKLEAR</v>
      </c>
      <c r="M93" s="11">
        <f t="shared" si="28"/>
        <v>2.9375000005529728E-2</v>
      </c>
      <c r="N93" s="12">
        <f t="shared" si="47"/>
        <v>42.300000007962808</v>
      </c>
      <c r="O93" s="12"/>
      <c r="P93" s="12"/>
      <c r="Q93" s="44"/>
      <c r="R93" s="44"/>
      <c r="S93" s="70">
        <f t="shared" si="26"/>
        <v>1</v>
      </c>
      <c r="T93" s="2" t="str">
        <f t="shared" si="40"/>
        <v>Southbound</v>
      </c>
      <c r="U93" s="2">
        <f>COUNTIFS(Variables!$M$2:$M$19, "&lt;=" &amp; Y93, Variables!$M$2:$M$19, "&gt;=" &amp; Z93)</f>
        <v>12</v>
      </c>
      <c r="V93" s="48" t="str">
        <f t="shared" si="41"/>
        <v>https://search-rtdc-monitor-bjffxe2xuh6vdkpspy63sjmuny.us-east-1.es.amazonaws.com/_plugin/kibana/#/discover/Steve-Slow-Train-Analysis-(2080s-and-2083s)?_g=(refreshInterval:(display:Off,section:0,value:0),time:(from:'2016-06-24 14:21:21-0600',mode:absolute,to:'2016-06-24 15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3" s="48" t="str">
        <f t="shared" si="42"/>
        <v>N</v>
      </c>
      <c r="X93" s="48">
        <f t="shared" si="43"/>
        <v>1</v>
      </c>
      <c r="Y93" s="48">
        <f t="shared" si="44"/>
        <v>23.302299999999999</v>
      </c>
      <c r="Z93" s="48">
        <f t="shared" si="45"/>
        <v>1.34E-2</v>
      </c>
      <c r="AA93" s="48">
        <f t="shared" si="46"/>
        <v>23.288899999999998</v>
      </c>
      <c r="AB93" s="49" t="e">
        <f>VLOOKUP(A93,Enforcements!$C$7:$J$73,8,0)</f>
        <v>#N/A</v>
      </c>
      <c r="AC93" s="49" t="e">
        <f>VLOOKUP(A93,Enforcements!$C$7:$E$73,3,0)</f>
        <v>#N/A</v>
      </c>
    </row>
    <row r="94" spans="1:29" s="2" customFormat="1" x14ac:dyDescent="0.25">
      <c r="A94" s="43" t="s">
        <v>350</v>
      </c>
      <c r="B94" s="43">
        <v>4038</v>
      </c>
      <c r="C94" s="43" t="s">
        <v>60</v>
      </c>
      <c r="D94" s="43" t="s">
        <v>300</v>
      </c>
      <c r="E94" s="25">
        <v>42545.572083333333</v>
      </c>
      <c r="F94" s="25">
        <v>42545.573078703703</v>
      </c>
      <c r="G94" s="31">
        <v>1</v>
      </c>
      <c r="H94" s="25" t="s">
        <v>122</v>
      </c>
      <c r="I94" s="25">
        <v>42545.599374999998</v>
      </c>
      <c r="J94" s="43">
        <v>0</v>
      </c>
      <c r="K94" s="43" t="str">
        <f t="shared" si="27"/>
        <v>4037/4038</v>
      </c>
      <c r="L94" s="43" t="str">
        <f>VLOOKUP(A94,'Trips&amp;Operators'!$C$1:$E$10000,3,FALSE)</f>
        <v>KILLION</v>
      </c>
      <c r="M94" s="11">
        <f t="shared" si="28"/>
        <v>2.6296296295186039E-2</v>
      </c>
      <c r="N94" s="12">
        <f t="shared" si="47"/>
        <v>37.866666665067896</v>
      </c>
      <c r="O94" s="12"/>
      <c r="P94" s="12"/>
      <c r="Q94" s="44"/>
      <c r="R94" s="44"/>
      <c r="S94" s="70">
        <f t="shared" si="26"/>
        <v>1</v>
      </c>
      <c r="T94" s="2" t="str">
        <f t="shared" si="40"/>
        <v>NorthBound</v>
      </c>
      <c r="U94" s="2">
        <f>COUNTIFS(Variables!$M$2:$M$19, "&gt;=" &amp; Y94, Variables!$M$2:$M$19, "&lt;=" &amp; Z94)</f>
        <v>12</v>
      </c>
      <c r="V94" s="48" t="str">
        <f t="shared" si="41"/>
        <v>https://search-rtdc-monitor-bjffxe2xuh6vdkpspy63sjmuny.us-east-1.es.amazonaws.com/_plugin/kibana/#/discover/Steve-Slow-Train-Analysis-(2080s-and-2083s)?_g=(refreshInterval:(display:Off,section:0,value:0),time:(from:'2016-06-24 13:42:48-0600',mode:absolute,to:'2016-06-24 14:24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4" s="48" t="str">
        <f t="shared" si="42"/>
        <v>N</v>
      </c>
      <c r="X94" s="48">
        <f t="shared" si="43"/>
        <v>1</v>
      </c>
      <c r="Y94" s="48">
        <f t="shared" si="44"/>
        <v>4.5100000000000001E-2</v>
      </c>
      <c r="Z94" s="48">
        <f t="shared" si="45"/>
        <v>23.3307</v>
      </c>
      <c r="AA94" s="48">
        <f t="shared" si="46"/>
        <v>23.285599999999999</v>
      </c>
      <c r="AB94" s="49" t="e">
        <f>VLOOKUP(A94,Enforcements!$C$7:$J$73,8,0)</f>
        <v>#N/A</v>
      </c>
      <c r="AC94" s="49" t="e">
        <f>VLOOKUP(A94,Enforcements!$C$7:$E$73,3,0)</f>
        <v>#N/A</v>
      </c>
    </row>
    <row r="95" spans="1:29" s="2" customFormat="1" x14ac:dyDescent="0.25">
      <c r="A95" s="43" t="s">
        <v>351</v>
      </c>
      <c r="B95" s="43">
        <v>4037</v>
      </c>
      <c r="C95" s="43" t="s">
        <v>60</v>
      </c>
      <c r="D95" s="43" t="s">
        <v>352</v>
      </c>
      <c r="E95" s="25">
        <v>42545.608368055553</v>
      </c>
      <c r="F95" s="25">
        <v>42545.609479166669</v>
      </c>
      <c r="G95" s="31">
        <v>1</v>
      </c>
      <c r="H95" s="25" t="s">
        <v>153</v>
      </c>
      <c r="I95" s="25">
        <v>42545.638495370367</v>
      </c>
      <c r="J95" s="43">
        <v>0</v>
      </c>
      <c r="K95" s="43" t="str">
        <f t="shared" si="27"/>
        <v>4037/4038</v>
      </c>
      <c r="L95" s="43" t="str">
        <f>VLOOKUP(A95,'Trips&amp;Operators'!$C$1:$E$10000,3,FALSE)</f>
        <v>KILLION</v>
      </c>
      <c r="M95" s="11">
        <f t="shared" si="28"/>
        <v>2.901620369812008E-2</v>
      </c>
      <c r="N95" s="12">
        <f t="shared" si="47"/>
        <v>41.783333325292915</v>
      </c>
      <c r="O95" s="12"/>
      <c r="P95" s="12"/>
      <c r="Q95" s="44"/>
      <c r="R95" s="44"/>
      <c r="S95" s="70">
        <f t="shared" si="26"/>
        <v>1</v>
      </c>
      <c r="T95" s="2" t="str">
        <f t="shared" si="29"/>
        <v>Southbound</v>
      </c>
      <c r="U95" s="2">
        <f>COUNTIFS(Variables!$M$2:$M$19, "&lt;=" &amp; Y95, Variables!$M$2:$M$19, "&gt;=" &amp; Z95)</f>
        <v>12</v>
      </c>
      <c r="V95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14:35:03-0600',mode:absolute,to:'2016-06-24 15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5" s="48" t="str">
        <f t="shared" si="31"/>
        <v>N</v>
      </c>
      <c r="X95" s="48">
        <f t="shared" si="32"/>
        <v>1</v>
      </c>
      <c r="Y95" s="48">
        <f t="shared" si="38"/>
        <v>23.300899999999999</v>
      </c>
      <c r="Z95" s="48">
        <f t="shared" si="39"/>
        <v>1.34E-2</v>
      </c>
      <c r="AA95" s="48">
        <f t="shared" si="33"/>
        <v>23.287499999999998</v>
      </c>
      <c r="AB95" s="49" t="e">
        <f>VLOOKUP(A95,Enforcements!$C$7:$J$73,8,0)</f>
        <v>#N/A</v>
      </c>
      <c r="AC95" s="49" t="e">
        <f>VLOOKUP(A95,Enforcements!$C$7:$E$73,3,0)</f>
        <v>#N/A</v>
      </c>
    </row>
    <row r="96" spans="1:29" s="2" customFormat="1" x14ac:dyDescent="0.25">
      <c r="A96" s="43" t="s">
        <v>353</v>
      </c>
      <c r="B96" s="43">
        <v>4031</v>
      </c>
      <c r="C96" s="43" t="s">
        <v>60</v>
      </c>
      <c r="D96" s="43" t="s">
        <v>354</v>
      </c>
      <c r="E96" s="25">
        <v>42545.587291666663</v>
      </c>
      <c r="F96" s="25">
        <v>42545.588472222225</v>
      </c>
      <c r="G96" s="31">
        <v>1</v>
      </c>
      <c r="H96" s="25" t="s">
        <v>167</v>
      </c>
      <c r="I96" s="25">
        <v>42545.617048611108</v>
      </c>
      <c r="J96" s="43">
        <v>0</v>
      </c>
      <c r="K96" s="43" t="str">
        <f t="shared" si="27"/>
        <v>4031/4032</v>
      </c>
      <c r="L96" s="43" t="str">
        <f>VLOOKUP(A96,'Trips&amp;Operators'!$C$1:$E$10000,3,FALSE)</f>
        <v>STEWART</v>
      </c>
      <c r="M96" s="11">
        <f t="shared" si="28"/>
        <v>2.8576388882356696E-2</v>
      </c>
      <c r="N96" s="12">
        <f t="shared" si="47"/>
        <v>41.149999990593642</v>
      </c>
      <c r="O96" s="12"/>
      <c r="P96" s="12"/>
      <c r="Q96" s="44"/>
      <c r="R96" s="44"/>
      <c r="S96" s="70">
        <f t="shared" si="26"/>
        <v>1</v>
      </c>
      <c r="T96" s="2" t="str">
        <f t="shared" si="29"/>
        <v>NorthBound</v>
      </c>
      <c r="U96" s="2">
        <f>COUNTIFS(Variables!$M$2:$M$19, "&gt;=" &amp; Y96, Variables!$M$2:$M$19, "&lt;=" &amp; Z96)</f>
        <v>12</v>
      </c>
      <c r="V96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14:04:42-0600',mode:absolute,to:'2016-06-24 14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6" s="48" t="str">
        <f t="shared" si="31"/>
        <v>N</v>
      </c>
      <c r="X96" s="48">
        <f t="shared" si="32"/>
        <v>1</v>
      </c>
      <c r="Y96" s="48">
        <f t="shared" si="38"/>
        <v>4.9099999999999998E-2</v>
      </c>
      <c r="Z96" s="48">
        <f t="shared" si="39"/>
        <v>23.329799999999999</v>
      </c>
      <c r="AA96" s="48">
        <f t="shared" si="33"/>
        <v>23.2807</v>
      </c>
      <c r="AB96" s="49" t="e">
        <f>VLOOKUP(A96,Enforcements!$C$7:$J$73,8,0)</f>
        <v>#N/A</v>
      </c>
      <c r="AC96" s="49" t="e">
        <f>VLOOKUP(A96,Enforcements!$C$7:$E$73,3,0)</f>
        <v>#N/A</v>
      </c>
    </row>
    <row r="97" spans="1:29" s="2" customFormat="1" x14ac:dyDescent="0.25">
      <c r="A97" s="43" t="s">
        <v>355</v>
      </c>
      <c r="B97" s="43">
        <v>4032</v>
      </c>
      <c r="C97" s="43" t="s">
        <v>60</v>
      </c>
      <c r="D97" s="43" t="s">
        <v>206</v>
      </c>
      <c r="E97" s="25">
        <v>42545.618981481479</v>
      </c>
      <c r="F97" s="25">
        <v>42545.620497685188</v>
      </c>
      <c r="G97" s="31">
        <v>2</v>
      </c>
      <c r="H97" s="25" t="s">
        <v>112</v>
      </c>
      <c r="I97" s="25">
        <v>42545.651909722219</v>
      </c>
      <c r="J97" s="43">
        <v>1</v>
      </c>
      <c r="K97" s="43" t="str">
        <f t="shared" si="27"/>
        <v>4031/4032</v>
      </c>
      <c r="L97" s="43" t="str">
        <f>VLOOKUP(A97,'Trips&amp;Operators'!$C$1:$E$10000,3,FALSE)</f>
        <v>STEWART</v>
      </c>
      <c r="M97" s="11">
        <f t="shared" si="28"/>
        <v>3.1412037031259388E-2</v>
      </c>
      <c r="N97" s="12">
        <f t="shared" si="47"/>
        <v>45.233333325013518</v>
      </c>
      <c r="O97" s="12"/>
      <c r="P97" s="12"/>
      <c r="Q97" s="44"/>
      <c r="R97" s="44"/>
      <c r="S97" s="70">
        <f t="shared" si="26"/>
        <v>1</v>
      </c>
      <c r="T97" s="2" t="str">
        <f t="shared" si="29"/>
        <v>Southbound</v>
      </c>
      <c r="U97" s="2">
        <f>COUNTIFS(Variables!$M$2:$M$19, "&lt;=" &amp; Y97, Variables!$M$2:$M$19, "&gt;=" &amp; Z97)</f>
        <v>12</v>
      </c>
      <c r="V97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14:50:20-0600',mode:absolute,to:'2016-06-24 15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7" s="48" t="str">
        <f t="shared" si="31"/>
        <v>N</v>
      </c>
      <c r="X97" s="48">
        <f t="shared" si="32"/>
        <v>1</v>
      </c>
      <c r="Y97" s="48">
        <f t="shared" si="38"/>
        <v>23.2972</v>
      </c>
      <c r="Z97" s="48">
        <f t="shared" si="39"/>
        <v>1.6299999999999999E-2</v>
      </c>
      <c r="AA97" s="48">
        <f t="shared" si="33"/>
        <v>23.280899999999999</v>
      </c>
      <c r="AB97" s="49">
        <f>VLOOKUP(A97,Enforcements!$C$7:$J$73,8,0)</f>
        <v>1</v>
      </c>
      <c r="AC97" s="49" t="str">
        <f>VLOOKUP(A97,Enforcements!$C$7:$E$73,3,0)</f>
        <v>TRACK WARRANT AUTHORITY</v>
      </c>
    </row>
    <row r="98" spans="1:29" s="2" customFormat="1" x14ac:dyDescent="0.25">
      <c r="A98" s="43" t="s">
        <v>356</v>
      </c>
      <c r="B98" s="43">
        <v>4029</v>
      </c>
      <c r="C98" s="43" t="s">
        <v>60</v>
      </c>
      <c r="D98" s="43" t="s">
        <v>80</v>
      </c>
      <c r="E98" s="25">
        <v>42545.593402777777</v>
      </c>
      <c r="F98" s="25">
        <v>42545.594085648147</v>
      </c>
      <c r="G98" s="31">
        <v>0</v>
      </c>
      <c r="H98" s="25" t="s">
        <v>104</v>
      </c>
      <c r="I98" s="25">
        <v>42545.625081018516</v>
      </c>
      <c r="J98" s="43">
        <v>0</v>
      </c>
      <c r="K98" s="43" t="str">
        <f t="shared" si="27"/>
        <v>4029/4030</v>
      </c>
      <c r="L98" s="43" t="str">
        <f>VLOOKUP(A98,'Trips&amp;Operators'!$C$1:$E$10000,3,FALSE)</f>
        <v>ROCHA</v>
      </c>
      <c r="M98" s="11">
        <f t="shared" si="28"/>
        <v>3.0995370369055308E-2</v>
      </c>
      <c r="N98" s="12">
        <f t="shared" si="47"/>
        <v>44.633333331439644</v>
      </c>
      <c r="O98" s="12"/>
      <c r="P98" s="12"/>
      <c r="Q98" s="44"/>
      <c r="R98" s="44"/>
      <c r="S98" s="70">
        <f t="shared" si="26"/>
        <v>1</v>
      </c>
      <c r="T98" s="2" t="str">
        <f t="shared" si="29"/>
        <v>NorthBound</v>
      </c>
      <c r="U98" s="2">
        <f>COUNTIFS(Variables!$M$2:$M$19, "&gt;=" &amp; Y98, Variables!$M$2:$M$19, "&lt;=" &amp; Z98)</f>
        <v>12</v>
      </c>
      <c r="V98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14:13:30-0600',mode:absolute,to:'2016-06-24 15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8" s="48" t="str">
        <f t="shared" si="31"/>
        <v>N</v>
      </c>
      <c r="X98" s="48">
        <f t="shared" si="32"/>
        <v>1</v>
      </c>
      <c r="Y98" s="48">
        <f t="shared" si="38"/>
        <v>4.53E-2</v>
      </c>
      <c r="Z98" s="48">
        <f t="shared" si="39"/>
        <v>23.329499999999999</v>
      </c>
      <c r="AA98" s="48">
        <f t="shared" si="33"/>
        <v>23.284199999999998</v>
      </c>
      <c r="AB98" s="49" t="e">
        <f>VLOOKUP(A98,Enforcements!$C$7:$J$73,8,0)</f>
        <v>#N/A</v>
      </c>
      <c r="AC98" s="49" t="e">
        <f>VLOOKUP(A98,Enforcements!$C$7:$E$73,3,0)</f>
        <v>#N/A</v>
      </c>
    </row>
    <row r="99" spans="1:29" s="2" customFormat="1" x14ac:dyDescent="0.25">
      <c r="A99" s="43" t="s">
        <v>357</v>
      </c>
      <c r="B99" s="43">
        <v>4030</v>
      </c>
      <c r="C99" s="43" t="s">
        <v>60</v>
      </c>
      <c r="D99" s="43" t="s">
        <v>212</v>
      </c>
      <c r="E99" s="25">
        <v>42545.630277777775</v>
      </c>
      <c r="F99" s="25">
        <v>42545.631944444445</v>
      </c>
      <c r="G99" s="31">
        <v>2</v>
      </c>
      <c r="H99" s="25" t="s">
        <v>68</v>
      </c>
      <c r="I99" s="25">
        <v>42545.657592592594</v>
      </c>
      <c r="J99" s="43">
        <v>0</v>
      </c>
      <c r="K99" s="43" t="str">
        <f t="shared" si="27"/>
        <v>4029/4030</v>
      </c>
      <c r="L99" s="43" t="str">
        <f>VLOOKUP(A99,'Trips&amp;Operators'!$C$1:$E$10000,3,FALSE)</f>
        <v>ROCHA</v>
      </c>
      <c r="M99" s="11">
        <f t="shared" si="28"/>
        <v>2.5648148148320615E-2</v>
      </c>
      <c r="N99" s="12">
        <f t="shared" si="47"/>
        <v>36.933333333581686</v>
      </c>
      <c r="O99" s="12"/>
      <c r="P99" s="12"/>
      <c r="Q99" s="44"/>
      <c r="R99" s="44"/>
      <c r="S99" s="70">
        <f t="shared" si="26"/>
        <v>1</v>
      </c>
      <c r="T99" s="2" t="str">
        <f t="shared" si="29"/>
        <v>Southbound</v>
      </c>
      <c r="U99" s="2">
        <f>COUNTIFS(Variables!$M$2:$M$19, "&lt;=" &amp; Y99, Variables!$M$2:$M$19, "&gt;=" &amp; Z99)</f>
        <v>12</v>
      </c>
      <c r="V99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15:06:36-0600',mode:absolute,to:'2016-06-24 15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9" s="48" t="str">
        <f t="shared" si="31"/>
        <v>N</v>
      </c>
      <c r="X99" s="48">
        <f t="shared" si="32"/>
        <v>1</v>
      </c>
      <c r="Y99" s="48">
        <f t="shared" si="38"/>
        <v>23.2971</v>
      </c>
      <c r="Z99" s="48">
        <f t="shared" si="39"/>
        <v>1.6E-2</v>
      </c>
      <c r="AA99" s="48">
        <f t="shared" si="33"/>
        <v>23.281100000000002</v>
      </c>
      <c r="AB99" s="49" t="e">
        <f>VLOOKUP(A99,Enforcements!$C$7:$J$73,8,0)</f>
        <v>#N/A</v>
      </c>
      <c r="AC99" s="49" t="e">
        <f>VLOOKUP(A99,Enforcements!$C$7:$E$73,3,0)</f>
        <v>#N/A</v>
      </c>
    </row>
    <row r="100" spans="1:29" s="2" customFormat="1" x14ac:dyDescent="0.25">
      <c r="A100" s="66" t="s">
        <v>358</v>
      </c>
      <c r="B100" s="43">
        <v>4020</v>
      </c>
      <c r="C100" s="43" t="s">
        <v>60</v>
      </c>
      <c r="D100" s="43" t="s">
        <v>282</v>
      </c>
      <c r="E100" s="25">
        <v>42545.602430555555</v>
      </c>
      <c r="F100" s="25">
        <v>42545.603449074071</v>
      </c>
      <c r="G100" s="31">
        <v>1</v>
      </c>
      <c r="H100" s="25" t="s">
        <v>121</v>
      </c>
      <c r="I100" s="25">
        <v>42545.63113425926</v>
      </c>
      <c r="J100" s="43">
        <v>0</v>
      </c>
      <c r="K100" s="43" t="str">
        <f t="shared" si="27"/>
        <v>4019/4020</v>
      </c>
      <c r="L100" s="43" t="str">
        <f>VLOOKUP(A100,'Trips&amp;Operators'!$C$1:$E$10000,3,FALSE)</f>
        <v>WEBSTER</v>
      </c>
      <c r="M100" s="11">
        <f t="shared" si="28"/>
        <v>2.768518518860219E-2</v>
      </c>
      <c r="N100" s="12">
        <f t="shared" si="47"/>
        <v>39.866666671587154</v>
      </c>
      <c r="O100" s="12"/>
      <c r="P100" s="12"/>
      <c r="Q100" s="44"/>
      <c r="R100" s="44"/>
      <c r="S100" s="70">
        <f t="shared" si="26"/>
        <v>1</v>
      </c>
      <c r="T100" s="2" t="str">
        <f t="shared" si="29"/>
        <v>NorthBound</v>
      </c>
      <c r="U100" s="2">
        <f>COUNTIFS(Variables!$M$2:$M$19, "&gt;=" &amp; Y100, Variables!$M$2:$M$19, "&lt;=" &amp; Z100)</f>
        <v>12</v>
      </c>
      <c r="V100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14:26:30-0600',mode:absolute,to:'2016-06-24 15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0" s="48" t="str">
        <f t="shared" si="31"/>
        <v>N</v>
      </c>
      <c r="X100" s="48">
        <f t="shared" si="32"/>
        <v>1</v>
      </c>
      <c r="Y100" s="48">
        <v>4.4600000000000001E-2</v>
      </c>
      <c r="Z100" s="48">
        <v>23.301500000000001</v>
      </c>
      <c r="AA100" s="48">
        <f t="shared" si="33"/>
        <v>23.256900000000002</v>
      </c>
      <c r="AB100" s="49" t="e">
        <f>VLOOKUP(A100,Enforcements!$C$7:$J$73,8,0)</f>
        <v>#N/A</v>
      </c>
      <c r="AC100" s="49" t="e">
        <f>VLOOKUP(A100,Enforcements!$C$7:$E$73,3,0)</f>
        <v>#N/A</v>
      </c>
    </row>
    <row r="101" spans="1:29" s="2" customFormat="1" x14ac:dyDescent="0.25">
      <c r="A101" s="43" t="s">
        <v>360</v>
      </c>
      <c r="B101" s="43">
        <v>4040</v>
      </c>
      <c r="C101" s="43" t="s">
        <v>60</v>
      </c>
      <c r="D101" s="43" t="s">
        <v>330</v>
      </c>
      <c r="E101" s="25">
        <v>42545.613495370373</v>
      </c>
      <c r="F101" s="25">
        <v>42545.614374999997</v>
      </c>
      <c r="G101" s="31">
        <v>1</v>
      </c>
      <c r="H101" s="25" t="s">
        <v>122</v>
      </c>
      <c r="I101" s="25">
        <v>42545.646516203706</v>
      </c>
      <c r="J101" s="43">
        <v>0</v>
      </c>
      <c r="K101" s="43" t="str">
        <f t="shared" si="27"/>
        <v>4039/4040</v>
      </c>
      <c r="L101" s="43" t="str">
        <f>VLOOKUP(A101,'Trips&amp;Operators'!$C$1:$E$10000,3,FALSE)</f>
        <v>SPECTOR</v>
      </c>
      <c r="M101" s="11">
        <f t="shared" si="28"/>
        <v>3.2141203708306421E-2</v>
      </c>
      <c r="N101" s="12">
        <f t="shared" ref="N101:N110" si="48">24*60*SUM($M101:$M101)</f>
        <v>46.283333339961246</v>
      </c>
      <c r="O101" s="12"/>
      <c r="P101" s="12"/>
      <c r="Q101" s="44"/>
      <c r="R101" s="44"/>
      <c r="S101" s="70">
        <f t="shared" si="26"/>
        <v>1</v>
      </c>
      <c r="T101" s="2" t="str">
        <f t="shared" si="29"/>
        <v>NorthBound</v>
      </c>
      <c r="U101" s="2">
        <f>COUNTIFS(Variables!$M$2:$M$19, "&gt;=" &amp; Y101, Variables!$M$2:$M$19, "&lt;=" &amp; Z101)</f>
        <v>12</v>
      </c>
      <c r="V101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14:42:26-0600',mode:absolute,to:'2016-06-24 15:31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1" s="48" t="str">
        <f t="shared" si="31"/>
        <v>N</v>
      </c>
      <c r="X101" s="48">
        <f t="shared" si="32"/>
        <v>2</v>
      </c>
      <c r="Y101" s="48">
        <f t="shared" ref="Y101:Y141" si="49">RIGHT(D101,LEN(D101)-4)/10000</f>
        <v>4.4400000000000002E-2</v>
      </c>
      <c r="Z101" s="48">
        <f t="shared" ref="Z101:Z141" si="50">RIGHT(H101,LEN(H101)-4)/10000</f>
        <v>23.3307</v>
      </c>
      <c r="AA101" s="48">
        <f t="shared" si="33"/>
        <v>23.286300000000001</v>
      </c>
      <c r="AB101" s="49" t="e">
        <f>VLOOKUP(A101,Enforcements!$C$7:$J$73,8,0)</f>
        <v>#N/A</v>
      </c>
      <c r="AC101" s="49" t="e">
        <f>VLOOKUP(A101,Enforcements!$C$7:$E$73,3,0)</f>
        <v>#N/A</v>
      </c>
    </row>
    <row r="102" spans="1:29" s="2" customFormat="1" x14ac:dyDescent="0.25">
      <c r="A102" s="43" t="s">
        <v>361</v>
      </c>
      <c r="B102" s="43">
        <v>4039</v>
      </c>
      <c r="C102" s="43" t="s">
        <v>60</v>
      </c>
      <c r="D102" s="43" t="s">
        <v>124</v>
      </c>
      <c r="E102" s="25">
        <v>42545.652731481481</v>
      </c>
      <c r="F102" s="25">
        <v>42545.653622685182</v>
      </c>
      <c r="G102" s="31">
        <v>1</v>
      </c>
      <c r="H102" s="25" t="s">
        <v>153</v>
      </c>
      <c r="I102" s="25">
        <v>42545.686064814814</v>
      </c>
      <c r="J102" s="43">
        <v>0</v>
      </c>
      <c r="K102" s="43" t="str">
        <f t="shared" si="27"/>
        <v>4039/4040</v>
      </c>
      <c r="L102" s="43" t="str">
        <f>VLOOKUP(A102,'Trips&amp;Operators'!$C$1:$E$10000,3,FALSE)</f>
        <v>SPECTOR</v>
      </c>
      <c r="M102" s="11">
        <f t="shared" si="28"/>
        <v>3.2442129631817807E-2</v>
      </c>
      <c r="N102" s="12">
        <f t="shared" si="48"/>
        <v>46.716666669817641</v>
      </c>
      <c r="O102" s="12"/>
      <c r="P102" s="12"/>
      <c r="Q102" s="44"/>
      <c r="R102" s="44"/>
      <c r="S102" s="70">
        <f t="shared" si="26"/>
        <v>1</v>
      </c>
      <c r="T102" s="2" t="str">
        <f t="shared" si="29"/>
        <v>Southbound</v>
      </c>
      <c r="U102" s="2">
        <f>COUNTIFS(Variables!$M$2:$M$19, "&lt;=" &amp; Y102, Variables!$M$2:$M$19, "&gt;=" &amp; Z102)</f>
        <v>12</v>
      </c>
      <c r="V102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15:38:56-0600',mode:absolute,to:'2016-06-24 16:28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2" s="48" t="str">
        <f t="shared" si="31"/>
        <v>N</v>
      </c>
      <c r="X102" s="48">
        <f t="shared" si="32"/>
        <v>1</v>
      </c>
      <c r="Y102" s="48">
        <f t="shared" si="49"/>
        <v>23.2986</v>
      </c>
      <c r="Z102" s="48">
        <f t="shared" si="50"/>
        <v>1.34E-2</v>
      </c>
      <c r="AA102" s="48">
        <f t="shared" si="33"/>
        <v>23.2852</v>
      </c>
      <c r="AB102" s="49" t="e">
        <f>VLOOKUP(A102,Enforcements!$C$7:$J$73,8,0)</f>
        <v>#N/A</v>
      </c>
      <c r="AC102" s="49" t="e">
        <f>VLOOKUP(A102,Enforcements!$C$7:$E$73,3,0)</f>
        <v>#N/A</v>
      </c>
    </row>
    <row r="103" spans="1:29" s="2" customFormat="1" x14ac:dyDescent="0.25">
      <c r="A103" s="43" t="s">
        <v>362</v>
      </c>
      <c r="B103" s="43">
        <v>4011</v>
      </c>
      <c r="C103" s="43" t="s">
        <v>60</v>
      </c>
      <c r="D103" s="43" t="s">
        <v>72</v>
      </c>
      <c r="E103" s="25">
        <v>42545.630219907405</v>
      </c>
      <c r="F103" s="25">
        <v>42545.631747685184</v>
      </c>
      <c r="G103" s="31">
        <v>2</v>
      </c>
      <c r="H103" s="25" t="s">
        <v>87</v>
      </c>
      <c r="I103" s="25">
        <v>42545.659675925926</v>
      </c>
      <c r="J103" s="43">
        <v>1</v>
      </c>
      <c r="K103" s="43" t="str">
        <f t="shared" si="27"/>
        <v>4011/4012</v>
      </c>
      <c r="L103" s="43" t="str">
        <f>VLOOKUP(A103,'Trips&amp;Operators'!$C$1:$E$10000,3,FALSE)</f>
        <v>DAVIS</v>
      </c>
      <c r="M103" s="11">
        <f t="shared" si="28"/>
        <v>2.792824074276723E-2</v>
      </c>
      <c r="N103" s="12">
        <f t="shared" si="48"/>
        <v>40.216666669584811</v>
      </c>
      <c r="O103" s="12"/>
      <c r="P103" s="12"/>
      <c r="Q103" s="44"/>
      <c r="R103" s="44"/>
      <c r="S103" s="70">
        <f t="shared" si="26"/>
        <v>1</v>
      </c>
      <c r="T103" s="2" t="str">
        <f t="shared" si="29"/>
        <v>NorthBound</v>
      </c>
      <c r="U103" s="2">
        <f>COUNTIFS(Variables!$M$2:$M$19, "&gt;=" &amp; Y103, Variables!$M$2:$M$19, "&lt;=" &amp; Z103)</f>
        <v>12</v>
      </c>
      <c r="V103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15:06:31-0600',mode:absolute,to:'2016-06-24 15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3" s="48" t="str">
        <f t="shared" si="31"/>
        <v>N</v>
      </c>
      <c r="X103" s="48">
        <f t="shared" si="32"/>
        <v>1</v>
      </c>
      <c r="Y103" s="48">
        <f t="shared" si="49"/>
        <v>4.6199999999999998E-2</v>
      </c>
      <c r="Z103" s="48">
        <f t="shared" si="50"/>
        <v>23.331499999999998</v>
      </c>
      <c r="AA103" s="48">
        <f t="shared" si="33"/>
        <v>23.285299999999999</v>
      </c>
      <c r="AB103" s="49">
        <f>VLOOKUP(A103,Enforcements!$C$7:$J$73,8,0)</f>
        <v>168003</v>
      </c>
      <c r="AC103" s="49" t="str">
        <f>VLOOKUP(A103,Enforcements!$C$7:$E$73,3,0)</f>
        <v>SIGNAL</v>
      </c>
    </row>
    <row r="104" spans="1:29" s="2" customFormat="1" x14ac:dyDescent="0.25">
      <c r="A104" s="43" t="s">
        <v>363</v>
      </c>
      <c r="B104" s="43">
        <v>4012</v>
      </c>
      <c r="C104" s="43" t="s">
        <v>60</v>
      </c>
      <c r="D104" s="43" t="s">
        <v>125</v>
      </c>
      <c r="E104" s="25">
        <v>42545.662233796298</v>
      </c>
      <c r="F104" s="25">
        <v>42545.663715277777</v>
      </c>
      <c r="G104" s="31">
        <v>2</v>
      </c>
      <c r="H104" s="25" t="s">
        <v>364</v>
      </c>
      <c r="I104" s="25">
        <v>42545.693969907406</v>
      </c>
      <c r="J104" s="43">
        <v>1</v>
      </c>
      <c r="K104" s="43" t="str">
        <f t="shared" si="27"/>
        <v>4011/4012</v>
      </c>
      <c r="L104" s="43" t="str">
        <f>VLOOKUP(A104,'Trips&amp;Operators'!$C$1:$E$10000,3,FALSE)</f>
        <v>DAVIS</v>
      </c>
      <c r="M104" s="11">
        <f t="shared" si="28"/>
        <v>3.0254629629780538E-2</v>
      </c>
      <c r="N104" s="12">
        <f t="shared" si="48"/>
        <v>43.566666666883975</v>
      </c>
      <c r="O104" s="12"/>
      <c r="P104" s="12"/>
      <c r="Q104" s="44"/>
      <c r="R104" s="44"/>
      <c r="S104" s="70">
        <f t="shared" ref="S104:S135" si="51">SUM(U104:U104)/12</f>
        <v>1</v>
      </c>
      <c r="T104" s="2" t="str">
        <f t="shared" si="29"/>
        <v>Southbound</v>
      </c>
      <c r="U104" s="2">
        <f>COUNTIFS(Variables!$M$2:$M$19, "&lt;=" &amp; Y104, Variables!$M$2:$M$19, "&gt;=" &amp; Z104)</f>
        <v>12</v>
      </c>
      <c r="V104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15:52:37-0600',mode:absolute,to:'2016-06-24 16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4" s="48" t="str">
        <f t="shared" si="31"/>
        <v>N</v>
      </c>
      <c r="X104" s="48">
        <f t="shared" si="32"/>
        <v>1</v>
      </c>
      <c r="Y104" s="48">
        <f t="shared" si="49"/>
        <v>23.298300000000001</v>
      </c>
      <c r="Z104" s="48">
        <f t="shared" si="50"/>
        <v>1.21E-2</v>
      </c>
      <c r="AA104" s="48">
        <f t="shared" si="33"/>
        <v>23.286200000000001</v>
      </c>
      <c r="AB104" s="49">
        <f>VLOOKUP(A104,Enforcements!$C$7:$J$73,8,0)</f>
        <v>191723</v>
      </c>
      <c r="AC104" s="49" t="str">
        <f>VLOOKUP(A104,Enforcements!$C$7:$E$73,3,0)</f>
        <v>SIGNAL</v>
      </c>
    </row>
    <row r="105" spans="1:29" s="2" customFormat="1" x14ac:dyDescent="0.25">
      <c r="A105" s="43" t="s">
        <v>365</v>
      </c>
      <c r="B105" s="43">
        <v>4042</v>
      </c>
      <c r="C105" s="43" t="s">
        <v>60</v>
      </c>
      <c r="D105" s="43" t="s">
        <v>117</v>
      </c>
      <c r="E105" s="25">
        <v>42545.634456018517</v>
      </c>
      <c r="F105" s="25">
        <v>42545.635613425926</v>
      </c>
      <c r="G105" s="31">
        <v>1</v>
      </c>
      <c r="H105" s="25" t="s">
        <v>366</v>
      </c>
      <c r="I105" s="25">
        <v>42545.665856481479</v>
      </c>
      <c r="J105" s="43">
        <v>0</v>
      </c>
      <c r="K105" s="43" t="str">
        <f t="shared" si="27"/>
        <v>4041/4042</v>
      </c>
      <c r="L105" s="43" t="str">
        <f>VLOOKUP(A105,'Trips&amp;Operators'!$C$1:$E$10000,3,FALSE)</f>
        <v>LOCKLEAR</v>
      </c>
      <c r="M105" s="11">
        <f t="shared" si="28"/>
        <v>3.0243055553000886E-2</v>
      </c>
      <c r="N105" s="12">
        <f t="shared" si="48"/>
        <v>43.549999996321276</v>
      </c>
      <c r="O105" s="12"/>
      <c r="P105" s="12"/>
      <c r="Q105" s="44"/>
      <c r="R105" s="44"/>
      <c r="S105" s="70">
        <f t="shared" si="51"/>
        <v>1</v>
      </c>
      <c r="T105" s="2" t="str">
        <f t="shared" si="29"/>
        <v>NorthBound</v>
      </c>
      <c r="U105" s="2">
        <f>COUNTIFS(Variables!$M$2:$M$19, "&gt;=" &amp; Y105, Variables!$M$2:$M$19, "&lt;=" &amp; Z105)</f>
        <v>12</v>
      </c>
      <c r="V105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15:12:37-0600',mode:absolute,to:'2016-06-24 15:59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5" s="48" t="str">
        <f t="shared" si="31"/>
        <v>N</v>
      </c>
      <c r="X105" s="48">
        <f t="shared" si="32"/>
        <v>1</v>
      </c>
      <c r="Y105" s="48">
        <f t="shared" si="49"/>
        <v>4.5499999999999999E-2</v>
      </c>
      <c r="Z105" s="48">
        <f t="shared" si="50"/>
        <v>23.3322</v>
      </c>
      <c r="AA105" s="48">
        <f t="shared" si="33"/>
        <v>23.2867</v>
      </c>
      <c r="AB105" s="49" t="e">
        <f>VLOOKUP(A105,Enforcements!$C$7:$J$73,8,0)</f>
        <v>#N/A</v>
      </c>
      <c r="AC105" s="49" t="e">
        <f>VLOOKUP(A105,Enforcements!$C$7:$E$73,3,0)</f>
        <v>#N/A</v>
      </c>
    </row>
    <row r="106" spans="1:29" s="2" customFormat="1" x14ac:dyDescent="0.25">
      <c r="A106" s="43" t="s">
        <v>367</v>
      </c>
      <c r="B106" s="43">
        <v>4041</v>
      </c>
      <c r="C106" s="43" t="s">
        <v>60</v>
      </c>
      <c r="D106" s="43" t="s">
        <v>168</v>
      </c>
      <c r="E106" s="25">
        <v>42545.672615740739</v>
      </c>
      <c r="F106" s="25">
        <v>42545.673576388886</v>
      </c>
      <c r="G106" s="31">
        <v>1</v>
      </c>
      <c r="H106" s="25" t="s">
        <v>111</v>
      </c>
      <c r="I106" s="25">
        <v>42545.700775462959</v>
      </c>
      <c r="J106" s="43">
        <v>2</v>
      </c>
      <c r="K106" s="43" t="str">
        <f t="shared" si="27"/>
        <v>4041/4042</v>
      </c>
      <c r="L106" s="43" t="str">
        <f>VLOOKUP(A106,'Trips&amp;Operators'!$C$1:$E$10000,3,FALSE)</f>
        <v>LOCKLEAR</v>
      </c>
      <c r="M106" s="11">
        <f t="shared" si="28"/>
        <v>2.7199074072996154E-2</v>
      </c>
      <c r="N106" s="12">
        <f t="shared" si="48"/>
        <v>39.166666665114462</v>
      </c>
      <c r="O106" s="12"/>
      <c r="P106" s="12"/>
      <c r="Q106" s="44"/>
      <c r="R106" s="44"/>
      <c r="S106" s="70">
        <f t="shared" si="51"/>
        <v>1</v>
      </c>
      <c r="T106" s="2" t="str">
        <f t="shared" si="29"/>
        <v>Southbound</v>
      </c>
      <c r="U106" s="2">
        <f>COUNTIFS(Variables!$M$2:$M$19, "&lt;=" &amp; Y106, Variables!$M$2:$M$19, "&gt;=" &amp; Z106)</f>
        <v>12</v>
      </c>
      <c r="V106" s="48" t="str">
        <f t="shared" si="30"/>
        <v>https://search-rtdc-monitor-bjffxe2xuh6vdkpspy63sjmuny.us-east-1.es.amazonaws.com/_plugin/kibana/#/discover/Steve-Slow-Train-Analysis-(2080s-and-2083s)?_g=(refreshInterval:(display:Off,section:0,value:0),time:(from:'2016-06-24 16:07:34-0600',mode:absolute,to:'2016-06-24 16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6" s="48" t="str">
        <f t="shared" si="31"/>
        <v>N</v>
      </c>
      <c r="X106" s="48">
        <f t="shared" si="32"/>
        <v>1</v>
      </c>
      <c r="Y106" s="48">
        <f t="shared" si="49"/>
        <v>23.3003</v>
      </c>
      <c r="Z106" s="48">
        <f t="shared" si="50"/>
        <v>1.7000000000000001E-2</v>
      </c>
      <c r="AA106" s="48">
        <f t="shared" si="33"/>
        <v>23.283300000000001</v>
      </c>
      <c r="AB106" s="49">
        <f>VLOOKUP(A106,Enforcements!$C$7:$J$73,8,0)</f>
        <v>127587</v>
      </c>
      <c r="AC106" s="49" t="str">
        <f>VLOOKUP(A106,Enforcements!$C$7:$E$73,3,0)</f>
        <v>SIGNAL</v>
      </c>
    </row>
    <row r="107" spans="1:29" s="2" customFormat="1" x14ac:dyDescent="0.25">
      <c r="A107" s="43" t="s">
        <v>368</v>
      </c>
      <c r="B107" s="43">
        <v>4038</v>
      </c>
      <c r="C107" s="43" t="s">
        <v>60</v>
      </c>
      <c r="D107" s="43" t="s">
        <v>282</v>
      </c>
      <c r="E107" s="25">
        <v>42545.640324074076</v>
      </c>
      <c r="F107" s="25">
        <v>42545.641331018516</v>
      </c>
      <c r="G107" s="31">
        <v>1</v>
      </c>
      <c r="H107" s="25" t="s">
        <v>268</v>
      </c>
      <c r="I107" s="25">
        <v>42545.67328703704</v>
      </c>
      <c r="J107" s="43">
        <v>0</v>
      </c>
      <c r="K107" s="43" t="str">
        <f t="shared" ref="K107:K138" si="52">IF(ISEVEN(B107),(B107-1)&amp;"/"&amp;B107,B107&amp;"/"&amp;(B107+1))</f>
        <v>4037/4038</v>
      </c>
      <c r="L107" s="43" t="str">
        <f>VLOOKUP(A107,'Trips&amp;Operators'!$C$1:$E$10000,3,FALSE)</f>
        <v>KILLION</v>
      </c>
      <c r="M107" s="11">
        <f t="shared" ref="M107:M138" si="53">I107-F107</f>
        <v>3.1956018523487728E-2</v>
      </c>
      <c r="N107" s="12">
        <f t="shared" si="48"/>
        <v>46.016666673822328</v>
      </c>
      <c r="O107" s="12"/>
      <c r="P107" s="12"/>
      <c r="Q107" s="44"/>
      <c r="R107" s="44"/>
      <c r="S107" s="70">
        <f t="shared" si="51"/>
        <v>1</v>
      </c>
      <c r="T107" s="2" t="str">
        <f t="shared" ref="T107:T138" si="54">IF(ISEVEN(LEFT(A107,3)),"Southbound","NorthBound")</f>
        <v>NorthBound</v>
      </c>
      <c r="U107" s="2">
        <f>COUNTIFS(Variables!$M$2:$M$19, "&gt;=" &amp; Y107, Variables!$M$2:$M$19, "&lt;=" &amp; Z107)</f>
        <v>12</v>
      </c>
      <c r="V107" s="48" t="str">
        <f t="shared" ref="V107:V138" si="55"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https://search-rtdc-monitor-bjffxe2xuh6vdkpspy63sjmuny.us-east-1.es.amazonaws.com/_plugin/kibana/#/discover/Steve-Slow-Train-Analysis-(2080s-and-2083s)?_g=(refreshInterval:(display:Off,section:0,value:0),time:(from:'2016-06-24 15:21:04-0600',mode:absolute,to:'2016-06-24 16:10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7" s="48" t="str">
        <f t="shared" ref="W107:W138" si="56">IF(AA107&lt;23,"Y","N")</f>
        <v>N</v>
      </c>
      <c r="X107" s="48">
        <f t="shared" ref="X107:X138" si="57">VALUE(LEFT(A107,3))-VALUE(LEFT(A106,3))</f>
        <v>1</v>
      </c>
      <c r="Y107" s="48">
        <f t="shared" si="49"/>
        <v>4.4900000000000002E-2</v>
      </c>
      <c r="Z107" s="48">
        <f t="shared" si="50"/>
        <v>23.332699999999999</v>
      </c>
      <c r="AA107" s="48">
        <f t="shared" ref="AA107:AA138" si="58">ABS(Z107-Y107)</f>
        <v>23.287800000000001</v>
      </c>
      <c r="AB107" s="49" t="e">
        <f>VLOOKUP(A107,Enforcements!$C$7:$J$73,8,0)</f>
        <v>#N/A</v>
      </c>
      <c r="AC107" s="49" t="e">
        <f>VLOOKUP(A107,Enforcements!$C$7:$E$73,3,0)</f>
        <v>#N/A</v>
      </c>
    </row>
    <row r="108" spans="1:29" s="2" customFormat="1" x14ac:dyDescent="0.25">
      <c r="A108" s="43" t="s">
        <v>369</v>
      </c>
      <c r="B108" s="43">
        <v>4037</v>
      </c>
      <c r="C108" s="43" t="s">
        <v>60</v>
      </c>
      <c r="D108" s="43" t="s">
        <v>176</v>
      </c>
      <c r="E108" s="25">
        <v>42545.680046296293</v>
      </c>
      <c r="F108" s="25">
        <v>42545.680937500001</v>
      </c>
      <c r="G108" s="31">
        <v>1</v>
      </c>
      <c r="H108" s="25" t="s">
        <v>98</v>
      </c>
      <c r="I108" s="25">
        <v>42545.71329861111</v>
      </c>
      <c r="J108" s="43">
        <v>1</v>
      </c>
      <c r="K108" s="43" t="str">
        <f t="shared" si="52"/>
        <v>4037/4038</v>
      </c>
      <c r="L108" s="43" t="str">
        <f>VLOOKUP(A108,'Trips&amp;Operators'!$C$1:$E$10000,3,FALSE)</f>
        <v>KILLION</v>
      </c>
      <c r="M108" s="11">
        <f t="shared" si="53"/>
        <v>3.2361111108912155E-2</v>
      </c>
      <c r="N108" s="12">
        <f t="shared" si="48"/>
        <v>46.599999996833503</v>
      </c>
      <c r="O108" s="12"/>
      <c r="P108" s="12"/>
      <c r="Q108" s="44"/>
      <c r="R108" s="44"/>
      <c r="S108" s="70">
        <f t="shared" si="51"/>
        <v>1</v>
      </c>
      <c r="T108" s="2" t="str">
        <f t="shared" si="54"/>
        <v>Southbound</v>
      </c>
      <c r="U108" s="2">
        <f>COUNTIFS(Variables!$M$2:$M$19, "&lt;=" &amp; Y108, Variables!$M$2:$M$19, "&gt;=" &amp; Z108)</f>
        <v>12</v>
      </c>
      <c r="V108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16:18:16-0600',mode:absolute,to:'2016-06-24 17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8" s="48" t="str">
        <f t="shared" si="56"/>
        <v>N</v>
      </c>
      <c r="X108" s="48">
        <f t="shared" si="57"/>
        <v>1</v>
      </c>
      <c r="Y108" s="48">
        <f t="shared" si="49"/>
        <v>23.300599999999999</v>
      </c>
      <c r="Z108" s="48">
        <f t="shared" si="50"/>
        <v>1.61E-2</v>
      </c>
      <c r="AA108" s="48">
        <f t="shared" si="58"/>
        <v>23.284499999999998</v>
      </c>
      <c r="AB108" s="49">
        <f>VLOOKUP(A108,Enforcements!$C$7:$J$73,8,0)</f>
        <v>190834</v>
      </c>
      <c r="AC108" s="49" t="str">
        <f>VLOOKUP(A108,Enforcements!$C$7:$E$73,3,0)</f>
        <v>PERMANENT SPEED RESTRICTION</v>
      </c>
    </row>
    <row r="109" spans="1:29" s="2" customFormat="1" x14ac:dyDescent="0.25">
      <c r="A109" s="43" t="s">
        <v>370</v>
      </c>
      <c r="B109" s="43">
        <v>4031</v>
      </c>
      <c r="C109" s="43" t="s">
        <v>60</v>
      </c>
      <c r="D109" s="43" t="s">
        <v>371</v>
      </c>
      <c r="E109" s="25">
        <v>42545.65384259259</v>
      </c>
      <c r="F109" s="25">
        <v>42545.656400462962</v>
      </c>
      <c r="G109" s="31">
        <v>3</v>
      </c>
      <c r="H109" s="25" t="s">
        <v>372</v>
      </c>
      <c r="I109" s="25">
        <v>42545.687847222223</v>
      </c>
      <c r="J109" s="43">
        <v>0</v>
      </c>
      <c r="K109" s="43" t="str">
        <f t="shared" si="52"/>
        <v>4031/4032</v>
      </c>
      <c r="L109" s="43" t="str">
        <f>VLOOKUP(A109,'Trips&amp;Operators'!$C$1:$E$10000,3,FALSE)</f>
        <v>STEWART</v>
      </c>
      <c r="M109" s="11">
        <f t="shared" si="53"/>
        <v>3.1446759261598345E-2</v>
      </c>
      <c r="N109" s="12">
        <f t="shared" si="48"/>
        <v>45.283333336701617</v>
      </c>
      <c r="O109" s="12"/>
      <c r="P109" s="12"/>
      <c r="Q109" s="44"/>
      <c r="R109" s="44"/>
      <c r="S109" s="70">
        <f t="shared" si="51"/>
        <v>1</v>
      </c>
      <c r="T109" s="2" t="str">
        <f t="shared" si="54"/>
        <v>NorthBound</v>
      </c>
      <c r="U109" s="2">
        <f>COUNTIFS(Variables!$M$2:$M$19, "&gt;=" &amp; Y109, Variables!$M$2:$M$19, "&lt;=" &amp; Z109)</f>
        <v>12</v>
      </c>
      <c r="V109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15:40:32-0600',mode:absolute,to:'2016-06-24 16:31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9" s="48" t="str">
        <f t="shared" si="56"/>
        <v>N</v>
      </c>
      <c r="X109" s="48">
        <f t="shared" si="57"/>
        <v>1</v>
      </c>
      <c r="Y109" s="48">
        <f t="shared" si="49"/>
        <v>4.8800000000000003E-2</v>
      </c>
      <c r="Z109" s="48">
        <f t="shared" si="50"/>
        <v>23.325700000000001</v>
      </c>
      <c r="AA109" s="48">
        <f t="shared" si="58"/>
        <v>23.276900000000001</v>
      </c>
      <c r="AB109" s="49" t="e">
        <f>VLOOKUP(A109,Enforcements!$C$7:$J$73,8,0)</f>
        <v>#N/A</v>
      </c>
      <c r="AC109" s="49" t="e">
        <f>VLOOKUP(A109,Enforcements!$C$7:$E$73,3,0)</f>
        <v>#N/A</v>
      </c>
    </row>
    <row r="110" spans="1:29" s="2" customFormat="1" x14ac:dyDescent="0.25">
      <c r="A110" s="43" t="s">
        <v>373</v>
      </c>
      <c r="B110" s="43">
        <v>4032</v>
      </c>
      <c r="C110" s="43" t="s">
        <v>60</v>
      </c>
      <c r="D110" s="43" t="s">
        <v>374</v>
      </c>
      <c r="E110" s="25">
        <v>42545.692326388889</v>
      </c>
      <c r="F110" s="25">
        <v>42545.693622685183</v>
      </c>
      <c r="G110" s="31">
        <v>1</v>
      </c>
      <c r="H110" s="25" t="s">
        <v>67</v>
      </c>
      <c r="I110" s="25">
        <v>42545.725671296299</v>
      </c>
      <c r="J110" s="43">
        <v>0</v>
      </c>
      <c r="K110" s="43" t="str">
        <f t="shared" si="52"/>
        <v>4031/4032</v>
      </c>
      <c r="L110" s="43" t="str">
        <f>VLOOKUP(A110,'Trips&amp;Operators'!$C$1:$E$10000,3,FALSE)</f>
        <v>STEWART</v>
      </c>
      <c r="M110" s="11">
        <f t="shared" si="53"/>
        <v>3.2048611115897074E-2</v>
      </c>
      <c r="N110" s="12">
        <f t="shared" si="48"/>
        <v>46.150000006891787</v>
      </c>
      <c r="O110" s="12"/>
      <c r="P110" s="12"/>
      <c r="Q110" s="44"/>
      <c r="R110" s="44"/>
      <c r="S110" s="70">
        <f t="shared" si="51"/>
        <v>1</v>
      </c>
      <c r="T110" s="2" t="str">
        <f t="shared" si="54"/>
        <v>Southbound</v>
      </c>
      <c r="U110" s="2">
        <f>COUNTIFS(Variables!$M$2:$M$19, "&lt;=" &amp; Y110, Variables!$M$2:$M$19, "&gt;=" &amp; Z110)</f>
        <v>12</v>
      </c>
      <c r="V110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16:35:57-0600',mode:absolute,to:'2016-06-24 17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0" s="48" t="str">
        <f t="shared" si="56"/>
        <v>N</v>
      </c>
      <c r="X110" s="48">
        <f t="shared" si="57"/>
        <v>1</v>
      </c>
      <c r="Y110" s="48">
        <f t="shared" si="49"/>
        <v>23.292100000000001</v>
      </c>
      <c r="Z110" s="48">
        <f t="shared" si="50"/>
        <v>1.47E-2</v>
      </c>
      <c r="AA110" s="48">
        <f t="shared" si="58"/>
        <v>23.2774</v>
      </c>
      <c r="AB110" s="49" t="e">
        <f>VLOOKUP(A110,Enforcements!$C$7:$J$73,8,0)</f>
        <v>#N/A</v>
      </c>
      <c r="AC110" s="49" t="e">
        <f>VLOOKUP(A110,Enforcements!$C$7:$E$73,3,0)</f>
        <v>#N/A</v>
      </c>
    </row>
    <row r="111" spans="1:29" s="2" customFormat="1" x14ac:dyDescent="0.25">
      <c r="A111" s="43" t="s">
        <v>375</v>
      </c>
      <c r="B111" s="43">
        <v>4029</v>
      </c>
      <c r="C111" s="43" t="s">
        <v>60</v>
      </c>
      <c r="D111" s="43" t="s">
        <v>378</v>
      </c>
      <c r="E111" s="25">
        <v>42545.666805555556</v>
      </c>
      <c r="F111" s="25">
        <v>42545.668020833335</v>
      </c>
      <c r="G111" s="31">
        <v>1</v>
      </c>
      <c r="H111" s="25" t="s">
        <v>379</v>
      </c>
      <c r="I111" s="25">
        <v>42545.668310185189</v>
      </c>
      <c r="J111" s="43">
        <v>1</v>
      </c>
      <c r="K111" s="43" t="str">
        <f t="shared" si="52"/>
        <v>4029/4030</v>
      </c>
      <c r="L111" s="43" t="str">
        <f>VLOOKUP(A111,'Trips&amp;Operators'!$C$1:$E$10000,3,FALSE)</f>
        <v>ROCHA</v>
      </c>
      <c r="M111" s="11">
        <f t="shared" si="53"/>
        <v>2.8935185400769114E-4</v>
      </c>
      <c r="N111" s="12"/>
      <c r="O111" s="12"/>
      <c r="P111" s="12">
        <f>24*60*SUM($M111:$M112)</f>
        <v>31.499999997904524</v>
      </c>
      <c r="Q111" s="44"/>
      <c r="R111" s="44" t="s">
        <v>513</v>
      </c>
      <c r="S111" s="70">
        <f>SUM(U111:U112)/12</f>
        <v>1</v>
      </c>
      <c r="T111" s="2" t="str">
        <f t="shared" si="54"/>
        <v>NorthBound</v>
      </c>
      <c r="U111" s="2">
        <f>COUNTIFS(Variables!$M$2:$M$19, "&gt;=" &amp; Y111, Variables!$M$2:$M$19, "&lt;=" &amp; Z111)</f>
        <v>0</v>
      </c>
      <c r="V111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15:59:12-0600',mode:absolute,to:'2016-06-24 16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1" s="48" t="str">
        <f t="shared" si="56"/>
        <v>Y</v>
      </c>
      <c r="X111" s="48">
        <f t="shared" si="57"/>
        <v>1</v>
      </c>
      <c r="Y111" s="48">
        <f t="shared" si="49"/>
        <v>5.91E-2</v>
      </c>
      <c r="Z111" s="48">
        <f t="shared" si="50"/>
        <v>0.1109</v>
      </c>
      <c r="AA111" s="48">
        <f t="shared" si="58"/>
        <v>5.1799999999999999E-2</v>
      </c>
      <c r="AB111" s="49">
        <f>VLOOKUP(A111,Enforcements!$C$7:$J$73,8,0)</f>
        <v>1692</v>
      </c>
      <c r="AC111" s="49" t="str">
        <f>VLOOKUP(A111,Enforcements!$C$7:$E$73,3,0)</f>
        <v>SIGNAL</v>
      </c>
    </row>
    <row r="112" spans="1:29" s="2" customFormat="1" x14ac:dyDescent="0.25">
      <c r="A112" s="43" t="s">
        <v>375</v>
      </c>
      <c r="B112" s="43">
        <v>4029</v>
      </c>
      <c r="C112" s="43" t="s">
        <v>60</v>
      </c>
      <c r="D112" s="43" t="s">
        <v>376</v>
      </c>
      <c r="E112" s="25">
        <v>42545.671388888892</v>
      </c>
      <c r="F112" s="25">
        <v>42545.672129629631</v>
      </c>
      <c r="G112" s="31">
        <v>1</v>
      </c>
      <c r="H112" s="25" t="s">
        <v>377</v>
      </c>
      <c r="I112" s="25">
        <v>42545.693715277775</v>
      </c>
      <c r="J112" s="43">
        <v>1</v>
      </c>
      <c r="K112" s="43" t="str">
        <f t="shared" si="52"/>
        <v>4029/4030</v>
      </c>
      <c r="L112" s="43" t="str">
        <f>VLOOKUP(A112,'Trips&amp;Operators'!$C$1:$E$10000,3,FALSE)</f>
        <v>ROCHA</v>
      </c>
      <c r="M112" s="11">
        <f t="shared" si="53"/>
        <v>2.1585648144537117E-2</v>
      </c>
      <c r="N112" s="12"/>
      <c r="O112" s="12"/>
      <c r="P112" s="12"/>
      <c r="Q112" s="44"/>
      <c r="R112" s="44"/>
      <c r="S112" s="70">
        <v>0</v>
      </c>
      <c r="T112" s="2" t="str">
        <f t="shared" si="54"/>
        <v>NorthBound</v>
      </c>
      <c r="U112" s="2">
        <f>COUNTIFS(Variables!$M$2:$M$19, "&gt;=" &amp; Y112, Variables!$M$2:$M$19, "&lt;=" &amp; Z112)</f>
        <v>12</v>
      </c>
      <c r="V112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16:05:48-0600',mode:absolute,to:'2016-06-24 16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2" s="48" t="str">
        <f t="shared" si="56"/>
        <v>Y</v>
      </c>
      <c r="X112" s="48">
        <f t="shared" si="57"/>
        <v>0</v>
      </c>
      <c r="Y112" s="48">
        <f t="shared" si="49"/>
        <v>1.9120999999999999</v>
      </c>
      <c r="Z112" s="48">
        <f t="shared" si="50"/>
        <v>23.333100000000002</v>
      </c>
      <c r="AA112" s="48">
        <f t="shared" si="58"/>
        <v>21.421000000000003</v>
      </c>
      <c r="AB112" s="49">
        <f>VLOOKUP(A112,Enforcements!$C$7:$J$73,8,0)</f>
        <v>1692</v>
      </c>
      <c r="AC112" s="49" t="str">
        <f>VLOOKUP(A112,Enforcements!$C$7:$E$73,3,0)</f>
        <v>SIGNAL</v>
      </c>
    </row>
    <row r="113" spans="1:29" s="2" customFormat="1" x14ac:dyDescent="0.25">
      <c r="A113" s="43" t="s">
        <v>380</v>
      </c>
      <c r="B113" s="43">
        <v>4030</v>
      </c>
      <c r="C113" s="43" t="s">
        <v>60</v>
      </c>
      <c r="D113" s="43" t="s">
        <v>197</v>
      </c>
      <c r="E113" s="25">
        <v>42545.704270833332</v>
      </c>
      <c r="F113" s="25">
        <v>42545.706041666665</v>
      </c>
      <c r="G113" s="31">
        <v>2</v>
      </c>
      <c r="H113" s="25" t="s">
        <v>98</v>
      </c>
      <c r="I113" s="25">
        <v>42545.731516203705</v>
      </c>
      <c r="J113" s="43">
        <v>0</v>
      </c>
      <c r="K113" s="43" t="str">
        <f t="shared" si="52"/>
        <v>4029/4030</v>
      </c>
      <c r="L113" s="43" t="str">
        <f>VLOOKUP(A113,'Trips&amp;Operators'!$C$1:$E$10000,3,FALSE)</f>
        <v>ROCHA</v>
      </c>
      <c r="M113" s="11">
        <f t="shared" si="53"/>
        <v>2.5474537040281575E-2</v>
      </c>
      <c r="N113" s="12">
        <f t="shared" ref="N113:N120" si="59">24*60*SUM($M113:$M113)</f>
        <v>36.683333338005468</v>
      </c>
      <c r="O113" s="12"/>
      <c r="P113" s="12"/>
      <c r="Q113" s="44"/>
      <c r="R113" s="44"/>
      <c r="S113" s="70">
        <f t="shared" si="51"/>
        <v>1</v>
      </c>
      <c r="T113" s="2" t="str">
        <f t="shared" si="54"/>
        <v>Southbound</v>
      </c>
      <c r="U113" s="2">
        <f>COUNTIFS(Variables!$M$2:$M$19, "&lt;=" &amp; Y113, Variables!$M$2:$M$19, "&gt;=" &amp; Z113)</f>
        <v>12</v>
      </c>
      <c r="V113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16:53:09-0600',mode:absolute,to:'2016-06-24 17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3" s="48" t="str">
        <f t="shared" si="56"/>
        <v>N</v>
      </c>
      <c r="X113" s="48">
        <f t="shared" si="57"/>
        <v>1</v>
      </c>
      <c r="Y113" s="48">
        <f t="shared" si="49"/>
        <v>23.299600000000002</v>
      </c>
      <c r="Z113" s="48">
        <f t="shared" si="50"/>
        <v>1.61E-2</v>
      </c>
      <c r="AA113" s="48">
        <f t="shared" si="58"/>
        <v>23.2835</v>
      </c>
      <c r="AB113" s="49" t="e">
        <f>VLOOKUP(A113,Enforcements!$C$7:$J$73,8,0)</f>
        <v>#N/A</v>
      </c>
      <c r="AC113" s="49" t="e">
        <f>VLOOKUP(A113,Enforcements!$C$7:$E$73,3,0)</f>
        <v>#N/A</v>
      </c>
    </row>
    <row r="114" spans="1:29" s="2" customFormat="1" x14ac:dyDescent="0.25">
      <c r="A114" s="43" t="s">
        <v>381</v>
      </c>
      <c r="B114" s="43">
        <v>4007</v>
      </c>
      <c r="C114" s="43" t="s">
        <v>60</v>
      </c>
      <c r="D114" s="43" t="s">
        <v>74</v>
      </c>
      <c r="E114" s="25">
        <v>42545.6718287037</v>
      </c>
      <c r="F114" s="25">
        <v>42545.673125000001</v>
      </c>
      <c r="G114" s="31">
        <v>1</v>
      </c>
      <c r="H114" s="25" t="s">
        <v>265</v>
      </c>
      <c r="I114" s="25">
        <v>42545.70417824074</v>
      </c>
      <c r="J114" s="43">
        <v>0</v>
      </c>
      <c r="K114" s="43" t="str">
        <f t="shared" si="52"/>
        <v>4007/4008</v>
      </c>
      <c r="L114" s="43" t="str">
        <f>VLOOKUP(A114,'Trips&amp;Operators'!$C$1:$E$10000,3,FALSE)</f>
        <v>CHANDLER</v>
      </c>
      <c r="M114" s="11">
        <f t="shared" si="53"/>
        <v>3.1053240738401655E-2</v>
      </c>
      <c r="N114" s="12">
        <f t="shared" si="59"/>
        <v>44.716666663298383</v>
      </c>
      <c r="O114" s="12"/>
      <c r="P114" s="12"/>
      <c r="Q114" s="44"/>
      <c r="R114" s="44"/>
      <c r="S114" s="70">
        <f t="shared" si="51"/>
        <v>1</v>
      </c>
      <c r="T114" s="2" t="str">
        <f t="shared" si="54"/>
        <v>NorthBound</v>
      </c>
      <c r="U114" s="2">
        <f>COUNTIFS(Variables!$M$2:$M$19, "&gt;=" &amp; Y114, Variables!$M$2:$M$19, "&lt;=" &amp; Z114)</f>
        <v>12</v>
      </c>
      <c r="V114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16:06:26-0600',mode:absolute,to:'2016-06-24 16:55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4" s="48" t="str">
        <f t="shared" si="56"/>
        <v>N</v>
      </c>
      <c r="X114" s="48">
        <f t="shared" si="57"/>
        <v>1</v>
      </c>
      <c r="Y114" s="48">
        <f t="shared" si="49"/>
        <v>4.5699999999999998E-2</v>
      </c>
      <c r="Z114" s="48">
        <f t="shared" si="50"/>
        <v>23.330300000000001</v>
      </c>
      <c r="AA114" s="48">
        <f t="shared" si="58"/>
        <v>23.284600000000001</v>
      </c>
      <c r="AB114" s="49" t="e">
        <f>VLOOKUP(A114,Enforcements!$C$7:$J$73,8,0)</f>
        <v>#N/A</v>
      </c>
      <c r="AC114" s="49" t="e">
        <f>VLOOKUP(A114,Enforcements!$C$7:$E$73,3,0)</f>
        <v>#N/A</v>
      </c>
    </row>
    <row r="115" spans="1:29" s="2" customFormat="1" x14ac:dyDescent="0.25">
      <c r="A115" s="43" t="s">
        <v>382</v>
      </c>
      <c r="B115" s="43">
        <v>4008</v>
      </c>
      <c r="C115" s="43" t="s">
        <v>60</v>
      </c>
      <c r="D115" s="43" t="s">
        <v>88</v>
      </c>
      <c r="E115" s="25">
        <v>42545.713645833333</v>
      </c>
      <c r="F115" s="25">
        <v>42545.714756944442</v>
      </c>
      <c r="G115" s="31">
        <v>1</v>
      </c>
      <c r="H115" s="25" t="s">
        <v>209</v>
      </c>
      <c r="I115" s="25">
        <v>42545.745092592595</v>
      </c>
      <c r="J115" s="43">
        <v>1</v>
      </c>
      <c r="K115" s="43" t="str">
        <f t="shared" si="52"/>
        <v>4007/4008</v>
      </c>
      <c r="L115" s="43" t="str">
        <f>VLOOKUP(A115,'Trips&amp;Operators'!$C$1:$E$10000,3,FALSE)</f>
        <v>CHANDLER</v>
      </c>
      <c r="M115" s="11">
        <f t="shared" si="53"/>
        <v>3.033564815268619E-2</v>
      </c>
      <c r="N115" s="12">
        <f t="shared" si="59"/>
        <v>43.683333339868113</v>
      </c>
      <c r="O115" s="12"/>
      <c r="P115" s="12"/>
      <c r="Q115" s="44"/>
      <c r="R115" s="44"/>
      <c r="S115" s="70">
        <f t="shared" si="51"/>
        <v>1</v>
      </c>
      <c r="T115" s="2" t="str">
        <f t="shared" si="54"/>
        <v>Southbound</v>
      </c>
      <c r="U115" s="2">
        <f>COUNTIFS(Variables!$M$2:$M$19, "&lt;=" &amp; Y115, Variables!$M$2:$M$19, "&gt;=" &amp; Z115)</f>
        <v>12</v>
      </c>
      <c r="V115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17:06:39-0600',mode:absolute,to:'2016-06-24 17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5" s="48" t="str">
        <f t="shared" si="56"/>
        <v>N</v>
      </c>
      <c r="X115" s="48">
        <f t="shared" si="57"/>
        <v>1</v>
      </c>
      <c r="Y115" s="48">
        <f t="shared" si="49"/>
        <v>23.297499999999999</v>
      </c>
      <c r="Z115" s="48">
        <f t="shared" si="50"/>
        <v>1.6899999999999998E-2</v>
      </c>
      <c r="AA115" s="48">
        <f t="shared" si="58"/>
        <v>23.2806</v>
      </c>
      <c r="AB115" s="49">
        <f>VLOOKUP(A115,Enforcements!$C$7:$J$73,8,0)</f>
        <v>1</v>
      </c>
      <c r="AC115" s="49" t="str">
        <f>VLOOKUP(A115,Enforcements!$C$7:$E$73,3,0)</f>
        <v>TRACK WARRANT AUTHORITY</v>
      </c>
    </row>
    <row r="116" spans="1:29" s="2" customFormat="1" x14ac:dyDescent="0.25">
      <c r="A116" s="43" t="s">
        <v>383</v>
      </c>
      <c r="B116" s="43">
        <v>4040</v>
      </c>
      <c r="C116" s="43" t="s">
        <v>60</v>
      </c>
      <c r="D116" s="43" t="s">
        <v>80</v>
      </c>
      <c r="E116" s="25">
        <v>42545.688425925924</v>
      </c>
      <c r="F116" s="25">
        <v>42545.689247685186</v>
      </c>
      <c r="G116" s="31">
        <v>1</v>
      </c>
      <c r="H116" s="25" t="s">
        <v>384</v>
      </c>
      <c r="I116" s="25">
        <v>42545.720486111109</v>
      </c>
      <c r="J116" s="43">
        <v>0</v>
      </c>
      <c r="K116" s="43" t="str">
        <f t="shared" si="52"/>
        <v>4039/4040</v>
      </c>
      <c r="L116" s="43" t="str">
        <f>VLOOKUP(A116,'Trips&amp;Operators'!$C$1:$E$10000,3,FALSE)</f>
        <v>SPECTOR</v>
      </c>
      <c r="M116" s="11">
        <f t="shared" si="53"/>
        <v>3.1238425923220348E-2</v>
      </c>
      <c r="N116" s="12">
        <f t="shared" si="59"/>
        <v>44.983333329437301</v>
      </c>
      <c r="O116" s="12"/>
      <c r="P116" s="12"/>
      <c r="Q116" s="44"/>
      <c r="R116" s="44"/>
      <c r="S116" s="70">
        <f t="shared" si="51"/>
        <v>1</v>
      </c>
      <c r="T116" s="2" t="str">
        <f t="shared" si="54"/>
        <v>NorthBound</v>
      </c>
      <c r="U116" s="2">
        <f>COUNTIFS(Variables!$M$2:$M$19, "&gt;=" &amp; Y116, Variables!$M$2:$M$19, "&lt;=" &amp; Z116)</f>
        <v>12</v>
      </c>
      <c r="V116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16:30:20-0600',mode:absolute,to:'2016-06-24 17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6" s="48" t="str">
        <f t="shared" si="56"/>
        <v>N</v>
      </c>
      <c r="X116" s="48">
        <f t="shared" si="57"/>
        <v>1</v>
      </c>
      <c r="Y116" s="48">
        <f t="shared" si="49"/>
        <v>4.53E-2</v>
      </c>
      <c r="Z116" s="48">
        <f t="shared" si="50"/>
        <v>23.331900000000001</v>
      </c>
      <c r="AA116" s="48">
        <f t="shared" si="58"/>
        <v>23.2866</v>
      </c>
      <c r="AB116" s="49" t="e">
        <f>VLOOKUP(A116,Enforcements!$C$7:$J$73,8,0)</f>
        <v>#N/A</v>
      </c>
      <c r="AC116" s="49" t="e">
        <f>VLOOKUP(A116,Enforcements!$C$7:$E$73,3,0)</f>
        <v>#N/A</v>
      </c>
    </row>
    <row r="117" spans="1:29" s="2" customFormat="1" x14ac:dyDescent="0.25">
      <c r="A117" s="43" t="s">
        <v>385</v>
      </c>
      <c r="B117" s="43">
        <v>4039</v>
      </c>
      <c r="C117" s="43" t="s">
        <v>60</v>
      </c>
      <c r="D117" s="43" t="s">
        <v>201</v>
      </c>
      <c r="E117" s="25">
        <v>42545.726053240738</v>
      </c>
      <c r="F117" s="25">
        <v>42545.726990740739</v>
      </c>
      <c r="G117" s="31">
        <v>1</v>
      </c>
      <c r="H117" s="25" t="s">
        <v>386</v>
      </c>
      <c r="I117" s="25">
        <v>42545.756145833337</v>
      </c>
      <c r="J117" s="43">
        <v>0</v>
      </c>
      <c r="K117" s="43" t="str">
        <f t="shared" si="52"/>
        <v>4039/4040</v>
      </c>
      <c r="L117" s="43" t="str">
        <f>VLOOKUP(A117,'Trips&amp;Operators'!$C$1:$E$10000,3,FALSE)</f>
        <v>SPECTOR</v>
      </c>
      <c r="M117" s="11">
        <f t="shared" si="53"/>
        <v>2.9155092597648036E-2</v>
      </c>
      <c r="N117" s="12">
        <f t="shared" si="59"/>
        <v>41.983333340613171</v>
      </c>
      <c r="O117" s="12"/>
      <c r="P117" s="12"/>
      <c r="Q117" s="44"/>
      <c r="R117" s="44"/>
      <c r="S117" s="70">
        <f t="shared" si="51"/>
        <v>1</v>
      </c>
      <c r="T117" s="2" t="str">
        <f t="shared" si="54"/>
        <v>Southbound</v>
      </c>
      <c r="U117" s="2">
        <f>COUNTIFS(Variables!$M$2:$M$19, "&lt;=" &amp; Y117, Variables!$M$2:$M$19, "&gt;=" &amp; Z117)</f>
        <v>12</v>
      </c>
      <c r="V117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17:24:31-0600',mode:absolute,to:'2016-06-24 18:09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7" s="48" t="str">
        <f t="shared" si="56"/>
        <v>N</v>
      </c>
      <c r="X117" s="48">
        <f t="shared" si="57"/>
        <v>1</v>
      </c>
      <c r="Y117" s="48">
        <f t="shared" si="49"/>
        <v>23.3004</v>
      </c>
      <c r="Z117" s="48">
        <f t="shared" si="50"/>
        <v>1.9800000000000002E-2</v>
      </c>
      <c r="AA117" s="48">
        <f t="shared" si="58"/>
        <v>23.2806</v>
      </c>
      <c r="AB117" s="49" t="e">
        <f>VLOOKUP(A117,Enforcements!$C$7:$J$73,8,0)</f>
        <v>#N/A</v>
      </c>
      <c r="AC117" s="49" t="e">
        <f>VLOOKUP(A117,Enforcements!$C$7:$E$73,3,0)</f>
        <v>#N/A</v>
      </c>
    </row>
    <row r="118" spans="1:29" s="2" customFormat="1" x14ac:dyDescent="0.25">
      <c r="A118" s="43" t="s">
        <v>387</v>
      </c>
      <c r="B118" s="43">
        <v>4011</v>
      </c>
      <c r="C118" s="43" t="s">
        <v>60</v>
      </c>
      <c r="D118" s="43" t="s">
        <v>388</v>
      </c>
      <c r="E118" s="25">
        <v>42545.696111111109</v>
      </c>
      <c r="F118" s="25">
        <v>42545.697696759256</v>
      </c>
      <c r="G118" s="31">
        <v>2</v>
      </c>
      <c r="H118" s="25" t="s">
        <v>327</v>
      </c>
      <c r="I118" s="25">
        <v>42545.725231481483</v>
      </c>
      <c r="J118" s="43">
        <v>0</v>
      </c>
      <c r="K118" s="43" t="str">
        <f t="shared" si="52"/>
        <v>4011/4012</v>
      </c>
      <c r="L118" s="43" t="str">
        <f>VLOOKUP(A118,'Trips&amp;Operators'!$C$1:$E$10000,3,FALSE)</f>
        <v>DAVIS</v>
      </c>
      <c r="M118" s="11">
        <f t="shared" si="53"/>
        <v>2.7534722226846498E-2</v>
      </c>
      <c r="N118" s="12">
        <f t="shared" si="59"/>
        <v>39.650000006658956</v>
      </c>
      <c r="O118" s="12"/>
      <c r="P118" s="12"/>
      <c r="Q118" s="44"/>
      <c r="R118" s="44"/>
      <c r="S118" s="70">
        <f t="shared" si="51"/>
        <v>1</v>
      </c>
      <c r="T118" s="2" t="str">
        <f t="shared" si="54"/>
        <v>NorthBound</v>
      </c>
      <c r="U118" s="2">
        <f>COUNTIFS(Variables!$M$2:$M$19, "&gt;=" &amp; Y118, Variables!$M$2:$M$19, "&lt;=" &amp; Z118)</f>
        <v>12</v>
      </c>
      <c r="V118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16:41:24-0600',mode:absolute,to:'2016-06-24 17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8" s="48" t="str">
        <f t="shared" si="56"/>
        <v>N</v>
      </c>
      <c r="X118" s="48">
        <f t="shared" si="57"/>
        <v>1</v>
      </c>
      <c r="Y118" s="48">
        <f t="shared" si="49"/>
        <v>4.24E-2</v>
      </c>
      <c r="Z118" s="48">
        <f t="shared" si="50"/>
        <v>23.332999999999998</v>
      </c>
      <c r="AA118" s="48">
        <f t="shared" si="58"/>
        <v>23.290599999999998</v>
      </c>
      <c r="AB118" s="49" t="e">
        <f>VLOOKUP(A118,Enforcements!$C$7:$J$73,8,0)</f>
        <v>#N/A</v>
      </c>
      <c r="AC118" s="49" t="e">
        <f>VLOOKUP(A118,Enforcements!$C$7:$E$73,3,0)</f>
        <v>#N/A</v>
      </c>
    </row>
    <row r="119" spans="1:29" s="2" customFormat="1" x14ac:dyDescent="0.25">
      <c r="A119" s="43" t="s">
        <v>389</v>
      </c>
      <c r="B119" s="43">
        <v>4012</v>
      </c>
      <c r="C119" s="43" t="s">
        <v>60</v>
      </c>
      <c r="D119" s="43" t="s">
        <v>390</v>
      </c>
      <c r="E119" s="25">
        <v>42545.734155092592</v>
      </c>
      <c r="F119" s="25">
        <v>42545.735509259262</v>
      </c>
      <c r="G119" s="31">
        <v>1</v>
      </c>
      <c r="H119" s="25" t="s">
        <v>218</v>
      </c>
      <c r="I119" s="25">
        <v>42545.763981481483</v>
      </c>
      <c r="J119" s="43">
        <v>0</v>
      </c>
      <c r="K119" s="43" t="str">
        <f t="shared" si="52"/>
        <v>4011/4012</v>
      </c>
      <c r="L119" s="43" t="str">
        <f>VLOOKUP(A119,'Trips&amp;Operators'!$C$1:$E$10000,3,FALSE)</f>
        <v>DAVIS</v>
      </c>
      <c r="M119" s="11">
        <f t="shared" si="53"/>
        <v>2.8472222220443655E-2</v>
      </c>
      <c r="N119" s="12">
        <f t="shared" si="59"/>
        <v>40.999999997438863</v>
      </c>
      <c r="O119" s="12"/>
      <c r="P119" s="12"/>
      <c r="Q119" s="44"/>
      <c r="R119" s="44"/>
      <c r="S119" s="70">
        <f t="shared" si="51"/>
        <v>1</v>
      </c>
      <c r="T119" s="2" t="str">
        <f t="shared" si="54"/>
        <v>Southbound</v>
      </c>
      <c r="U119" s="2">
        <f>COUNTIFS(Variables!$M$2:$M$19, "&lt;=" &amp; Y119, Variables!$M$2:$M$19, "&gt;=" &amp; Z119)</f>
        <v>12</v>
      </c>
      <c r="V119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17:36:11-0600',mode:absolute,to:'2016-06-24 18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9" s="48" t="str">
        <f t="shared" si="56"/>
        <v>N</v>
      </c>
      <c r="X119" s="48">
        <f t="shared" si="57"/>
        <v>1</v>
      </c>
      <c r="Y119" s="48">
        <f t="shared" si="49"/>
        <v>23.303000000000001</v>
      </c>
      <c r="Z119" s="48">
        <f t="shared" si="50"/>
        <v>1.3599999999999999E-2</v>
      </c>
      <c r="AA119" s="48">
        <f t="shared" si="58"/>
        <v>23.289400000000001</v>
      </c>
      <c r="AB119" s="49" t="e">
        <f>VLOOKUP(A119,Enforcements!$C$7:$J$73,8,0)</f>
        <v>#N/A</v>
      </c>
      <c r="AC119" s="49" t="e">
        <f>VLOOKUP(A119,Enforcements!$C$7:$E$73,3,0)</f>
        <v>#N/A</v>
      </c>
    </row>
    <row r="120" spans="1:29" s="2" customFormat="1" x14ac:dyDescent="0.25">
      <c r="A120" s="43" t="s">
        <v>391</v>
      </c>
      <c r="B120" s="43">
        <v>4042</v>
      </c>
      <c r="C120" s="43" t="s">
        <v>60</v>
      </c>
      <c r="D120" s="43" t="s">
        <v>196</v>
      </c>
      <c r="E120" s="25">
        <v>42545.705729166664</v>
      </c>
      <c r="F120" s="25">
        <v>42545.706689814811</v>
      </c>
      <c r="G120" s="31">
        <v>1</v>
      </c>
      <c r="H120" s="25" t="s">
        <v>392</v>
      </c>
      <c r="I120" s="25">
        <v>42545.733252314814</v>
      </c>
      <c r="J120" s="43">
        <v>0</v>
      </c>
      <c r="K120" s="43" t="str">
        <f t="shared" si="52"/>
        <v>4041/4042</v>
      </c>
      <c r="L120" s="43" t="str">
        <f>VLOOKUP(A120,'Trips&amp;Operators'!$C$1:$E$10000,3,FALSE)</f>
        <v>LOCKLEAR</v>
      </c>
      <c r="M120" s="11">
        <f t="shared" si="53"/>
        <v>2.6562500002910383E-2</v>
      </c>
      <c r="N120" s="12">
        <f t="shared" si="59"/>
        <v>38.250000004190952</v>
      </c>
      <c r="O120" s="12"/>
      <c r="P120" s="12"/>
      <c r="Q120" s="44"/>
      <c r="R120" s="44"/>
      <c r="S120" s="70">
        <f t="shared" si="51"/>
        <v>1</v>
      </c>
      <c r="T120" s="2" t="str">
        <f t="shared" si="54"/>
        <v>NorthBound</v>
      </c>
      <c r="U120" s="2">
        <f>COUNTIFS(Variables!$M$2:$M$19, "&gt;=" &amp; Y120, Variables!$M$2:$M$19, "&lt;=" &amp; Z120)</f>
        <v>12</v>
      </c>
      <c r="V120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16:55:15-0600',mode:absolute,to:'2016-06-24 17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0" s="48" t="str">
        <f t="shared" si="56"/>
        <v>N</v>
      </c>
      <c r="X120" s="48">
        <f t="shared" si="57"/>
        <v>1</v>
      </c>
      <c r="Y120" s="48">
        <f t="shared" si="49"/>
        <v>4.7699999999999999E-2</v>
      </c>
      <c r="Z120" s="48">
        <f t="shared" si="50"/>
        <v>23.334199999999999</v>
      </c>
      <c r="AA120" s="48">
        <f t="shared" si="58"/>
        <v>23.2865</v>
      </c>
      <c r="AB120" s="49" t="e">
        <f>VLOOKUP(A120,Enforcements!$C$7:$J$73,8,0)</f>
        <v>#N/A</v>
      </c>
      <c r="AC120" s="49" t="e">
        <f>VLOOKUP(A120,Enforcements!$C$7:$E$73,3,0)</f>
        <v>#N/A</v>
      </c>
    </row>
    <row r="121" spans="1:29" s="2" customFormat="1" x14ac:dyDescent="0.25">
      <c r="A121" s="43" t="s">
        <v>503</v>
      </c>
      <c r="B121" s="43">
        <v>4041</v>
      </c>
      <c r="C121" s="43"/>
      <c r="D121" s="43"/>
      <c r="E121" s="25"/>
      <c r="F121" s="25">
        <v>42545.744837962964</v>
      </c>
      <c r="G121" s="25"/>
      <c r="H121" s="25"/>
      <c r="I121" s="25">
        <v>42545.746354166666</v>
      </c>
      <c r="J121" s="43"/>
      <c r="K121" s="43" t="str">
        <f t="shared" si="52"/>
        <v>4041/4042</v>
      </c>
      <c r="L121" s="43" t="str">
        <f>VLOOKUP(A121,'Trips&amp;Operators'!$C$1:$E$10000,3,FALSE)</f>
        <v>LOCKLEAR</v>
      </c>
      <c r="M121" s="11">
        <f t="shared" si="53"/>
        <v>1.5162037016125396E-3</v>
      </c>
      <c r="N121" s="12"/>
      <c r="O121" s="12"/>
      <c r="P121" s="12">
        <f>24*60*SUM($M121:$M121)</f>
        <v>2.183333330322057</v>
      </c>
      <c r="Q121" s="44"/>
      <c r="R121" s="44" t="s">
        <v>505</v>
      </c>
      <c r="S121" s="70">
        <f t="shared" si="51"/>
        <v>0</v>
      </c>
      <c r="T121" s="2" t="str">
        <f t="shared" si="54"/>
        <v>Southbound</v>
      </c>
      <c r="U121" s="2">
        <f>COUNTIFS(Variables!$M$2:$M$19, "&lt;=" &amp; Y121, Variables!$M$2:$M$19, "&gt;=" &amp; Z121)</f>
        <v>0</v>
      </c>
      <c r="V121" s="48" t="e">
        <f t="shared" si="55"/>
        <v>#VALUE!</v>
      </c>
      <c r="W121" s="48" t="e">
        <f t="shared" si="56"/>
        <v>#VALUE!</v>
      </c>
      <c r="X121" s="48">
        <f t="shared" si="57"/>
        <v>1</v>
      </c>
      <c r="Y121" s="48" t="e">
        <f t="shared" si="49"/>
        <v>#VALUE!</v>
      </c>
      <c r="Z121" s="48" t="e">
        <f t="shared" si="50"/>
        <v>#VALUE!</v>
      </c>
      <c r="AA121" s="48" t="e">
        <f t="shared" si="58"/>
        <v>#VALUE!</v>
      </c>
      <c r="AB121" s="49" t="e">
        <f>VLOOKUP(A121,Enforcements!$C$7:$J$73,8,0)</f>
        <v>#N/A</v>
      </c>
      <c r="AC121" s="49" t="e">
        <f>VLOOKUP(A121,Enforcements!$C$7:$E$73,3,0)</f>
        <v>#N/A</v>
      </c>
    </row>
    <row r="122" spans="1:29" s="2" customFormat="1" x14ac:dyDescent="0.25">
      <c r="A122" s="43" t="s">
        <v>393</v>
      </c>
      <c r="B122" s="43">
        <v>4038</v>
      </c>
      <c r="C122" s="43" t="s">
        <v>60</v>
      </c>
      <c r="D122" s="43" t="s">
        <v>207</v>
      </c>
      <c r="E122" s="25">
        <v>42545.716203703705</v>
      </c>
      <c r="F122" s="25">
        <v>42545.717141203706</v>
      </c>
      <c r="G122" s="31">
        <v>1</v>
      </c>
      <c r="H122" s="25" t="s">
        <v>394</v>
      </c>
      <c r="I122" s="25">
        <v>42545.744004629632</v>
      </c>
      <c r="J122" s="43">
        <v>0</v>
      </c>
      <c r="K122" s="43" t="str">
        <f t="shared" si="52"/>
        <v>4037/4038</v>
      </c>
      <c r="L122" s="43" t="str">
        <f>VLOOKUP(A122,'Trips&amp;Operators'!$C$1:$E$10000,3,FALSE)</f>
        <v>KILLION</v>
      </c>
      <c r="M122" s="11">
        <f t="shared" si="53"/>
        <v>2.6863425926421769E-2</v>
      </c>
      <c r="N122" s="12">
        <f>24*60*SUM($M122:$M122)</f>
        <v>38.683333334047347</v>
      </c>
      <c r="O122" s="12"/>
      <c r="P122" s="12"/>
      <c r="Q122" s="44"/>
      <c r="R122" s="44"/>
      <c r="S122" s="70">
        <f t="shared" si="51"/>
        <v>1</v>
      </c>
      <c r="T122" s="2" t="str">
        <f t="shared" si="54"/>
        <v>NorthBound</v>
      </c>
      <c r="U122" s="2">
        <f>COUNTIFS(Variables!$M$2:$M$19, "&gt;=" &amp; Y122, Variables!$M$2:$M$19, "&lt;=" &amp; Z122)</f>
        <v>12</v>
      </c>
      <c r="V122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17:10:20-0600',mode:absolute,to:'2016-06-24 17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2" s="48" t="str">
        <f t="shared" si="56"/>
        <v>N</v>
      </c>
      <c r="X122" s="48">
        <f t="shared" si="57"/>
        <v>1</v>
      </c>
      <c r="Y122" s="48">
        <f t="shared" si="49"/>
        <v>4.8000000000000001E-2</v>
      </c>
      <c r="Z122" s="48">
        <f t="shared" si="50"/>
        <v>23.332799999999999</v>
      </c>
      <c r="AA122" s="48">
        <f t="shared" si="58"/>
        <v>23.284800000000001</v>
      </c>
      <c r="AB122" s="49" t="e">
        <f>VLOOKUP(A122,Enforcements!$C$7:$J$73,8,0)</f>
        <v>#N/A</v>
      </c>
      <c r="AC122" s="49" t="e">
        <f>VLOOKUP(A122,Enforcements!$C$7:$E$73,3,0)</f>
        <v>#N/A</v>
      </c>
    </row>
    <row r="123" spans="1:29" s="2" customFormat="1" x14ac:dyDescent="0.25">
      <c r="A123" s="43" t="s">
        <v>496</v>
      </c>
      <c r="B123" s="43">
        <v>4037</v>
      </c>
      <c r="C123" s="43"/>
      <c r="D123" s="43"/>
      <c r="E123" s="25"/>
      <c r="F123" s="25">
        <v>42545.755266203705</v>
      </c>
      <c r="G123" s="25"/>
      <c r="H123" s="25"/>
      <c r="I123" s="25">
        <v>42545.757372685184</v>
      </c>
      <c r="J123" s="43"/>
      <c r="K123" s="43" t="str">
        <f t="shared" si="52"/>
        <v>4037/4038</v>
      </c>
      <c r="L123" s="43" t="str">
        <f>VLOOKUP(A123,'Trips&amp;Operators'!$C$1:$E$10000,3,FALSE)</f>
        <v>KILLION</v>
      </c>
      <c r="M123" s="11">
        <f t="shared" si="53"/>
        <v>2.1064814791316167E-3</v>
      </c>
      <c r="N123" s="12"/>
      <c r="O123" s="12"/>
      <c r="P123" s="12">
        <f>24*60*SUM($M123:$M123)</f>
        <v>3.033333329949528</v>
      </c>
      <c r="Q123" s="44"/>
      <c r="R123" s="44" t="s">
        <v>505</v>
      </c>
      <c r="S123" s="70">
        <f t="shared" si="51"/>
        <v>0</v>
      </c>
      <c r="T123" s="2" t="str">
        <f t="shared" si="54"/>
        <v>Southbound</v>
      </c>
      <c r="U123" s="2">
        <f>COUNTIFS(Variables!$M$2:$M$19, "&lt;=" &amp; Y123, Variables!$M$2:$M$19, "&gt;=" &amp; Z123)</f>
        <v>0</v>
      </c>
      <c r="V123" s="48" t="e">
        <f t="shared" si="55"/>
        <v>#VALUE!</v>
      </c>
      <c r="W123" s="48" t="e">
        <f t="shared" si="56"/>
        <v>#VALUE!</v>
      </c>
      <c r="X123" s="48">
        <f t="shared" si="57"/>
        <v>1</v>
      </c>
      <c r="Y123" s="48" t="e">
        <f t="shared" si="49"/>
        <v>#VALUE!</v>
      </c>
      <c r="Z123" s="48" t="e">
        <f t="shared" si="50"/>
        <v>#VALUE!</v>
      </c>
      <c r="AA123" s="48" t="e">
        <f t="shared" si="58"/>
        <v>#VALUE!</v>
      </c>
      <c r="AB123" s="49" t="e">
        <f>VLOOKUP(A123,Enforcements!$C$7:$J$73,8,0)</f>
        <v>#N/A</v>
      </c>
      <c r="AC123" s="49" t="e">
        <f>VLOOKUP(A123,Enforcements!$C$7:$E$73,3,0)</f>
        <v>#N/A</v>
      </c>
    </row>
    <row r="124" spans="1:29" s="2" customFormat="1" x14ac:dyDescent="0.25">
      <c r="A124" s="43" t="s">
        <v>395</v>
      </c>
      <c r="B124" s="43">
        <v>4031</v>
      </c>
      <c r="C124" s="43" t="s">
        <v>60</v>
      </c>
      <c r="D124" s="43" t="s">
        <v>84</v>
      </c>
      <c r="E124" s="25">
        <v>42545.729166666664</v>
      </c>
      <c r="F124" s="25">
        <v>42545.730173611111</v>
      </c>
      <c r="G124" s="31">
        <v>1</v>
      </c>
      <c r="H124" s="25" t="s">
        <v>283</v>
      </c>
      <c r="I124" s="25">
        <v>42545.759155092594</v>
      </c>
      <c r="J124" s="43">
        <v>0</v>
      </c>
      <c r="K124" s="43" t="str">
        <f t="shared" si="52"/>
        <v>4031/4032</v>
      </c>
      <c r="L124" s="43" t="str">
        <f>VLOOKUP(A124,'Trips&amp;Operators'!$C$1:$E$10000,3,FALSE)</f>
        <v>STEWART</v>
      </c>
      <c r="M124" s="11">
        <f t="shared" si="53"/>
        <v>2.8981481482333038E-2</v>
      </c>
      <c r="N124" s="12">
        <f t="shared" ref="N124:N133" si="60">24*60*SUM($M124:$M124)</f>
        <v>41.733333334559575</v>
      </c>
      <c r="O124" s="12"/>
      <c r="P124" s="12"/>
      <c r="Q124" s="44"/>
      <c r="R124" s="44"/>
      <c r="S124" s="70">
        <f t="shared" si="51"/>
        <v>1</v>
      </c>
      <c r="T124" s="2" t="str">
        <f t="shared" si="54"/>
        <v>NorthBound</v>
      </c>
      <c r="U124" s="2">
        <f>COUNTIFS(Variables!$M$2:$M$19, "&gt;=" &amp; Y124, Variables!$M$2:$M$19, "&lt;=" &amp; Z124)</f>
        <v>12</v>
      </c>
      <c r="V124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17:29:00-0600',mode:absolute,to:'2016-06-24 18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4" s="48" t="str">
        <f t="shared" si="56"/>
        <v>N</v>
      </c>
      <c r="X124" s="48">
        <f t="shared" si="57"/>
        <v>1</v>
      </c>
      <c r="Y124" s="48">
        <f t="shared" si="49"/>
        <v>4.58E-2</v>
      </c>
      <c r="Z124" s="48">
        <f t="shared" si="50"/>
        <v>23.328900000000001</v>
      </c>
      <c r="AA124" s="48">
        <f t="shared" si="58"/>
        <v>23.283100000000001</v>
      </c>
      <c r="AB124" s="49" t="e">
        <f>VLOOKUP(A124,Enforcements!$C$7:$J$73,8,0)</f>
        <v>#N/A</v>
      </c>
      <c r="AC124" s="49" t="e">
        <f>VLOOKUP(A124,Enforcements!$C$7:$E$73,3,0)</f>
        <v>#N/A</v>
      </c>
    </row>
    <row r="125" spans="1:29" s="2" customFormat="1" x14ac:dyDescent="0.25">
      <c r="A125" s="43" t="s">
        <v>396</v>
      </c>
      <c r="B125" s="43">
        <v>4032</v>
      </c>
      <c r="C125" s="43" t="s">
        <v>60</v>
      </c>
      <c r="D125" s="43" t="s">
        <v>170</v>
      </c>
      <c r="E125" s="25">
        <v>42545.765034722222</v>
      </c>
      <c r="F125" s="25">
        <v>42545.766342592593</v>
      </c>
      <c r="G125" s="31">
        <v>1</v>
      </c>
      <c r="H125" s="25" t="s">
        <v>106</v>
      </c>
      <c r="I125" s="25">
        <v>42545.800810185188</v>
      </c>
      <c r="J125" s="43">
        <v>1</v>
      </c>
      <c r="K125" s="43" t="str">
        <f t="shared" si="52"/>
        <v>4031/4032</v>
      </c>
      <c r="L125" s="43" t="str">
        <f>VLOOKUP(A125,'Trips&amp;Operators'!$C$1:$E$10000,3,FALSE)</f>
        <v>STEWART</v>
      </c>
      <c r="M125" s="11">
        <f t="shared" si="53"/>
        <v>3.4467592595319729E-2</v>
      </c>
      <c r="N125" s="12">
        <f t="shared" si="60"/>
        <v>49.63333333726041</v>
      </c>
      <c r="O125" s="12"/>
      <c r="P125" s="12"/>
      <c r="Q125" s="44"/>
      <c r="R125" s="44"/>
      <c r="S125" s="70">
        <f t="shared" si="51"/>
        <v>1</v>
      </c>
      <c r="T125" s="2" t="str">
        <f t="shared" si="54"/>
        <v>Southbound</v>
      </c>
      <c r="U125" s="2">
        <f>COUNTIFS(Variables!$M$2:$M$19, "&lt;=" &amp; Y125, Variables!$M$2:$M$19, "&gt;=" &amp; Z125)</f>
        <v>12</v>
      </c>
      <c r="V125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18:20:39-0600',mode:absolute,to:'2016-06-24 19:14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5" s="48" t="str">
        <f t="shared" si="56"/>
        <v>N</v>
      </c>
      <c r="X125" s="48">
        <f t="shared" si="57"/>
        <v>1</v>
      </c>
      <c r="Y125" s="48">
        <f t="shared" si="49"/>
        <v>23.2974</v>
      </c>
      <c r="Z125" s="48">
        <f t="shared" si="50"/>
        <v>1.5800000000000002E-2</v>
      </c>
      <c r="AA125" s="48">
        <f t="shared" si="58"/>
        <v>23.281600000000001</v>
      </c>
      <c r="AB125" s="49">
        <f>VLOOKUP(A125,Enforcements!$C$7:$J$73,8,0)</f>
        <v>1</v>
      </c>
      <c r="AC125" s="49" t="str">
        <f>VLOOKUP(A125,Enforcements!$C$7:$E$73,3,0)</f>
        <v>TRACK WARRANT AUTHORITY</v>
      </c>
    </row>
    <row r="126" spans="1:29" s="2" customFormat="1" x14ac:dyDescent="0.25">
      <c r="A126" s="43" t="s">
        <v>397</v>
      </c>
      <c r="B126" s="43">
        <v>4029</v>
      </c>
      <c r="C126" s="43" t="s">
        <v>60</v>
      </c>
      <c r="D126" s="43" t="s">
        <v>72</v>
      </c>
      <c r="E126" s="25">
        <v>42545.736180555556</v>
      </c>
      <c r="F126" s="25">
        <v>42545.737974537034</v>
      </c>
      <c r="G126" s="31">
        <v>2</v>
      </c>
      <c r="H126" s="25" t="s">
        <v>289</v>
      </c>
      <c r="I126" s="25">
        <v>42545.767962962964</v>
      </c>
      <c r="J126" s="43">
        <v>0</v>
      </c>
      <c r="K126" s="43" t="str">
        <f t="shared" si="52"/>
        <v>4029/4030</v>
      </c>
      <c r="L126" s="43" t="str">
        <f>VLOOKUP(A126,'Trips&amp;Operators'!$C$1:$E$10000,3,FALSE)</f>
        <v>MAELZER</v>
      </c>
      <c r="M126" s="11">
        <f t="shared" si="53"/>
        <v>2.9988425929332152E-2</v>
      </c>
      <c r="N126" s="12">
        <f t="shared" si="60"/>
        <v>43.183333338238299</v>
      </c>
      <c r="O126" s="12"/>
      <c r="P126" s="12"/>
      <c r="Q126" s="44"/>
      <c r="R126" s="44"/>
      <c r="S126" s="70">
        <f t="shared" si="51"/>
        <v>1</v>
      </c>
      <c r="T126" s="2" t="str">
        <f t="shared" si="54"/>
        <v>NorthBound</v>
      </c>
      <c r="U126" s="2">
        <f>COUNTIFS(Variables!$M$2:$M$19, "&gt;=" &amp; Y126, Variables!$M$2:$M$19, "&lt;=" &amp; Z126)</f>
        <v>12</v>
      </c>
      <c r="V126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17:39:06-0600',mode:absolute,to:'2016-06-24 18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6" s="48" t="str">
        <f t="shared" si="56"/>
        <v>N</v>
      </c>
      <c r="X126" s="48">
        <f t="shared" si="57"/>
        <v>1</v>
      </c>
      <c r="Y126" s="48">
        <f t="shared" si="49"/>
        <v>4.6199999999999998E-2</v>
      </c>
      <c r="Z126" s="48">
        <f t="shared" si="50"/>
        <v>23.328399999999998</v>
      </c>
      <c r="AA126" s="48">
        <f t="shared" si="58"/>
        <v>23.2822</v>
      </c>
      <c r="AB126" s="49" t="e">
        <f>VLOOKUP(A126,Enforcements!$C$7:$J$73,8,0)</f>
        <v>#N/A</v>
      </c>
      <c r="AC126" s="49" t="e">
        <f>VLOOKUP(A126,Enforcements!$C$7:$E$73,3,0)</f>
        <v>#N/A</v>
      </c>
    </row>
    <row r="127" spans="1:29" s="2" customFormat="1" x14ac:dyDescent="0.25">
      <c r="A127" s="43" t="s">
        <v>398</v>
      </c>
      <c r="B127" s="43">
        <v>4030</v>
      </c>
      <c r="C127" s="43" t="s">
        <v>60</v>
      </c>
      <c r="D127" s="43" t="s">
        <v>216</v>
      </c>
      <c r="E127" s="25">
        <v>42545.772453703707</v>
      </c>
      <c r="F127" s="25">
        <v>42545.773969907408</v>
      </c>
      <c r="G127" s="31">
        <v>2</v>
      </c>
      <c r="H127" s="25" t="s">
        <v>112</v>
      </c>
      <c r="I127" s="25">
        <v>42545.805775462963</v>
      </c>
      <c r="J127" s="43">
        <v>0</v>
      </c>
      <c r="K127" s="43" t="str">
        <f t="shared" si="52"/>
        <v>4029/4030</v>
      </c>
      <c r="L127" s="43" t="str">
        <f>VLOOKUP(A127,'Trips&amp;Operators'!$C$1:$E$10000,3,FALSE)</f>
        <v>MAELZER</v>
      </c>
      <c r="M127" s="11">
        <f t="shared" si="53"/>
        <v>3.1805555554456078E-2</v>
      </c>
      <c r="N127" s="12">
        <f t="shared" si="60"/>
        <v>45.799999998416752</v>
      </c>
      <c r="O127" s="12"/>
      <c r="P127" s="12"/>
      <c r="Q127" s="44"/>
      <c r="R127" s="44"/>
      <c r="S127" s="70">
        <f t="shared" si="51"/>
        <v>1</v>
      </c>
      <c r="T127" s="2" t="str">
        <f t="shared" si="54"/>
        <v>Southbound</v>
      </c>
      <c r="U127" s="2">
        <f>COUNTIFS(Variables!$M$2:$M$19, "&lt;=" &amp; Y127, Variables!$M$2:$M$19, "&gt;=" &amp; Z127)</f>
        <v>12</v>
      </c>
      <c r="V127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18:31:20-0600',mode:absolute,to:'2016-06-24 19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7" s="48" t="str">
        <f t="shared" si="56"/>
        <v>N</v>
      </c>
      <c r="X127" s="48">
        <f t="shared" si="57"/>
        <v>1</v>
      </c>
      <c r="Y127" s="48">
        <f t="shared" si="49"/>
        <v>23.296299999999999</v>
      </c>
      <c r="Z127" s="48">
        <f t="shared" si="50"/>
        <v>1.6299999999999999E-2</v>
      </c>
      <c r="AA127" s="48">
        <f t="shared" si="58"/>
        <v>23.279999999999998</v>
      </c>
      <c r="AB127" s="49" t="e">
        <f>VLOOKUP(A127,Enforcements!$C$7:$J$73,8,0)</f>
        <v>#N/A</v>
      </c>
      <c r="AC127" s="49" t="e">
        <f>VLOOKUP(A127,Enforcements!$C$7:$E$73,3,0)</f>
        <v>#N/A</v>
      </c>
    </row>
    <row r="128" spans="1:29" s="2" customFormat="1" x14ac:dyDescent="0.25">
      <c r="A128" s="43" t="s">
        <v>399</v>
      </c>
      <c r="B128" s="43">
        <v>4007</v>
      </c>
      <c r="C128" s="43" t="s">
        <v>60</v>
      </c>
      <c r="D128" s="43" t="s">
        <v>400</v>
      </c>
      <c r="E128" s="25">
        <v>42545.748425925929</v>
      </c>
      <c r="F128" s="25">
        <v>42545.749837962961</v>
      </c>
      <c r="G128" s="31">
        <v>2</v>
      </c>
      <c r="H128" s="25" t="s">
        <v>174</v>
      </c>
      <c r="I128" s="25">
        <v>42545.78324074074</v>
      </c>
      <c r="J128" s="43">
        <v>0</v>
      </c>
      <c r="K128" s="43" t="str">
        <f t="shared" si="52"/>
        <v>4007/4008</v>
      </c>
      <c r="L128" s="43" t="str">
        <f>VLOOKUP(A128,'Trips&amp;Operators'!$C$1:$E$10000,3,FALSE)</f>
        <v>CHANDLER</v>
      </c>
      <c r="M128" s="11">
        <f t="shared" si="53"/>
        <v>3.3402777778974269E-2</v>
      </c>
      <c r="N128" s="12">
        <f t="shared" si="60"/>
        <v>48.100000001722947</v>
      </c>
      <c r="O128" s="12"/>
      <c r="P128" s="12"/>
      <c r="Q128" s="44"/>
      <c r="R128" s="44"/>
      <c r="S128" s="70">
        <f t="shared" si="51"/>
        <v>1</v>
      </c>
      <c r="T128" s="2" t="str">
        <f t="shared" si="54"/>
        <v>NorthBound</v>
      </c>
      <c r="U128" s="2">
        <f>COUNTIFS(Variables!$M$2:$M$19, "&gt;=" &amp; Y128, Variables!$M$2:$M$19, "&lt;=" &amp; Z128)</f>
        <v>12</v>
      </c>
      <c r="V128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17:56:44-0600',mode:absolute,to:'2016-06-24 18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8" s="48" t="str">
        <f t="shared" si="56"/>
        <v>N</v>
      </c>
      <c r="X128" s="48">
        <f t="shared" si="57"/>
        <v>1</v>
      </c>
      <c r="Y128" s="48">
        <f t="shared" si="49"/>
        <v>4.7800000000000002E-2</v>
      </c>
      <c r="Z128" s="48">
        <f t="shared" si="50"/>
        <v>23.331700000000001</v>
      </c>
      <c r="AA128" s="48">
        <f t="shared" si="58"/>
        <v>23.283900000000003</v>
      </c>
      <c r="AB128" s="49" t="e">
        <f>VLOOKUP(A128,Enforcements!$C$7:$J$73,8,0)</f>
        <v>#N/A</v>
      </c>
      <c r="AC128" s="49" t="e">
        <f>VLOOKUP(A128,Enforcements!$C$7:$E$73,3,0)</f>
        <v>#N/A</v>
      </c>
    </row>
    <row r="129" spans="1:29" s="2" customFormat="1" x14ac:dyDescent="0.25">
      <c r="A129" s="43" t="s">
        <v>401</v>
      </c>
      <c r="B129" s="43">
        <v>4008</v>
      </c>
      <c r="C129" s="43" t="s">
        <v>60</v>
      </c>
      <c r="D129" s="43" t="s">
        <v>110</v>
      </c>
      <c r="E129" s="25">
        <v>42545.785590277781</v>
      </c>
      <c r="F129" s="25">
        <v>42545.786678240744</v>
      </c>
      <c r="G129" s="31">
        <v>1</v>
      </c>
      <c r="H129" s="25" t="s">
        <v>112</v>
      </c>
      <c r="I129" s="25">
        <v>42545.821481481478</v>
      </c>
      <c r="J129" s="43">
        <v>2</v>
      </c>
      <c r="K129" s="43" t="str">
        <f t="shared" si="52"/>
        <v>4007/4008</v>
      </c>
      <c r="L129" s="43" t="str">
        <f>VLOOKUP(A129,'Trips&amp;Operators'!$C$1:$E$10000,3,FALSE)</f>
        <v>CHANDLER</v>
      </c>
      <c r="M129" s="11">
        <f t="shared" si="53"/>
        <v>3.4803240734618157E-2</v>
      </c>
      <c r="N129" s="12">
        <f t="shared" si="60"/>
        <v>50.116666657850146</v>
      </c>
      <c r="O129" s="12"/>
      <c r="P129" s="12"/>
      <c r="Q129" s="44"/>
      <c r="R129" s="44"/>
      <c r="S129" s="70">
        <f t="shared" si="51"/>
        <v>1</v>
      </c>
      <c r="T129" s="2" t="str">
        <f t="shared" si="54"/>
        <v>Southbound</v>
      </c>
      <c r="U129" s="2">
        <f>COUNTIFS(Variables!$M$2:$M$19, "&lt;=" &amp; Y129, Variables!$M$2:$M$19, "&gt;=" &amp; Z129)</f>
        <v>12</v>
      </c>
      <c r="V129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18:50:15-0600',mode:absolute,to:'2016-06-24 19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9" s="48" t="str">
        <f t="shared" si="56"/>
        <v>N</v>
      </c>
      <c r="X129" s="48">
        <f t="shared" si="57"/>
        <v>1</v>
      </c>
      <c r="Y129" s="48">
        <f t="shared" si="49"/>
        <v>23.299800000000001</v>
      </c>
      <c r="Z129" s="48">
        <f t="shared" si="50"/>
        <v>1.6299999999999999E-2</v>
      </c>
      <c r="AA129" s="48">
        <f t="shared" si="58"/>
        <v>23.2835</v>
      </c>
      <c r="AB129" s="49">
        <f>VLOOKUP(A129,Enforcements!$C$7:$J$73,8,0)</f>
        <v>127587</v>
      </c>
      <c r="AC129" s="49" t="str">
        <f>VLOOKUP(A129,Enforcements!$C$7:$E$73,3,0)</f>
        <v>SIGNAL</v>
      </c>
    </row>
    <row r="130" spans="1:29" s="2" customFormat="1" x14ac:dyDescent="0.25">
      <c r="A130" s="43" t="s">
        <v>402</v>
      </c>
      <c r="B130" s="43">
        <v>4040</v>
      </c>
      <c r="C130" s="43" t="s">
        <v>60</v>
      </c>
      <c r="D130" s="43" t="s">
        <v>179</v>
      </c>
      <c r="E130" s="25">
        <v>42545.761192129627</v>
      </c>
      <c r="F130" s="25">
        <v>42545.762465277781</v>
      </c>
      <c r="G130" s="31">
        <v>1</v>
      </c>
      <c r="H130" s="25" t="s">
        <v>208</v>
      </c>
      <c r="I130" s="25">
        <v>42545.792824074073</v>
      </c>
      <c r="J130" s="43">
        <v>0</v>
      </c>
      <c r="K130" s="43" t="str">
        <f t="shared" si="52"/>
        <v>4039/4040</v>
      </c>
      <c r="L130" s="43" t="str">
        <f>VLOOKUP(A130,'Trips&amp;Operators'!$C$1:$E$10000,3,FALSE)</f>
        <v>BRUDER</v>
      </c>
      <c r="M130" s="11">
        <f t="shared" si="53"/>
        <v>3.0358796291693579E-2</v>
      </c>
      <c r="N130" s="12">
        <f t="shared" si="60"/>
        <v>43.716666660038754</v>
      </c>
      <c r="O130" s="12"/>
      <c r="P130" s="12"/>
      <c r="Q130" s="44"/>
      <c r="R130" s="44"/>
      <c r="S130" s="70">
        <f t="shared" si="51"/>
        <v>1</v>
      </c>
      <c r="T130" s="2" t="str">
        <f t="shared" si="54"/>
        <v>NorthBound</v>
      </c>
      <c r="U130" s="2">
        <f>COUNTIFS(Variables!$M$2:$M$19, "&gt;=" &amp; Y130, Variables!$M$2:$M$19, "&lt;=" &amp; Z130)</f>
        <v>12</v>
      </c>
      <c r="V130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18:15:07-0600',mode:absolute,to:'2016-06-24 19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0" s="48" t="str">
        <f t="shared" si="56"/>
        <v>N</v>
      </c>
      <c r="X130" s="48">
        <f t="shared" si="57"/>
        <v>1</v>
      </c>
      <c r="Y130" s="48">
        <f t="shared" si="49"/>
        <v>4.9299999999999997E-2</v>
      </c>
      <c r="Z130" s="48">
        <f t="shared" si="50"/>
        <v>23.328600000000002</v>
      </c>
      <c r="AA130" s="48">
        <f t="shared" si="58"/>
        <v>23.279300000000003</v>
      </c>
      <c r="AB130" s="49" t="e">
        <f>VLOOKUP(A130,Enforcements!$C$7:$J$73,8,0)</f>
        <v>#N/A</v>
      </c>
      <c r="AC130" s="49" t="e">
        <f>VLOOKUP(A130,Enforcements!$C$7:$E$73,3,0)</f>
        <v>#N/A</v>
      </c>
    </row>
    <row r="131" spans="1:29" s="2" customFormat="1" x14ac:dyDescent="0.25">
      <c r="A131" s="43" t="s">
        <v>403</v>
      </c>
      <c r="B131" s="43">
        <v>4039</v>
      </c>
      <c r="C131" s="43" t="s">
        <v>60</v>
      </c>
      <c r="D131" s="43" t="s">
        <v>81</v>
      </c>
      <c r="E131" s="25">
        <v>42545.794907407406</v>
      </c>
      <c r="F131" s="25">
        <v>42545.796168981484</v>
      </c>
      <c r="G131" s="31">
        <v>1</v>
      </c>
      <c r="H131" s="25" t="s">
        <v>67</v>
      </c>
      <c r="I131" s="25">
        <v>42545.82712962963</v>
      </c>
      <c r="J131" s="43">
        <v>0</v>
      </c>
      <c r="K131" s="43" t="str">
        <f t="shared" si="52"/>
        <v>4039/4040</v>
      </c>
      <c r="L131" s="43" t="str">
        <f>VLOOKUP(A131,'Trips&amp;Operators'!$C$1:$E$10000,3,FALSE)</f>
        <v>BRUDER</v>
      </c>
      <c r="M131" s="11">
        <f t="shared" si="53"/>
        <v>3.0960648145992309E-2</v>
      </c>
      <c r="N131" s="12">
        <f t="shared" si="60"/>
        <v>44.583333330228925</v>
      </c>
      <c r="O131" s="12"/>
      <c r="P131" s="12"/>
      <c r="Q131" s="44"/>
      <c r="R131" s="44"/>
      <c r="S131" s="70">
        <f t="shared" si="51"/>
        <v>1</v>
      </c>
      <c r="T131" s="2" t="str">
        <f t="shared" si="54"/>
        <v>Southbound</v>
      </c>
      <c r="U131" s="2">
        <f>COUNTIFS(Variables!$M$2:$M$19, "&lt;=" &amp; Y131, Variables!$M$2:$M$19, "&gt;=" &amp; Z131)</f>
        <v>12</v>
      </c>
      <c r="V131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19:03:40-0600',mode:absolute,to:'2016-06-24 19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1" s="48" t="str">
        <f t="shared" si="56"/>
        <v>N</v>
      </c>
      <c r="X131" s="48">
        <f t="shared" si="57"/>
        <v>1</v>
      </c>
      <c r="Y131" s="48">
        <f t="shared" si="49"/>
        <v>23.297799999999999</v>
      </c>
      <c r="Z131" s="48">
        <f t="shared" si="50"/>
        <v>1.47E-2</v>
      </c>
      <c r="AA131" s="48">
        <f t="shared" si="58"/>
        <v>23.283099999999997</v>
      </c>
      <c r="AB131" s="49" t="e">
        <f>VLOOKUP(A131,Enforcements!$C$7:$J$73,8,0)</f>
        <v>#N/A</v>
      </c>
      <c r="AC131" s="49" t="e">
        <f>VLOOKUP(A131,Enforcements!$C$7:$E$73,3,0)</f>
        <v>#N/A</v>
      </c>
    </row>
    <row r="132" spans="1:29" s="2" customFormat="1" x14ac:dyDescent="0.25">
      <c r="A132" s="43" t="s">
        <v>404</v>
      </c>
      <c r="B132" s="43">
        <v>4011</v>
      </c>
      <c r="C132" s="43" t="s">
        <v>60</v>
      </c>
      <c r="D132" s="43" t="s">
        <v>80</v>
      </c>
      <c r="E132" s="25">
        <v>42545.767222222225</v>
      </c>
      <c r="F132" s="25">
        <v>42545.768275462964</v>
      </c>
      <c r="G132" s="31">
        <v>1</v>
      </c>
      <c r="H132" s="25" t="s">
        <v>107</v>
      </c>
      <c r="I132" s="25">
        <v>42545.804166666669</v>
      </c>
      <c r="J132" s="43">
        <v>0</v>
      </c>
      <c r="K132" s="43" t="str">
        <f t="shared" si="52"/>
        <v>4011/4012</v>
      </c>
      <c r="L132" s="43" t="str">
        <f>VLOOKUP(A132,'Trips&amp;Operators'!$C$1:$E$10000,3,FALSE)</f>
        <v>MOSES</v>
      </c>
      <c r="M132" s="11">
        <f t="shared" si="53"/>
        <v>3.5891203704522923E-2</v>
      </c>
      <c r="N132" s="12">
        <f t="shared" si="60"/>
        <v>51.683333334513009</v>
      </c>
      <c r="O132" s="12"/>
      <c r="P132" s="12"/>
      <c r="Q132" s="44"/>
      <c r="R132" s="44"/>
      <c r="S132" s="70">
        <f t="shared" si="51"/>
        <v>1</v>
      </c>
      <c r="T132" s="2" t="str">
        <f t="shared" si="54"/>
        <v>NorthBound</v>
      </c>
      <c r="U132" s="2">
        <f>COUNTIFS(Variables!$M$2:$M$19, "&gt;=" &amp; Y132, Variables!$M$2:$M$19, "&lt;=" &amp; Z132)</f>
        <v>12</v>
      </c>
      <c r="V132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18:23:48-0600',mode:absolute,to:'2016-06-24 19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2" s="48" t="str">
        <f t="shared" si="56"/>
        <v>N</v>
      </c>
      <c r="X132" s="48">
        <f t="shared" si="57"/>
        <v>1</v>
      </c>
      <c r="Y132" s="48">
        <f t="shared" si="49"/>
        <v>4.53E-2</v>
      </c>
      <c r="Z132" s="48">
        <f t="shared" si="50"/>
        <v>23.329699999999999</v>
      </c>
      <c r="AA132" s="48">
        <f t="shared" si="58"/>
        <v>23.284399999999998</v>
      </c>
      <c r="AB132" s="49" t="e">
        <f>VLOOKUP(A132,Enforcements!$C$7:$J$73,8,0)</f>
        <v>#N/A</v>
      </c>
      <c r="AC132" s="49" t="e">
        <f>VLOOKUP(A132,Enforcements!$C$7:$E$73,3,0)</f>
        <v>#N/A</v>
      </c>
    </row>
    <row r="133" spans="1:29" s="2" customFormat="1" x14ac:dyDescent="0.25">
      <c r="A133" s="43" t="s">
        <v>405</v>
      </c>
      <c r="B133" s="43">
        <v>4012</v>
      </c>
      <c r="C133" s="43" t="s">
        <v>60</v>
      </c>
      <c r="D133" s="43" t="s">
        <v>216</v>
      </c>
      <c r="E133" s="25">
        <v>42545.806863425925</v>
      </c>
      <c r="F133" s="25">
        <v>42545.807986111111</v>
      </c>
      <c r="G133" s="31">
        <v>1</v>
      </c>
      <c r="H133" s="25" t="s">
        <v>77</v>
      </c>
      <c r="I133" s="25">
        <v>42545.835219907407</v>
      </c>
      <c r="J133" s="43">
        <v>0</v>
      </c>
      <c r="K133" s="43" t="str">
        <f t="shared" si="52"/>
        <v>4011/4012</v>
      </c>
      <c r="L133" s="43" t="str">
        <f>VLOOKUP(A133,'Trips&amp;Operators'!$C$1:$E$10000,3,FALSE)</f>
        <v>MOSES</v>
      </c>
      <c r="M133" s="11">
        <f t="shared" si="53"/>
        <v>2.7233796296059154E-2</v>
      </c>
      <c r="N133" s="12">
        <f t="shared" si="60"/>
        <v>39.216666666325182</v>
      </c>
      <c r="O133" s="12"/>
      <c r="P133" s="12"/>
      <c r="Q133" s="44"/>
      <c r="R133" s="44"/>
      <c r="S133" s="70">
        <f t="shared" si="51"/>
        <v>1</v>
      </c>
      <c r="T133" s="2" t="str">
        <f t="shared" si="54"/>
        <v>Southbound</v>
      </c>
      <c r="U133" s="2">
        <f>COUNTIFS(Variables!$M$2:$M$19, "&lt;=" &amp; Y133, Variables!$M$2:$M$19, "&gt;=" &amp; Z133)</f>
        <v>12</v>
      </c>
      <c r="V133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19:20:53-0600',mode:absolute,to:'2016-06-24 20:03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3" s="48" t="str">
        <f t="shared" si="56"/>
        <v>N</v>
      </c>
      <c r="X133" s="48">
        <f t="shared" si="57"/>
        <v>1</v>
      </c>
      <c r="Y133" s="48">
        <f t="shared" si="49"/>
        <v>23.296299999999999</v>
      </c>
      <c r="Z133" s="48">
        <f t="shared" si="50"/>
        <v>1.49E-2</v>
      </c>
      <c r="AA133" s="48">
        <f t="shared" si="58"/>
        <v>23.281399999999998</v>
      </c>
      <c r="AB133" s="49" t="e">
        <f>VLOOKUP(A133,Enforcements!$C$7:$J$73,8,0)</f>
        <v>#N/A</v>
      </c>
      <c r="AC133" s="49" t="e">
        <f>VLOOKUP(A133,Enforcements!$C$7:$E$73,3,0)</f>
        <v>#N/A</v>
      </c>
    </row>
    <row r="134" spans="1:29" s="2" customFormat="1" x14ac:dyDescent="0.25">
      <c r="A134" s="43" t="s">
        <v>406</v>
      </c>
      <c r="B134" s="43">
        <v>4018</v>
      </c>
      <c r="C134" s="43" t="s">
        <v>60</v>
      </c>
      <c r="D134" s="43" t="s">
        <v>118</v>
      </c>
      <c r="E134" s="25">
        <v>42545.786041666666</v>
      </c>
      <c r="F134" s="25">
        <v>42545.787847222222</v>
      </c>
      <c r="G134" s="31">
        <v>2</v>
      </c>
      <c r="H134" s="25" t="s">
        <v>407</v>
      </c>
      <c r="I134" s="25">
        <v>42545.8047337963</v>
      </c>
      <c r="J134" s="43">
        <v>1</v>
      </c>
      <c r="K134" s="43" t="str">
        <f t="shared" si="52"/>
        <v>4017/4018</v>
      </c>
      <c r="L134" s="43" t="str">
        <f>VLOOKUP(A134,'Trips&amp;Operators'!$C$1:$E$10000,3,FALSE)</f>
        <v>ADANE</v>
      </c>
      <c r="M134" s="11">
        <f t="shared" si="53"/>
        <v>1.6886574077943806E-2</v>
      </c>
      <c r="N134" s="12"/>
      <c r="O134" s="12"/>
      <c r="P134" s="12">
        <f>24*60*SUM($M134:$M135)</f>
        <v>49.450000002980232</v>
      </c>
      <c r="Q134" s="44"/>
      <c r="R134" s="44" t="s">
        <v>514</v>
      </c>
      <c r="S134" s="70">
        <f t="shared" si="51"/>
        <v>0.66666666666666663</v>
      </c>
      <c r="T134" s="2" t="str">
        <f t="shared" si="54"/>
        <v>NorthBound</v>
      </c>
      <c r="U134" s="2">
        <f>COUNTIFS(Variables!$M$2:$M$19, "&gt;=" &amp; Y134, Variables!$M$2:$M$19, "&lt;=" &amp; Z134)</f>
        <v>8</v>
      </c>
      <c r="V134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18:50:54-0600',mode:absolute,to:'2016-06-24 19:19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48" t="str">
        <f t="shared" si="56"/>
        <v>Y</v>
      </c>
      <c r="X134" s="48">
        <f t="shared" si="57"/>
        <v>1</v>
      </c>
      <c r="Y134" s="48">
        <f t="shared" si="49"/>
        <v>4.6699999999999998E-2</v>
      </c>
      <c r="Z134" s="48">
        <f t="shared" si="50"/>
        <v>5.9881000000000002</v>
      </c>
      <c r="AA134" s="48">
        <f t="shared" si="58"/>
        <v>5.9413999999999998</v>
      </c>
      <c r="AB134" s="49">
        <f>VLOOKUP(A134,Enforcements!$C$7:$J$73,8,0)</f>
        <v>58783</v>
      </c>
      <c r="AC134" s="49" t="str">
        <f>VLOOKUP(A134,Enforcements!$C$7:$E$73,3,0)</f>
        <v>GRADE CROSSING</v>
      </c>
    </row>
    <row r="135" spans="1:29" s="2" customFormat="1" x14ac:dyDescent="0.25">
      <c r="A135" s="43" t="s">
        <v>406</v>
      </c>
      <c r="B135" s="43">
        <v>4018</v>
      </c>
      <c r="C135" s="43" t="s">
        <v>60</v>
      </c>
      <c r="D135" s="43" t="s">
        <v>408</v>
      </c>
      <c r="E135" s="25">
        <v>42545.807303240741</v>
      </c>
      <c r="F135" s="25">
        <v>42545.808298611111</v>
      </c>
      <c r="G135" s="31">
        <v>1</v>
      </c>
      <c r="H135" s="25" t="s">
        <v>122</v>
      </c>
      <c r="I135" s="25">
        <v>42545.825752314813</v>
      </c>
      <c r="J135" s="43">
        <v>0</v>
      </c>
      <c r="K135" s="43" t="str">
        <f t="shared" si="52"/>
        <v>4017/4018</v>
      </c>
      <c r="L135" s="43" t="str">
        <f>VLOOKUP(A135,'Trips&amp;Operators'!$C$1:$E$10000,3,FALSE)</f>
        <v>ADANE</v>
      </c>
      <c r="M135" s="11">
        <f t="shared" si="53"/>
        <v>1.7453703701903578E-2</v>
      </c>
      <c r="N135" s="12"/>
      <c r="O135" s="12"/>
      <c r="P135" s="12"/>
      <c r="Q135" s="44"/>
      <c r="R135" s="44"/>
      <c r="S135" s="70">
        <f t="shared" si="51"/>
        <v>0.33333333333333331</v>
      </c>
      <c r="T135" s="2" t="str">
        <f t="shared" si="54"/>
        <v>NorthBound</v>
      </c>
      <c r="U135" s="2">
        <f>COUNTIFS(Variables!$M$2:$M$19, "&gt;=" &amp; Y135, Variables!$M$2:$M$19, "&lt;=" &amp; Z135)</f>
        <v>4</v>
      </c>
      <c r="V135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19:21:31-0600',mode:absolute,to:'2016-06-24 19:50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5" s="48" t="str">
        <f t="shared" si="56"/>
        <v>Y</v>
      </c>
      <c r="X135" s="48">
        <f t="shared" si="57"/>
        <v>0</v>
      </c>
      <c r="Y135" s="48">
        <f t="shared" si="49"/>
        <v>5.9282000000000004</v>
      </c>
      <c r="Z135" s="48">
        <f t="shared" si="50"/>
        <v>23.3307</v>
      </c>
      <c r="AA135" s="48">
        <f t="shared" si="58"/>
        <v>17.4025</v>
      </c>
      <c r="AB135" s="49">
        <f>VLOOKUP(A135,Enforcements!$C$7:$J$73,8,0)</f>
        <v>58783</v>
      </c>
      <c r="AC135" s="49" t="str">
        <f>VLOOKUP(A135,Enforcements!$C$7:$E$73,3,0)</f>
        <v>GRADE CROSSING</v>
      </c>
    </row>
    <row r="136" spans="1:29" s="2" customFormat="1" x14ac:dyDescent="0.25">
      <c r="A136" s="43" t="s">
        <v>409</v>
      </c>
      <c r="B136" s="43">
        <v>4017</v>
      </c>
      <c r="C136" s="43" t="s">
        <v>60</v>
      </c>
      <c r="D136" s="43" t="s">
        <v>410</v>
      </c>
      <c r="E136" s="25">
        <v>42545.829791666663</v>
      </c>
      <c r="F136" s="25">
        <v>42545.830671296295</v>
      </c>
      <c r="G136" s="31">
        <v>1</v>
      </c>
      <c r="H136" s="25" t="s">
        <v>310</v>
      </c>
      <c r="I136" s="25">
        <v>42545.856689814813</v>
      </c>
      <c r="J136" s="43">
        <v>0</v>
      </c>
      <c r="K136" s="43" t="str">
        <f t="shared" si="52"/>
        <v>4017/4018</v>
      </c>
      <c r="L136" s="43" t="str">
        <f>VLOOKUP(A136,'Trips&amp;Operators'!$C$1:$E$10000,3,FALSE)</f>
        <v>ADANE</v>
      </c>
      <c r="M136" s="11">
        <f t="shared" si="53"/>
        <v>2.6018518517958E-2</v>
      </c>
      <c r="N136" s="12">
        <f>24*60*SUM($M136:$M136)</f>
        <v>37.46666666585952</v>
      </c>
      <c r="O136" s="12"/>
      <c r="P136" s="12"/>
      <c r="Q136" s="44"/>
      <c r="R136" s="44"/>
      <c r="S136" s="70">
        <f t="shared" ref="S136:S160" si="61">SUM(U136:U136)/12</f>
        <v>1</v>
      </c>
      <c r="T136" s="2" t="str">
        <f t="shared" si="54"/>
        <v>Southbound</v>
      </c>
      <c r="U136" s="2">
        <f>COUNTIFS(Variables!$M$2:$M$19, "&lt;=" &amp; Y136, Variables!$M$2:$M$19, "&gt;=" &amp; Z136)</f>
        <v>12</v>
      </c>
      <c r="V136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19:53:54-0600',mode:absolute,to:'2016-06-24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48" t="str">
        <f t="shared" si="56"/>
        <v>N</v>
      </c>
      <c r="X136" s="48">
        <f t="shared" si="57"/>
        <v>1</v>
      </c>
      <c r="Y136" s="48">
        <f t="shared" si="49"/>
        <v>23.298400000000001</v>
      </c>
      <c r="Z136" s="48">
        <f t="shared" si="50"/>
        <v>1.2699999999999999E-2</v>
      </c>
      <c r="AA136" s="48">
        <f t="shared" si="58"/>
        <v>23.285700000000002</v>
      </c>
      <c r="AB136" s="49" t="e">
        <f>VLOOKUP(A136,Enforcements!$C$7:$J$73,8,0)</f>
        <v>#N/A</v>
      </c>
      <c r="AC136" s="49" t="e">
        <f>VLOOKUP(A136,Enforcements!$C$7:$E$73,3,0)</f>
        <v>#N/A</v>
      </c>
    </row>
    <row r="137" spans="1:29" s="2" customFormat="1" x14ac:dyDescent="0.25">
      <c r="A137" s="43" t="s">
        <v>411</v>
      </c>
      <c r="B137" s="43">
        <v>4029</v>
      </c>
      <c r="C137" s="43" t="s">
        <v>60</v>
      </c>
      <c r="D137" s="43" t="s">
        <v>400</v>
      </c>
      <c r="E137" s="25">
        <v>42545.809351851851</v>
      </c>
      <c r="F137" s="25">
        <v>42545.810648148145</v>
      </c>
      <c r="G137" s="31">
        <v>1</v>
      </c>
      <c r="H137" s="25" t="s">
        <v>126</v>
      </c>
      <c r="I137" s="25">
        <v>42545.839074074072</v>
      </c>
      <c r="J137" s="43">
        <v>1</v>
      </c>
      <c r="K137" s="43" t="str">
        <f t="shared" si="52"/>
        <v>4029/4030</v>
      </c>
      <c r="L137" s="43" t="str">
        <f>VLOOKUP(A137,'Trips&amp;Operators'!$C$1:$E$10000,3,FALSE)</f>
        <v>MAELZER</v>
      </c>
      <c r="M137" s="11">
        <f t="shared" si="53"/>
        <v>2.842592592787696E-2</v>
      </c>
      <c r="N137" s="12">
        <f>24*60*SUM($M137:$M137)</f>
        <v>40.933333336142823</v>
      </c>
      <c r="O137" s="12"/>
      <c r="P137" s="12"/>
      <c r="Q137" s="44"/>
      <c r="R137" s="44"/>
      <c r="S137" s="70">
        <f t="shared" si="61"/>
        <v>1</v>
      </c>
      <c r="T137" s="2" t="str">
        <f t="shared" si="54"/>
        <v>NorthBound</v>
      </c>
      <c r="U137" s="2">
        <f>COUNTIFS(Variables!$M$2:$M$19, "&gt;=" &amp; Y137, Variables!$M$2:$M$19, "&lt;=" &amp; Z137)</f>
        <v>12</v>
      </c>
      <c r="V137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19:24:28-0600',mode:absolute,to:'2016-06-24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48" t="str">
        <f t="shared" si="56"/>
        <v>N</v>
      </c>
      <c r="X137" s="48">
        <f t="shared" si="57"/>
        <v>1</v>
      </c>
      <c r="Y137" s="48">
        <f t="shared" si="49"/>
        <v>4.7800000000000002E-2</v>
      </c>
      <c r="Z137" s="48">
        <f t="shared" si="50"/>
        <v>23.330100000000002</v>
      </c>
      <c r="AA137" s="48">
        <f t="shared" si="58"/>
        <v>23.282300000000003</v>
      </c>
      <c r="AB137" s="49">
        <f>VLOOKUP(A137,Enforcements!$C$7:$J$73,8,0)</f>
        <v>155600</v>
      </c>
      <c r="AC137" s="49" t="str">
        <f>VLOOKUP(A137,Enforcements!$C$7:$E$73,3,0)</f>
        <v>SWITCH UNKNOWN</v>
      </c>
    </row>
    <row r="138" spans="1:29" s="2" customFormat="1" x14ac:dyDescent="0.25">
      <c r="A138" s="43" t="s">
        <v>412</v>
      </c>
      <c r="B138" s="43">
        <v>4030</v>
      </c>
      <c r="C138" s="43" t="s">
        <v>60</v>
      </c>
      <c r="D138" s="43" t="s">
        <v>173</v>
      </c>
      <c r="E138" s="25">
        <v>42545.845451388886</v>
      </c>
      <c r="F138" s="25">
        <v>42545.846666666665</v>
      </c>
      <c r="G138" s="31">
        <v>1</v>
      </c>
      <c r="H138" s="25" t="s">
        <v>68</v>
      </c>
      <c r="I138" s="25">
        <v>42545.880486111113</v>
      </c>
      <c r="J138" s="43">
        <v>0</v>
      </c>
      <c r="K138" s="43" t="str">
        <f t="shared" si="52"/>
        <v>4029/4030</v>
      </c>
      <c r="L138" s="43" t="str">
        <f>VLOOKUP(A138,'Trips&amp;Operators'!$C$1:$E$10000,3,FALSE)</f>
        <v>MAELZER</v>
      </c>
      <c r="M138" s="11">
        <f t="shared" si="53"/>
        <v>3.3819444448454306E-2</v>
      </c>
      <c r="N138" s="12">
        <f>24*60*SUM($M138:$M138)</f>
        <v>48.7000000057742</v>
      </c>
      <c r="O138" s="12"/>
      <c r="P138" s="12"/>
      <c r="Q138" s="44"/>
      <c r="R138" s="44"/>
      <c r="S138" s="70">
        <f t="shared" si="61"/>
        <v>1</v>
      </c>
      <c r="T138" s="2" t="str">
        <f t="shared" si="54"/>
        <v>Southbound</v>
      </c>
      <c r="U138" s="2">
        <f>COUNTIFS(Variables!$M$2:$M$19, "&lt;=" &amp; Y138, Variables!$M$2:$M$19, "&gt;=" &amp; Z138)</f>
        <v>12</v>
      </c>
      <c r="V138" s="48" t="str">
        <f t="shared" si="55"/>
        <v>https://search-rtdc-monitor-bjffxe2xuh6vdkpspy63sjmuny.us-east-1.es.amazonaws.com/_plugin/kibana/#/discover/Steve-Slow-Train-Analysis-(2080s-and-2083s)?_g=(refreshInterval:(display:Off,section:0,value:0),time:(from:'2016-06-24 20:16:27-0600',mode:absolute,to:'2016-06-24 21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8" s="48" t="str">
        <f t="shared" si="56"/>
        <v>N</v>
      </c>
      <c r="X138" s="48">
        <f t="shared" si="57"/>
        <v>1</v>
      </c>
      <c r="Y138" s="48">
        <f t="shared" si="49"/>
        <v>23.297999999999998</v>
      </c>
      <c r="Z138" s="48">
        <f t="shared" si="50"/>
        <v>1.6E-2</v>
      </c>
      <c r="AA138" s="48">
        <f t="shared" si="58"/>
        <v>23.282</v>
      </c>
      <c r="AB138" s="49" t="e">
        <f>VLOOKUP(A138,Enforcements!$C$7:$J$73,8,0)</f>
        <v>#N/A</v>
      </c>
      <c r="AC138" s="49" t="e">
        <f>VLOOKUP(A138,Enforcements!$C$7:$E$73,3,0)</f>
        <v>#N/A</v>
      </c>
    </row>
    <row r="139" spans="1:29" s="2" customFormat="1" x14ac:dyDescent="0.25">
      <c r="A139" s="43" t="s">
        <v>413</v>
      </c>
      <c r="B139" s="43">
        <v>4040</v>
      </c>
      <c r="C139" s="43" t="s">
        <v>60</v>
      </c>
      <c r="D139" s="43" t="s">
        <v>169</v>
      </c>
      <c r="E139" s="25">
        <v>42545.829097222224</v>
      </c>
      <c r="F139" s="25">
        <v>42545.830625000002</v>
      </c>
      <c r="G139" s="31">
        <v>2</v>
      </c>
      <c r="H139" s="25" t="s">
        <v>72</v>
      </c>
      <c r="I139" s="25">
        <v>42545.831736111111</v>
      </c>
      <c r="J139" s="43">
        <v>0</v>
      </c>
      <c r="K139" s="43" t="str">
        <f t="shared" ref="K139:K160" si="62">IF(ISEVEN(B139),(B139-1)&amp;"/"&amp;B139,B139&amp;"/"&amp;(B139+1))</f>
        <v>4039/4040</v>
      </c>
      <c r="L139" s="43" t="str">
        <f>VLOOKUP(A139,'Trips&amp;Operators'!$C$1:$E$10000,3,FALSE)</f>
        <v>BRUDER</v>
      </c>
      <c r="M139" s="11">
        <f t="shared" ref="M139:M160" si="63">I139-F139</f>
        <v>1.111111108912155E-3</v>
      </c>
      <c r="N139" s="12"/>
      <c r="O139" s="12"/>
      <c r="P139" s="12">
        <f>24*60*SUM($M139:$M139)</f>
        <v>1.5999999968335032</v>
      </c>
      <c r="Q139" s="44"/>
      <c r="R139" s="44" t="s">
        <v>505</v>
      </c>
      <c r="S139" s="70">
        <f t="shared" si="61"/>
        <v>0</v>
      </c>
      <c r="T139" s="2" t="str">
        <f t="shared" ref="T139:T160" si="64">IF(ISEVEN(LEFT(A139,3)),"Southbound","NorthBound")</f>
        <v>NorthBound</v>
      </c>
      <c r="U139" s="2">
        <f>COUNTIFS(Variables!$M$2:$M$19, "&gt;=" &amp; Y139, Variables!$M$2:$M$19, "&lt;=" &amp; Z139)</f>
        <v>0</v>
      </c>
      <c r="V139" s="48" t="str">
        <f t="shared" ref="V139:V160" si="65"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https://search-rtdc-monitor-bjffxe2xuh6vdkpspy63sjmuny.us-east-1.es.amazonaws.com/_plugin/kibana/#/discover/Steve-Slow-Train-Analysis-(2080s-and-2083s)?_g=(refreshInterval:(display:Off,section:0,value:0),time:(from:'2016-06-24 19:52:54-0600',mode:absolute,to:'2016-06-24 19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9" s="48" t="str">
        <f t="shared" ref="W139:W160" si="66">IF(AA139&lt;23,"Y","N")</f>
        <v>Y</v>
      </c>
      <c r="X139" s="48">
        <f t="shared" ref="X139:X160" si="67">VALUE(LEFT(A139,3))-VALUE(LEFT(A138,3))</f>
        <v>1</v>
      </c>
      <c r="Y139" s="48">
        <f t="shared" si="49"/>
        <v>4.7100000000000003E-2</v>
      </c>
      <c r="Z139" s="48">
        <f t="shared" si="50"/>
        <v>4.6199999999999998E-2</v>
      </c>
      <c r="AA139" s="48">
        <f t="shared" ref="AA139:AA160" si="68">ABS(Z139-Y139)</f>
        <v>9.0000000000000496E-4</v>
      </c>
      <c r="AB139" s="49" t="e">
        <f>VLOOKUP(A139,Enforcements!$C$7:$J$73,8,0)</f>
        <v>#N/A</v>
      </c>
      <c r="AC139" s="49" t="e">
        <f>VLOOKUP(A139,Enforcements!$C$7:$E$73,3,0)</f>
        <v>#N/A</v>
      </c>
    </row>
    <row r="140" spans="1:29" s="2" customFormat="1" x14ac:dyDescent="0.25">
      <c r="A140" s="43" t="s">
        <v>414</v>
      </c>
      <c r="B140" s="43">
        <v>4039</v>
      </c>
      <c r="C140" s="43" t="s">
        <v>60</v>
      </c>
      <c r="D140" s="43" t="s">
        <v>149</v>
      </c>
      <c r="E140" s="25">
        <v>42545.866157407407</v>
      </c>
      <c r="F140" s="25">
        <v>42545.867361111108</v>
      </c>
      <c r="G140" s="31">
        <v>1</v>
      </c>
      <c r="H140" s="25" t="s">
        <v>123</v>
      </c>
      <c r="I140" s="25">
        <v>42545.900138888886</v>
      </c>
      <c r="J140" s="43">
        <v>0</v>
      </c>
      <c r="K140" s="43" t="str">
        <f t="shared" si="62"/>
        <v>4039/4040</v>
      </c>
      <c r="L140" s="43" t="str">
        <f>VLOOKUP(A140,'Trips&amp;Operators'!$C$1:$E$10000,3,FALSE)</f>
        <v>BRUDER</v>
      </c>
      <c r="M140" s="11">
        <f t="shared" si="63"/>
        <v>3.2777777778392192E-2</v>
      </c>
      <c r="N140" s="12">
        <f t="shared" ref="N140:N145" si="69">24*60*SUM($M140:$M140)</f>
        <v>47.200000000884756</v>
      </c>
      <c r="O140" s="12"/>
      <c r="P140" s="12"/>
      <c r="Q140" s="44"/>
      <c r="R140" s="44"/>
      <c r="S140" s="70">
        <f t="shared" si="61"/>
        <v>1</v>
      </c>
      <c r="T140" s="2" t="str">
        <f t="shared" si="64"/>
        <v>Southbound</v>
      </c>
      <c r="U140" s="2">
        <f>COUNTIFS(Variables!$M$2:$M$19, "&lt;=" &amp; Y140, Variables!$M$2:$M$19, "&gt;=" &amp; Z140)</f>
        <v>12</v>
      </c>
      <c r="V140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20:46:16-0600',mode:absolute,to:'2016-06-24 21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0" s="48" t="str">
        <f t="shared" si="66"/>
        <v>N</v>
      </c>
      <c r="X140" s="48">
        <f t="shared" si="67"/>
        <v>1</v>
      </c>
      <c r="Y140" s="48">
        <f t="shared" si="49"/>
        <v>23.298200000000001</v>
      </c>
      <c r="Z140" s="48">
        <f t="shared" si="50"/>
        <v>1.4999999999999999E-2</v>
      </c>
      <c r="AA140" s="48">
        <f t="shared" si="68"/>
        <v>23.283200000000001</v>
      </c>
      <c r="AB140" s="49" t="e">
        <f>VLOOKUP(A140,Enforcements!$C$7:$J$73,8,0)</f>
        <v>#N/A</v>
      </c>
      <c r="AC140" s="49" t="e">
        <f>VLOOKUP(A140,Enforcements!$C$7:$E$73,3,0)</f>
        <v>#N/A</v>
      </c>
    </row>
    <row r="141" spans="1:29" s="2" customFormat="1" x14ac:dyDescent="0.25">
      <c r="A141" s="43" t="s">
        <v>415</v>
      </c>
      <c r="B141" s="43">
        <v>4011</v>
      </c>
      <c r="C141" s="43" t="s">
        <v>60</v>
      </c>
      <c r="D141" s="43" t="s">
        <v>400</v>
      </c>
      <c r="E141" s="25">
        <v>42545.850601851853</v>
      </c>
      <c r="F141" s="25">
        <v>42545.851759259262</v>
      </c>
      <c r="G141" s="31">
        <v>1</v>
      </c>
      <c r="H141" s="25" t="s">
        <v>416</v>
      </c>
      <c r="I141" s="25">
        <v>42545.88071759259</v>
      </c>
      <c r="J141" s="43">
        <v>1</v>
      </c>
      <c r="K141" s="43" t="str">
        <f t="shared" si="62"/>
        <v>4011/4012</v>
      </c>
      <c r="L141" s="43" t="str">
        <f>VLOOKUP(A141,'Trips&amp;Operators'!$C$1:$E$10000,3,FALSE)</f>
        <v>MOSES</v>
      </c>
      <c r="M141" s="11">
        <f t="shared" si="63"/>
        <v>2.8958333328773733E-2</v>
      </c>
      <c r="N141" s="12">
        <f t="shared" si="69"/>
        <v>41.699999993434176</v>
      </c>
      <c r="O141" s="12"/>
      <c r="P141" s="12"/>
      <c r="Q141" s="44"/>
      <c r="R141" s="44"/>
      <c r="S141" s="70">
        <f t="shared" si="61"/>
        <v>1</v>
      </c>
      <c r="T141" s="2" t="str">
        <f t="shared" si="64"/>
        <v>NorthBound</v>
      </c>
      <c r="U141" s="2">
        <f>COUNTIFS(Variables!$M$2:$M$19, "&gt;=" &amp; Y141, Variables!$M$2:$M$19, "&lt;=" &amp; Z141)</f>
        <v>12</v>
      </c>
      <c r="V141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20:23:52-0600',mode:absolute,to:'2016-06-24 21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1" s="48" t="str">
        <f t="shared" si="66"/>
        <v>N</v>
      </c>
      <c r="X141" s="48">
        <f t="shared" si="67"/>
        <v>1</v>
      </c>
      <c r="Y141" s="48">
        <f t="shared" si="49"/>
        <v>4.7800000000000002E-2</v>
      </c>
      <c r="Z141" s="48">
        <f t="shared" si="50"/>
        <v>23.3276</v>
      </c>
      <c r="AA141" s="48">
        <f t="shared" si="68"/>
        <v>23.279800000000002</v>
      </c>
      <c r="AB141" s="49">
        <f>VLOOKUP(A141,Enforcements!$C$7:$J$73,8,0)</f>
        <v>233491</v>
      </c>
      <c r="AC141" s="49" t="str">
        <f>VLOOKUP(A141,Enforcements!$C$7:$E$73,3,0)</f>
        <v>TRACK WARRANT AUTHORITY</v>
      </c>
    </row>
    <row r="142" spans="1:29" s="2" customFormat="1" x14ac:dyDescent="0.25">
      <c r="A142" s="66" t="s">
        <v>417</v>
      </c>
      <c r="B142" s="43">
        <v>4012</v>
      </c>
      <c r="C142" s="43" t="s">
        <v>60</v>
      </c>
      <c r="D142" s="43" t="s">
        <v>418</v>
      </c>
      <c r="E142" s="25">
        <v>42545.891006944446</v>
      </c>
      <c r="F142" s="25">
        <v>42545.891793981478</v>
      </c>
      <c r="G142" s="31">
        <v>1</v>
      </c>
      <c r="H142" s="25" t="s">
        <v>77</v>
      </c>
      <c r="I142" s="25">
        <v>42545.920787037037</v>
      </c>
      <c r="J142" s="43">
        <v>1</v>
      </c>
      <c r="K142" s="43" t="str">
        <f t="shared" si="62"/>
        <v>4011/4012</v>
      </c>
      <c r="L142" s="43" t="str">
        <f>VLOOKUP(A142,'Trips&amp;Operators'!$C$1:$E$10000,3,FALSE)</f>
        <v>MOSES</v>
      </c>
      <c r="M142" s="11">
        <f t="shared" si="63"/>
        <v>2.899305555911269E-2</v>
      </c>
      <c r="N142" s="12">
        <f t="shared" si="69"/>
        <v>41.750000005122274</v>
      </c>
      <c r="O142" s="12"/>
      <c r="P142" s="12"/>
      <c r="Q142" s="44"/>
      <c r="R142" s="44"/>
      <c r="S142" s="70">
        <f t="shared" si="61"/>
        <v>0</v>
      </c>
      <c r="T142" s="2" t="str">
        <f t="shared" si="64"/>
        <v>Southbound</v>
      </c>
      <c r="U142" s="2">
        <f>COUNTIFS(Variables!$M$2:$M$19, "&lt;=" &amp; Y142, Variables!$M$2:$M$19, "&gt;=" &amp; Z142)</f>
        <v>0</v>
      </c>
      <c r="V142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21:22:03-0600',mode:absolute,to:'2016-06-24 22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2" s="48" t="str">
        <f t="shared" si="66"/>
        <v>N</v>
      </c>
      <c r="X142" s="48">
        <f t="shared" si="67"/>
        <v>1</v>
      </c>
      <c r="Y142" s="48">
        <v>4.6699999999999998E-2</v>
      </c>
      <c r="Z142" s="48">
        <v>23.2974</v>
      </c>
      <c r="AA142" s="48">
        <f t="shared" si="68"/>
        <v>23.250699999999998</v>
      </c>
      <c r="AB142" s="49">
        <f>VLOOKUP(A142,Enforcements!$C$7:$J$73,8,0)</f>
        <v>1</v>
      </c>
      <c r="AC142" s="49" t="str">
        <f>VLOOKUP(A142,Enforcements!$C$7:$E$73,3,0)</f>
        <v>TRACK WARRANT AUTHORITY</v>
      </c>
    </row>
    <row r="143" spans="1:29" s="2" customFormat="1" x14ac:dyDescent="0.25">
      <c r="A143" s="43" t="s">
        <v>419</v>
      </c>
      <c r="B143" s="43">
        <v>4018</v>
      </c>
      <c r="C143" s="43" t="s">
        <v>60</v>
      </c>
      <c r="D143" s="43" t="s">
        <v>105</v>
      </c>
      <c r="E143" s="25">
        <v>42545.870266203703</v>
      </c>
      <c r="F143" s="25">
        <v>42545.87190972222</v>
      </c>
      <c r="G143" s="31">
        <v>2</v>
      </c>
      <c r="H143" s="25" t="s">
        <v>114</v>
      </c>
      <c r="I143" s="25">
        <v>42545.900358796294</v>
      </c>
      <c r="J143" s="43">
        <v>0</v>
      </c>
      <c r="K143" s="43" t="str">
        <f t="shared" si="62"/>
        <v>4017/4018</v>
      </c>
      <c r="L143" s="43" t="str">
        <f>VLOOKUP(A143,'Trips&amp;Operators'!$C$1:$E$10000,3,FALSE)</f>
        <v>ADANE</v>
      </c>
      <c r="M143" s="11">
        <f t="shared" si="63"/>
        <v>2.8449074074160308E-2</v>
      </c>
      <c r="N143" s="12">
        <f t="shared" si="69"/>
        <v>40.966666666790843</v>
      </c>
      <c r="O143" s="12"/>
      <c r="P143" s="12"/>
      <c r="Q143" s="44"/>
      <c r="R143" s="44"/>
      <c r="S143" s="70">
        <f t="shared" si="61"/>
        <v>1</v>
      </c>
      <c r="T143" s="2" t="str">
        <f t="shared" si="64"/>
        <v>NorthBound</v>
      </c>
      <c r="U143" s="2">
        <f>COUNTIFS(Variables!$M$2:$M$19, "&gt;=" &amp; Y143, Variables!$M$2:$M$19, "&lt;=" &amp; Z143)</f>
        <v>12</v>
      </c>
      <c r="V143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20:52:11-0600',mode:absolute,to:'2016-06-24 21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3" s="48" t="str">
        <f t="shared" si="66"/>
        <v>N</v>
      </c>
      <c r="X143" s="48">
        <f t="shared" si="67"/>
        <v>1</v>
      </c>
      <c r="Y143" s="48">
        <f t="shared" ref="Y143:Y160" si="70">RIGHT(D143,LEN(D143)-4)/10000</f>
        <v>4.4699999999999997E-2</v>
      </c>
      <c r="Z143" s="48">
        <f t="shared" ref="Z143:Z160" si="71">RIGHT(H143,LEN(H143)-4)/10000</f>
        <v>23.3291</v>
      </c>
      <c r="AA143" s="48">
        <f t="shared" si="68"/>
        <v>23.284400000000002</v>
      </c>
      <c r="AB143" s="49" t="e">
        <f>VLOOKUP(A143,Enforcements!$C$7:$J$73,8,0)</f>
        <v>#N/A</v>
      </c>
      <c r="AC143" s="49" t="e">
        <f>VLOOKUP(A143,Enforcements!$C$7:$E$73,3,0)</f>
        <v>#N/A</v>
      </c>
    </row>
    <row r="144" spans="1:29" s="2" customFormat="1" x14ac:dyDescent="0.25">
      <c r="A144" s="43" t="s">
        <v>420</v>
      </c>
      <c r="B144" s="43">
        <v>4017</v>
      </c>
      <c r="C144" s="43" t="s">
        <v>60</v>
      </c>
      <c r="D144" s="43" t="s">
        <v>81</v>
      </c>
      <c r="E144" s="25">
        <v>42545.910937499997</v>
      </c>
      <c r="F144" s="25">
        <v>42545.911759259259</v>
      </c>
      <c r="G144" s="31">
        <v>1</v>
      </c>
      <c r="H144" s="25" t="s">
        <v>61</v>
      </c>
      <c r="I144" s="25">
        <v>42545.939849537041</v>
      </c>
      <c r="J144" s="43">
        <v>0</v>
      </c>
      <c r="K144" s="43" t="str">
        <f t="shared" si="62"/>
        <v>4017/4018</v>
      </c>
      <c r="L144" s="43" t="str">
        <f>VLOOKUP(A144,'Trips&amp;Operators'!$C$1:$E$10000,3,FALSE)</f>
        <v>ADANE</v>
      </c>
      <c r="M144" s="11">
        <f t="shared" si="63"/>
        <v>2.8090277781302575E-2</v>
      </c>
      <c r="N144" s="12">
        <f t="shared" si="69"/>
        <v>40.450000005075708</v>
      </c>
      <c r="O144" s="12"/>
      <c r="P144" s="12"/>
      <c r="Q144" s="44"/>
      <c r="R144" s="44"/>
      <c r="S144" s="70">
        <f t="shared" si="61"/>
        <v>1</v>
      </c>
      <c r="T144" s="2" t="str">
        <f t="shared" si="64"/>
        <v>Southbound</v>
      </c>
      <c r="U144" s="2">
        <f>COUNTIFS(Variables!$M$2:$M$19, "&lt;=" &amp; Y144, Variables!$M$2:$M$19, "&gt;=" &amp; Z144)</f>
        <v>12</v>
      </c>
      <c r="V144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21:50:45-0600',mode:absolute,to:'2016-06-24 22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4" s="48" t="str">
        <f t="shared" si="66"/>
        <v>N</v>
      </c>
      <c r="X144" s="48">
        <f t="shared" si="67"/>
        <v>1</v>
      </c>
      <c r="Y144" s="48">
        <f t="shared" si="70"/>
        <v>23.297799999999999</v>
      </c>
      <c r="Z144" s="48">
        <f t="shared" si="71"/>
        <v>1.4500000000000001E-2</v>
      </c>
      <c r="AA144" s="48">
        <f t="shared" si="68"/>
        <v>23.283299999999997</v>
      </c>
      <c r="AB144" s="49" t="e">
        <f>VLOOKUP(A144,Enforcements!$C$7:$J$73,8,0)</f>
        <v>#N/A</v>
      </c>
      <c r="AC144" s="49" t="e">
        <f>VLOOKUP(A144,Enforcements!$C$7:$E$73,3,0)</f>
        <v>#N/A</v>
      </c>
    </row>
    <row r="145" spans="1:29" s="2" customFormat="1" x14ac:dyDescent="0.25">
      <c r="A145" s="43" t="s">
        <v>421</v>
      </c>
      <c r="B145" s="43">
        <v>4029</v>
      </c>
      <c r="C145" s="43" t="s">
        <v>60</v>
      </c>
      <c r="D145" s="43" t="s">
        <v>72</v>
      </c>
      <c r="E145" s="25">
        <v>42545.888460648152</v>
      </c>
      <c r="F145" s="25">
        <v>42545.889687499999</v>
      </c>
      <c r="G145" s="31">
        <v>1</v>
      </c>
      <c r="H145" s="25" t="s">
        <v>177</v>
      </c>
      <c r="I145" s="25">
        <v>42545.921851851854</v>
      </c>
      <c r="J145" s="43">
        <v>0</v>
      </c>
      <c r="K145" s="43" t="str">
        <f t="shared" si="62"/>
        <v>4029/4030</v>
      </c>
      <c r="L145" s="43" t="str">
        <f>VLOOKUP(A145,'Trips&amp;Operators'!$C$1:$E$10000,3,FALSE)</f>
        <v>MAELZER</v>
      </c>
      <c r="M145" s="11">
        <f t="shared" si="63"/>
        <v>3.2164351854589768E-2</v>
      </c>
      <c r="N145" s="12">
        <f t="shared" si="69"/>
        <v>46.316666670609266</v>
      </c>
      <c r="O145" s="12"/>
      <c r="P145" s="12"/>
      <c r="Q145" s="44"/>
      <c r="R145" s="44"/>
      <c r="S145" s="70">
        <f t="shared" si="61"/>
        <v>1</v>
      </c>
      <c r="T145" s="2" t="str">
        <f t="shared" si="64"/>
        <v>NorthBound</v>
      </c>
      <c r="U145" s="2">
        <f>COUNTIFS(Variables!$M$2:$M$19, "&gt;=" &amp; Y145, Variables!$M$2:$M$19, "&lt;=" &amp; Z145)</f>
        <v>12</v>
      </c>
      <c r="V145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21:18:23-0600',mode:absolute,to:'2016-06-24 22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48" t="str">
        <f t="shared" si="66"/>
        <v>N</v>
      </c>
      <c r="X145" s="48">
        <f t="shared" si="67"/>
        <v>1</v>
      </c>
      <c r="Y145" s="48">
        <f t="shared" si="70"/>
        <v>4.6199999999999998E-2</v>
      </c>
      <c r="Z145" s="48">
        <f t="shared" si="71"/>
        <v>23.327999999999999</v>
      </c>
      <c r="AA145" s="48">
        <f t="shared" si="68"/>
        <v>23.2818</v>
      </c>
      <c r="AB145" s="49" t="e">
        <f>VLOOKUP(A145,Enforcements!$C$7:$J$73,8,0)</f>
        <v>#N/A</v>
      </c>
      <c r="AC145" s="49" t="e">
        <f>VLOOKUP(A145,Enforcements!$C$7:$E$73,3,0)</f>
        <v>#N/A</v>
      </c>
    </row>
    <row r="146" spans="1:29" s="2" customFormat="1" x14ac:dyDescent="0.25">
      <c r="A146" s="43" t="s">
        <v>422</v>
      </c>
      <c r="B146" s="43">
        <v>4030</v>
      </c>
      <c r="C146" s="43" t="s">
        <v>60</v>
      </c>
      <c r="D146" s="43" t="s">
        <v>216</v>
      </c>
      <c r="E146" s="25">
        <v>42545.929780092592</v>
      </c>
      <c r="F146" s="25">
        <v>42545.930891203701</v>
      </c>
      <c r="G146" s="31">
        <v>1</v>
      </c>
      <c r="H146" s="25" t="s">
        <v>98</v>
      </c>
      <c r="I146" s="25">
        <v>42545.940347222226</v>
      </c>
      <c r="J146" s="43">
        <v>0</v>
      </c>
      <c r="K146" s="43" t="str">
        <f t="shared" si="62"/>
        <v>4029/4030</v>
      </c>
      <c r="L146" s="43" t="str">
        <f>VLOOKUP(A146,'Trips&amp;Operators'!$C$1:$E$10000,3,FALSE)</f>
        <v>MAELZER</v>
      </c>
      <c r="M146" s="11">
        <f t="shared" si="63"/>
        <v>9.456018524360843E-3</v>
      </c>
      <c r="N146" s="12"/>
      <c r="O146" s="12"/>
      <c r="P146" s="12">
        <f>24*60*SUM($M146:$M146)</f>
        <v>13.616666675079614</v>
      </c>
      <c r="Q146" s="44"/>
      <c r="R146" s="44" t="s">
        <v>505</v>
      </c>
      <c r="S146" s="70">
        <f t="shared" si="61"/>
        <v>0</v>
      </c>
      <c r="T146" s="2" t="str">
        <f t="shared" si="64"/>
        <v>Southbound</v>
      </c>
      <c r="U146" s="2">
        <f>COUNTIFS(Variables!$M$2:$M$19, "&lt;=" &amp; Y146, Variables!$M$2:$M$19, "&gt;=" &amp; Z146)</f>
        <v>0</v>
      </c>
      <c r="V146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22:17:53-0600',mode:absolute,to:'2016-06-24 22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6" s="48" t="str">
        <f t="shared" si="66"/>
        <v>Y</v>
      </c>
      <c r="X146" s="48">
        <f t="shared" si="67"/>
        <v>1</v>
      </c>
      <c r="Y146" s="48">
        <f t="shared" si="70"/>
        <v>23.296299999999999</v>
      </c>
      <c r="Z146" s="48">
        <v>19.5</v>
      </c>
      <c r="AA146" s="48">
        <f t="shared" si="68"/>
        <v>3.7962999999999987</v>
      </c>
      <c r="AB146" s="49" t="e">
        <f>VLOOKUP(A146,Enforcements!$C$7:$J$73,8,0)</f>
        <v>#N/A</v>
      </c>
      <c r="AC146" s="49" t="e">
        <f>VLOOKUP(A146,Enforcements!$C$7:$E$73,3,0)</f>
        <v>#N/A</v>
      </c>
    </row>
    <row r="147" spans="1:29" s="2" customFormat="1" x14ac:dyDescent="0.25">
      <c r="A147" s="43" t="s">
        <v>423</v>
      </c>
      <c r="B147" s="43">
        <v>4040</v>
      </c>
      <c r="C147" s="43" t="s">
        <v>60</v>
      </c>
      <c r="D147" s="43" t="s">
        <v>84</v>
      </c>
      <c r="E147" s="25">
        <v>42545.915381944447</v>
      </c>
      <c r="F147" s="25">
        <v>42545.916527777779</v>
      </c>
      <c r="G147" s="31">
        <v>1</v>
      </c>
      <c r="H147" s="25" t="s">
        <v>114</v>
      </c>
      <c r="I147" s="25">
        <v>42545.942696759259</v>
      </c>
      <c r="J147" s="43">
        <v>0</v>
      </c>
      <c r="K147" s="43" t="str">
        <f t="shared" si="62"/>
        <v>4039/4040</v>
      </c>
      <c r="L147" s="43" t="str">
        <f>VLOOKUP(A147,'Trips&amp;Operators'!$C$1:$E$10000,3,FALSE)</f>
        <v>BRUDER</v>
      </c>
      <c r="M147" s="11">
        <f t="shared" si="63"/>
        <v>2.6168981479713693E-2</v>
      </c>
      <c r="N147" s="12">
        <f t="shared" ref="N147:N160" si="72">24*60*SUM($M147:$M147)</f>
        <v>37.683333330787718</v>
      </c>
      <c r="O147" s="12"/>
      <c r="P147" s="12"/>
      <c r="Q147" s="44"/>
      <c r="R147" s="44"/>
      <c r="S147" s="70">
        <f t="shared" si="61"/>
        <v>1</v>
      </c>
      <c r="T147" s="2" t="str">
        <f t="shared" si="64"/>
        <v>NorthBound</v>
      </c>
      <c r="U147" s="2">
        <f>COUNTIFS(Variables!$M$2:$M$19, "&gt;=" &amp; Y147, Variables!$M$2:$M$19, "&lt;=" &amp; Z147)</f>
        <v>12</v>
      </c>
      <c r="V147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21:57:09-0600',mode:absolute,to:'2016-06-24 22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7" s="48" t="str">
        <f t="shared" si="66"/>
        <v>N</v>
      </c>
      <c r="X147" s="48">
        <f t="shared" si="67"/>
        <v>1</v>
      </c>
      <c r="Y147" s="48">
        <f t="shared" si="70"/>
        <v>4.58E-2</v>
      </c>
      <c r="Z147" s="48">
        <f t="shared" si="71"/>
        <v>23.3291</v>
      </c>
      <c r="AA147" s="48">
        <f t="shared" si="68"/>
        <v>23.283300000000001</v>
      </c>
      <c r="AB147" s="49" t="e">
        <f>VLOOKUP(A147,Enforcements!$C$7:$J$73,8,0)</f>
        <v>#N/A</v>
      </c>
      <c r="AC147" s="49" t="e">
        <f>VLOOKUP(A147,Enforcements!$C$7:$E$73,3,0)</f>
        <v>#N/A</v>
      </c>
    </row>
    <row r="148" spans="1:29" s="2" customFormat="1" x14ac:dyDescent="0.25">
      <c r="A148" s="43" t="s">
        <v>424</v>
      </c>
      <c r="B148" s="43">
        <v>4039</v>
      </c>
      <c r="C148" s="43" t="s">
        <v>60</v>
      </c>
      <c r="D148" s="43" t="s">
        <v>216</v>
      </c>
      <c r="E148" s="25">
        <v>42545.949467592596</v>
      </c>
      <c r="F148" s="25">
        <v>42545.950474537036</v>
      </c>
      <c r="G148" s="31">
        <v>1</v>
      </c>
      <c r="H148" s="25" t="s">
        <v>67</v>
      </c>
      <c r="I148" s="25">
        <v>42545.982222222221</v>
      </c>
      <c r="J148" s="43">
        <v>0</v>
      </c>
      <c r="K148" s="43" t="str">
        <f t="shared" si="62"/>
        <v>4039/4040</v>
      </c>
      <c r="L148" s="43" t="str">
        <f>VLOOKUP(A148,'Trips&amp;Operators'!$C$1:$E$10000,3,FALSE)</f>
        <v>BRUDER</v>
      </c>
      <c r="M148" s="11">
        <f t="shared" si="63"/>
        <v>3.1747685185109731E-2</v>
      </c>
      <c r="N148" s="12">
        <f t="shared" si="72"/>
        <v>45.716666666558012</v>
      </c>
      <c r="O148" s="12"/>
      <c r="P148" s="12"/>
      <c r="Q148" s="44"/>
      <c r="R148" s="44"/>
      <c r="S148" s="70">
        <f t="shared" si="61"/>
        <v>1</v>
      </c>
      <c r="T148" s="2" t="str">
        <f t="shared" si="64"/>
        <v>Southbound</v>
      </c>
      <c r="U148" s="2">
        <f>COUNTIFS(Variables!$M$2:$M$19, "&lt;=" &amp; Y148, Variables!$M$2:$M$19, "&gt;=" &amp; Z148)</f>
        <v>12</v>
      </c>
      <c r="V148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22:46:14-0600',mode:absolute,to:'2016-06-24 23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8" s="48" t="str">
        <f t="shared" si="66"/>
        <v>N</v>
      </c>
      <c r="X148" s="48">
        <f t="shared" si="67"/>
        <v>1</v>
      </c>
      <c r="Y148" s="48">
        <f t="shared" si="70"/>
        <v>23.296299999999999</v>
      </c>
      <c r="Z148" s="48">
        <f t="shared" si="71"/>
        <v>1.47E-2</v>
      </c>
      <c r="AA148" s="48">
        <f t="shared" si="68"/>
        <v>23.281599999999997</v>
      </c>
      <c r="AB148" s="49" t="e">
        <f>VLOOKUP(A148,Enforcements!$C$7:$J$73,8,0)</f>
        <v>#N/A</v>
      </c>
      <c r="AC148" s="49" t="e">
        <f>VLOOKUP(A148,Enforcements!$C$7:$E$73,3,0)</f>
        <v>#N/A</v>
      </c>
    </row>
    <row r="149" spans="1:29" s="2" customFormat="1" x14ac:dyDescent="0.25">
      <c r="A149" s="43" t="s">
        <v>425</v>
      </c>
      <c r="B149" s="43">
        <v>4011</v>
      </c>
      <c r="C149" s="43" t="s">
        <v>60</v>
      </c>
      <c r="D149" s="43" t="s">
        <v>169</v>
      </c>
      <c r="E149" s="25">
        <v>42545.933981481481</v>
      </c>
      <c r="F149" s="25">
        <v>42545.93478009259</v>
      </c>
      <c r="G149" s="31">
        <v>1</v>
      </c>
      <c r="H149" s="25" t="s">
        <v>128</v>
      </c>
      <c r="I149" s="25">
        <v>42545.969456018516</v>
      </c>
      <c r="J149" s="43">
        <v>0</v>
      </c>
      <c r="K149" s="43" t="str">
        <f t="shared" si="62"/>
        <v>4011/4012</v>
      </c>
      <c r="L149" s="43" t="str">
        <f>VLOOKUP(A149,'Trips&amp;Operators'!$C$1:$E$10000,3,FALSE)</f>
        <v>MOSES</v>
      </c>
      <c r="M149" s="11">
        <f t="shared" si="63"/>
        <v>3.4675925926421769E-2</v>
      </c>
      <c r="N149" s="12">
        <f t="shared" si="72"/>
        <v>49.933333334047347</v>
      </c>
      <c r="O149" s="12"/>
      <c r="P149" s="12"/>
      <c r="Q149" s="44"/>
      <c r="R149" s="44"/>
      <c r="S149" s="70">
        <f t="shared" si="61"/>
        <v>1</v>
      </c>
      <c r="T149" s="2" t="str">
        <f t="shared" si="64"/>
        <v>NorthBound</v>
      </c>
      <c r="U149" s="2">
        <f>COUNTIFS(Variables!$M$2:$M$19, "&gt;=" &amp; Y149, Variables!$M$2:$M$19, "&lt;=" &amp; Z149)</f>
        <v>12</v>
      </c>
      <c r="V149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22:23:56-0600',mode:absolute,to:'2016-06-24 23:17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9" s="48" t="str">
        <f t="shared" si="66"/>
        <v>N</v>
      </c>
      <c r="X149" s="48">
        <f t="shared" si="67"/>
        <v>1</v>
      </c>
      <c r="Y149" s="48">
        <f t="shared" si="70"/>
        <v>4.7100000000000003E-2</v>
      </c>
      <c r="Z149" s="48">
        <f t="shared" si="71"/>
        <v>23.3278</v>
      </c>
      <c r="AA149" s="48">
        <f t="shared" si="68"/>
        <v>23.2807</v>
      </c>
      <c r="AB149" s="49" t="e">
        <f>VLOOKUP(A149,Enforcements!$C$7:$J$73,8,0)</f>
        <v>#N/A</v>
      </c>
      <c r="AC149" s="49" t="e">
        <f>VLOOKUP(A149,Enforcements!$C$7:$E$73,3,0)</f>
        <v>#N/A</v>
      </c>
    </row>
    <row r="150" spans="1:29" s="2" customFormat="1" x14ac:dyDescent="0.25">
      <c r="A150" s="43" t="s">
        <v>426</v>
      </c>
      <c r="B150" s="43">
        <v>4012</v>
      </c>
      <c r="C150" s="43" t="s">
        <v>60</v>
      </c>
      <c r="D150" s="43" t="s">
        <v>219</v>
      </c>
      <c r="E150" s="25">
        <v>42545.974432870367</v>
      </c>
      <c r="F150" s="25">
        <v>42545.975393518522</v>
      </c>
      <c r="G150" s="31">
        <v>1</v>
      </c>
      <c r="H150" s="25" t="s">
        <v>62</v>
      </c>
      <c r="I150" s="25">
        <v>42546.003067129626</v>
      </c>
      <c r="J150" s="43">
        <v>0</v>
      </c>
      <c r="K150" s="43" t="str">
        <f t="shared" si="62"/>
        <v>4011/4012</v>
      </c>
      <c r="L150" s="43" t="str">
        <f>VLOOKUP(A150,'Trips&amp;Operators'!$C$1:$E$10000,3,FALSE)</f>
        <v>MOSES</v>
      </c>
      <c r="M150" s="11">
        <f t="shared" si="63"/>
        <v>2.767361110454658E-2</v>
      </c>
      <c r="N150" s="12">
        <f t="shared" si="72"/>
        <v>39.849999990547076</v>
      </c>
      <c r="O150" s="12"/>
      <c r="P150" s="12"/>
      <c r="Q150" s="44"/>
      <c r="R150" s="44"/>
      <c r="S150" s="70">
        <f t="shared" si="61"/>
        <v>1</v>
      </c>
      <c r="T150" s="2" t="str">
        <f t="shared" si="64"/>
        <v>Southbound</v>
      </c>
      <c r="U150" s="2">
        <f>COUNTIFS(Variables!$M$2:$M$19, "&lt;=" &amp; Y150, Variables!$M$2:$M$19, "&gt;=" &amp; Z150)</f>
        <v>12</v>
      </c>
      <c r="V150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23:22:11-0600',mode:absolute,to:'2016-06-25 00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0" s="48" t="str">
        <f t="shared" si="66"/>
        <v>N</v>
      </c>
      <c r="X150" s="48">
        <f t="shared" si="67"/>
        <v>1</v>
      </c>
      <c r="Y150" s="48">
        <f t="shared" si="70"/>
        <v>23.296500000000002</v>
      </c>
      <c r="Z150" s="48">
        <f t="shared" si="71"/>
        <v>1.52E-2</v>
      </c>
      <c r="AA150" s="48">
        <f t="shared" si="68"/>
        <v>23.281300000000002</v>
      </c>
      <c r="AB150" s="49" t="e">
        <f>VLOOKUP(A150,Enforcements!$C$7:$J$73,8,0)</f>
        <v>#N/A</v>
      </c>
      <c r="AC150" s="49" t="e">
        <f>VLOOKUP(A150,Enforcements!$C$7:$E$73,3,0)</f>
        <v>#N/A</v>
      </c>
    </row>
    <row r="151" spans="1:29" s="2" customFormat="1" x14ac:dyDescent="0.25">
      <c r="A151" s="43" t="s">
        <v>427</v>
      </c>
      <c r="B151" s="43">
        <v>4018</v>
      </c>
      <c r="C151" s="43" t="s">
        <v>60</v>
      </c>
      <c r="D151" s="43" t="s">
        <v>69</v>
      </c>
      <c r="E151" s="25">
        <v>42545.954027777778</v>
      </c>
      <c r="F151" s="25">
        <v>42545.955138888887</v>
      </c>
      <c r="G151" s="31">
        <v>1</v>
      </c>
      <c r="H151" s="25" t="s">
        <v>342</v>
      </c>
      <c r="I151" s="25">
        <v>42545.984525462962</v>
      </c>
      <c r="J151" s="43">
        <v>1</v>
      </c>
      <c r="K151" s="43" t="str">
        <f t="shared" si="62"/>
        <v>4017/4018</v>
      </c>
      <c r="L151" s="43" t="str">
        <f>VLOOKUP(A151,'Trips&amp;Operators'!$C$1:$E$10000,3,FALSE)</f>
        <v>ADANE</v>
      </c>
      <c r="M151" s="11">
        <f t="shared" si="63"/>
        <v>2.9386574075033423E-2</v>
      </c>
      <c r="N151" s="12">
        <f t="shared" si="72"/>
        <v>42.316666668048128</v>
      </c>
      <c r="O151" s="12"/>
      <c r="P151" s="12"/>
      <c r="Q151" s="44"/>
      <c r="R151" s="44"/>
      <c r="S151" s="70">
        <f t="shared" si="61"/>
        <v>1</v>
      </c>
      <c r="T151" s="2" t="str">
        <f t="shared" si="64"/>
        <v>NorthBound</v>
      </c>
      <c r="U151" s="2">
        <f>COUNTIFS(Variables!$M$2:$M$19, "&gt;=" &amp; Y151, Variables!$M$2:$M$19, "&lt;=" &amp; Z151)</f>
        <v>12</v>
      </c>
      <c r="V151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22:52:48-0600',mode:absolute,to:'2016-06-24 23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1" s="48" t="str">
        <f t="shared" si="66"/>
        <v>N</v>
      </c>
      <c r="X151" s="48">
        <f t="shared" si="67"/>
        <v>1</v>
      </c>
      <c r="Y151" s="48">
        <f t="shared" si="70"/>
        <v>4.5999999999999999E-2</v>
      </c>
      <c r="Z151" s="48">
        <f t="shared" si="71"/>
        <v>23.331199999999999</v>
      </c>
      <c r="AA151" s="48">
        <f t="shared" si="68"/>
        <v>23.2852</v>
      </c>
      <c r="AB151" s="49">
        <f>VLOOKUP(A151,Enforcements!$C$7:$J$73,8,0)</f>
        <v>0</v>
      </c>
      <c r="AC151" s="49" t="str">
        <f>VLOOKUP(A151,Enforcements!$C$7:$E$73,3,0)</f>
        <v>PERMANENT SPEED RESTRICTION</v>
      </c>
    </row>
    <row r="152" spans="1:29" x14ac:dyDescent="0.25">
      <c r="A152" s="43" t="s">
        <v>428</v>
      </c>
      <c r="B152" s="43">
        <v>4017</v>
      </c>
      <c r="C152" s="43" t="s">
        <v>60</v>
      </c>
      <c r="D152" s="43" t="s">
        <v>124</v>
      </c>
      <c r="E152" s="25">
        <v>42545.993715277778</v>
      </c>
      <c r="F152" s="25">
        <v>42545.994479166664</v>
      </c>
      <c r="G152" s="31">
        <v>1</v>
      </c>
      <c r="H152" s="25" t="s">
        <v>153</v>
      </c>
      <c r="I152" s="25">
        <v>42546.023634259262</v>
      </c>
      <c r="J152" s="43">
        <v>0</v>
      </c>
      <c r="K152" s="43" t="str">
        <f t="shared" si="62"/>
        <v>4017/4018</v>
      </c>
      <c r="L152" s="43" t="str">
        <f>VLOOKUP(A152,'Trips&amp;Operators'!$C$1:$E$10000,3,FALSE)</f>
        <v>ADANE</v>
      </c>
      <c r="M152" s="11">
        <f t="shared" si="63"/>
        <v>2.9155092597648036E-2</v>
      </c>
      <c r="N152" s="12">
        <f t="shared" si="72"/>
        <v>41.983333340613171</v>
      </c>
      <c r="O152" s="12"/>
      <c r="P152" s="12"/>
      <c r="Q152" s="44"/>
      <c r="R152" s="44"/>
      <c r="S152" s="70">
        <f t="shared" si="61"/>
        <v>1</v>
      </c>
      <c r="T152" s="2" t="str">
        <f t="shared" si="64"/>
        <v>Southbound</v>
      </c>
      <c r="U152" s="2">
        <f>COUNTIFS(Variables!$M$2:$M$19, "&lt;=" &amp; Y152, Variables!$M$2:$M$19, "&gt;=" &amp; Z152)</f>
        <v>12</v>
      </c>
      <c r="V152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23:49:57-0600',mode:absolute,to:'2016-06-25 00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2" s="48" t="str">
        <f t="shared" si="66"/>
        <v>N</v>
      </c>
      <c r="X152" s="48">
        <f t="shared" si="67"/>
        <v>1</v>
      </c>
      <c r="Y152" s="48">
        <f t="shared" si="70"/>
        <v>23.2986</v>
      </c>
      <c r="Z152" s="48">
        <f t="shared" si="71"/>
        <v>1.34E-2</v>
      </c>
      <c r="AA152" s="48">
        <f t="shared" si="68"/>
        <v>23.2852</v>
      </c>
      <c r="AB152" s="49" t="e">
        <f>VLOOKUP(A152,Enforcements!$C$7:$J$73,8,0)</f>
        <v>#N/A</v>
      </c>
      <c r="AC152" s="49" t="e">
        <f>VLOOKUP(A152,Enforcements!$C$7:$E$73,3,0)</f>
        <v>#N/A</v>
      </c>
    </row>
    <row r="153" spans="1:29" x14ac:dyDescent="0.25">
      <c r="A153" s="43" t="s">
        <v>429</v>
      </c>
      <c r="B153" s="43">
        <v>4029</v>
      </c>
      <c r="C153" s="43" t="s">
        <v>60</v>
      </c>
      <c r="D153" s="43" t="s">
        <v>118</v>
      </c>
      <c r="E153" s="25">
        <v>42545.973761574074</v>
      </c>
      <c r="F153" s="25">
        <v>42545.974791666667</v>
      </c>
      <c r="G153" s="31">
        <v>1</v>
      </c>
      <c r="H153" s="25" t="s">
        <v>152</v>
      </c>
      <c r="I153" s="25">
        <v>42546.005960648145</v>
      </c>
      <c r="J153" s="43">
        <v>1</v>
      </c>
      <c r="K153" s="43" t="str">
        <f t="shared" si="62"/>
        <v>4029/4030</v>
      </c>
      <c r="L153" s="43" t="str">
        <f>VLOOKUP(A153,'Trips&amp;Operators'!$C$1:$E$10000,3,FALSE)</f>
        <v>MAELZER</v>
      </c>
      <c r="M153" s="11">
        <f t="shared" si="63"/>
        <v>3.1168981477094349E-2</v>
      </c>
      <c r="N153" s="12">
        <f t="shared" si="72"/>
        <v>44.883333327015862</v>
      </c>
      <c r="O153" s="12"/>
      <c r="P153" s="12"/>
      <c r="Q153" s="44"/>
      <c r="R153" s="44"/>
      <c r="S153" s="70">
        <f t="shared" si="61"/>
        <v>1</v>
      </c>
      <c r="T153" s="2" t="str">
        <f t="shared" si="64"/>
        <v>NorthBound</v>
      </c>
      <c r="U153" s="2">
        <f>COUNTIFS(Variables!$M$2:$M$19, "&gt;=" &amp; Y153, Variables!$M$2:$M$19, "&lt;=" &amp; Z153)</f>
        <v>12</v>
      </c>
      <c r="V153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23:21:13-0600',mode:absolute,to:'2016-06-25 00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3" s="48" t="str">
        <f t="shared" si="66"/>
        <v>N</v>
      </c>
      <c r="X153" s="48">
        <f t="shared" si="67"/>
        <v>1</v>
      </c>
      <c r="Y153" s="48">
        <f t="shared" si="70"/>
        <v>4.6699999999999998E-2</v>
      </c>
      <c r="Z153" s="48">
        <f t="shared" si="71"/>
        <v>23.328800000000001</v>
      </c>
      <c r="AA153" s="48">
        <f t="shared" si="68"/>
        <v>23.2821</v>
      </c>
      <c r="AB153" s="49">
        <f>VLOOKUP(A153,Enforcements!$C$7:$J$73,8,0)</f>
        <v>233491</v>
      </c>
      <c r="AC153" s="49" t="str">
        <f>VLOOKUP(A153,Enforcements!$C$7:$E$73,3,0)</f>
        <v>TRACK WARRANT AUTHORITY</v>
      </c>
    </row>
    <row r="154" spans="1:29" s="2" customFormat="1" x14ac:dyDescent="0.25">
      <c r="A154" s="43" t="s">
        <v>430</v>
      </c>
      <c r="B154" s="43">
        <v>4030</v>
      </c>
      <c r="C154" s="43" t="s">
        <v>60</v>
      </c>
      <c r="D154" s="43" t="s">
        <v>212</v>
      </c>
      <c r="E154" s="25">
        <v>42546.01116898148</v>
      </c>
      <c r="F154" s="25">
        <v>42546.013298611113</v>
      </c>
      <c r="G154" s="25">
        <v>3</v>
      </c>
      <c r="H154" s="25" t="s">
        <v>98</v>
      </c>
      <c r="I154" s="25">
        <v>42546.048796296294</v>
      </c>
      <c r="J154" s="43">
        <v>0</v>
      </c>
      <c r="K154" s="43" t="str">
        <f t="shared" si="62"/>
        <v>4029/4030</v>
      </c>
      <c r="L154" s="43" t="str">
        <f>VLOOKUP(A154,'Trips&amp;Operators'!$C$1:$E$10000,3,FALSE)</f>
        <v>MAELZER</v>
      </c>
      <c r="M154" s="11">
        <f t="shared" si="63"/>
        <v>3.5497685181326233E-2</v>
      </c>
      <c r="N154" s="12">
        <f t="shared" si="72"/>
        <v>51.116666661109775</v>
      </c>
      <c r="O154" s="12"/>
      <c r="P154" s="12"/>
      <c r="Q154" s="44"/>
      <c r="R154" s="44"/>
      <c r="S154" s="70">
        <f t="shared" si="61"/>
        <v>1</v>
      </c>
      <c r="T154" s="2" t="str">
        <f t="shared" si="64"/>
        <v>Southbound</v>
      </c>
      <c r="U154" s="2">
        <f>COUNTIFS(Variables!$M$2:$M$19, "&lt;=" &amp; Y154, Variables!$M$2:$M$19, "&gt;=" &amp; Z154)</f>
        <v>12</v>
      </c>
      <c r="V154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00:15:05-0600',mode:absolute,to:'2016-06-25 01:11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4" s="48" t="str">
        <f t="shared" si="66"/>
        <v>N</v>
      </c>
      <c r="X154" s="48">
        <f t="shared" si="67"/>
        <v>1</v>
      </c>
      <c r="Y154" s="48">
        <f t="shared" si="70"/>
        <v>23.2971</v>
      </c>
      <c r="Z154" s="48">
        <f t="shared" si="71"/>
        <v>1.61E-2</v>
      </c>
      <c r="AA154" s="48">
        <f t="shared" si="68"/>
        <v>23.280999999999999</v>
      </c>
      <c r="AB154" s="49" t="e">
        <f>VLOOKUP(A154,Enforcements!$C$7:$J$73,8,0)</f>
        <v>#N/A</v>
      </c>
      <c r="AC154" s="49" t="e">
        <f>VLOOKUP(A154,Enforcements!$C$7:$E$73,3,0)</f>
        <v>#N/A</v>
      </c>
    </row>
    <row r="155" spans="1:29" x14ac:dyDescent="0.25">
      <c r="A155" s="43" t="s">
        <v>431</v>
      </c>
      <c r="B155" s="43">
        <v>4040</v>
      </c>
      <c r="C155" s="43" t="s">
        <v>60</v>
      </c>
      <c r="D155" s="43" t="s">
        <v>72</v>
      </c>
      <c r="E155" s="25">
        <v>42545.992384259262</v>
      </c>
      <c r="F155" s="25">
        <v>42545.99428240741</v>
      </c>
      <c r="G155" s="25">
        <v>2</v>
      </c>
      <c r="H155" s="25" t="s">
        <v>104</v>
      </c>
      <c r="I155" s="25">
        <v>42546.028784722221</v>
      </c>
      <c r="J155" s="43">
        <v>1</v>
      </c>
      <c r="K155" s="43" t="str">
        <f t="shared" si="62"/>
        <v>4039/4040</v>
      </c>
      <c r="L155" s="43" t="str">
        <f>VLOOKUP(A155,'Trips&amp;Operators'!$C$1:$E$10000,3,FALSE)</f>
        <v>BRUDER</v>
      </c>
      <c r="M155" s="11">
        <f t="shared" si="63"/>
        <v>3.4502314811106771E-2</v>
      </c>
      <c r="N155" s="12">
        <f t="shared" si="72"/>
        <v>49.683333327993751</v>
      </c>
      <c r="O155" s="12"/>
      <c r="P155" s="12"/>
      <c r="Q155" s="44"/>
      <c r="R155" s="44"/>
      <c r="S155" s="70">
        <f t="shared" si="61"/>
        <v>1</v>
      </c>
      <c r="T155" s="2" t="str">
        <f t="shared" si="64"/>
        <v>NorthBound</v>
      </c>
      <c r="U155" s="2">
        <f>COUNTIFS(Variables!$M$2:$M$19, "&gt;=" &amp; Y155, Variables!$M$2:$M$19, "&lt;=" &amp; Z155)</f>
        <v>12</v>
      </c>
      <c r="V155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https://search-rtdc-monitor-bjffxe2xuh6vdkpspy63sjmuny.us-east-1.es.amazonaws.com/_plugin/kibana/#/discover/Steve-Slow-Train-Analysis-(2080s-and-2083s)?_g=(refreshInterval:(display:Off,section:0,value:0),time:(from:'2016-06-24 23:48:02-0600',mode:absolute,to:'2016-06-25 00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5" s="48" t="str">
        <f t="shared" si="66"/>
        <v>N</v>
      </c>
      <c r="X155" s="48">
        <f t="shared" si="67"/>
        <v>1</v>
      </c>
      <c r="Y155" s="48">
        <f t="shared" si="70"/>
        <v>4.6199999999999998E-2</v>
      </c>
      <c r="Z155" s="48">
        <f t="shared" si="71"/>
        <v>23.329499999999999</v>
      </c>
      <c r="AA155" s="48">
        <f t="shared" si="68"/>
        <v>23.283300000000001</v>
      </c>
      <c r="AB155" s="49">
        <f>VLOOKUP(A155,Enforcements!$C$7:$J$73,8,0)</f>
        <v>110617</v>
      </c>
      <c r="AC155" s="49" t="str">
        <f>VLOOKUP(A155,Enforcements!$C$7:$E$73,3,0)</f>
        <v>EQUIPMENT RESTRICTION</v>
      </c>
    </row>
    <row r="156" spans="1:29" x14ac:dyDescent="0.25">
      <c r="A156" s="43" t="s">
        <v>432</v>
      </c>
      <c r="B156" s="43">
        <v>4039</v>
      </c>
      <c r="C156" s="43" t="s">
        <v>60</v>
      </c>
      <c r="D156" s="43" t="s">
        <v>433</v>
      </c>
      <c r="E156" s="25">
        <v>42546.034490740742</v>
      </c>
      <c r="F156" s="25">
        <v>42546.035868055558</v>
      </c>
      <c r="G156" s="25">
        <v>1</v>
      </c>
      <c r="H156" s="25" t="s">
        <v>218</v>
      </c>
      <c r="I156" s="25">
        <v>42546.065601851849</v>
      </c>
      <c r="J156" s="43">
        <v>0</v>
      </c>
      <c r="K156" s="43" t="str">
        <f t="shared" si="62"/>
        <v>4039/4040</v>
      </c>
      <c r="L156" s="43" t="str">
        <f>VLOOKUP(A156,'Trips&amp;Operators'!$C$1:$E$10000,3,FALSE)</f>
        <v>BRUDER</v>
      </c>
      <c r="M156" s="11">
        <f t="shared" si="63"/>
        <v>2.9733796291111503E-2</v>
      </c>
      <c r="N156" s="12">
        <f t="shared" si="72"/>
        <v>42.816666659200564</v>
      </c>
      <c r="O156" s="12"/>
      <c r="P156" s="12"/>
      <c r="Q156" s="44"/>
      <c r="R156" s="44"/>
      <c r="S156" s="70">
        <f t="shared" si="61"/>
        <v>1</v>
      </c>
      <c r="T156" s="2" t="str">
        <f t="shared" si="64"/>
        <v>Southbound</v>
      </c>
      <c r="U156" s="2">
        <f>COUNTIFS(Variables!$M$2:$M$19, "&lt;=" &amp; Y156, Variables!$M$2:$M$19, "&gt;=" &amp; Z156)</f>
        <v>12</v>
      </c>
      <c r="V156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00:48:40-0600',mode:absolute,to:'2016-06-25 01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6" s="48" t="str">
        <f t="shared" si="66"/>
        <v>N</v>
      </c>
      <c r="X156" s="48">
        <f t="shared" si="67"/>
        <v>1</v>
      </c>
      <c r="Y156" s="48">
        <f t="shared" si="70"/>
        <v>23.299399999999999</v>
      </c>
      <c r="Z156" s="48">
        <f t="shared" si="71"/>
        <v>1.3599999999999999E-2</v>
      </c>
      <c r="AA156" s="48">
        <f t="shared" si="68"/>
        <v>23.285799999999998</v>
      </c>
      <c r="AB156" s="49" t="e">
        <f>VLOOKUP(A156,Enforcements!$C$7:$J$73,8,0)</f>
        <v>#N/A</v>
      </c>
      <c r="AC156" s="49" t="e">
        <f>VLOOKUP(A156,Enforcements!$C$7:$E$73,3,0)</f>
        <v>#N/A</v>
      </c>
    </row>
    <row r="157" spans="1:29" x14ac:dyDescent="0.25">
      <c r="A157" s="43" t="s">
        <v>434</v>
      </c>
      <c r="B157" s="43">
        <v>4011</v>
      </c>
      <c r="C157" s="43" t="s">
        <v>60</v>
      </c>
      <c r="D157" s="43" t="s">
        <v>69</v>
      </c>
      <c r="E157" s="25">
        <v>42546.018541666665</v>
      </c>
      <c r="F157" s="25">
        <v>42546.019444444442</v>
      </c>
      <c r="G157" s="25">
        <v>1</v>
      </c>
      <c r="H157" s="25" t="s">
        <v>126</v>
      </c>
      <c r="I157" s="25">
        <v>42546.046122685184</v>
      </c>
      <c r="J157" s="43">
        <v>0</v>
      </c>
      <c r="K157" s="43" t="str">
        <f t="shared" si="62"/>
        <v>4011/4012</v>
      </c>
      <c r="L157" s="43" t="str">
        <f>VLOOKUP(A157,'Trips&amp;Operators'!$C$1:$E$10000,3,FALSE)</f>
        <v>MOSES</v>
      </c>
      <c r="M157" s="11">
        <f t="shared" si="63"/>
        <v>2.6678240741603076E-2</v>
      </c>
      <c r="N157" s="12">
        <f t="shared" si="72"/>
        <v>38.41666666790843</v>
      </c>
      <c r="O157" s="12"/>
      <c r="P157" s="12"/>
      <c r="Q157" s="44"/>
      <c r="R157" s="44"/>
      <c r="S157" s="70">
        <f t="shared" si="61"/>
        <v>1</v>
      </c>
      <c r="T157" s="2" t="str">
        <f t="shared" si="64"/>
        <v>NorthBound</v>
      </c>
      <c r="U157" s="2">
        <f>COUNTIFS(Variables!$M$2:$M$19, "&gt;=" &amp; Y157, Variables!$M$2:$M$19, "&lt;=" &amp; Z157)</f>
        <v>12</v>
      </c>
      <c r="V157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00:25:42-0600',mode:absolute,to:'2016-06-25 01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7" s="48" t="str">
        <f t="shared" si="66"/>
        <v>N</v>
      </c>
      <c r="X157" s="48">
        <f t="shared" si="67"/>
        <v>1</v>
      </c>
      <c r="Y157" s="48">
        <f t="shared" si="70"/>
        <v>4.5999999999999999E-2</v>
      </c>
      <c r="Z157" s="48">
        <f t="shared" si="71"/>
        <v>23.330100000000002</v>
      </c>
      <c r="AA157" s="48">
        <f t="shared" si="68"/>
        <v>23.284100000000002</v>
      </c>
      <c r="AB157" s="49" t="e">
        <f>VLOOKUP(A157,Enforcements!$C$7:$J$73,8,0)</f>
        <v>#N/A</v>
      </c>
      <c r="AC157" s="49" t="e">
        <f>VLOOKUP(A157,Enforcements!$C$7:$E$73,3,0)</f>
        <v>#N/A</v>
      </c>
    </row>
    <row r="158" spans="1:29" x14ac:dyDescent="0.25">
      <c r="A158" s="43" t="s">
        <v>435</v>
      </c>
      <c r="B158" s="43">
        <v>4012</v>
      </c>
      <c r="C158" s="43" t="s">
        <v>60</v>
      </c>
      <c r="D158" s="43" t="s">
        <v>212</v>
      </c>
      <c r="E158" s="25">
        <v>42546.057268518518</v>
      </c>
      <c r="F158" s="25">
        <v>42546.058171296296</v>
      </c>
      <c r="G158" s="25">
        <v>1</v>
      </c>
      <c r="H158" s="25" t="s">
        <v>217</v>
      </c>
      <c r="I158" s="25">
        <v>42546.086435185185</v>
      </c>
      <c r="J158" s="43">
        <v>1</v>
      </c>
      <c r="K158" s="43" t="str">
        <f t="shared" si="62"/>
        <v>4011/4012</v>
      </c>
      <c r="L158" s="43" t="str">
        <f>VLOOKUP(A158,'Trips&amp;Operators'!$C$1:$E$10000,3,FALSE)</f>
        <v>MOSES</v>
      </c>
      <c r="M158" s="11">
        <f t="shared" si="63"/>
        <v>2.8263888889341615E-2</v>
      </c>
      <c r="N158" s="12">
        <f t="shared" si="72"/>
        <v>40.700000000651926</v>
      </c>
      <c r="O158" s="12"/>
      <c r="P158" s="12"/>
      <c r="Q158" s="44"/>
      <c r="R158" s="44"/>
      <c r="S158" s="70">
        <f t="shared" si="61"/>
        <v>1</v>
      </c>
      <c r="T158" s="2" t="str">
        <f t="shared" si="64"/>
        <v>Southbound</v>
      </c>
      <c r="U158" s="2">
        <f>COUNTIFS(Variables!$M$2:$M$19, "&lt;=" &amp; Y158, Variables!$M$2:$M$19, "&gt;=" &amp; Z158)</f>
        <v>12</v>
      </c>
      <c r="V158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01:21:28-0600',mode:absolute,to:'2016-06-25 02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8" s="48" t="str">
        <f t="shared" si="66"/>
        <v>N</v>
      </c>
      <c r="X158" s="48">
        <f t="shared" si="67"/>
        <v>1</v>
      </c>
      <c r="Y158" s="48">
        <f t="shared" si="70"/>
        <v>23.2971</v>
      </c>
      <c r="Z158" s="48">
        <f t="shared" si="71"/>
        <v>1.8100000000000002E-2</v>
      </c>
      <c r="AA158" s="48">
        <f t="shared" si="68"/>
        <v>23.279</v>
      </c>
      <c r="AB158" s="49" t="e">
        <f>VLOOKUP(A158,Enforcements!$C$7:$J$73,8,0)</f>
        <v>#N/A</v>
      </c>
      <c r="AC158" s="49" t="e">
        <f>VLOOKUP(A158,Enforcements!$C$7:$E$73,3,0)</f>
        <v>#N/A</v>
      </c>
    </row>
    <row r="159" spans="1:29" x14ac:dyDescent="0.25">
      <c r="A159" s="43" t="s">
        <v>436</v>
      </c>
      <c r="B159" s="43">
        <v>4018</v>
      </c>
      <c r="C159" s="43" t="s">
        <v>60</v>
      </c>
      <c r="D159" s="43" t="s">
        <v>300</v>
      </c>
      <c r="E159" s="25">
        <v>42546.040509259263</v>
      </c>
      <c r="F159" s="25">
        <v>42546.041331018518</v>
      </c>
      <c r="G159" s="25">
        <v>1</v>
      </c>
      <c r="H159" s="25" t="s">
        <v>437</v>
      </c>
      <c r="I159" s="25">
        <v>42546.066724537035</v>
      </c>
      <c r="J159" s="43">
        <v>0</v>
      </c>
      <c r="K159" s="43" t="str">
        <f t="shared" si="62"/>
        <v>4017/4018</v>
      </c>
      <c r="L159" s="43" t="str">
        <f>VLOOKUP(A159,'Trips&amp;Operators'!$C$1:$E$10000,3,FALSE)</f>
        <v>ADANE</v>
      </c>
      <c r="M159" s="11">
        <f t="shared" si="63"/>
        <v>2.5393518517375924E-2</v>
      </c>
      <c r="N159" s="12">
        <f t="shared" si="72"/>
        <v>36.56666666502133</v>
      </c>
      <c r="O159" s="12"/>
      <c r="P159" s="12"/>
      <c r="Q159" s="44"/>
      <c r="R159" s="44"/>
      <c r="S159" s="70">
        <f t="shared" si="61"/>
        <v>1</v>
      </c>
      <c r="T159" s="2" t="str">
        <f t="shared" si="64"/>
        <v>NorthBound</v>
      </c>
      <c r="U159" s="2">
        <f>COUNTIFS(Variables!$M$2:$M$19, "&gt;=" &amp; Y159, Variables!$M$2:$M$19, "&lt;=" &amp; Z159)</f>
        <v>12</v>
      </c>
      <c r="V159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00:57:20-0600',mode:absolute,to:'2016-06-25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9" s="48" t="str">
        <f t="shared" si="66"/>
        <v>N</v>
      </c>
      <c r="X159" s="48">
        <f t="shared" si="67"/>
        <v>1</v>
      </c>
      <c r="Y159" s="48">
        <f t="shared" si="70"/>
        <v>4.5100000000000001E-2</v>
      </c>
      <c r="Z159" s="48">
        <f t="shared" si="71"/>
        <v>23.333200000000001</v>
      </c>
      <c r="AA159" s="48">
        <f t="shared" si="68"/>
        <v>23.2881</v>
      </c>
      <c r="AB159" s="49" t="e">
        <f>VLOOKUP(A159,Enforcements!$C$7:$J$73,8,0)</f>
        <v>#N/A</v>
      </c>
      <c r="AC159" s="49" t="e">
        <f>VLOOKUP(A159,Enforcements!$C$7:$E$73,3,0)</f>
        <v>#N/A</v>
      </c>
    </row>
    <row r="160" spans="1:29" x14ac:dyDescent="0.25">
      <c r="A160" s="43" t="s">
        <v>438</v>
      </c>
      <c r="B160" s="43">
        <v>4017</v>
      </c>
      <c r="C160" s="43" t="s">
        <v>60</v>
      </c>
      <c r="D160" s="43" t="s">
        <v>81</v>
      </c>
      <c r="E160" s="25">
        <v>42546.075462962966</v>
      </c>
      <c r="F160" s="25">
        <v>42546.076550925929</v>
      </c>
      <c r="G160" s="25">
        <v>1</v>
      </c>
      <c r="H160" s="25" t="s">
        <v>439</v>
      </c>
      <c r="I160" s="25">
        <v>42546.107719907406</v>
      </c>
      <c r="J160" s="43">
        <v>1</v>
      </c>
      <c r="K160" s="43" t="str">
        <f t="shared" si="62"/>
        <v>4017/4018</v>
      </c>
      <c r="L160" s="43" t="e">
        <f>VLOOKUP(A160,'Trips&amp;Operators'!$C$1:$E$10000,3,FALSE)</f>
        <v>#N/A</v>
      </c>
      <c r="M160" s="11">
        <f t="shared" si="63"/>
        <v>3.1168981477094349E-2</v>
      </c>
      <c r="N160" s="12">
        <f t="shared" si="72"/>
        <v>44.883333327015862</v>
      </c>
      <c r="O160" s="12"/>
      <c r="P160" s="12"/>
      <c r="Q160" s="44"/>
      <c r="R160" s="44"/>
      <c r="S160" s="70">
        <f t="shared" si="61"/>
        <v>1</v>
      </c>
      <c r="T160" s="2" t="str">
        <f t="shared" si="64"/>
        <v>Southbound</v>
      </c>
      <c r="U160" s="2">
        <f>COUNTIFS(Variables!$M$2:$M$19, "&lt;=" &amp; Y160, Variables!$M$2:$M$19, "&gt;=" &amp; Z160)</f>
        <v>12</v>
      </c>
      <c r="V160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https://search-rtdc-monitor-bjffxe2xuh6vdkpspy63sjmuny.us-east-1.es.amazonaws.com/_plugin/kibana/#/discover/Steve-Slow-Train-Analysis-(2080s-and-2083s)?_g=(refreshInterval:(display:Off,section:0,value:0),time:(from:'2016-06-25 01:47:40-0600',mode:absolute,to:'2016-06-25 02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0" s="48" t="str">
        <f t="shared" si="66"/>
        <v>N</v>
      </c>
      <c r="X160" s="48">
        <f t="shared" si="67"/>
        <v>1</v>
      </c>
      <c r="Y160" s="48">
        <f t="shared" si="70"/>
        <v>23.297799999999999</v>
      </c>
      <c r="Z160" s="48">
        <f t="shared" si="71"/>
        <v>8.7099999999999997E-2</v>
      </c>
      <c r="AA160" s="48">
        <f t="shared" si="68"/>
        <v>23.210699999999999</v>
      </c>
      <c r="AB160" s="49" t="e">
        <f>VLOOKUP(A160,Enforcements!$C$7:$J$73,8,0)</f>
        <v>#N/A</v>
      </c>
      <c r="AC160" s="49" t="e">
        <f>VLOOKUP(A160,Enforcements!$C$7:$E$73,3,0)</f>
        <v>#N/A</v>
      </c>
    </row>
    <row r="161" spans="2:10" x14ac:dyDescent="0.25">
      <c r="B161" s="42"/>
      <c r="C161" s="42"/>
      <c r="D161" s="42"/>
      <c r="J161" s="42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  <row r="167" spans="2:10" x14ac:dyDescent="0.25">
      <c r="B167" s="42"/>
      <c r="C167" s="42"/>
      <c r="D167" s="42"/>
      <c r="J167" s="42"/>
    </row>
    <row r="168" spans="2:10" x14ac:dyDescent="0.25">
      <c r="B168" s="42"/>
      <c r="C168" s="42"/>
      <c r="D168" s="42"/>
      <c r="J168" s="42"/>
    </row>
    <row r="169" spans="2:10" x14ac:dyDescent="0.25">
      <c r="B169" s="42"/>
      <c r="C169" s="42"/>
      <c r="D169" s="42"/>
      <c r="J169" s="42"/>
    </row>
    <row r="170" spans="2:10" x14ac:dyDescent="0.25">
      <c r="B170" s="42"/>
      <c r="C170" s="42"/>
      <c r="D170" s="42"/>
      <c r="J170" s="42"/>
    </row>
    <row r="171" spans="2:10" x14ac:dyDescent="0.25">
      <c r="B171" s="42"/>
      <c r="C171" s="42"/>
      <c r="D171" s="42"/>
      <c r="J171" s="42"/>
    </row>
    <row r="172" spans="2:10" x14ac:dyDescent="0.25">
      <c r="B172" s="42"/>
      <c r="C172" s="42"/>
      <c r="D172" s="42"/>
      <c r="J172" s="42"/>
    </row>
    <row r="173" spans="2:10" x14ac:dyDescent="0.25">
      <c r="B173" s="42"/>
      <c r="C173" s="42"/>
      <c r="D173" s="42"/>
      <c r="J173" s="42"/>
    </row>
    <row r="174" spans="2:10" x14ac:dyDescent="0.25">
      <c r="B174" s="42"/>
      <c r="C174" s="42"/>
      <c r="D174" s="42"/>
      <c r="J174" s="42"/>
    </row>
    <row r="175" spans="2:10" x14ac:dyDescent="0.25">
      <c r="B175" s="42"/>
      <c r="C175" s="42"/>
      <c r="D175" s="42"/>
      <c r="J175" s="42"/>
    </row>
    <row r="176" spans="2:10" x14ac:dyDescent="0.25">
      <c r="B176" s="42"/>
      <c r="C176" s="42"/>
      <c r="D176" s="42"/>
      <c r="J176" s="42"/>
    </row>
    <row r="177" spans="2:10" x14ac:dyDescent="0.25">
      <c r="B177" s="42"/>
      <c r="C177" s="42"/>
      <c r="D177" s="42"/>
      <c r="J177" s="42"/>
    </row>
    <row r="178" spans="2:10" x14ac:dyDescent="0.25">
      <c r="B178" s="42"/>
      <c r="C178" s="42"/>
      <c r="D178" s="42"/>
      <c r="J178" s="42"/>
    </row>
    <row r="179" spans="2:10" x14ac:dyDescent="0.25">
      <c r="B179" s="42"/>
      <c r="C179" s="42"/>
      <c r="D179" s="42"/>
      <c r="J179" s="42"/>
    </row>
    <row r="180" spans="2:10" x14ac:dyDescent="0.25">
      <c r="B180" s="42"/>
      <c r="C180" s="42"/>
      <c r="D180" s="42"/>
      <c r="J180" s="42"/>
    </row>
    <row r="181" spans="2:10" x14ac:dyDescent="0.25">
      <c r="B181" s="42"/>
      <c r="C181" s="42"/>
      <c r="D181" s="42"/>
      <c r="J181" s="42"/>
    </row>
    <row r="182" spans="2:10" x14ac:dyDescent="0.25">
      <c r="B182" s="42"/>
      <c r="C182" s="42"/>
      <c r="D182" s="42"/>
      <c r="J182" s="42"/>
    </row>
    <row r="183" spans="2:10" x14ac:dyDescent="0.25">
      <c r="B183" s="42"/>
      <c r="C183" s="42"/>
      <c r="D183" s="42"/>
      <c r="J183" s="42"/>
    </row>
    <row r="184" spans="2:10" x14ac:dyDescent="0.25">
      <c r="B184" s="42"/>
      <c r="C184" s="42"/>
      <c r="D184" s="42"/>
      <c r="J184" s="42"/>
    </row>
    <row r="185" spans="2:10" x14ac:dyDescent="0.25">
      <c r="B185" s="42"/>
      <c r="C185" s="42"/>
      <c r="D185" s="42"/>
      <c r="J185" s="42"/>
    </row>
    <row r="186" spans="2:10" x14ac:dyDescent="0.25">
      <c r="B186" s="42"/>
      <c r="C186" s="42"/>
      <c r="D186" s="42"/>
      <c r="J186" s="42"/>
    </row>
    <row r="187" spans="2:10" x14ac:dyDescent="0.25">
      <c r="B187" s="42"/>
      <c r="C187" s="42"/>
      <c r="D187" s="42"/>
      <c r="J187" s="42"/>
    </row>
    <row r="188" spans="2:10" x14ac:dyDescent="0.25">
      <c r="B188" s="42"/>
      <c r="C188" s="42"/>
      <c r="D188" s="42"/>
      <c r="J188" s="42"/>
    </row>
    <row r="189" spans="2:10" x14ac:dyDescent="0.25">
      <c r="B189" s="42"/>
      <c r="C189" s="42"/>
      <c r="D189" s="42"/>
      <c r="J189" s="42"/>
    </row>
    <row r="190" spans="2:10" x14ac:dyDescent="0.25">
      <c r="B190" s="42"/>
      <c r="C190" s="42"/>
      <c r="D190" s="42"/>
      <c r="J190" s="42"/>
    </row>
    <row r="191" spans="2:10" x14ac:dyDescent="0.25">
      <c r="B191" s="42"/>
      <c r="C191" s="42"/>
      <c r="D191" s="42"/>
      <c r="J191" s="42"/>
    </row>
    <row r="192" spans="2:10" x14ac:dyDescent="0.25">
      <c r="B192" s="42"/>
      <c r="C192" s="42"/>
      <c r="D192" s="42"/>
      <c r="J192" s="42"/>
    </row>
    <row r="193" spans="2:10" x14ac:dyDescent="0.25">
      <c r="B193" s="42"/>
      <c r="C193" s="42"/>
      <c r="D193" s="42"/>
      <c r="J193" s="42"/>
    </row>
    <row r="194" spans="2:10" x14ac:dyDescent="0.25">
      <c r="B194" s="42"/>
      <c r="C194" s="42"/>
      <c r="D194" s="42"/>
      <c r="J194" s="42"/>
    </row>
    <row r="195" spans="2:10" x14ac:dyDescent="0.25">
      <c r="B195" s="42"/>
      <c r="C195" s="42"/>
      <c r="D195" s="42"/>
      <c r="J195" s="42"/>
    </row>
    <row r="196" spans="2:10" x14ac:dyDescent="0.25">
      <c r="B196" s="42"/>
      <c r="C196" s="42"/>
      <c r="D196" s="42"/>
      <c r="J196" s="42"/>
    </row>
    <row r="197" spans="2:10" x14ac:dyDescent="0.25">
      <c r="B197" s="42"/>
      <c r="C197" s="42"/>
      <c r="D197" s="42"/>
      <c r="J197" s="42"/>
    </row>
    <row r="198" spans="2:10" x14ac:dyDescent="0.25">
      <c r="B198" s="42"/>
      <c r="C198" s="42"/>
      <c r="D198" s="42"/>
      <c r="J198" s="42"/>
    </row>
    <row r="199" spans="2:10" x14ac:dyDescent="0.25">
      <c r="B199" s="42"/>
      <c r="C199" s="42"/>
      <c r="D199" s="42"/>
      <c r="J199" s="42"/>
    </row>
    <row r="200" spans="2:10" x14ac:dyDescent="0.25">
      <c r="B200" s="42"/>
      <c r="C200" s="42"/>
      <c r="D200" s="42"/>
      <c r="J200" s="42"/>
    </row>
    <row r="201" spans="2:10" x14ac:dyDescent="0.25">
      <c r="B201" s="42"/>
      <c r="C201" s="42"/>
      <c r="D201" s="42"/>
      <c r="J201" s="42"/>
    </row>
    <row r="202" spans="2:10" x14ac:dyDescent="0.25">
      <c r="B202" s="42"/>
      <c r="C202" s="42"/>
      <c r="D202" s="42"/>
      <c r="J202" s="42"/>
    </row>
    <row r="203" spans="2:10" x14ac:dyDescent="0.25">
      <c r="B203" s="42"/>
      <c r="C203" s="42"/>
      <c r="D203" s="42"/>
      <c r="J203" s="42"/>
    </row>
    <row r="204" spans="2:10" x14ac:dyDescent="0.25">
      <c r="B204" s="42"/>
      <c r="C204" s="42"/>
      <c r="D204" s="42"/>
      <c r="J204" s="42"/>
    </row>
  </sheetData>
  <autoFilter ref="A12:AC160"/>
  <sortState ref="A13:AC162">
    <sortCondition ref="A13:A162"/>
    <sortCondition ref="F13:F162"/>
  </sortState>
  <mergeCells count="4">
    <mergeCell ref="A11:P11"/>
    <mergeCell ref="I2:J2"/>
    <mergeCell ref="M2:O2"/>
    <mergeCell ref="I3:J3"/>
  </mergeCells>
  <conditionalFormatting sqref="W11:W12 W170:X1048576 W13:X160">
    <cfRule type="cellIs" dxfId="8" priority="69" operator="equal">
      <formula>"Y"</formula>
    </cfRule>
  </conditionalFormatting>
  <conditionalFormatting sqref="X170:X1048576 X13:X160">
    <cfRule type="cellIs" dxfId="7" priority="52" operator="greaterThan">
      <formula>1</formula>
    </cfRule>
  </conditionalFormatting>
  <conditionalFormatting sqref="X170:X1048576 X12:X160">
    <cfRule type="cellIs" dxfId="6" priority="49" operator="equal">
      <formula>0</formula>
    </cfRule>
  </conditionalFormatting>
  <conditionalFormatting sqref="B136:M138 A13:S13 S13:S29 A139:M146 A147:S160 A14:M135 N101:R153 N14:S146">
    <cfRule type="expression" dxfId="5" priority="45">
      <formula>$O13&gt;0</formula>
    </cfRule>
  </conditionalFormatting>
  <conditionalFormatting sqref="A13:S160">
    <cfRule type="expression" dxfId="4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B136:M138 A13:S13 S13:S29 A139:M146 A147:S160 A14:M135 N101:R153 N14:S146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showGridLines="0" tabSelected="1" topLeftCell="A7" zoomScale="85" zoomScaleNormal="85" workbookViewId="0">
      <selection activeCell="N25" sqref="A25:N45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24.1406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163</v>
      </c>
      <c r="L2" s="73"/>
      <c r="M2" s="74">
        <f>COUNTIF($M$7:$M$918,"=Y")</f>
        <v>9</v>
      </c>
      <c r="P2" s="55"/>
    </row>
    <row r="3" spans="1:17" s="42" customFormat="1" ht="15.75" thickBot="1" x14ac:dyDescent="0.3">
      <c r="A3" s="13"/>
      <c r="K3" s="75" t="s">
        <v>164</v>
      </c>
      <c r="L3" s="76"/>
      <c r="M3" s="77">
        <f>COUNTA($M$7:$M$918)-M2</f>
        <v>55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8" t="str">
        <f>"Eagle P3 Braking Events - "&amp;TEXT(Variables!$A$2,"YYYY-mm-dd")</f>
        <v>Eagle P3 Braking Events - 2016-06-24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73</v>
      </c>
    </row>
    <row r="7" spans="1:17" s="2" customFormat="1" x14ac:dyDescent="0.25">
      <c r="A7" s="78">
        <v>42545.995358796295</v>
      </c>
      <c r="B7" s="66" t="s">
        <v>184</v>
      </c>
      <c r="C7" s="66" t="s">
        <v>431</v>
      </c>
      <c r="D7" s="66" t="s">
        <v>50</v>
      </c>
      <c r="E7" s="66" t="s">
        <v>491</v>
      </c>
      <c r="F7" s="66">
        <v>790</v>
      </c>
      <c r="G7" s="66">
        <v>790</v>
      </c>
      <c r="H7" s="66">
        <v>144281</v>
      </c>
      <c r="I7" s="66" t="s">
        <v>59</v>
      </c>
      <c r="J7" s="66">
        <v>110617</v>
      </c>
      <c r="K7" s="66" t="s">
        <v>53</v>
      </c>
      <c r="L7" s="16" t="str">
        <f>VLOOKUP(C7,'Trips&amp;Operators'!$C$2:$E$10000,3,FALSE)</f>
        <v>BRUDER</v>
      </c>
      <c r="M7" s="15" t="s">
        <v>160</v>
      </c>
      <c r="N7" s="16" t="s">
        <v>505</v>
      </c>
      <c r="P7" s="54" t="str">
        <f>VLOOKUP(C7,'Train Runs'!$A$13:$V$246,22,0)</f>
        <v>https://search-rtdc-monitor-bjffxe2xuh6vdkpspy63sjmuny.us-east-1.es.amazonaws.com/_plugin/kibana/#/discover/Steve-Slow-Train-Analysis-(2080s-and-2083s)?_g=(refreshInterval:(display:Off,section:0,value:0),time:(from:'2016-06-24 23:48:02-0600',mode:absolute,to:'2016-06-25 00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" s="14" t="str">
        <f>MID(B7,13,4)</f>
        <v>4040</v>
      </c>
    </row>
    <row r="8" spans="1:17" s="2" customFormat="1" x14ac:dyDescent="0.25">
      <c r="A8" s="18">
        <v>42545.362083333333</v>
      </c>
      <c r="B8" s="17" t="s">
        <v>188</v>
      </c>
      <c r="C8" s="17" t="s">
        <v>263</v>
      </c>
      <c r="D8" s="17" t="s">
        <v>50</v>
      </c>
      <c r="E8" s="17" t="s">
        <v>78</v>
      </c>
      <c r="F8" s="17">
        <v>0</v>
      </c>
      <c r="G8" s="17">
        <v>173</v>
      </c>
      <c r="H8" s="17">
        <v>41985</v>
      </c>
      <c r="I8" s="17" t="s">
        <v>79</v>
      </c>
      <c r="J8" s="17">
        <v>42779</v>
      </c>
      <c r="K8" s="16" t="s">
        <v>53</v>
      </c>
      <c r="L8" s="16" t="str">
        <f>VLOOKUP(C8,'Trips&amp;Operators'!$C$2:$E$10000,3,FALSE)</f>
        <v>STAMBAUGH</v>
      </c>
      <c r="M8" s="15" t="s">
        <v>161</v>
      </c>
      <c r="N8" s="16" t="s">
        <v>515</v>
      </c>
      <c r="P8" s="54" t="str">
        <f>VLOOKUP(C8,'Train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8" s="14" t="str">
        <f>MID(B8,13,4)</f>
        <v>4037</v>
      </c>
    </row>
    <row r="9" spans="1:17" s="2" customFormat="1" x14ac:dyDescent="0.25">
      <c r="A9" s="78">
        <v>42545.362557870372</v>
      </c>
      <c r="B9" s="66" t="s">
        <v>188</v>
      </c>
      <c r="C9" s="66" t="s">
        <v>263</v>
      </c>
      <c r="D9" s="66" t="s">
        <v>50</v>
      </c>
      <c r="E9" s="66" t="s">
        <v>78</v>
      </c>
      <c r="F9" s="66">
        <v>0</v>
      </c>
      <c r="G9" s="66">
        <v>63</v>
      </c>
      <c r="H9" s="66">
        <v>42269</v>
      </c>
      <c r="I9" s="66" t="s">
        <v>79</v>
      </c>
      <c r="J9" s="66">
        <v>42779</v>
      </c>
      <c r="K9" s="66" t="s">
        <v>53</v>
      </c>
      <c r="L9" s="16" t="str">
        <f>VLOOKUP(C9,'Trips&amp;Operators'!$C$2:$E$10000,3,FALSE)</f>
        <v>STAMBAUGH</v>
      </c>
      <c r="M9" s="15" t="s">
        <v>161</v>
      </c>
      <c r="N9" s="16" t="s">
        <v>515</v>
      </c>
      <c r="P9" s="54" t="str">
        <f>VLOOKUP(C9,'Train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14" t="str">
        <f>MID(B9,13,4)</f>
        <v>4037</v>
      </c>
    </row>
    <row r="10" spans="1:17" s="2" customFormat="1" x14ac:dyDescent="0.25">
      <c r="A10" s="78">
        <v>42545.36519675926</v>
      </c>
      <c r="B10" s="66" t="s">
        <v>188</v>
      </c>
      <c r="C10" s="66" t="s">
        <v>263</v>
      </c>
      <c r="D10" s="66" t="s">
        <v>50</v>
      </c>
      <c r="E10" s="66" t="s">
        <v>78</v>
      </c>
      <c r="F10" s="66">
        <v>0</v>
      </c>
      <c r="G10" s="66">
        <v>6</v>
      </c>
      <c r="H10" s="66">
        <v>42769</v>
      </c>
      <c r="I10" s="66" t="s">
        <v>79</v>
      </c>
      <c r="J10" s="66">
        <v>42779</v>
      </c>
      <c r="K10" s="66" t="s">
        <v>53</v>
      </c>
      <c r="L10" s="16" t="str">
        <f>VLOOKUP(C10,'Trips&amp;Operators'!$C$2:$E$10000,3,FALSE)</f>
        <v>STAMBAUGH</v>
      </c>
      <c r="M10" s="15" t="s">
        <v>161</v>
      </c>
      <c r="N10" s="16" t="s">
        <v>515</v>
      </c>
      <c r="P10" s="54" t="str">
        <f>VLOOKUP(C10,'Train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" s="14" t="str">
        <f>MID(B10,13,4)</f>
        <v>4037</v>
      </c>
    </row>
    <row r="11" spans="1:17" s="2" customFormat="1" x14ac:dyDescent="0.25">
      <c r="A11" s="78">
        <v>42545.365624999999</v>
      </c>
      <c r="B11" s="66" t="s">
        <v>188</v>
      </c>
      <c r="C11" s="66" t="s">
        <v>263</v>
      </c>
      <c r="D11" s="66" t="s">
        <v>50</v>
      </c>
      <c r="E11" s="66" t="s">
        <v>78</v>
      </c>
      <c r="F11" s="66">
        <v>0</v>
      </c>
      <c r="G11" s="66">
        <v>74</v>
      </c>
      <c r="H11" s="66">
        <v>62536</v>
      </c>
      <c r="I11" s="66" t="s">
        <v>79</v>
      </c>
      <c r="J11" s="66">
        <v>63068</v>
      </c>
      <c r="K11" s="66" t="s">
        <v>53</v>
      </c>
      <c r="L11" s="16" t="str">
        <f>VLOOKUP(C11,'Trips&amp;Operators'!$C$2:$E$10000,3,FALSE)</f>
        <v>STAMBAUGH</v>
      </c>
      <c r="M11" s="15" t="s">
        <v>161</v>
      </c>
      <c r="N11" s="16" t="s">
        <v>515</v>
      </c>
      <c r="P11" s="54" t="str">
        <f>VLOOKUP(C11,'Train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1" s="14" t="str">
        <f>MID(B11,13,4)</f>
        <v>4037</v>
      </c>
    </row>
    <row r="12" spans="1:17" s="2" customFormat="1" x14ac:dyDescent="0.25">
      <c r="A12" s="18">
        <v>42545.366435185184</v>
      </c>
      <c r="B12" s="17" t="s">
        <v>188</v>
      </c>
      <c r="C12" s="17" t="s">
        <v>263</v>
      </c>
      <c r="D12" s="17" t="s">
        <v>50</v>
      </c>
      <c r="E12" s="17" t="s">
        <v>78</v>
      </c>
      <c r="F12" s="17">
        <v>0</v>
      </c>
      <c r="G12" s="17">
        <v>13</v>
      </c>
      <c r="H12" s="17">
        <v>63007</v>
      </c>
      <c r="I12" s="17" t="s">
        <v>79</v>
      </c>
      <c r="J12" s="17">
        <v>63068</v>
      </c>
      <c r="K12" s="16" t="s">
        <v>53</v>
      </c>
      <c r="L12" s="16" t="str">
        <f>VLOOKUP(C12,'Trips&amp;Operators'!$C$2:$E$10000,3,FALSE)</f>
        <v>STAMBAUGH</v>
      </c>
      <c r="M12" s="15" t="s">
        <v>161</v>
      </c>
      <c r="N12" s="16" t="s">
        <v>515</v>
      </c>
      <c r="P12" s="54" t="str">
        <f>VLOOKUP(C12,'Train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2" s="14" t="str">
        <f t="shared" ref="Q12:Q70" si="0">MID(B12,13,4)</f>
        <v>4037</v>
      </c>
    </row>
    <row r="13" spans="1:17" s="2" customFormat="1" x14ac:dyDescent="0.25">
      <c r="A13" s="18">
        <v>42545.356006944443</v>
      </c>
      <c r="B13" s="17" t="s">
        <v>109</v>
      </c>
      <c r="C13" s="17" t="s">
        <v>281</v>
      </c>
      <c r="D13" s="17" t="s">
        <v>50</v>
      </c>
      <c r="E13" s="17" t="s">
        <v>78</v>
      </c>
      <c r="F13" s="17">
        <v>0</v>
      </c>
      <c r="G13" s="17">
        <v>39</v>
      </c>
      <c r="H13" s="17">
        <v>62919</v>
      </c>
      <c r="I13" s="17" t="s">
        <v>79</v>
      </c>
      <c r="J13" s="17">
        <v>63068</v>
      </c>
      <c r="K13" s="16" t="s">
        <v>53</v>
      </c>
      <c r="L13" s="16" t="str">
        <f>VLOOKUP(C13,'Trips&amp;Operators'!$C$2:$E$10000,3,FALSE)</f>
        <v>MALAVE</v>
      </c>
      <c r="M13" s="15" t="s">
        <v>161</v>
      </c>
      <c r="N13" s="16" t="s">
        <v>515</v>
      </c>
      <c r="P13" s="54" t="str">
        <f>VLOOKUP(C13,'Train Runs'!$A$13:$V$246,22,0)</f>
        <v>https://search-rtdc-monitor-bjffxe2xuh6vdkpspy63sjmuny.us-east-1.es.amazonaws.com/_plugin/kibana/#/discover/Steve-Slow-Train-Analysis-(2080s-and-2083s)?_g=(refreshInterval:(display:Off,section:0,value:0),time:(from:'2016-06-24 08:11:27-0600',mode:absolute,to:'2016-06-24 09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3" s="14" t="str">
        <f t="shared" si="0"/>
        <v>4042</v>
      </c>
    </row>
    <row r="14" spans="1:17" s="2" customFormat="1" x14ac:dyDescent="0.25">
      <c r="A14" s="18">
        <v>42545.424456018518</v>
      </c>
      <c r="B14" s="17" t="s">
        <v>109</v>
      </c>
      <c r="C14" s="17" t="s">
        <v>304</v>
      </c>
      <c r="D14" s="17" t="s">
        <v>55</v>
      </c>
      <c r="E14" s="17" t="s">
        <v>78</v>
      </c>
      <c r="F14" s="17">
        <v>550</v>
      </c>
      <c r="G14" s="17">
        <v>623</v>
      </c>
      <c r="H14" s="17">
        <v>42848</v>
      </c>
      <c r="I14" s="17" t="s">
        <v>79</v>
      </c>
      <c r="J14" s="17">
        <v>42779</v>
      </c>
      <c r="K14" s="16" t="s">
        <v>53</v>
      </c>
      <c r="L14" s="16" t="str">
        <f>VLOOKUP(C14,'Trips&amp;Operators'!$C$2:$E$10000,3,FALSE)</f>
        <v>MALAVE</v>
      </c>
      <c r="M14" s="15" t="s">
        <v>161</v>
      </c>
      <c r="N14" s="16"/>
      <c r="P14" s="54" t="str">
        <f>VLOOKUP(C14,'Train Runs'!$A$13:$V$246,22,0)</f>
        <v>https://search-rtdc-monitor-bjffxe2xuh6vdkpspy63sjmuny.us-east-1.es.amazonaws.com/_plugin/kibana/#/discover/Steve-Slow-Train-Analysis-(2080s-and-2083s)?_g=(refreshInterval:(display:Off,section:0,value:0),time:(from:'2016-06-24 09:57:49-0600',mode:absolute,to:'2016-06-24 10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4" t="str">
        <f t="shared" si="0"/>
        <v>4042</v>
      </c>
    </row>
    <row r="15" spans="1:17" s="2" customFormat="1" x14ac:dyDescent="0.25">
      <c r="A15" s="78">
        <v>42545.580787037034</v>
      </c>
      <c r="B15" s="66" t="s">
        <v>109</v>
      </c>
      <c r="C15" s="66" t="s">
        <v>346</v>
      </c>
      <c r="D15" s="66" t="s">
        <v>50</v>
      </c>
      <c r="E15" s="66" t="s">
        <v>78</v>
      </c>
      <c r="F15" s="66">
        <v>230</v>
      </c>
      <c r="G15" s="66">
        <v>343</v>
      </c>
      <c r="H15" s="66">
        <v>127246</v>
      </c>
      <c r="I15" s="66" t="s">
        <v>79</v>
      </c>
      <c r="J15" s="66">
        <v>127562</v>
      </c>
      <c r="K15" s="66" t="s">
        <v>53</v>
      </c>
      <c r="L15" s="16" t="str">
        <f>VLOOKUP(C15,'Trips&amp;Operators'!$C$2:$E$10000,3,FALSE)</f>
        <v>LOCKLEAR</v>
      </c>
      <c r="M15" s="15" t="s">
        <v>161</v>
      </c>
      <c r="N15" s="16"/>
      <c r="P15" s="54" t="str">
        <f>VLOOKUP(C15,'Train Runs'!$A$13:$V$246,22,0)</f>
        <v>https://search-rtdc-monitor-bjffxe2xuh6vdkpspy63sjmuny.us-east-1.es.amazonaws.com/_plugin/kibana/#/discover/Steve-Slow-Train-Analysis-(2080s-and-2083s)?_g=(refreshInterval:(display:Off,section:0,value:0),time:(from:'2016-06-24 13:23:49-0600',mode:absolute,to:'2016-06-24 14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5" s="14" t="str">
        <f t="shared" si="0"/>
        <v>4042</v>
      </c>
    </row>
    <row r="16" spans="1:17" s="2" customFormat="1" x14ac:dyDescent="0.25">
      <c r="A16" s="78">
        <v>42545.800416666665</v>
      </c>
      <c r="B16" s="66" t="s">
        <v>85</v>
      </c>
      <c r="C16" s="66" t="s">
        <v>406</v>
      </c>
      <c r="D16" s="66" t="s">
        <v>50</v>
      </c>
      <c r="E16" s="66" t="s">
        <v>78</v>
      </c>
      <c r="F16" s="66">
        <v>370</v>
      </c>
      <c r="G16" s="66">
        <v>519</v>
      </c>
      <c r="H16" s="66">
        <v>58483</v>
      </c>
      <c r="I16" s="66" t="s">
        <v>79</v>
      </c>
      <c r="J16" s="66">
        <v>58783</v>
      </c>
      <c r="K16" s="66" t="s">
        <v>53</v>
      </c>
      <c r="L16" s="16" t="str">
        <f>VLOOKUP(C16,'Trips&amp;Operators'!$C$2:$E$10000,3,FALSE)</f>
        <v>ADANE</v>
      </c>
      <c r="M16" s="15" t="s">
        <v>161</v>
      </c>
      <c r="N16" s="16"/>
      <c r="P16" s="54" t="str">
        <f>VLOOKUP(C16,'Train Runs'!$A$13:$V$246,22,0)</f>
        <v>https://search-rtdc-monitor-bjffxe2xuh6vdkpspy63sjmuny.us-east-1.es.amazonaws.com/_plugin/kibana/#/discover/Steve-Slow-Train-Analysis-(2080s-and-2083s)?_g=(refreshInterval:(display:Off,section:0,value:0),time:(from:'2016-06-24 18:50:54-0600',mode:absolute,to:'2016-06-24 19:19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6" s="14" t="str">
        <f t="shared" si="0"/>
        <v>4018</v>
      </c>
    </row>
    <row r="17" spans="1:17" s="2" customFormat="1" x14ac:dyDescent="0.25">
      <c r="A17" s="18">
        <v>42545.261423611111</v>
      </c>
      <c r="B17" s="17" t="s">
        <v>108</v>
      </c>
      <c r="C17" s="17" t="s">
        <v>238</v>
      </c>
      <c r="D17" s="17" t="s">
        <v>50</v>
      </c>
      <c r="E17" s="17" t="s">
        <v>58</v>
      </c>
      <c r="F17" s="17">
        <v>600</v>
      </c>
      <c r="G17" s="17">
        <v>656</v>
      </c>
      <c r="H17" s="17">
        <v>12970</v>
      </c>
      <c r="I17" s="17" t="s">
        <v>59</v>
      </c>
      <c r="J17" s="17">
        <v>10694</v>
      </c>
      <c r="K17" s="16" t="s">
        <v>54</v>
      </c>
      <c r="L17" s="16" t="str">
        <f>VLOOKUP(C17,'Trips&amp;Operators'!$C$2:$E$10000,3,FALSE)</f>
        <v>MALAVE</v>
      </c>
      <c r="M17" s="15" t="s">
        <v>161</v>
      </c>
      <c r="N17" s="16"/>
      <c r="P17" s="54" t="str">
        <f>VLOOKUP(C17,'Train Runs'!$A$13:$V$246,22,0)</f>
        <v>https://search-rtdc-monitor-bjffxe2xuh6vdkpspy63sjmuny.us-east-1.es.amazonaws.com/_plugin/kibana/#/discover/Steve-Slow-Train-Analysis-(2080s-and-2083s)?_g=(refreshInterval:(display:Off,section:0,value:0),time:(from:'2016-06-24 05:38:18-0600',mode:absolute,to:'2016-06-24 06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7" s="14" t="str">
        <f t="shared" si="0"/>
        <v>4041</v>
      </c>
    </row>
    <row r="18" spans="1:17" s="2" customFormat="1" x14ac:dyDescent="0.25">
      <c r="A18" s="18">
        <v>42545.360833333332</v>
      </c>
      <c r="B18" s="17" t="s">
        <v>188</v>
      </c>
      <c r="C18" s="17" t="s">
        <v>263</v>
      </c>
      <c r="D18" s="17" t="s">
        <v>50</v>
      </c>
      <c r="E18" s="17" t="s">
        <v>58</v>
      </c>
      <c r="F18" s="17">
        <v>300</v>
      </c>
      <c r="G18" s="17">
        <v>230</v>
      </c>
      <c r="H18" s="17">
        <v>19705</v>
      </c>
      <c r="I18" s="17" t="s">
        <v>59</v>
      </c>
      <c r="J18" s="17">
        <v>20338</v>
      </c>
      <c r="K18" s="16" t="s">
        <v>53</v>
      </c>
      <c r="L18" s="16" t="str">
        <f>VLOOKUP(C18,'Trips&amp;Operators'!$C$2:$E$10000,3,FALSE)</f>
        <v>STAMBAUGH</v>
      </c>
      <c r="M18" s="15" t="s">
        <v>161</v>
      </c>
      <c r="N18" s="16"/>
      <c r="P18" s="54" t="str">
        <f>VLOOKUP(C18,'Train Runs'!$A$13:$V$246,22,0)</f>
        <v>https://search-rtdc-monitor-bjffxe2xuh6vdkpspy63sjmuny.us-east-1.es.amazonaws.com/_plugin/kibana/#/discover/Steve-Slow-Train-Analysis-(2080s-and-2083s)?_g=(refreshInterval:(display:Off,section:0,value:0),time:(from:'2016-06-24 07:33:22-0600',mode:absolute,to:'2016-06-24 08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8" s="14" t="str">
        <f t="shared" si="0"/>
        <v>4037</v>
      </c>
    </row>
    <row r="19" spans="1:17" s="2" customFormat="1" x14ac:dyDescent="0.25">
      <c r="A19" s="18">
        <v>42545.337118055555</v>
      </c>
      <c r="B19" s="17" t="s">
        <v>490</v>
      </c>
      <c r="C19" s="17" t="s">
        <v>266</v>
      </c>
      <c r="D19" s="17" t="s">
        <v>55</v>
      </c>
      <c r="E19" s="17" t="s">
        <v>58</v>
      </c>
      <c r="F19" s="17">
        <v>600</v>
      </c>
      <c r="G19" s="17">
        <v>652</v>
      </c>
      <c r="H19" s="17">
        <v>184372</v>
      </c>
      <c r="I19" s="17" t="s">
        <v>59</v>
      </c>
      <c r="J19" s="17">
        <v>190834</v>
      </c>
      <c r="K19" s="16" t="s">
        <v>54</v>
      </c>
      <c r="L19" s="16" t="str">
        <f>VLOOKUP(C19,'Trips&amp;Operators'!$C$2:$E$10000,3,FALSE)</f>
        <v>YORK</v>
      </c>
      <c r="M19" s="15" t="s">
        <v>161</v>
      </c>
      <c r="N19" s="16"/>
      <c r="P19" s="54" t="str">
        <f>VLOOKUP(C19,'Train Runs'!$A$13:$V$246,22,0)</f>
        <v>https://search-rtdc-monitor-bjffxe2xuh6vdkpspy63sjmuny.us-east-1.es.amazonaws.com/_plugin/kibana/#/discover/Steve-Slow-Train-Analysis-(2080s-and-2083s)?_g=(refreshInterval:(display:Off,section:0,value:0),time:(from:'2016-06-24 07:37:07-0600',mode:absolute,to:'2016-06-24 07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9" s="14" t="str">
        <f t="shared" si="0"/>
        <v>4012</v>
      </c>
    </row>
    <row r="20" spans="1:17" s="2" customFormat="1" x14ac:dyDescent="0.25">
      <c r="A20" s="18">
        <v>42545.416747685187</v>
      </c>
      <c r="B20" s="17" t="s">
        <v>188</v>
      </c>
      <c r="C20" s="17" t="s">
        <v>287</v>
      </c>
      <c r="D20" s="17" t="s">
        <v>50</v>
      </c>
      <c r="E20" s="17" t="s">
        <v>58</v>
      </c>
      <c r="F20" s="17">
        <v>450</v>
      </c>
      <c r="G20" s="17">
        <v>433</v>
      </c>
      <c r="H20" s="17">
        <v>17485</v>
      </c>
      <c r="I20" s="17" t="s">
        <v>59</v>
      </c>
      <c r="J20" s="17">
        <v>15167</v>
      </c>
      <c r="K20" s="16" t="s">
        <v>54</v>
      </c>
      <c r="L20" s="16" t="str">
        <f>VLOOKUP(C20,'Trips&amp;Operators'!$C$2:$E$10000,3,FALSE)</f>
        <v>STAMBAUGH</v>
      </c>
      <c r="M20" s="15" t="s">
        <v>161</v>
      </c>
      <c r="N20" s="16"/>
      <c r="P20" s="54" t="str">
        <f>VLOOKUP(C20,'Train Runs'!$A$13:$V$246,22,0)</f>
        <v>https://search-rtdc-monitor-bjffxe2xuh6vdkpspy63sjmuny.us-east-1.es.amazonaws.com/_plugin/kibana/#/discover/Steve-Slow-Train-Analysis-(2080s-and-2083s)?_g=(refreshInterval:(display:Off,section:0,value:0),time:(from:'2016-06-24 09:20:56-0600',mode:absolute,to:'2016-06-24 10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0" s="14" t="str">
        <f t="shared" si="0"/>
        <v>4037</v>
      </c>
    </row>
    <row r="21" spans="1:17" s="2" customFormat="1" x14ac:dyDescent="0.25">
      <c r="A21" s="18">
        <v>42545.40697916667</v>
      </c>
      <c r="B21" s="17" t="s">
        <v>97</v>
      </c>
      <c r="C21" s="17" t="s">
        <v>293</v>
      </c>
      <c r="D21" s="17" t="s">
        <v>50</v>
      </c>
      <c r="E21" s="17" t="s">
        <v>58</v>
      </c>
      <c r="F21" s="17">
        <v>550</v>
      </c>
      <c r="G21" s="17">
        <v>643</v>
      </c>
      <c r="H21" s="17">
        <v>219910</v>
      </c>
      <c r="I21" s="17" t="s">
        <v>59</v>
      </c>
      <c r="J21" s="17">
        <v>222090</v>
      </c>
      <c r="K21" s="16" t="s">
        <v>53</v>
      </c>
      <c r="L21" s="16" t="str">
        <f>VLOOKUP(C21,'Trips&amp;Operators'!$C$2:$E$10000,3,FALSE)</f>
        <v>SHOOK</v>
      </c>
      <c r="M21" s="15" t="s">
        <v>161</v>
      </c>
      <c r="N21" s="16"/>
      <c r="P21" s="54" t="str">
        <f>VLOOKUP(C21,'Train Runs'!$A$13:$V$246,22,0)</f>
        <v>https://search-rtdc-monitor-bjffxe2xuh6vdkpspy63sjmuny.us-east-1.es.amazonaws.com/_plugin/kibana/#/discover/Steve-Slow-Train-Analysis-(2080s-and-2083s)?_g=(refreshInterval:(display:Off,section:0,value:0),time:(from:'2016-06-24 09:01:29-0600',mode:absolute,to:'2016-06-24 09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1" s="14" t="str">
        <f t="shared" si="0"/>
        <v>4029</v>
      </c>
    </row>
    <row r="22" spans="1:17" s="2" customFormat="1" x14ac:dyDescent="0.25">
      <c r="A22" s="18">
        <v>42545.460798611108</v>
      </c>
      <c r="B22" s="17" t="s">
        <v>91</v>
      </c>
      <c r="C22" s="17" t="s">
        <v>302</v>
      </c>
      <c r="D22" s="17" t="s">
        <v>55</v>
      </c>
      <c r="E22" s="17" t="s">
        <v>58</v>
      </c>
      <c r="F22" s="17">
        <v>400</v>
      </c>
      <c r="G22" s="17">
        <v>452</v>
      </c>
      <c r="H22" s="17">
        <v>116760</v>
      </c>
      <c r="I22" s="17" t="s">
        <v>59</v>
      </c>
      <c r="J22" s="17">
        <v>119716</v>
      </c>
      <c r="K22" s="16" t="s">
        <v>54</v>
      </c>
      <c r="L22" s="16" t="str">
        <f>VLOOKUP(C22,'Trips&amp;Operators'!$C$2:$E$10000,3,FALSE)</f>
        <v>BEAM</v>
      </c>
      <c r="M22" s="15" t="s">
        <v>161</v>
      </c>
      <c r="N22" s="16"/>
      <c r="P22" s="54" t="str">
        <f>VLOOKUP(C22,'Train Runs'!$A$13:$V$246,22,0)</f>
        <v>https://search-rtdc-monitor-bjffxe2xuh6vdkpspy63sjmuny.us-east-1.es.amazonaws.com/_plugin/kibana/#/discover/Steve-Slow-Train-Analysis-(2080s-and-2083s)?_g=(refreshInterval:(display:Off,section:0,value:0),time:(from:'2016-06-24 10:35:38-0600',mode:absolute,to:'2016-06-24 11:25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2" s="14" t="str">
        <f t="shared" si="0"/>
        <v>4008</v>
      </c>
    </row>
    <row r="23" spans="1:17" s="2" customFormat="1" x14ac:dyDescent="0.25">
      <c r="A23" s="18">
        <v>42545.462766203702</v>
      </c>
      <c r="B23" s="17" t="s">
        <v>83</v>
      </c>
      <c r="C23" s="17" t="s">
        <v>316</v>
      </c>
      <c r="D23" s="17" t="s">
        <v>50</v>
      </c>
      <c r="E23" s="17" t="s">
        <v>58</v>
      </c>
      <c r="F23" s="17">
        <v>300</v>
      </c>
      <c r="G23" s="17">
        <v>261</v>
      </c>
      <c r="H23" s="17">
        <v>19877</v>
      </c>
      <c r="I23" s="17" t="s">
        <v>59</v>
      </c>
      <c r="J23" s="17">
        <v>20338</v>
      </c>
      <c r="K23" s="16" t="s">
        <v>53</v>
      </c>
      <c r="L23" s="16" t="str">
        <f>VLOOKUP(C23,'Trips&amp;Operators'!$C$2:$E$10000,3,FALSE)</f>
        <v>SHOOK</v>
      </c>
      <c r="M23" s="15" t="s">
        <v>161</v>
      </c>
      <c r="N23" s="16"/>
      <c r="P23" s="54" t="str">
        <f>VLOOKUP(C23,'Train Runs'!$A$13:$V$246,22,0)</f>
        <v>https://search-rtdc-monitor-bjffxe2xuh6vdkpspy63sjmuny.us-east-1.es.amazonaws.com/_plugin/kibana/#/discover/Steve-Slow-Train-Analysis-(2080s-and-2083s)?_g=(refreshInterval:(display:Off,section:0,value:0),time:(from:'2016-06-24 10:53:10-0600',mode:absolute,to:'2016-06-24 11:39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3" s="14" t="str">
        <f t="shared" si="0"/>
        <v>4020</v>
      </c>
    </row>
    <row r="24" spans="1:17" s="2" customFormat="1" x14ac:dyDescent="0.25">
      <c r="A24" s="18">
        <v>42545.473252314812</v>
      </c>
      <c r="B24" s="17" t="s">
        <v>184</v>
      </c>
      <c r="C24" s="17" t="s">
        <v>319</v>
      </c>
      <c r="D24" s="17" t="s">
        <v>55</v>
      </c>
      <c r="E24" s="17" t="s">
        <v>58</v>
      </c>
      <c r="F24" s="17">
        <v>300</v>
      </c>
      <c r="G24" s="17">
        <v>351</v>
      </c>
      <c r="H24" s="17">
        <v>20882</v>
      </c>
      <c r="I24" s="17" t="s">
        <v>59</v>
      </c>
      <c r="J24" s="17">
        <v>20338</v>
      </c>
      <c r="K24" s="16" t="s">
        <v>53</v>
      </c>
      <c r="L24" s="16" t="str">
        <f>VLOOKUP(C24,'Trips&amp;Operators'!$C$2:$E$10000,3,FALSE)</f>
        <v>SPECTOR</v>
      </c>
      <c r="M24" s="15" t="s">
        <v>161</v>
      </c>
      <c r="N24" s="16"/>
      <c r="P24" s="54" t="str">
        <f>VLOOKUP(C24,'Train Runs'!$A$13:$V$246,22,0)</f>
        <v>https://search-rtdc-monitor-bjffxe2xuh6vdkpspy63sjmuny.us-east-1.es.amazonaws.com/_plugin/kibana/#/discover/Steve-Slow-Train-Analysis-(2080s-and-2083s)?_g=(refreshInterval:(display:Off,section:0,value:0),time:(from:'2016-06-24 11:09:42-0600',mode:absolute,to:'2016-06-24 11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4" s="14" t="str">
        <f t="shared" si="0"/>
        <v>4040</v>
      </c>
    </row>
    <row r="25" spans="1:17" s="2" customFormat="1" x14ac:dyDescent="0.25">
      <c r="A25" s="18">
        <v>42545.556250000001</v>
      </c>
      <c r="B25" s="17" t="s">
        <v>93</v>
      </c>
      <c r="C25" s="17" t="s">
        <v>344</v>
      </c>
      <c r="D25" s="17" t="s">
        <v>50</v>
      </c>
      <c r="E25" s="17" t="s">
        <v>58</v>
      </c>
      <c r="F25" s="17">
        <v>300</v>
      </c>
      <c r="G25" s="17">
        <v>249</v>
      </c>
      <c r="H25" s="17">
        <v>19725</v>
      </c>
      <c r="I25" s="17" t="s">
        <v>59</v>
      </c>
      <c r="J25" s="17">
        <v>20338</v>
      </c>
      <c r="K25" s="16" t="s">
        <v>53</v>
      </c>
      <c r="L25" s="16" t="str">
        <f>VLOOKUP(C25,'Trips&amp;Operators'!$C$2:$E$10000,3,FALSE)</f>
        <v>DAVIS</v>
      </c>
      <c r="M25" s="15" t="s">
        <v>161</v>
      </c>
      <c r="N25" s="16"/>
      <c r="P25" s="54" t="str">
        <f>VLOOKUP(C25,'Train Runs'!$A$13:$V$246,22,0)</f>
        <v>https://search-rtdc-monitor-bjffxe2xuh6vdkpspy63sjmuny.us-east-1.es.amazonaws.com/_plugin/kibana/#/discover/Steve-Slow-Train-Analysis-(2080s-and-2083s)?_g=(refreshInterval:(display:Off,section:0,value:0),time:(from:'2016-06-24 13:11:08-0600',mode:absolute,to:'2016-06-24 14:01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5" s="14" t="str">
        <f t="shared" si="0"/>
        <v>4007</v>
      </c>
    </row>
    <row r="26" spans="1:17" s="2" customFormat="1" x14ac:dyDescent="0.25">
      <c r="A26" s="78">
        <v>42545.691504629627</v>
      </c>
      <c r="B26" s="66" t="s">
        <v>188</v>
      </c>
      <c r="C26" s="66" t="s">
        <v>369</v>
      </c>
      <c r="D26" s="66" t="s">
        <v>55</v>
      </c>
      <c r="E26" s="66" t="s">
        <v>58</v>
      </c>
      <c r="F26" s="66">
        <v>600</v>
      </c>
      <c r="G26" s="66">
        <v>650</v>
      </c>
      <c r="H26" s="66">
        <v>184204</v>
      </c>
      <c r="I26" s="66" t="s">
        <v>59</v>
      </c>
      <c r="J26" s="66">
        <v>190834</v>
      </c>
      <c r="K26" s="66" t="s">
        <v>54</v>
      </c>
      <c r="L26" s="16" t="str">
        <f>VLOOKUP(C26,'Trips&amp;Operators'!$C$2:$E$10000,3,FALSE)</f>
        <v>KILLION</v>
      </c>
      <c r="M26" s="15" t="s">
        <v>161</v>
      </c>
      <c r="N26" s="16"/>
      <c r="P26" s="54" t="str">
        <f>VLOOKUP(C26,'Train Runs'!$A$13:$V$246,22,0)</f>
        <v>https://search-rtdc-monitor-bjffxe2xuh6vdkpspy63sjmuny.us-east-1.es.amazonaws.com/_plugin/kibana/#/discover/Steve-Slow-Train-Analysis-(2080s-and-2083s)?_g=(refreshInterval:(display:Off,section:0,value:0),time:(from:'2016-06-24 16:18:16-0600',mode:absolute,to:'2016-06-24 17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6" s="14" t="str">
        <f t="shared" si="0"/>
        <v>4037</v>
      </c>
    </row>
    <row r="27" spans="1:17" s="2" customFormat="1" x14ac:dyDescent="0.25">
      <c r="A27" s="78">
        <v>42545.959837962961</v>
      </c>
      <c r="B27" s="66" t="s">
        <v>85</v>
      </c>
      <c r="C27" s="66" t="s">
        <v>427</v>
      </c>
      <c r="D27" s="66" t="s">
        <v>55</v>
      </c>
      <c r="E27" s="66" t="s">
        <v>58</v>
      </c>
      <c r="F27" s="66">
        <v>150</v>
      </c>
      <c r="G27" s="66">
        <v>201</v>
      </c>
      <c r="H27" s="66">
        <v>3820</v>
      </c>
      <c r="I27" s="66" t="s">
        <v>59</v>
      </c>
      <c r="J27" s="66">
        <v>0</v>
      </c>
      <c r="K27" s="66" t="s">
        <v>53</v>
      </c>
      <c r="L27" s="16" t="str">
        <f>VLOOKUP(C27,'Trips&amp;Operators'!$C$2:$E$10000,3,FALSE)</f>
        <v>ADANE</v>
      </c>
      <c r="M27" s="15" t="s">
        <v>161</v>
      </c>
      <c r="N27" s="16"/>
      <c r="P27" s="54" t="str">
        <f>VLOOKUP(C27,'Train Runs'!$A$13:$V$246,22,0)</f>
        <v>https://search-rtdc-monitor-bjffxe2xuh6vdkpspy63sjmuny.us-east-1.es.amazonaws.com/_plugin/kibana/#/discover/Steve-Slow-Train-Analysis-(2080s-and-2083s)?_g=(refreshInterval:(display:Off,section:0,value:0),time:(from:'2016-06-24 22:52:48-0600',mode:absolute,to:'2016-06-24 23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7" s="14" t="str">
        <f t="shared" si="0"/>
        <v>4018</v>
      </c>
    </row>
    <row r="28" spans="1:17" s="2" customFormat="1" x14ac:dyDescent="0.25">
      <c r="A28" s="18">
        <v>42545.281909722224</v>
      </c>
      <c r="B28" s="17" t="s">
        <v>93</v>
      </c>
      <c r="C28" s="17" t="s">
        <v>255</v>
      </c>
      <c r="D28" s="17" t="s">
        <v>50</v>
      </c>
      <c r="E28" s="17" t="s">
        <v>56</v>
      </c>
      <c r="F28" s="17">
        <v>0</v>
      </c>
      <c r="G28" s="17">
        <v>749</v>
      </c>
      <c r="H28" s="17">
        <v>197503</v>
      </c>
      <c r="I28" s="17" t="s">
        <v>57</v>
      </c>
      <c r="J28" s="17">
        <v>198242</v>
      </c>
      <c r="K28" s="16" t="s">
        <v>53</v>
      </c>
      <c r="L28" s="16" t="str">
        <f>VLOOKUP(C28,'Trips&amp;Operators'!$C$2:$E$10000,3,FALSE)</f>
        <v>BEAM</v>
      </c>
      <c r="M28" s="15" t="s">
        <v>160</v>
      </c>
      <c r="N28" s="16" t="s">
        <v>162</v>
      </c>
      <c r="P28" s="54" t="str">
        <f>VLOOKUP(C28,'Train Runs'!$A$13:$V$246,22,0)</f>
        <v>https://search-rtdc-monitor-bjffxe2xuh6vdkpspy63sjmuny.us-east-1.es.amazonaws.com/_plugin/kibana/#/discover/Steve-Slow-Train-Analysis-(2080s-and-2083s)?_g=(refreshInterval:(display:Off,section:0,value:0),time:(from:'2016-06-24 06:07:34-0600',mode:absolute,to:'2016-06-24 06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8" s="14" t="str">
        <f t="shared" si="0"/>
        <v>4007</v>
      </c>
    </row>
    <row r="29" spans="1:17" s="2" customFormat="1" x14ac:dyDescent="0.25">
      <c r="A29" s="78">
        <v>42545.342905092592</v>
      </c>
      <c r="B29" s="66" t="s">
        <v>93</v>
      </c>
      <c r="C29" s="66" t="s">
        <v>279</v>
      </c>
      <c r="D29" s="66" t="s">
        <v>50</v>
      </c>
      <c r="E29" s="66" t="s">
        <v>56</v>
      </c>
      <c r="F29" s="66">
        <v>0</v>
      </c>
      <c r="G29" s="66">
        <v>154</v>
      </c>
      <c r="H29" s="66">
        <v>63225</v>
      </c>
      <c r="I29" s="66" t="s">
        <v>57</v>
      </c>
      <c r="J29" s="66">
        <v>63995</v>
      </c>
      <c r="K29" s="66" t="s">
        <v>53</v>
      </c>
      <c r="L29" s="16" t="str">
        <f>VLOOKUP(C29,'Trips&amp;Operators'!$C$2:$E$10000,3,FALSE)</f>
        <v>BEAM</v>
      </c>
      <c r="M29" s="15" t="s">
        <v>160</v>
      </c>
      <c r="N29" s="16" t="s">
        <v>162</v>
      </c>
      <c r="P29" s="54" t="str">
        <f>VLOOKUP(C29,'Train Runs'!$A$13:$V$246,22,0)</f>
        <v>https://search-rtdc-monitor-bjffxe2xuh6vdkpspy63sjmuny.us-east-1.es.amazonaws.com/_plugin/kibana/#/discover/Steve-Slow-Train-Analysis-(2080s-and-2083s)?_g=(refreshInterval:(display:Off,section:0,value:0),time:(from:'2016-06-24 07:55:22-0600',mode:absolute,to:'2016-06-24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9" s="14" t="str">
        <f t="shared" si="0"/>
        <v>4007</v>
      </c>
    </row>
    <row r="30" spans="1:17" s="2" customFormat="1" x14ac:dyDescent="0.25">
      <c r="A30" s="18">
        <v>42545.382916666669</v>
      </c>
      <c r="B30" s="17" t="s">
        <v>91</v>
      </c>
      <c r="C30" s="17" t="s">
        <v>280</v>
      </c>
      <c r="D30" s="17" t="s">
        <v>50</v>
      </c>
      <c r="E30" s="17" t="s">
        <v>56</v>
      </c>
      <c r="F30" s="17">
        <v>0</v>
      </c>
      <c r="G30" s="17">
        <v>292</v>
      </c>
      <c r="H30" s="17">
        <v>128383</v>
      </c>
      <c r="I30" s="17" t="s">
        <v>57</v>
      </c>
      <c r="J30" s="17">
        <v>127587</v>
      </c>
      <c r="K30" s="16" t="s">
        <v>54</v>
      </c>
      <c r="L30" s="16" t="str">
        <f>VLOOKUP(C30,'Trips&amp;Operators'!$C$2:$E$10000,3,FALSE)</f>
        <v>BEAM</v>
      </c>
      <c r="M30" s="15" t="s">
        <v>161</v>
      </c>
      <c r="N30" s="16" t="s">
        <v>516</v>
      </c>
      <c r="P30" s="54" t="str">
        <f>VLOOKUP(C30,'Train Runs'!$A$13:$V$246,22,0)</f>
        <v>https://search-rtdc-monitor-bjffxe2xuh6vdkpspy63sjmuny.us-east-1.es.amazonaws.com/_plugin/kibana/#/discover/Steve-Slow-Train-Analysis-(2080s-and-2083s)?_g=(refreshInterval:(display:Off,section:0,value:0),time:(from:'2016-06-24 08:51:10-0600',mode:absolute,to:'2016-06-24 09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0" s="14" t="str">
        <f t="shared" si="0"/>
        <v>4008</v>
      </c>
    </row>
    <row r="31" spans="1:17" s="2" customFormat="1" x14ac:dyDescent="0.25">
      <c r="A31" s="18">
        <v>42545.389803240738</v>
      </c>
      <c r="B31" s="17" t="s">
        <v>489</v>
      </c>
      <c r="C31" s="17" t="s">
        <v>288</v>
      </c>
      <c r="D31" s="17" t="s">
        <v>50</v>
      </c>
      <c r="E31" s="17" t="s">
        <v>56</v>
      </c>
      <c r="F31" s="17">
        <v>0</v>
      </c>
      <c r="G31" s="17">
        <v>549</v>
      </c>
      <c r="H31" s="17">
        <v>221255</v>
      </c>
      <c r="I31" s="17" t="s">
        <v>57</v>
      </c>
      <c r="J31" s="17">
        <v>224231</v>
      </c>
      <c r="K31" s="16" t="s">
        <v>53</v>
      </c>
      <c r="L31" s="16" t="str">
        <f>VLOOKUP(C31,'Trips&amp;Operators'!$C$2:$E$10000,3,FALSE)</f>
        <v>MADLOM</v>
      </c>
      <c r="M31" s="15" t="s">
        <v>160</v>
      </c>
      <c r="N31" s="16" t="s">
        <v>162</v>
      </c>
      <c r="P31" s="54" t="str">
        <f>VLOOKUP(C31,'Train Runs'!$A$13:$V$246,22,0)</f>
        <v>https://search-rtdc-monitor-bjffxe2xuh6vdkpspy63sjmuny.us-east-1.es.amazonaws.com/_plugin/kibana/#/discover/Steve-Slow-Train-Analysis-(2080s-and-2083s)?_g=(refreshInterval:(display:Off,section:0,value:0),time:(from:'2016-06-24 08:42:39-0600',mode:absolute,to:'2016-06-24 09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1" s="14" t="str">
        <f t="shared" ref="Q31:Q42" si="1">MID(B31,13,4)</f>
        <v>4011</v>
      </c>
    </row>
    <row r="32" spans="1:17" s="2" customFormat="1" x14ac:dyDescent="0.25">
      <c r="A32" s="18">
        <v>42545.412789351853</v>
      </c>
      <c r="B32" s="17" t="s">
        <v>490</v>
      </c>
      <c r="C32" s="17" t="s">
        <v>290</v>
      </c>
      <c r="D32" s="17" t="s">
        <v>50</v>
      </c>
      <c r="E32" s="17" t="s">
        <v>56</v>
      </c>
      <c r="F32" s="17">
        <v>0</v>
      </c>
      <c r="G32" s="17">
        <v>420</v>
      </c>
      <c r="H32" s="17">
        <v>129665</v>
      </c>
      <c r="I32" s="17" t="s">
        <v>57</v>
      </c>
      <c r="J32" s="17">
        <v>127587</v>
      </c>
      <c r="K32" s="16" t="s">
        <v>54</v>
      </c>
      <c r="L32" s="16" t="str">
        <f>VLOOKUP(C32,'Trips&amp;Operators'!$C$2:$E$10000,3,FALSE)</f>
        <v>YORK</v>
      </c>
      <c r="M32" s="15" t="s">
        <v>161</v>
      </c>
      <c r="N32" s="16" t="s">
        <v>516</v>
      </c>
      <c r="P32" s="54" t="str">
        <f>VLOOKUP(C32,'Train Runs'!$A$13:$V$246,22,0)</f>
        <v>https://search-rtdc-monitor-bjffxe2xuh6vdkpspy63sjmuny.us-east-1.es.amazonaws.com/_plugin/kibana/#/discover/Steve-Slow-Train-Analysis-(2080s-and-2083s)?_g=(refreshInterval:(display:Off,section:0,value:0),time:(from:'2016-06-24 09:26:11-0600',mode:absolute,to:'2016-06-24 10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2" s="14" t="str">
        <f t="shared" si="1"/>
        <v>4012</v>
      </c>
    </row>
    <row r="33" spans="1:17" s="2" customFormat="1" x14ac:dyDescent="0.25">
      <c r="A33" s="18">
        <v>42545.457407407404</v>
      </c>
      <c r="B33" s="17" t="s">
        <v>108</v>
      </c>
      <c r="C33" s="17" t="s">
        <v>305</v>
      </c>
      <c r="D33" s="17" t="s">
        <v>50</v>
      </c>
      <c r="E33" s="17" t="s">
        <v>56</v>
      </c>
      <c r="F33" s="17">
        <v>0</v>
      </c>
      <c r="G33" s="17">
        <v>287</v>
      </c>
      <c r="H33" s="17">
        <v>225047</v>
      </c>
      <c r="I33" s="17" t="s">
        <v>57</v>
      </c>
      <c r="J33" s="17">
        <v>224244</v>
      </c>
      <c r="K33" s="16" t="s">
        <v>54</v>
      </c>
      <c r="L33" s="16" t="str">
        <f>VLOOKUP(C33,'Trips&amp;Operators'!$C$2:$E$10000,3,FALSE)</f>
        <v>MALAVE</v>
      </c>
      <c r="M33" s="15" t="s">
        <v>160</v>
      </c>
      <c r="N33" s="16" t="s">
        <v>162</v>
      </c>
      <c r="P33" s="54" t="str">
        <f>VLOOKUP(C33,'Train Runs'!$A$13:$V$246,22,0)</f>
        <v>https://search-rtdc-monitor-bjffxe2xuh6vdkpspy63sjmuny.us-east-1.es.amazonaws.com/_plugin/kibana/#/discover/Steve-Slow-Train-Analysis-(2080s-and-2083s)?_g=(refreshInterval:(display:Off,section:0,value:0),time:(from:'2016-06-24 10:51:50-0600',mode:absolute,to:'2016-06-24 11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3" s="14" t="str">
        <f t="shared" si="1"/>
        <v>4041</v>
      </c>
    </row>
    <row r="34" spans="1:17" s="2" customFormat="1" x14ac:dyDescent="0.25">
      <c r="A34" s="18">
        <v>42545.475486111114</v>
      </c>
      <c r="B34" s="17" t="s">
        <v>188</v>
      </c>
      <c r="C34" s="17" t="s">
        <v>308</v>
      </c>
      <c r="D34" s="17" t="s">
        <v>50</v>
      </c>
      <c r="E34" s="17" t="s">
        <v>56</v>
      </c>
      <c r="F34" s="17">
        <v>0</v>
      </c>
      <c r="G34" s="17">
        <v>356</v>
      </c>
      <c r="H34" s="17">
        <v>129116</v>
      </c>
      <c r="I34" s="17" t="s">
        <v>57</v>
      </c>
      <c r="J34" s="17">
        <v>127587</v>
      </c>
      <c r="K34" s="16" t="s">
        <v>54</v>
      </c>
      <c r="L34" s="16" t="str">
        <f>VLOOKUP(C34,'Trips&amp;Operators'!$C$2:$E$10000,3,FALSE)</f>
        <v>KILLION</v>
      </c>
      <c r="M34" s="15" t="s">
        <v>161</v>
      </c>
      <c r="N34" s="16" t="s">
        <v>516</v>
      </c>
      <c r="P34" s="54" t="str">
        <f>VLOOKUP(C34,'Train Runs'!$A$13:$V$246,22,0)</f>
        <v>https://search-rtdc-monitor-bjffxe2xuh6vdkpspy63sjmuny.us-east-1.es.amazonaws.com/_plugin/kibana/#/discover/Steve-Slow-Train-Analysis-(2080s-and-2083s)?_g=(refreshInterval:(display:Off,section:0,value:0),time:(from:'2016-06-24 11:03:38-0600',mode:absolute,to:'2016-06-24 11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4" s="14" t="str">
        <f t="shared" si="1"/>
        <v>4037</v>
      </c>
    </row>
    <row r="35" spans="1:17" s="2" customFormat="1" x14ac:dyDescent="0.25">
      <c r="A35" s="78">
        <v>42545.65253472222</v>
      </c>
      <c r="B35" s="66" t="s">
        <v>489</v>
      </c>
      <c r="C35" s="66" t="s">
        <v>362</v>
      </c>
      <c r="D35" s="66" t="s">
        <v>50</v>
      </c>
      <c r="E35" s="66" t="s">
        <v>56</v>
      </c>
      <c r="F35" s="66">
        <v>0</v>
      </c>
      <c r="G35" s="66">
        <v>709</v>
      </c>
      <c r="H35" s="66">
        <v>167775</v>
      </c>
      <c r="I35" s="66" t="s">
        <v>57</v>
      </c>
      <c r="J35" s="66">
        <v>168003</v>
      </c>
      <c r="K35" s="66" t="s">
        <v>53</v>
      </c>
      <c r="L35" s="16" t="str">
        <f>VLOOKUP(C35,'Trips&amp;Operators'!$C$2:$E$10000,3,FALSE)</f>
        <v>DAVIS</v>
      </c>
      <c r="M35" s="15" t="s">
        <v>160</v>
      </c>
      <c r="N35" s="16" t="s">
        <v>162</v>
      </c>
      <c r="P35" s="54" t="str">
        <f>VLOOKUP(C35,'Train Runs'!$A$13:$V$246,22,0)</f>
        <v>https://search-rtdc-monitor-bjffxe2xuh6vdkpspy63sjmuny.us-east-1.es.amazonaws.com/_plugin/kibana/#/discover/Steve-Slow-Train-Analysis-(2080s-and-2083s)?_g=(refreshInterval:(display:Off,section:0,value:0),time:(from:'2016-06-24 15:06:31-0600',mode:absolute,to:'2016-06-24 15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5" s="14" t="str">
        <f t="shared" si="1"/>
        <v>4011</v>
      </c>
    </row>
    <row r="36" spans="1:17" s="2" customFormat="1" x14ac:dyDescent="0.25">
      <c r="A36" s="78">
        <v>42545.668020833335</v>
      </c>
      <c r="B36" s="66" t="s">
        <v>490</v>
      </c>
      <c r="C36" s="66" t="s">
        <v>363</v>
      </c>
      <c r="D36" s="66" t="s">
        <v>50</v>
      </c>
      <c r="E36" s="66" t="s">
        <v>56</v>
      </c>
      <c r="F36" s="66">
        <v>0</v>
      </c>
      <c r="G36" s="66">
        <v>517</v>
      </c>
      <c r="H36" s="66">
        <v>195251</v>
      </c>
      <c r="I36" s="66" t="s">
        <v>57</v>
      </c>
      <c r="J36" s="66">
        <v>191723</v>
      </c>
      <c r="K36" s="66" t="s">
        <v>54</v>
      </c>
      <c r="L36" s="16" t="str">
        <f>VLOOKUP(C36,'Trips&amp;Operators'!$C$2:$E$10000,3,FALSE)</f>
        <v>DAVIS</v>
      </c>
      <c r="M36" s="15" t="s">
        <v>161</v>
      </c>
      <c r="N36" s="16" t="s">
        <v>517</v>
      </c>
      <c r="P36" s="54" t="str">
        <f>VLOOKUP(C36,'Train Runs'!$A$13:$V$246,22,0)</f>
        <v>https://search-rtdc-monitor-bjffxe2xuh6vdkpspy63sjmuny.us-east-1.es.amazonaws.com/_plugin/kibana/#/discover/Steve-Slow-Train-Analysis-(2080s-and-2083s)?_g=(refreshInterval:(display:Off,section:0,value:0),time:(from:'2016-06-24 15:52:37-0600',mode:absolute,to:'2016-06-24 16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6" s="14" t="str">
        <f t="shared" si="1"/>
        <v>4012</v>
      </c>
    </row>
    <row r="37" spans="1:17" s="2" customFormat="1" x14ac:dyDescent="0.25">
      <c r="A37" s="78">
        <v>42545.683194444442</v>
      </c>
      <c r="B37" s="66" t="s">
        <v>108</v>
      </c>
      <c r="C37" s="66" t="s">
        <v>367</v>
      </c>
      <c r="D37" s="66" t="s">
        <v>50</v>
      </c>
      <c r="E37" s="66" t="s">
        <v>56</v>
      </c>
      <c r="F37" s="66">
        <v>0</v>
      </c>
      <c r="G37" s="66">
        <v>438</v>
      </c>
      <c r="H37" s="66">
        <v>130627</v>
      </c>
      <c r="I37" s="66" t="s">
        <v>57</v>
      </c>
      <c r="J37" s="66">
        <v>127587</v>
      </c>
      <c r="K37" s="66" t="s">
        <v>54</v>
      </c>
      <c r="L37" s="16" t="str">
        <f>VLOOKUP(C37,'Trips&amp;Operators'!$C$2:$E$10000,3,FALSE)</f>
        <v>LOCKLEAR</v>
      </c>
      <c r="M37" s="15" t="s">
        <v>161</v>
      </c>
      <c r="N37" s="16" t="s">
        <v>516</v>
      </c>
      <c r="P37" s="54" t="str">
        <f>VLOOKUP(C37,'Train Runs'!$A$13:$V$246,22,0)</f>
        <v>https://search-rtdc-monitor-bjffxe2xuh6vdkpspy63sjmuny.us-east-1.es.amazonaws.com/_plugin/kibana/#/discover/Steve-Slow-Train-Analysis-(2080s-and-2083s)?_g=(refreshInterval:(display:Off,section:0,value:0),time:(from:'2016-06-24 16:07:34-0600',mode:absolute,to:'2016-06-24 16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7" s="14" t="str">
        <f t="shared" si="1"/>
        <v>4041</v>
      </c>
    </row>
    <row r="38" spans="1:17" s="2" customFormat="1" x14ac:dyDescent="0.25">
      <c r="A38" s="78">
        <v>42545.668206018519</v>
      </c>
      <c r="B38" s="66" t="s">
        <v>97</v>
      </c>
      <c r="C38" s="66" t="s">
        <v>375</v>
      </c>
      <c r="D38" s="66" t="s">
        <v>50</v>
      </c>
      <c r="E38" s="66" t="s">
        <v>56</v>
      </c>
      <c r="F38" s="66">
        <v>0</v>
      </c>
      <c r="G38" s="66">
        <v>139</v>
      </c>
      <c r="H38" s="66">
        <v>938</v>
      </c>
      <c r="I38" s="66" t="s">
        <v>57</v>
      </c>
      <c r="J38" s="66">
        <v>1692</v>
      </c>
      <c r="K38" s="66" t="s">
        <v>53</v>
      </c>
      <c r="L38" s="16" t="str">
        <f>VLOOKUP(C38,'Trips&amp;Operators'!$C$2:$E$10000,3,FALSE)</f>
        <v>ROCHA</v>
      </c>
      <c r="M38" s="15" t="s">
        <v>161</v>
      </c>
      <c r="N38" s="16" t="s">
        <v>518</v>
      </c>
      <c r="P38" s="54" t="str">
        <f>VLOOKUP(C38,'Train Runs'!$A$13:$V$246,22,0)</f>
        <v>https://search-rtdc-monitor-bjffxe2xuh6vdkpspy63sjmuny.us-east-1.es.amazonaws.com/_plugin/kibana/#/discover/Steve-Slow-Train-Analysis-(2080s-and-2083s)?_g=(refreshInterval:(display:Off,section:0,value:0),time:(from:'2016-06-24 15:59:12-0600',mode:absolute,to:'2016-06-24 16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8" s="14" t="str">
        <f t="shared" si="1"/>
        <v>4029</v>
      </c>
    </row>
    <row r="39" spans="1:17" s="2" customFormat="1" x14ac:dyDescent="0.25">
      <c r="A39" s="78">
        <v>42545.799421296295</v>
      </c>
      <c r="B39" s="66" t="s">
        <v>91</v>
      </c>
      <c r="C39" s="66" t="s">
        <v>401</v>
      </c>
      <c r="D39" s="66" t="s">
        <v>50</v>
      </c>
      <c r="E39" s="66" t="s">
        <v>56</v>
      </c>
      <c r="F39" s="66">
        <v>0</v>
      </c>
      <c r="G39" s="66">
        <v>394</v>
      </c>
      <c r="H39" s="66">
        <v>129392</v>
      </c>
      <c r="I39" s="66" t="s">
        <v>57</v>
      </c>
      <c r="J39" s="66">
        <v>127587</v>
      </c>
      <c r="K39" s="66" t="s">
        <v>54</v>
      </c>
      <c r="L39" s="16" t="str">
        <f>VLOOKUP(C39,'Trips&amp;Operators'!$C$2:$E$10000,3,FALSE)</f>
        <v>CHANDLER</v>
      </c>
      <c r="M39" s="15" t="s">
        <v>161</v>
      </c>
      <c r="N39" s="16" t="s">
        <v>516</v>
      </c>
      <c r="P39" s="54" t="str">
        <f>VLOOKUP(C39,'Train Runs'!$A$13:$V$246,22,0)</f>
        <v>https://search-rtdc-monitor-bjffxe2xuh6vdkpspy63sjmuny.us-east-1.es.amazonaws.com/_plugin/kibana/#/discover/Steve-Slow-Train-Analysis-(2080s-and-2083s)?_g=(refreshInterval:(display:Off,section:0,value:0),time:(from:'2016-06-24 18:50:15-0600',mode:absolute,to:'2016-06-24 19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9" s="14" t="str">
        <f t="shared" si="1"/>
        <v>4008</v>
      </c>
    </row>
    <row r="40" spans="1:17" s="2" customFormat="1" x14ac:dyDescent="0.25">
      <c r="A40" s="78">
        <v>42545.343078703707</v>
      </c>
      <c r="B40" s="66" t="s">
        <v>92</v>
      </c>
      <c r="C40" s="66" t="s">
        <v>269</v>
      </c>
      <c r="D40" s="66" t="s">
        <v>50</v>
      </c>
      <c r="E40" s="66" t="s">
        <v>158</v>
      </c>
      <c r="F40" s="66">
        <v>0</v>
      </c>
      <c r="G40" s="66">
        <v>598</v>
      </c>
      <c r="H40" s="66">
        <v>220843</v>
      </c>
      <c r="I40" s="66" t="s">
        <v>159</v>
      </c>
      <c r="J40" s="66">
        <v>219875</v>
      </c>
      <c r="K40" s="66" t="s">
        <v>54</v>
      </c>
      <c r="L40" s="16" t="str">
        <f>VLOOKUP(C40,'Trips&amp;Operators'!$C$2:$E$10000,3,FALSE)</f>
        <v>SHOOK</v>
      </c>
      <c r="M40" s="15" t="s">
        <v>160</v>
      </c>
      <c r="N40" s="16" t="s">
        <v>162</v>
      </c>
      <c r="P40" s="54" t="str">
        <f>VLOOKUP(C40,'Train Runs'!$A$13:$V$246,22,0)</f>
        <v>https://search-rtdc-monitor-bjffxe2xuh6vdkpspy63sjmuny.us-east-1.es.amazonaws.com/_plugin/kibana/#/discover/Steve-Slow-Train-Analysis-(2080s-and-2083s)?_g=(refreshInterval:(display:Off,section:0,value:0),time:(from:'2016-06-24 08:07:41-0600',mode:absolute,to:'2016-06-24 08:15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0" s="14" t="str">
        <f t="shared" si="1"/>
        <v>4030</v>
      </c>
    </row>
    <row r="41" spans="1:17" s="2" customFormat="1" x14ac:dyDescent="0.25">
      <c r="A41" s="78">
        <v>42545.342974537038</v>
      </c>
      <c r="B41" s="66" t="s">
        <v>184</v>
      </c>
      <c r="C41" s="66" t="s">
        <v>276</v>
      </c>
      <c r="D41" s="66" t="s">
        <v>50</v>
      </c>
      <c r="E41" s="66" t="s">
        <v>158</v>
      </c>
      <c r="F41" s="66">
        <v>0</v>
      </c>
      <c r="G41" s="66">
        <v>304</v>
      </c>
      <c r="H41" s="66">
        <v>155371</v>
      </c>
      <c r="I41" s="66" t="s">
        <v>159</v>
      </c>
      <c r="J41" s="66">
        <v>155600</v>
      </c>
      <c r="K41" s="66" t="s">
        <v>53</v>
      </c>
      <c r="L41" s="16" t="str">
        <f>VLOOKUP(C41,'Trips&amp;Operators'!$C$2:$E$10000,3,FALSE)</f>
        <v>CANFIELD</v>
      </c>
      <c r="M41" s="15" t="s">
        <v>160</v>
      </c>
      <c r="N41" s="16" t="s">
        <v>162</v>
      </c>
      <c r="P41" s="54" t="str">
        <f>VLOOKUP(C41,'Train Runs'!$A$13:$V$246,22,0)</f>
        <v>https://search-rtdc-monitor-bjffxe2xuh6vdkpspy63sjmuny.us-east-1.es.amazonaws.com/_plugin/kibana/#/discover/Steve-Slow-Train-Analysis-(2080s-and-2083s)?_g=(refreshInterval:(display:Off,section:0,value:0),time:(from:'2016-06-24 07:38:33-0600',mode:absolute,to:'2016-06-24 08:15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1" s="14" t="str">
        <f t="shared" si="1"/>
        <v>4040</v>
      </c>
    </row>
    <row r="42" spans="1:17" s="2" customFormat="1" x14ac:dyDescent="0.25">
      <c r="A42" s="78">
        <v>42545.831307870372</v>
      </c>
      <c r="B42" s="66" t="s">
        <v>97</v>
      </c>
      <c r="C42" s="66" t="s">
        <v>411</v>
      </c>
      <c r="D42" s="66" t="s">
        <v>50</v>
      </c>
      <c r="E42" s="66" t="s">
        <v>158</v>
      </c>
      <c r="F42" s="66">
        <v>0</v>
      </c>
      <c r="G42" s="66">
        <v>553</v>
      </c>
      <c r="H42" s="66">
        <v>152843</v>
      </c>
      <c r="I42" s="66" t="s">
        <v>159</v>
      </c>
      <c r="J42" s="66">
        <v>155600</v>
      </c>
      <c r="K42" s="66" t="s">
        <v>53</v>
      </c>
      <c r="L42" s="16" t="str">
        <f>VLOOKUP(C42,'Trips&amp;Operators'!$C$2:$E$10000,3,FALSE)</f>
        <v>MAELZER</v>
      </c>
      <c r="M42" s="15" t="s">
        <v>160</v>
      </c>
      <c r="N42" s="16" t="s">
        <v>162</v>
      </c>
      <c r="P42" s="54" t="str">
        <f>VLOOKUP(C42,'Train Runs'!$A$13:$V$246,22,0)</f>
        <v>https://search-rtdc-monitor-bjffxe2xuh6vdkpspy63sjmuny.us-east-1.es.amazonaws.com/_plugin/kibana/#/discover/Steve-Slow-Train-Analysis-(2080s-and-2083s)?_g=(refreshInterval:(display:Off,section:0,value:0),time:(from:'2016-06-24 19:24:28-0600',mode:absolute,to:'2016-06-24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2" s="14" t="str">
        <f t="shared" si="1"/>
        <v>4029</v>
      </c>
    </row>
    <row r="43" spans="1:17" s="2" customFormat="1" x14ac:dyDescent="0.25">
      <c r="A43" s="18">
        <v>42545.245312500003</v>
      </c>
      <c r="B43" s="17" t="s">
        <v>82</v>
      </c>
      <c r="C43" s="17" t="s">
        <v>232</v>
      </c>
      <c r="D43" s="17" t="s">
        <v>50</v>
      </c>
      <c r="E43" s="17" t="s">
        <v>51</v>
      </c>
      <c r="F43" s="17">
        <v>0</v>
      </c>
      <c r="G43" s="17">
        <v>9</v>
      </c>
      <c r="H43" s="17">
        <v>112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CANFIELD</v>
      </c>
      <c r="M43" s="15" t="s">
        <v>161</v>
      </c>
      <c r="N43" s="16"/>
      <c r="P43" s="54" t="str">
        <f>VLOOKUP(C43,'Train Runs'!$A$13:$V$246,22,0)</f>
        <v>https://search-rtdc-monitor-bjffxe2xuh6vdkpspy63sjmuny.us-east-1.es.amazonaws.com/_plugin/kibana/#/discover/Steve-Slow-Train-Analysis-(2080s-and-2083s)?_g=(refreshInterval:(display:Off,section:0,value:0),time:(from:'2016-06-24 05:01:22-0600',mode:absolute,to:'2016-06-24 05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3" s="14" t="str">
        <f t="shared" si="0"/>
        <v>4019</v>
      </c>
    </row>
    <row r="44" spans="1:17" s="2" customFormat="1" x14ac:dyDescent="0.25">
      <c r="A44" s="18">
        <v>42545.264131944445</v>
      </c>
      <c r="B44" s="17" t="s">
        <v>108</v>
      </c>
      <c r="C44" s="17" t="s">
        <v>238</v>
      </c>
      <c r="D44" s="17" t="s">
        <v>50</v>
      </c>
      <c r="E44" s="17" t="s">
        <v>51</v>
      </c>
      <c r="F44" s="17">
        <v>0</v>
      </c>
      <c r="G44" s="17">
        <v>89</v>
      </c>
      <c r="H44" s="17">
        <v>345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MALAVE</v>
      </c>
      <c r="M44" s="15" t="s">
        <v>161</v>
      </c>
      <c r="N44" s="16"/>
      <c r="P44" s="54" t="str">
        <f>VLOOKUP(C44,'Train Runs'!$A$13:$V$246,22,0)</f>
        <v>https://search-rtdc-monitor-bjffxe2xuh6vdkpspy63sjmuny.us-east-1.es.amazonaws.com/_plugin/kibana/#/discover/Steve-Slow-Train-Analysis-(2080s-and-2083s)?_g=(refreshInterval:(display:Off,section:0,value:0),time:(from:'2016-06-24 05:38:18-0600',mode:absolute,to:'2016-06-24 06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4" s="14" t="str">
        <f t="shared" si="0"/>
        <v>4041</v>
      </c>
    </row>
    <row r="45" spans="1:17" s="2" customFormat="1" x14ac:dyDescent="0.25">
      <c r="A45" s="18">
        <v>42545.256967592592</v>
      </c>
      <c r="B45" s="17" t="s">
        <v>97</v>
      </c>
      <c r="C45" s="17" t="s">
        <v>243</v>
      </c>
      <c r="D45" s="17" t="s">
        <v>50</v>
      </c>
      <c r="E45" s="17" t="s">
        <v>51</v>
      </c>
      <c r="F45" s="17">
        <v>0</v>
      </c>
      <c r="G45" s="17">
        <v>101</v>
      </c>
      <c r="H45" s="17">
        <v>233055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SHOOK</v>
      </c>
      <c r="M45" s="15" t="s">
        <v>161</v>
      </c>
      <c r="N45" s="16"/>
      <c r="P45" s="54" t="str">
        <f>VLOOKUP(C45,'Train Runs'!$A$13:$V$246,22,0)</f>
        <v>https://search-rtdc-monitor-bjffxe2xuh6vdkpspy63sjmuny.us-east-1.es.amazonaws.com/_plugin/kibana/#/discover/Steve-Slow-Train-Analysis-(2080s-and-2083s)?_g=(refreshInterval:(display:Off,section:0,value:0),time:(from:'2016-06-24 05:25:13-0600',mode:absolute,to:'2016-06-24 06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5" s="14" t="str">
        <f t="shared" si="0"/>
        <v>4029</v>
      </c>
    </row>
    <row r="46" spans="1:17" s="2" customFormat="1" x14ac:dyDescent="0.25">
      <c r="A46" s="18">
        <v>42545.296111111114</v>
      </c>
      <c r="B46" s="17" t="s">
        <v>109</v>
      </c>
      <c r="C46" s="17" t="s">
        <v>257</v>
      </c>
      <c r="D46" s="17" t="s">
        <v>50</v>
      </c>
      <c r="E46" s="17" t="s">
        <v>51</v>
      </c>
      <c r="F46" s="17">
        <v>0</v>
      </c>
      <c r="G46" s="17">
        <v>8</v>
      </c>
      <c r="H46" s="17">
        <v>233322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MALAVE</v>
      </c>
      <c r="M46" s="15" t="s">
        <v>161</v>
      </c>
      <c r="N46" s="16"/>
      <c r="P46" s="54" t="str">
        <f>VLOOKUP(C46,'Train Runs'!$A$13:$V$246,22,0)</f>
        <v>https://search-rtdc-monitor-bjffxe2xuh6vdkpspy63sjmuny.us-east-1.es.amazonaws.com/_plugin/kibana/#/discover/Steve-Slow-Train-Analysis-(2080s-and-2083s)?_g=(refreshInterval:(display:Off,section:0,value:0),time:(from:'2016-06-24 06:23:34-0600',mode:absolute,to:'2016-06-24 07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4" t="str">
        <f t="shared" si="0"/>
        <v>4042</v>
      </c>
    </row>
    <row r="47" spans="1:17" s="2" customFormat="1" x14ac:dyDescent="0.25">
      <c r="A47" s="18">
        <v>42545.316886574074</v>
      </c>
      <c r="B47" s="17" t="s">
        <v>489</v>
      </c>
      <c r="C47" s="17" t="s">
        <v>264</v>
      </c>
      <c r="D47" s="17" t="s">
        <v>50</v>
      </c>
      <c r="E47" s="17" t="s">
        <v>51</v>
      </c>
      <c r="F47" s="17">
        <v>0</v>
      </c>
      <c r="G47" s="17">
        <v>9</v>
      </c>
      <c r="H47" s="17">
        <v>233328</v>
      </c>
      <c r="I47" s="17" t="s">
        <v>52</v>
      </c>
      <c r="J47" s="17">
        <v>233491</v>
      </c>
      <c r="K47" s="16" t="s">
        <v>53</v>
      </c>
      <c r="L47" s="16" t="str">
        <f>VLOOKUP(C47,'Trips&amp;Operators'!$C$2:$E$10000,3,FALSE)</f>
        <v>YORK</v>
      </c>
      <c r="M47" s="15" t="s">
        <v>161</v>
      </c>
      <c r="N47" s="16"/>
      <c r="P47" s="54" t="str">
        <f>VLOOKUP(C47,'Train Runs'!$A$13:$V$246,22,0)</f>
        <v>https://search-rtdc-monitor-bjffxe2xuh6vdkpspy63sjmuny.us-east-1.es.amazonaws.com/_plugin/kibana/#/discover/Steve-Slow-Train-Analysis-(2080s-and-2083s)?_g=(refreshInterval:(display:Off,section:0,value:0),time:(from:'2016-06-24 06:49:28-0600',mode:absolute,to:'2016-06-24 07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7" s="14" t="str">
        <f t="shared" si="0"/>
        <v>4011</v>
      </c>
    </row>
    <row r="48" spans="1:17" s="2" customFormat="1" x14ac:dyDescent="0.25">
      <c r="A48" s="18">
        <v>42545.361319444448</v>
      </c>
      <c r="B48" s="17" t="s">
        <v>490</v>
      </c>
      <c r="C48" s="17" t="s">
        <v>266</v>
      </c>
      <c r="D48" s="17" t="s">
        <v>50</v>
      </c>
      <c r="E48" s="17" t="s">
        <v>51</v>
      </c>
      <c r="F48" s="17">
        <v>0</v>
      </c>
      <c r="G48" s="17">
        <v>4</v>
      </c>
      <c r="H48" s="17">
        <v>121</v>
      </c>
      <c r="I48" s="17" t="s">
        <v>52</v>
      </c>
      <c r="J48" s="17">
        <v>1</v>
      </c>
      <c r="K48" s="16" t="s">
        <v>54</v>
      </c>
      <c r="L48" s="16" t="str">
        <f>VLOOKUP(C48,'Trips&amp;Operators'!$C$2:$E$10000,3,FALSE)</f>
        <v>YORK</v>
      </c>
      <c r="M48" s="15" t="s">
        <v>161</v>
      </c>
      <c r="N48" s="16"/>
      <c r="P48" s="54" t="str">
        <f>VLOOKUP(C48,'Train Runs'!$A$13:$V$246,22,0)</f>
        <v>https://search-rtdc-monitor-bjffxe2xuh6vdkpspy63sjmuny.us-east-1.es.amazonaws.com/_plugin/kibana/#/discover/Steve-Slow-Train-Analysis-(2080s-and-2083s)?_g=(refreshInterval:(display:Off,section:0,value:0),time:(from:'2016-06-24 07:37:07-0600',mode:absolute,to:'2016-06-24 07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8" s="14" t="str">
        <f t="shared" si="0"/>
        <v>4012</v>
      </c>
    </row>
    <row r="49" spans="1:17" s="2" customFormat="1" x14ac:dyDescent="0.25">
      <c r="A49" s="18">
        <v>42545.339178240742</v>
      </c>
      <c r="B49" s="17" t="s">
        <v>94</v>
      </c>
      <c r="C49" s="17" t="s">
        <v>272</v>
      </c>
      <c r="D49" s="17" t="s">
        <v>50</v>
      </c>
      <c r="E49" s="17" t="s">
        <v>51</v>
      </c>
      <c r="F49" s="17">
        <v>0</v>
      </c>
      <c r="G49" s="17">
        <v>7</v>
      </c>
      <c r="H49" s="17">
        <v>233299</v>
      </c>
      <c r="I49" s="17" t="s">
        <v>52</v>
      </c>
      <c r="J49" s="17">
        <v>233491</v>
      </c>
      <c r="K49" s="16" t="s">
        <v>53</v>
      </c>
      <c r="L49" s="16" t="str">
        <f>VLOOKUP(C49,'Trips&amp;Operators'!$C$2:$E$10000,3,FALSE)</f>
        <v>STURGEON</v>
      </c>
      <c r="M49" s="15" t="s">
        <v>161</v>
      </c>
      <c r="N49" s="16"/>
      <c r="P49" s="54" t="str">
        <f>VLOOKUP(C49,'Train Runs'!$A$13:$V$246,22,0)</f>
        <v>https://search-rtdc-monitor-bjffxe2xuh6vdkpspy63sjmuny.us-east-1.es.amazonaws.com/_plugin/kibana/#/discover/Steve-Slow-Train-Analysis-(2080s-and-2083s)?_g=(refreshInterval:(display:Off,section:0,value:0),time:(from:'2016-06-24 07:24:25-0600',mode:absolute,to:'2016-06-24 08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9" s="14" t="str">
        <f t="shared" si="0"/>
        <v>4031</v>
      </c>
    </row>
    <row r="50" spans="1:17" s="2" customFormat="1" x14ac:dyDescent="0.25">
      <c r="A50" s="18">
        <v>42545.390381944446</v>
      </c>
      <c r="B50" s="17" t="s">
        <v>181</v>
      </c>
      <c r="C50" s="17" t="s">
        <v>278</v>
      </c>
      <c r="D50" s="17" t="s">
        <v>50</v>
      </c>
      <c r="E50" s="17" t="s">
        <v>51</v>
      </c>
      <c r="F50" s="17">
        <v>0</v>
      </c>
      <c r="G50" s="17">
        <v>8</v>
      </c>
      <c r="H50" s="17">
        <v>118</v>
      </c>
      <c r="I50" s="17" t="s">
        <v>52</v>
      </c>
      <c r="J50" s="17">
        <v>1</v>
      </c>
      <c r="K50" s="16" t="s">
        <v>54</v>
      </c>
      <c r="L50" s="16" t="str">
        <f>VLOOKUP(C50,'Trips&amp;Operators'!$C$2:$E$10000,3,FALSE)</f>
        <v>CANFIELD</v>
      </c>
      <c r="M50" s="15" t="s">
        <v>161</v>
      </c>
      <c r="N50" s="16"/>
      <c r="P50" s="54" t="str">
        <f>VLOOKUP(C50,'Train Runs'!$A$13:$V$246,22,0)</f>
        <v>https://search-rtdc-monitor-bjffxe2xuh6vdkpspy63sjmuny.us-east-1.es.amazonaws.com/_plugin/kibana/#/discover/Steve-Slow-Train-Analysis-(2080s-and-2083s)?_g=(refreshInterval:(display:Off,section:0,value:0),time:(from:'2016-06-24 08:29:09-0600',mode:absolute,to:'2016-06-24 09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0" s="14" t="str">
        <f t="shared" si="0"/>
        <v>4039</v>
      </c>
    </row>
    <row r="51" spans="1:17" s="2" customFormat="1" x14ac:dyDescent="0.25">
      <c r="A51" s="18">
        <v>42545.359166666669</v>
      </c>
      <c r="B51" s="17" t="s">
        <v>93</v>
      </c>
      <c r="C51" s="17" t="s">
        <v>279</v>
      </c>
      <c r="D51" s="17" t="s">
        <v>50</v>
      </c>
      <c r="E51" s="17" t="s">
        <v>51</v>
      </c>
      <c r="F51" s="17">
        <v>0</v>
      </c>
      <c r="G51" s="17">
        <v>7</v>
      </c>
      <c r="H51" s="17">
        <v>233339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BEAM</v>
      </c>
      <c r="M51" s="15" t="s">
        <v>161</v>
      </c>
      <c r="N51" s="16"/>
      <c r="P51" s="54" t="str">
        <f>VLOOKUP(C51,'Train Runs'!$A$13:$V$246,22,0)</f>
        <v>https://search-rtdc-monitor-bjffxe2xuh6vdkpspy63sjmuny.us-east-1.es.amazonaws.com/_plugin/kibana/#/discover/Steve-Slow-Train-Analysis-(2080s-and-2083s)?_g=(refreshInterval:(display:Off,section:0,value:0),time:(from:'2016-06-24 07:55:22-0600',mode:absolute,to:'2016-06-24 08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1" s="14" t="str">
        <f t="shared" si="0"/>
        <v>4007</v>
      </c>
    </row>
    <row r="52" spans="1:17" s="2" customFormat="1" x14ac:dyDescent="0.25">
      <c r="A52" s="18">
        <v>42545.376250000001</v>
      </c>
      <c r="B52" s="17" t="s">
        <v>109</v>
      </c>
      <c r="C52" s="17" t="s">
        <v>281</v>
      </c>
      <c r="D52" s="17" t="s">
        <v>50</v>
      </c>
      <c r="E52" s="17" t="s">
        <v>51</v>
      </c>
      <c r="F52" s="17">
        <v>0</v>
      </c>
      <c r="G52" s="17">
        <v>5</v>
      </c>
      <c r="H52" s="17">
        <v>233320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MALAVE</v>
      </c>
      <c r="M52" s="15" t="s">
        <v>161</v>
      </c>
      <c r="N52" s="16"/>
      <c r="P52" s="54" t="str">
        <f>VLOOKUP(C52,'Train Runs'!$A$13:$V$246,22,0)</f>
        <v>https://search-rtdc-monitor-bjffxe2xuh6vdkpspy63sjmuny.us-east-1.es.amazonaws.com/_plugin/kibana/#/discover/Steve-Slow-Train-Analysis-(2080s-and-2083s)?_g=(refreshInterval:(display:Off,section:0,value:0),time:(from:'2016-06-24 08:11:27-0600',mode:absolute,to:'2016-06-24 09:02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2" s="14" t="str">
        <f t="shared" si="0"/>
        <v>4042</v>
      </c>
    </row>
    <row r="53" spans="1:17" s="2" customFormat="1" x14ac:dyDescent="0.25">
      <c r="A53" s="18">
        <v>42545.41165509259</v>
      </c>
      <c r="B53" s="17" t="s">
        <v>108</v>
      </c>
      <c r="C53" s="17" t="s">
        <v>284</v>
      </c>
      <c r="D53" s="17" t="s">
        <v>50</v>
      </c>
      <c r="E53" s="17" t="s">
        <v>51</v>
      </c>
      <c r="F53" s="17">
        <v>0</v>
      </c>
      <c r="G53" s="17">
        <v>6</v>
      </c>
      <c r="H53" s="17">
        <v>125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MALAVE</v>
      </c>
      <c r="M53" s="15" t="s">
        <v>161</v>
      </c>
      <c r="N53" s="16"/>
      <c r="P53" s="54" t="str">
        <f>VLOOKUP(C53,'Train Runs'!$A$13:$V$246,22,0)</f>
        <v>https://search-rtdc-monitor-bjffxe2xuh6vdkpspy63sjmuny.us-east-1.es.amazonaws.com/_plugin/kibana/#/discover/Steve-Slow-Train-Analysis-(2080s-and-2083s)?_g=(refreshInterval:(display:Off,section:0,value:0),time:(from:'2016-06-24 09:06:47-0600',mode:absolute,to:'2016-06-24 09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3" s="14" t="str">
        <f t="shared" si="0"/>
        <v>4041</v>
      </c>
    </row>
    <row r="54" spans="1:17" s="2" customFormat="1" x14ac:dyDescent="0.25">
      <c r="A54" s="18">
        <v>42545.442893518521</v>
      </c>
      <c r="B54" s="17" t="s">
        <v>109</v>
      </c>
      <c r="C54" s="17" t="s">
        <v>304</v>
      </c>
      <c r="D54" s="17" t="s">
        <v>50</v>
      </c>
      <c r="E54" s="17" t="s">
        <v>51</v>
      </c>
      <c r="F54" s="17">
        <v>0</v>
      </c>
      <c r="G54" s="17">
        <v>7</v>
      </c>
      <c r="H54" s="17">
        <v>233332</v>
      </c>
      <c r="I54" s="17" t="s">
        <v>52</v>
      </c>
      <c r="J54" s="17">
        <v>233491</v>
      </c>
      <c r="K54" s="16" t="s">
        <v>53</v>
      </c>
      <c r="L54" s="16" t="str">
        <f>VLOOKUP(C54,'Trips&amp;Operators'!$C$2:$E$10000,3,FALSE)</f>
        <v>MALAVE</v>
      </c>
      <c r="M54" s="15" t="s">
        <v>161</v>
      </c>
      <c r="N54" s="16"/>
      <c r="P54" s="54" t="str">
        <f>VLOOKUP(C54,'Train Runs'!$A$13:$V$246,22,0)</f>
        <v>https://search-rtdc-monitor-bjffxe2xuh6vdkpspy63sjmuny.us-east-1.es.amazonaws.com/_plugin/kibana/#/discover/Steve-Slow-Train-Analysis-(2080s-and-2083s)?_g=(refreshInterval:(display:Off,section:0,value:0),time:(from:'2016-06-24 09:57:49-0600',mode:absolute,to:'2016-06-24 10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4" s="14" t="str">
        <f t="shared" si="0"/>
        <v>4042</v>
      </c>
    </row>
    <row r="55" spans="1:17" s="2" customFormat="1" x14ac:dyDescent="0.25">
      <c r="A55" s="18">
        <v>42545.504733796297</v>
      </c>
      <c r="B55" s="17" t="s">
        <v>490</v>
      </c>
      <c r="C55" s="17" t="s">
        <v>312</v>
      </c>
      <c r="D55" s="17" t="s">
        <v>50</v>
      </c>
      <c r="E55" s="17" t="s">
        <v>51</v>
      </c>
      <c r="F55" s="17">
        <v>0</v>
      </c>
      <c r="G55" s="17">
        <v>3</v>
      </c>
      <c r="H55" s="17">
        <v>1137</v>
      </c>
      <c r="I55" s="17" t="s">
        <v>52</v>
      </c>
      <c r="J55" s="17">
        <v>839</v>
      </c>
      <c r="K55" s="16" t="s">
        <v>54</v>
      </c>
      <c r="L55" s="16" t="str">
        <f>VLOOKUP(C55,'Trips&amp;Operators'!$C$2:$E$10000,3,FALSE)</f>
        <v>STAMBAUGH</v>
      </c>
      <c r="M55" s="15" t="s">
        <v>161</v>
      </c>
      <c r="N55" s="16"/>
      <c r="P55" s="54" t="str">
        <f>VLOOKUP(C55,'Train Runs'!$A$13:$V$246,22,0)</f>
        <v>https://search-rtdc-monitor-bjffxe2xuh6vdkpspy63sjmuny.us-east-1.es.amazonaws.com/_plugin/kibana/#/discover/Steve-Slow-Train-Analysis-(2080s-and-2083s)?_g=(refreshInterval:(display:Off,section:0,value:0),time:(from:'2016-06-24 11:19:50-0600',mode:absolute,to:'2016-06-24 12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5" s="14" t="str">
        <f t="shared" si="0"/>
        <v>4012</v>
      </c>
    </row>
    <row r="56" spans="1:17" s="2" customFormat="1" x14ac:dyDescent="0.25">
      <c r="A56" s="18">
        <v>42545.522581018522</v>
      </c>
      <c r="B56" s="17" t="s">
        <v>82</v>
      </c>
      <c r="C56" s="17" t="s">
        <v>317</v>
      </c>
      <c r="D56" s="17" t="s">
        <v>50</v>
      </c>
      <c r="E56" s="17" t="s">
        <v>51</v>
      </c>
      <c r="F56" s="17">
        <v>0</v>
      </c>
      <c r="G56" s="17">
        <v>112</v>
      </c>
      <c r="H56" s="17">
        <v>467</v>
      </c>
      <c r="I56" s="17" t="s">
        <v>52</v>
      </c>
      <c r="J56" s="17">
        <v>1</v>
      </c>
      <c r="K56" s="16" t="s">
        <v>54</v>
      </c>
      <c r="L56" s="16" t="str">
        <f>VLOOKUP(C56,'Trips&amp;Operators'!$C$2:$E$10000,3,FALSE)</f>
        <v>SHOOK</v>
      </c>
      <c r="M56" s="15" t="s">
        <v>161</v>
      </c>
      <c r="N56" s="16"/>
      <c r="P56" s="54" t="str">
        <f>VLOOKUP(C56,'Train Runs'!$A$13:$V$246,22,0)</f>
        <v>https://search-rtdc-monitor-bjffxe2xuh6vdkpspy63sjmuny.us-east-1.es.amazonaws.com/_plugin/kibana/#/discover/Steve-Slow-Train-Analysis-(2080s-and-2083s)?_g=(refreshInterval:(display:Off,section:0,value:0),time:(from:'2016-06-24 11:50:25-0600',mode:absolute,to:'2016-06-24 12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6" s="14" t="str">
        <f t="shared" si="0"/>
        <v>4019</v>
      </c>
    </row>
    <row r="57" spans="1:17" s="2" customFormat="1" x14ac:dyDescent="0.25">
      <c r="A57" s="18">
        <v>42545.522974537038</v>
      </c>
      <c r="B57" s="17" t="s">
        <v>82</v>
      </c>
      <c r="C57" s="17" t="s">
        <v>317</v>
      </c>
      <c r="D57" s="17" t="s">
        <v>50</v>
      </c>
      <c r="E57" s="17" t="s">
        <v>51</v>
      </c>
      <c r="F57" s="17">
        <v>0</v>
      </c>
      <c r="G57" s="17">
        <v>51</v>
      </c>
      <c r="H57" s="17">
        <v>231</v>
      </c>
      <c r="I57" s="17" t="s">
        <v>52</v>
      </c>
      <c r="J57" s="17">
        <v>1</v>
      </c>
      <c r="K57" s="16" t="s">
        <v>54</v>
      </c>
      <c r="L57" s="16" t="str">
        <f>VLOOKUP(C57,'Trips&amp;Operators'!$C$2:$E$10000,3,FALSE)</f>
        <v>SHOOK</v>
      </c>
      <c r="M57" s="15" t="s">
        <v>161</v>
      </c>
      <c r="N57" s="16"/>
      <c r="P57" s="54" t="str">
        <f>VLOOKUP(C57,'Train Runs'!$A$13:$V$246,22,0)</f>
        <v>https://search-rtdc-monitor-bjffxe2xuh6vdkpspy63sjmuny.us-east-1.es.amazonaws.com/_plugin/kibana/#/discover/Steve-Slow-Train-Analysis-(2080s-and-2083s)?_g=(refreshInterval:(display:Off,section:0,value:0),time:(from:'2016-06-24 11:50:25-0600',mode:absolute,to:'2016-06-24 12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7" s="14" t="str">
        <f t="shared" si="0"/>
        <v>4019</v>
      </c>
    </row>
    <row r="58" spans="1:17" s="2" customFormat="1" x14ac:dyDescent="0.25">
      <c r="A58" s="78">
        <v>42545.584224537037</v>
      </c>
      <c r="B58" s="66" t="s">
        <v>70</v>
      </c>
      <c r="C58" s="66" t="s">
        <v>333</v>
      </c>
      <c r="D58" s="66" t="s">
        <v>50</v>
      </c>
      <c r="E58" s="66" t="s">
        <v>51</v>
      </c>
      <c r="F58" s="66">
        <v>0</v>
      </c>
      <c r="G58" s="66">
        <v>55</v>
      </c>
      <c r="H58" s="66">
        <v>198</v>
      </c>
      <c r="I58" s="66" t="s">
        <v>52</v>
      </c>
      <c r="J58" s="66">
        <v>1</v>
      </c>
      <c r="K58" s="66" t="s">
        <v>54</v>
      </c>
      <c r="L58" s="16" t="str">
        <f>VLOOKUP(C58,'Trips&amp;Operators'!$C$2:$E$10000,3,FALSE)</f>
        <v>STEWART</v>
      </c>
      <c r="M58" s="15" t="s">
        <v>161</v>
      </c>
      <c r="N58" s="16"/>
      <c r="P58" s="54" t="str">
        <f>VLOOKUP(C58,'Train Runs'!$A$13:$V$246,22,0)</f>
        <v>https://search-rtdc-monitor-bjffxe2xuh6vdkpspy63sjmuny.us-east-1.es.amazonaws.com/_plugin/kibana/#/discover/Steve-Slow-Train-Analysis-(2080s-and-2083s)?_g=(refreshInterval:(display:Off,section:0,value:0),time:(from:'2016-06-24 13:06:06-0600',mode:absolute,to:'2016-06-24 14:02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8" s="14" t="str">
        <f t="shared" si="0"/>
        <v>4032</v>
      </c>
    </row>
    <row r="59" spans="1:17" s="2" customFormat="1" x14ac:dyDescent="0.25">
      <c r="A59" s="18">
        <v>42545.545335648145</v>
      </c>
      <c r="B59" s="17" t="s">
        <v>97</v>
      </c>
      <c r="C59" s="17" t="s">
        <v>335</v>
      </c>
      <c r="D59" s="17" t="s">
        <v>50</v>
      </c>
      <c r="E59" s="17" t="s">
        <v>51</v>
      </c>
      <c r="F59" s="17">
        <v>0</v>
      </c>
      <c r="G59" s="17">
        <v>2</v>
      </c>
      <c r="H59" s="17">
        <v>233338</v>
      </c>
      <c r="I59" s="17" t="s">
        <v>52</v>
      </c>
      <c r="J59" s="17">
        <v>233491</v>
      </c>
      <c r="K59" s="16" t="s">
        <v>53</v>
      </c>
      <c r="L59" s="16" t="str">
        <f>VLOOKUP(C59,'Trips&amp;Operators'!$C$2:$E$10000,3,FALSE)</f>
        <v>ROCHA</v>
      </c>
      <c r="M59" s="15" t="s">
        <v>161</v>
      </c>
      <c r="N59" s="16"/>
      <c r="P59" s="54" t="str">
        <f>VLOOKUP(C59,'Train Runs'!$A$13:$V$246,22,0)</f>
        <v>https://search-rtdc-monitor-bjffxe2xuh6vdkpspy63sjmuny.us-east-1.es.amazonaws.com/_plugin/kibana/#/discover/Steve-Slow-Train-Analysis-(2080s-and-2083s)?_g=(refreshInterval:(display:Off,section:0,value:0),time:(from:'2016-06-24 12:22:20-0600',mode:absolute,to:'2016-06-24 13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9" s="14" t="str">
        <f t="shared" si="0"/>
        <v>4029</v>
      </c>
    </row>
    <row r="60" spans="1:17" s="2" customFormat="1" x14ac:dyDescent="0.25">
      <c r="A60" s="78">
        <v>42545.587407407409</v>
      </c>
      <c r="B60" s="66" t="s">
        <v>92</v>
      </c>
      <c r="C60" s="66" t="s">
        <v>336</v>
      </c>
      <c r="D60" s="66" t="s">
        <v>50</v>
      </c>
      <c r="E60" s="66" t="s">
        <v>51</v>
      </c>
      <c r="F60" s="66">
        <v>0</v>
      </c>
      <c r="G60" s="66">
        <v>4</v>
      </c>
      <c r="H60" s="66">
        <v>125</v>
      </c>
      <c r="I60" s="66" t="s">
        <v>52</v>
      </c>
      <c r="J60" s="66">
        <v>1</v>
      </c>
      <c r="K60" s="66" t="s">
        <v>54</v>
      </c>
      <c r="L60" s="16" t="str">
        <f>VLOOKUP(C60,'Trips&amp;Operators'!$C$2:$E$10000,3,FALSE)</f>
        <v>ROCHA</v>
      </c>
      <c r="M60" s="15" t="s">
        <v>161</v>
      </c>
      <c r="N60" s="16"/>
      <c r="P60" s="54" t="str">
        <f>VLOOKUP(C60,'Train Runs'!$A$13:$V$246,22,0)</f>
        <v>https://search-rtdc-monitor-bjffxe2xuh6vdkpspy63sjmuny.us-east-1.es.amazonaws.com/_plugin/kibana/#/discover/Steve-Slow-Train-Analysis-(2080s-and-2083s)?_g=(refreshInterval:(display:Off,section:0,value:0),time:(from:'2016-06-24 13:21:46-0600',mode:absolute,to:'2016-06-24 14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0" s="14" t="str">
        <f t="shared" si="0"/>
        <v>4030</v>
      </c>
    </row>
    <row r="61" spans="1:17" s="2" customFormat="1" x14ac:dyDescent="0.25">
      <c r="A61" s="78">
        <v>42545.599224537036</v>
      </c>
      <c r="B61" s="66" t="s">
        <v>82</v>
      </c>
      <c r="C61" s="66" t="s">
        <v>339</v>
      </c>
      <c r="D61" s="66" t="s">
        <v>50</v>
      </c>
      <c r="E61" s="66" t="s">
        <v>51</v>
      </c>
      <c r="F61" s="66">
        <v>0</v>
      </c>
      <c r="G61" s="66">
        <v>4</v>
      </c>
      <c r="H61" s="66">
        <v>121</v>
      </c>
      <c r="I61" s="66" t="s">
        <v>52</v>
      </c>
      <c r="J61" s="66">
        <v>1</v>
      </c>
      <c r="K61" s="66" t="s">
        <v>54</v>
      </c>
      <c r="L61" s="16" t="str">
        <f>VLOOKUP(C61,'Trips&amp;Operators'!$C$2:$E$10000,3,FALSE)</f>
        <v>WEBSTER</v>
      </c>
      <c r="M61" s="15" t="s">
        <v>161</v>
      </c>
      <c r="N61" s="16"/>
      <c r="P61" s="54" t="str">
        <f>VLOOKUP(C61,'Train Runs'!$A$13:$V$246,22,0)</f>
        <v>https://search-rtdc-monitor-bjffxe2xuh6vdkpspy63sjmuny.us-east-1.es.amazonaws.com/_plugin/kibana/#/discover/Steve-Slow-Train-Analysis-(2080s-and-2083s)?_g=(refreshInterval:(display:Off,section:0,value:0),time:(from:'2016-06-24 13:33:48-0600',mode:absolute,to:'2016-06-24 14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1" s="14" t="str">
        <f t="shared" si="0"/>
        <v>4019</v>
      </c>
    </row>
    <row r="62" spans="1:17" s="2" customFormat="1" x14ac:dyDescent="0.25">
      <c r="A62" s="78">
        <v>42545.651817129627</v>
      </c>
      <c r="B62" s="66" t="s">
        <v>70</v>
      </c>
      <c r="C62" s="66" t="s">
        <v>355</v>
      </c>
      <c r="D62" s="66" t="s">
        <v>50</v>
      </c>
      <c r="E62" s="66" t="s">
        <v>51</v>
      </c>
      <c r="F62" s="66">
        <v>0</v>
      </c>
      <c r="G62" s="66">
        <v>55</v>
      </c>
      <c r="H62" s="66">
        <v>209</v>
      </c>
      <c r="I62" s="66" t="s">
        <v>52</v>
      </c>
      <c r="J62" s="66">
        <v>1</v>
      </c>
      <c r="K62" s="66" t="s">
        <v>54</v>
      </c>
      <c r="L62" s="16" t="str">
        <f>VLOOKUP(C62,'Trips&amp;Operators'!$C$2:$E$10000,3,FALSE)</f>
        <v>STEWART</v>
      </c>
      <c r="M62" s="15" t="s">
        <v>161</v>
      </c>
      <c r="N62" s="16"/>
      <c r="P62" s="54" t="str">
        <f>VLOOKUP(C62,'Train Runs'!$A$13:$V$246,22,0)</f>
        <v>https://search-rtdc-monitor-bjffxe2xuh6vdkpspy63sjmuny.us-east-1.es.amazonaws.com/_plugin/kibana/#/discover/Steve-Slow-Train-Analysis-(2080s-and-2083s)?_g=(refreshInterval:(display:Off,section:0,value:0),time:(from:'2016-06-24 14:50:20-0600',mode:absolute,to:'2016-06-24 15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2" s="14" t="str">
        <f t="shared" si="0"/>
        <v>4032</v>
      </c>
    </row>
    <row r="63" spans="1:17" s="2" customFormat="1" x14ac:dyDescent="0.25">
      <c r="A63" s="78">
        <v>42545.700682870367</v>
      </c>
      <c r="B63" s="66" t="s">
        <v>108</v>
      </c>
      <c r="C63" s="66" t="s">
        <v>367</v>
      </c>
      <c r="D63" s="66" t="s">
        <v>50</v>
      </c>
      <c r="E63" s="66" t="s">
        <v>51</v>
      </c>
      <c r="F63" s="66">
        <v>0</v>
      </c>
      <c r="G63" s="66">
        <v>52</v>
      </c>
      <c r="H63" s="66">
        <v>183</v>
      </c>
      <c r="I63" s="66" t="s">
        <v>52</v>
      </c>
      <c r="J63" s="66">
        <v>1</v>
      </c>
      <c r="K63" s="66" t="s">
        <v>54</v>
      </c>
      <c r="L63" s="16" t="str">
        <f>VLOOKUP(C63,'Trips&amp;Operators'!$C$2:$E$10000,3,FALSE)</f>
        <v>LOCKLEAR</v>
      </c>
      <c r="M63" s="15" t="s">
        <v>161</v>
      </c>
      <c r="N63" s="16"/>
      <c r="P63" s="54" t="str">
        <f>VLOOKUP(C63,'Train Runs'!$A$13:$V$246,22,0)</f>
        <v>https://search-rtdc-monitor-bjffxe2xuh6vdkpspy63sjmuny.us-east-1.es.amazonaws.com/_plugin/kibana/#/discover/Steve-Slow-Train-Analysis-(2080s-and-2083s)?_g=(refreshInterval:(display:Off,section:0,value:0),time:(from:'2016-06-24 16:07:34-0600',mode:absolute,to:'2016-06-24 16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3" s="14" t="str">
        <f t="shared" si="0"/>
        <v>4041</v>
      </c>
    </row>
    <row r="64" spans="1:17" s="2" customFormat="1" x14ac:dyDescent="0.25">
      <c r="A64" s="78">
        <v>42545.693611111114</v>
      </c>
      <c r="B64" s="66" t="s">
        <v>97</v>
      </c>
      <c r="C64" s="66" t="s">
        <v>375</v>
      </c>
      <c r="D64" s="66" t="s">
        <v>50</v>
      </c>
      <c r="E64" s="66" t="s">
        <v>51</v>
      </c>
      <c r="F64" s="66">
        <v>0</v>
      </c>
      <c r="G64" s="66">
        <v>7</v>
      </c>
      <c r="H64" s="66">
        <v>233340</v>
      </c>
      <c r="I64" s="66" t="s">
        <v>52</v>
      </c>
      <c r="J64" s="66">
        <v>233491</v>
      </c>
      <c r="K64" s="66" t="s">
        <v>53</v>
      </c>
      <c r="L64" s="16" t="str">
        <f>VLOOKUP(C64,'Trips&amp;Operators'!$C$2:$E$10000,3,FALSE)</f>
        <v>ROCHA</v>
      </c>
      <c r="M64" s="15" t="s">
        <v>161</v>
      </c>
      <c r="N64" s="16"/>
      <c r="P64" s="54" t="str">
        <f>VLOOKUP(C64,'Train Runs'!$A$13:$V$246,22,0)</f>
        <v>https://search-rtdc-monitor-bjffxe2xuh6vdkpspy63sjmuny.us-east-1.es.amazonaws.com/_plugin/kibana/#/discover/Steve-Slow-Train-Analysis-(2080s-and-2083s)?_g=(refreshInterval:(display:Off,section:0,value:0),time:(from:'2016-06-24 15:59:12-0600',mode:absolute,to:'2016-06-24 16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4" s="14" t="str">
        <f t="shared" si="0"/>
        <v>4029</v>
      </c>
    </row>
    <row r="65" spans="1:17" s="2" customFormat="1" x14ac:dyDescent="0.25">
      <c r="A65" s="78">
        <v>42545.74496527778</v>
      </c>
      <c r="B65" s="66" t="s">
        <v>91</v>
      </c>
      <c r="C65" s="66" t="s">
        <v>382</v>
      </c>
      <c r="D65" s="66" t="s">
        <v>50</v>
      </c>
      <c r="E65" s="66" t="s">
        <v>51</v>
      </c>
      <c r="F65" s="66">
        <v>0</v>
      </c>
      <c r="G65" s="66">
        <v>4</v>
      </c>
      <c r="H65" s="66">
        <v>138</v>
      </c>
      <c r="I65" s="66" t="s">
        <v>52</v>
      </c>
      <c r="J65" s="66">
        <v>1</v>
      </c>
      <c r="K65" s="66" t="s">
        <v>54</v>
      </c>
      <c r="L65" s="16" t="str">
        <f>VLOOKUP(C65,'Trips&amp;Operators'!$C$2:$E$10000,3,FALSE)</f>
        <v>CHANDLER</v>
      </c>
      <c r="M65" s="15" t="s">
        <v>161</v>
      </c>
      <c r="N65" s="16"/>
      <c r="P65" s="54" t="str">
        <f>VLOOKUP(C65,'Train Runs'!$A$13:$V$246,22,0)</f>
        <v>https://search-rtdc-monitor-bjffxe2xuh6vdkpspy63sjmuny.us-east-1.es.amazonaws.com/_plugin/kibana/#/discover/Steve-Slow-Train-Analysis-(2080s-and-2083s)?_g=(refreshInterval:(display:Off,section:0,value:0),time:(from:'2016-06-24 17:06:39-0600',mode:absolute,to:'2016-06-24 17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5" s="14" t="str">
        <f t="shared" si="0"/>
        <v>4008</v>
      </c>
    </row>
    <row r="66" spans="1:17" s="2" customFormat="1" x14ac:dyDescent="0.25">
      <c r="A66" s="78">
        <v>42545.800300925926</v>
      </c>
      <c r="B66" s="66" t="s">
        <v>70</v>
      </c>
      <c r="C66" s="66" t="s">
        <v>396</v>
      </c>
      <c r="D66" s="66" t="s">
        <v>50</v>
      </c>
      <c r="E66" s="66" t="s">
        <v>51</v>
      </c>
      <c r="F66" s="66">
        <v>0</v>
      </c>
      <c r="G66" s="66">
        <v>49</v>
      </c>
      <c r="H66" s="66">
        <v>165</v>
      </c>
      <c r="I66" s="66" t="s">
        <v>52</v>
      </c>
      <c r="J66" s="66">
        <v>1</v>
      </c>
      <c r="K66" s="66" t="s">
        <v>54</v>
      </c>
      <c r="L66" s="16" t="str">
        <f>VLOOKUP(C66,'Trips&amp;Operators'!$C$2:$E$10000,3,FALSE)</f>
        <v>STEWART</v>
      </c>
      <c r="M66" s="15" t="s">
        <v>161</v>
      </c>
      <c r="N66" s="16"/>
      <c r="P66" s="54" t="str">
        <f>VLOOKUP(C66,'Train Runs'!$A$13:$V$246,22,0)</f>
        <v>https://search-rtdc-monitor-bjffxe2xuh6vdkpspy63sjmuny.us-east-1.es.amazonaws.com/_plugin/kibana/#/discover/Steve-Slow-Train-Analysis-(2080s-and-2083s)?_g=(refreshInterval:(display:Off,section:0,value:0),time:(from:'2016-06-24 18:20:39-0600',mode:absolute,to:'2016-06-24 19:14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6" s="14" t="str">
        <f t="shared" si="0"/>
        <v>4032</v>
      </c>
    </row>
    <row r="67" spans="1:17" s="2" customFormat="1" x14ac:dyDescent="0.25">
      <c r="A67" s="78">
        <v>42545.821342592593</v>
      </c>
      <c r="B67" s="66" t="s">
        <v>91</v>
      </c>
      <c r="C67" s="66" t="s">
        <v>401</v>
      </c>
      <c r="D67" s="66" t="s">
        <v>50</v>
      </c>
      <c r="E67" s="66" t="s">
        <v>51</v>
      </c>
      <c r="F67" s="66">
        <v>0</v>
      </c>
      <c r="G67" s="66">
        <v>7</v>
      </c>
      <c r="H67" s="66">
        <v>130</v>
      </c>
      <c r="I67" s="66" t="s">
        <v>52</v>
      </c>
      <c r="J67" s="66">
        <v>1</v>
      </c>
      <c r="K67" s="66" t="s">
        <v>54</v>
      </c>
      <c r="L67" s="16" t="str">
        <f>VLOOKUP(C67,'Trips&amp;Operators'!$C$2:$E$10000,3,FALSE)</f>
        <v>CHANDLER</v>
      </c>
      <c r="M67" s="15" t="s">
        <v>161</v>
      </c>
      <c r="N67" s="16"/>
      <c r="P67" s="54" t="str">
        <f>VLOOKUP(C67,'Train Runs'!$A$13:$V$246,22,0)</f>
        <v>https://search-rtdc-monitor-bjffxe2xuh6vdkpspy63sjmuny.us-east-1.es.amazonaws.com/_plugin/kibana/#/discover/Steve-Slow-Train-Analysis-(2080s-and-2083s)?_g=(refreshInterval:(display:Off,section:0,value:0),time:(from:'2016-06-24 18:50:15-0600',mode:absolute,to:'2016-06-24 19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7" s="14" t="str">
        <f t="shared" si="0"/>
        <v>4008</v>
      </c>
    </row>
    <row r="68" spans="1:17" s="2" customFormat="1" x14ac:dyDescent="0.25">
      <c r="A68" s="78">
        <v>42545.880601851852</v>
      </c>
      <c r="B68" s="66" t="s">
        <v>489</v>
      </c>
      <c r="C68" s="66" t="s">
        <v>415</v>
      </c>
      <c r="D68" s="66" t="s">
        <v>50</v>
      </c>
      <c r="E68" s="66" t="s">
        <v>51</v>
      </c>
      <c r="F68" s="66">
        <v>0</v>
      </c>
      <c r="G68" s="66">
        <v>9</v>
      </c>
      <c r="H68" s="66">
        <v>233305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MOSES</v>
      </c>
      <c r="M68" s="15" t="s">
        <v>161</v>
      </c>
      <c r="N68" s="16"/>
      <c r="P68" s="54" t="str">
        <f>VLOOKUP(C68,'Train Runs'!$A$13:$V$246,22,0)</f>
        <v>https://search-rtdc-monitor-bjffxe2xuh6vdkpspy63sjmuny.us-east-1.es.amazonaws.com/_plugin/kibana/#/discover/Steve-Slow-Train-Analysis-(2080s-and-2083s)?_g=(refreshInterval:(display:Off,section:0,value:0),time:(from:'2016-06-24 20:23:52-0600',mode:absolute,to:'2016-06-24 21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8" s="14" t="str">
        <f t="shared" si="0"/>
        <v>4011</v>
      </c>
    </row>
    <row r="69" spans="1:17" s="2" customFormat="1" x14ac:dyDescent="0.25">
      <c r="A69" s="78">
        <v>42545.920659722222</v>
      </c>
      <c r="B69" s="66" t="s">
        <v>490</v>
      </c>
      <c r="C69" s="66" t="s">
        <v>417</v>
      </c>
      <c r="D69" s="66" t="s">
        <v>50</v>
      </c>
      <c r="E69" s="66" t="s">
        <v>51</v>
      </c>
      <c r="F69" s="66">
        <v>0</v>
      </c>
      <c r="G69" s="66">
        <v>4</v>
      </c>
      <c r="H69" s="66">
        <v>119</v>
      </c>
      <c r="I69" s="66" t="s">
        <v>52</v>
      </c>
      <c r="J69" s="66">
        <v>1</v>
      </c>
      <c r="K69" s="66" t="s">
        <v>54</v>
      </c>
      <c r="L69" s="16" t="str">
        <f>VLOOKUP(C69,'Trips&amp;Operators'!$C$2:$E$10000,3,FALSE)</f>
        <v>MOSES</v>
      </c>
      <c r="M69" s="15" t="s">
        <v>161</v>
      </c>
      <c r="N69" s="16"/>
      <c r="P69" s="54" t="str">
        <f>VLOOKUP(C69,'Train Runs'!$A$13:$V$246,22,0)</f>
        <v>https://search-rtdc-monitor-bjffxe2xuh6vdkpspy63sjmuny.us-east-1.es.amazonaws.com/_plugin/kibana/#/discover/Steve-Slow-Train-Analysis-(2080s-and-2083s)?_g=(refreshInterval:(display:Off,section:0,value:0),time:(from:'2016-06-24 21:22:03-0600',mode:absolute,to:'2016-06-24 22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9" s="14" t="str">
        <f t="shared" si="0"/>
        <v>4012</v>
      </c>
    </row>
    <row r="70" spans="1:17" s="2" customFormat="1" x14ac:dyDescent="0.25">
      <c r="A70" s="78">
        <v>42546.005856481483</v>
      </c>
      <c r="B70" s="66" t="s">
        <v>97</v>
      </c>
      <c r="C70" s="66" t="s">
        <v>429</v>
      </c>
      <c r="D70" s="66" t="s">
        <v>50</v>
      </c>
      <c r="E70" s="66" t="s">
        <v>51</v>
      </c>
      <c r="F70" s="66">
        <v>0</v>
      </c>
      <c r="G70" s="66">
        <v>5</v>
      </c>
      <c r="H70" s="66">
        <v>233314</v>
      </c>
      <c r="I70" s="66" t="s">
        <v>52</v>
      </c>
      <c r="J70" s="66">
        <v>233491</v>
      </c>
      <c r="K70" s="66" t="s">
        <v>53</v>
      </c>
      <c r="L70" s="16" t="str">
        <f>VLOOKUP(C70,'Trips&amp;Operators'!$C$2:$E$10000,3,FALSE)</f>
        <v>MAELZER</v>
      </c>
      <c r="M70" s="15" t="s">
        <v>161</v>
      </c>
      <c r="N70" s="16"/>
      <c r="P70" s="54" t="str">
        <f>VLOOKUP(C70,'Train Runs'!$A$13:$V$246,22,0)</f>
        <v>https://search-rtdc-monitor-bjffxe2xuh6vdkpspy63sjmuny.us-east-1.es.amazonaws.com/_plugin/kibana/#/discover/Steve-Slow-Train-Analysis-(2080s-and-2083s)?_g=(refreshInterval:(display:Off,section:0,value:0),time:(from:'2016-06-24 23:21:13-0600',mode:absolute,to:'2016-06-25 00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0" s="14" t="str">
        <f t="shared" si="0"/>
        <v>4029</v>
      </c>
    </row>
    <row r="71" spans="1:17" s="2" customFormat="1" x14ac:dyDescent="0.25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6"/>
      <c r="L71" s="16"/>
      <c r="M71" s="15"/>
      <c r="N71" s="16"/>
      <c r="P71" s="54" t="e">
        <f>VLOOKUP(C71,'Train Runs'!$A$13:$V$246,22,0)</f>
        <v>#N/A</v>
      </c>
      <c r="Q71" s="14" t="str">
        <f>MID(B71,13,4)</f>
        <v/>
      </c>
    </row>
    <row r="72" spans="1:17" s="2" customFormat="1" x14ac:dyDescent="0.25">
      <c r="A72" s="7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16"/>
      <c r="M72" s="15"/>
      <c r="N72" s="16"/>
      <c r="P72" s="54" t="e">
        <f>VLOOKUP(C72,'Train Runs'!$A$13:$V$246,22,0)</f>
        <v>#N/A</v>
      </c>
      <c r="Q72" s="14" t="str">
        <f>MID(B72,13,4)</f>
        <v/>
      </c>
    </row>
    <row r="73" spans="1:17" s="2" customFormat="1" x14ac:dyDescent="0.25">
      <c r="A73" s="7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16"/>
      <c r="M73" s="15"/>
      <c r="N73" s="16"/>
      <c r="P73" s="54" t="e">
        <f>VLOOKUP(C73,'Train Runs'!$A$13:$V$246,22,0)</f>
        <v>#N/A</v>
      </c>
      <c r="Q73" s="14" t="str">
        <f>MID(B73,13,4)</f>
        <v/>
      </c>
    </row>
    <row r="74" spans="1:17" x14ac:dyDescent="0.25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6"/>
      <c r="L74" s="16"/>
      <c r="M74" s="15"/>
      <c r="N74" s="16"/>
      <c r="O74" s="2"/>
      <c r="P74" s="54" t="e">
        <f>VLOOKUP(C74,'Train Runs'!$A$13:$V$246,22,0)</f>
        <v>#N/A</v>
      </c>
      <c r="Q74" s="14" t="str">
        <f t="shared" ref="Q74:Q125" si="2">MID(B74,13,4)</f>
        <v/>
      </c>
    </row>
    <row r="75" spans="1:17" x14ac:dyDescent="0.25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6"/>
      <c r="L75" s="16"/>
      <c r="M75" s="15"/>
      <c r="N75" s="16"/>
      <c r="O75" s="2"/>
      <c r="P75" s="54" t="e">
        <f>VLOOKUP(C75,'Train Runs'!$A$13:$V$246,22,0)</f>
        <v>#N/A</v>
      </c>
      <c r="Q75" s="14" t="str">
        <f t="shared" si="2"/>
        <v/>
      </c>
    </row>
    <row r="76" spans="1:17" x14ac:dyDescent="0.25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6"/>
      <c r="L76" s="16"/>
      <c r="M76" s="15"/>
      <c r="N76" s="16"/>
      <c r="O76" s="2"/>
      <c r="P76" s="54" t="e">
        <f>VLOOKUP(C76,'Train Runs'!$A$13:$V$246,22,0)</f>
        <v>#N/A</v>
      </c>
      <c r="Q76" s="14" t="str">
        <f t="shared" si="2"/>
        <v/>
      </c>
    </row>
    <row r="77" spans="1:17" x14ac:dyDescent="0.25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6"/>
      <c r="L77" s="16"/>
      <c r="M77" s="15"/>
      <c r="N77" s="16"/>
      <c r="O77" s="2"/>
      <c r="P77" s="54" t="e">
        <f>VLOOKUP(C77,'Train Runs'!$A$13:$V$246,22,0)</f>
        <v>#N/A</v>
      </c>
      <c r="Q77" s="14" t="str">
        <f t="shared" si="2"/>
        <v/>
      </c>
    </row>
    <row r="78" spans="1:17" x14ac:dyDescent="0.25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6"/>
      <c r="L78" s="16"/>
      <c r="M78" s="15"/>
      <c r="N78" s="16"/>
      <c r="O78" s="2"/>
      <c r="P78" s="54" t="e">
        <f>VLOOKUP(C78,'Train Runs'!$A$13:$V$246,22,0)</f>
        <v>#N/A</v>
      </c>
      <c r="Q78" s="14" t="str">
        <f t="shared" si="2"/>
        <v/>
      </c>
    </row>
    <row r="79" spans="1:17" x14ac:dyDescent="0.25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6"/>
      <c r="L79" s="16"/>
      <c r="M79" s="15"/>
      <c r="N79" s="16"/>
      <c r="O79" s="2"/>
      <c r="P79" s="54" t="e">
        <f>VLOOKUP(C79,'Train Runs'!$A$13:$V$246,22,0)</f>
        <v>#N/A</v>
      </c>
      <c r="Q79" s="14" t="str">
        <f t="shared" si="2"/>
        <v/>
      </c>
    </row>
    <row r="80" spans="1:17" x14ac:dyDescent="0.25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6"/>
      <c r="L80" s="16"/>
      <c r="M80" s="15"/>
      <c r="N80" s="16"/>
      <c r="O80" s="2"/>
      <c r="P80" s="54" t="e">
        <f>VLOOKUP(C80,'Train Runs'!$A$13:$V$246,22,0)</f>
        <v>#N/A</v>
      </c>
      <c r="Q80" s="14" t="str">
        <f t="shared" si="2"/>
        <v/>
      </c>
    </row>
    <row r="81" spans="1:17" x14ac:dyDescent="0.25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6"/>
      <c r="L81" s="16"/>
      <c r="M81" s="15"/>
      <c r="N81" s="16"/>
      <c r="O81" s="2"/>
      <c r="P81" s="54" t="e">
        <f>VLOOKUP(C81,'Train Runs'!$A$13:$V$246,22,0)</f>
        <v>#N/A</v>
      </c>
      <c r="Q81" s="14" t="str">
        <f t="shared" si="2"/>
        <v/>
      </c>
    </row>
    <row r="82" spans="1:17" x14ac:dyDescent="0.25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6"/>
      <c r="L82" s="16"/>
      <c r="M82" s="15"/>
      <c r="N82" s="16"/>
      <c r="O82" s="2"/>
      <c r="P82" s="54" t="e">
        <f>VLOOKUP(C82,'Train Runs'!$A$13:$V$246,22,0)</f>
        <v>#N/A</v>
      </c>
      <c r="Q82" s="14" t="str">
        <f t="shared" si="2"/>
        <v/>
      </c>
    </row>
    <row r="83" spans="1:17" x14ac:dyDescent="0.25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6"/>
      <c r="L83" s="16"/>
      <c r="M83" s="15"/>
      <c r="N83" s="16"/>
      <c r="O83" s="2"/>
      <c r="P83" s="54" t="e">
        <f>VLOOKUP(C83,'Train Runs'!$A$13:$V$246,22,0)</f>
        <v>#N/A</v>
      </c>
      <c r="Q83" s="14" t="str">
        <f t="shared" si="2"/>
        <v/>
      </c>
    </row>
    <row r="84" spans="1:17" x14ac:dyDescent="0.25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6"/>
      <c r="L84" s="16"/>
      <c r="M84" s="15"/>
      <c r="N84" s="16"/>
      <c r="O84" s="2"/>
      <c r="P84" s="54" t="e">
        <f>VLOOKUP(C84,'Train Runs'!$A$13:$V$246,22,0)</f>
        <v>#N/A</v>
      </c>
      <c r="Q84" s="14" t="str">
        <f t="shared" si="2"/>
        <v/>
      </c>
    </row>
    <row r="85" spans="1:17" x14ac:dyDescent="0.25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6"/>
      <c r="L85" s="16"/>
      <c r="M85" s="15"/>
      <c r="N85" s="16"/>
      <c r="O85" s="2"/>
      <c r="P85" s="54" t="e">
        <f>VLOOKUP(C85,'Train Runs'!$A$13:$V$246,22,0)</f>
        <v>#N/A</v>
      </c>
      <c r="Q85" s="14" t="str">
        <f t="shared" si="2"/>
        <v/>
      </c>
    </row>
    <row r="86" spans="1:17" x14ac:dyDescent="0.25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6"/>
      <c r="L86" s="16"/>
      <c r="M86" s="15"/>
      <c r="N86" s="16"/>
      <c r="O86" s="2"/>
      <c r="P86" s="54" t="e">
        <f>VLOOKUP(C86,'Train Runs'!$A$13:$V$246,22,0)</f>
        <v>#N/A</v>
      </c>
      <c r="Q86" s="14" t="str">
        <f t="shared" si="2"/>
        <v/>
      </c>
    </row>
    <row r="87" spans="1:17" x14ac:dyDescent="0.25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6"/>
      <c r="L87" s="16"/>
      <c r="M87" s="15"/>
      <c r="N87" s="16"/>
      <c r="O87" s="2"/>
      <c r="P87" s="54" t="e">
        <f>VLOOKUP(C87,'Train Runs'!$A$13:$V$246,22,0)</f>
        <v>#N/A</v>
      </c>
      <c r="Q87" s="14" t="str">
        <f t="shared" si="2"/>
        <v/>
      </c>
    </row>
    <row r="88" spans="1:17" x14ac:dyDescent="0.25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6"/>
      <c r="L88" s="16"/>
      <c r="M88" s="15"/>
      <c r="N88" s="16"/>
      <c r="O88" s="2"/>
      <c r="P88" s="54" t="e">
        <f>VLOOKUP(C88,'Train Runs'!$A$13:$V$246,22,0)</f>
        <v>#N/A</v>
      </c>
      <c r="Q88" s="14" t="str">
        <f t="shared" si="2"/>
        <v/>
      </c>
    </row>
    <row r="89" spans="1:17" x14ac:dyDescent="0.25">
      <c r="A89" s="78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16"/>
      <c r="M89" s="15"/>
      <c r="N89" s="16"/>
      <c r="O89" s="2"/>
      <c r="P89" s="54" t="e">
        <f>VLOOKUP(C89,'Train Runs'!$A$13:$V$246,22,0)</f>
        <v>#N/A</v>
      </c>
      <c r="Q89" s="14" t="str">
        <f t="shared" si="2"/>
        <v/>
      </c>
    </row>
    <row r="90" spans="1:17" x14ac:dyDescent="0.25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6"/>
      <c r="L90" s="16"/>
      <c r="M90" s="15"/>
      <c r="N90" s="16"/>
      <c r="O90" s="2"/>
      <c r="P90" s="54" t="e">
        <f>VLOOKUP(C90,'Train Runs'!$A$13:$V$246,22,0)</f>
        <v>#N/A</v>
      </c>
      <c r="Q90" s="14" t="str">
        <f t="shared" si="2"/>
        <v/>
      </c>
    </row>
    <row r="91" spans="1:17" x14ac:dyDescent="0.25">
      <c r="A91" s="78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16"/>
      <c r="M91" s="15"/>
      <c r="N91" s="16"/>
      <c r="O91" s="2"/>
      <c r="P91" s="54" t="e">
        <f>VLOOKUP(C91,'Train Runs'!$A$13:$V$246,22,0)</f>
        <v>#N/A</v>
      </c>
      <c r="Q91" s="14" t="str">
        <f t="shared" si="2"/>
        <v/>
      </c>
    </row>
    <row r="92" spans="1:17" x14ac:dyDescent="0.25">
      <c r="A92" s="78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16"/>
      <c r="M92" s="15"/>
      <c r="N92" s="16"/>
      <c r="O92" s="2"/>
      <c r="P92" s="54" t="e">
        <f>VLOOKUP(C92,'Train Runs'!$A$13:$V$246,22,0)</f>
        <v>#N/A</v>
      </c>
      <c r="Q92" s="14" t="str">
        <f t="shared" si="2"/>
        <v/>
      </c>
    </row>
    <row r="93" spans="1:17" x14ac:dyDescent="0.25">
      <c r="A93" s="78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16"/>
      <c r="M93" s="15"/>
      <c r="N93" s="16"/>
      <c r="O93" s="2"/>
      <c r="P93" s="54" t="e">
        <f>VLOOKUP(C93,'Train Runs'!$A$13:$V$246,22,0)</f>
        <v>#N/A</v>
      </c>
      <c r="Q93" s="14" t="str">
        <f t="shared" si="2"/>
        <v/>
      </c>
    </row>
    <row r="94" spans="1:17" x14ac:dyDescent="0.25">
      <c r="A94" s="78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16"/>
      <c r="M94" s="15"/>
      <c r="N94" s="16"/>
      <c r="O94" s="2"/>
      <c r="P94" s="54" t="e">
        <f>VLOOKUP(C94,'Train Runs'!$A$13:$V$246,22,0)</f>
        <v>#N/A</v>
      </c>
      <c r="Q94" s="14" t="str">
        <f t="shared" si="2"/>
        <v/>
      </c>
    </row>
    <row r="95" spans="1:17" x14ac:dyDescent="0.25">
      <c r="A95" s="78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16"/>
      <c r="M95" s="15"/>
      <c r="N95" s="16"/>
      <c r="O95" s="2"/>
      <c r="P95" s="54" t="e">
        <f>VLOOKUP(C95,'Train Runs'!$A$13:$V$246,22,0)</f>
        <v>#N/A</v>
      </c>
      <c r="Q95" s="14" t="str">
        <f t="shared" si="2"/>
        <v/>
      </c>
    </row>
    <row r="96" spans="1:17" x14ac:dyDescent="0.25">
      <c r="A96" s="78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16"/>
      <c r="M96" s="15"/>
      <c r="N96" s="16"/>
      <c r="O96" s="2"/>
      <c r="P96" s="54" t="e">
        <f>VLOOKUP(C96,'Train Runs'!$A$13:$V$246,22,0)</f>
        <v>#N/A</v>
      </c>
      <c r="Q96" s="14" t="str">
        <f t="shared" si="2"/>
        <v/>
      </c>
    </row>
    <row r="97" spans="1:17" x14ac:dyDescent="0.25">
      <c r="A97" s="78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16"/>
      <c r="M97" s="15"/>
      <c r="N97" s="16"/>
      <c r="O97" s="2"/>
      <c r="P97" s="54" t="e">
        <f>VLOOKUP(C97,'Train Runs'!$A$13:$V$246,22,0)</f>
        <v>#N/A</v>
      </c>
      <c r="Q97" s="14" t="str">
        <f t="shared" si="2"/>
        <v/>
      </c>
    </row>
    <row r="98" spans="1:17" x14ac:dyDescent="0.25">
      <c r="A98" s="78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16"/>
      <c r="M98" s="15"/>
      <c r="N98" s="16"/>
      <c r="O98" s="2"/>
      <c r="P98" s="54" t="e">
        <f>VLOOKUP(C98,'Train Runs'!$A$13:$V$246,22,0)</f>
        <v>#N/A</v>
      </c>
      <c r="Q98" s="14" t="str">
        <f t="shared" si="2"/>
        <v/>
      </c>
    </row>
    <row r="99" spans="1:17" x14ac:dyDescent="0.25">
      <c r="A99" s="78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16"/>
      <c r="M99" s="15"/>
      <c r="N99" s="16"/>
      <c r="O99" s="2"/>
      <c r="P99" s="54" t="e">
        <f>VLOOKUP(C99,'Train Runs'!$A$13:$V$246,22,0)</f>
        <v>#N/A</v>
      </c>
      <c r="Q99" s="14" t="str">
        <f t="shared" si="2"/>
        <v/>
      </c>
    </row>
    <row r="100" spans="1:17" x14ac:dyDescent="0.25">
      <c r="A100" s="78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16"/>
      <c r="M100" s="15"/>
      <c r="N100" s="16"/>
      <c r="O100" s="2"/>
      <c r="P100" s="54" t="e">
        <f>VLOOKUP(C100,'Train Runs'!$A$13:$V$246,22,0)</f>
        <v>#N/A</v>
      </c>
      <c r="Q100" s="14" t="str">
        <f t="shared" si="2"/>
        <v/>
      </c>
    </row>
    <row r="101" spans="1:17" x14ac:dyDescent="0.25">
      <c r="A101" s="78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16"/>
      <c r="M101" s="15"/>
      <c r="N101" s="16"/>
      <c r="O101" s="2"/>
      <c r="P101" s="54" t="e">
        <f>VLOOKUP(C101,'Train Runs'!$A$13:$V$246,22,0)</f>
        <v>#N/A</v>
      </c>
      <c r="Q101" s="14" t="str">
        <f t="shared" si="2"/>
        <v/>
      </c>
    </row>
    <row r="102" spans="1:17" x14ac:dyDescent="0.25">
      <c r="A102" s="78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16"/>
      <c r="M102" s="15"/>
      <c r="N102" s="16"/>
      <c r="O102" s="2"/>
      <c r="P102" s="54" t="e">
        <f>VLOOKUP(C102,'Train Runs'!$A$13:$V$246,22,0)</f>
        <v>#N/A</v>
      </c>
      <c r="Q102" s="14" t="str">
        <f t="shared" si="2"/>
        <v/>
      </c>
    </row>
    <row r="103" spans="1:17" x14ac:dyDescent="0.25">
      <c r="A103" s="78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16"/>
      <c r="M103" s="15"/>
      <c r="N103" s="16"/>
      <c r="O103" s="2"/>
      <c r="P103" s="54" t="e">
        <f>VLOOKUP(C103,'Train Runs'!$A$13:$V$246,22,0)</f>
        <v>#N/A</v>
      </c>
      <c r="Q103" s="14" t="str">
        <f t="shared" si="2"/>
        <v/>
      </c>
    </row>
    <row r="104" spans="1:17" x14ac:dyDescent="0.25">
      <c r="A104" s="78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16"/>
      <c r="M104" s="15"/>
      <c r="N104" s="16"/>
      <c r="O104" s="2"/>
      <c r="P104" s="54" t="e">
        <f>VLOOKUP(C104,'Train Runs'!$A$13:$V$246,22,0)</f>
        <v>#N/A</v>
      </c>
      <c r="Q104" s="14" t="str">
        <f t="shared" si="2"/>
        <v/>
      </c>
    </row>
    <row r="105" spans="1:17" x14ac:dyDescent="0.25">
      <c r="A105" s="78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16"/>
      <c r="M105" s="15"/>
      <c r="N105" s="16"/>
      <c r="O105" s="2"/>
      <c r="P105" s="54" t="e">
        <f>VLOOKUP(C105,'Train Runs'!$A$13:$V$246,22,0)</f>
        <v>#N/A</v>
      </c>
      <c r="Q105" s="14" t="str">
        <f t="shared" si="2"/>
        <v/>
      </c>
    </row>
    <row r="106" spans="1:17" x14ac:dyDescent="0.25">
      <c r="A106" s="78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16"/>
      <c r="M106" s="15"/>
      <c r="N106" s="16"/>
      <c r="O106" s="2"/>
      <c r="P106" s="54" t="e">
        <f>VLOOKUP(C106,'Train Runs'!$A$13:$V$246,22,0)</f>
        <v>#N/A</v>
      </c>
      <c r="Q106" s="14" t="str">
        <f t="shared" si="2"/>
        <v/>
      </c>
    </row>
    <row r="107" spans="1:17" x14ac:dyDescent="0.25">
      <c r="A107" s="78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16"/>
      <c r="M107" s="15"/>
      <c r="N107" s="16"/>
      <c r="O107" s="2"/>
      <c r="P107" s="54" t="e">
        <f>VLOOKUP(C107,'Train Runs'!$A$13:$V$246,22,0)</f>
        <v>#N/A</v>
      </c>
      <c r="Q107" s="14" t="str">
        <f t="shared" si="2"/>
        <v/>
      </c>
    </row>
    <row r="108" spans="1:17" x14ac:dyDescent="0.25">
      <c r="A108" s="78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16"/>
      <c r="M108" s="15"/>
      <c r="N108" s="16"/>
      <c r="O108" s="2"/>
      <c r="P108" s="54" t="e">
        <f>VLOOKUP(C108,'Train Runs'!$A$13:$V$246,22,0)</f>
        <v>#N/A</v>
      </c>
      <c r="Q108" s="14" t="str">
        <f t="shared" si="2"/>
        <v/>
      </c>
    </row>
    <row r="109" spans="1:17" x14ac:dyDescent="0.25">
      <c r="A109" s="78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16"/>
      <c r="M109" s="15"/>
      <c r="N109" s="16"/>
      <c r="O109" s="2"/>
      <c r="P109" s="54" t="e">
        <f>VLOOKUP(C109,'Train Runs'!$A$13:$V$246,22,0)</f>
        <v>#N/A</v>
      </c>
      <c r="Q109" s="14" t="str">
        <f t="shared" si="2"/>
        <v/>
      </c>
    </row>
    <row r="110" spans="1:17" x14ac:dyDescent="0.25">
      <c r="A110" s="78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16"/>
      <c r="M110" s="15"/>
      <c r="N110" s="16"/>
      <c r="O110" s="2"/>
      <c r="P110" s="54" t="e">
        <f>VLOOKUP(C110,'Train Runs'!$A$13:$V$246,22,0)</f>
        <v>#N/A</v>
      </c>
      <c r="Q110" s="14" t="str">
        <f t="shared" si="2"/>
        <v/>
      </c>
    </row>
    <row r="111" spans="1:17" x14ac:dyDescent="0.25">
      <c r="A111" s="78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16"/>
      <c r="M111" s="15"/>
      <c r="N111" s="16"/>
      <c r="O111" s="2"/>
      <c r="P111" s="54" t="e">
        <f>VLOOKUP(C111,'Train Runs'!$A$13:$V$246,22,0)</f>
        <v>#N/A</v>
      </c>
      <c r="Q111" s="14" t="str">
        <f t="shared" si="2"/>
        <v/>
      </c>
    </row>
    <row r="112" spans="1:17" x14ac:dyDescent="0.25">
      <c r="A112" s="78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16"/>
      <c r="M112" s="15"/>
      <c r="N112" s="16"/>
      <c r="O112" s="2"/>
      <c r="P112" s="54" t="e">
        <f>VLOOKUP(C112,'Train Runs'!$A$13:$V$246,22,0)</f>
        <v>#N/A</v>
      </c>
      <c r="Q112" s="14" t="str">
        <f t="shared" si="2"/>
        <v/>
      </c>
    </row>
    <row r="113" spans="1:17" x14ac:dyDescent="0.25">
      <c r="A113" s="78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16"/>
      <c r="M113" s="15"/>
      <c r="N113" s="16"/>
      <c r="O113" s="2"/>
      <c r="P113" s="54" t="e">
        <f>VLOOKUP(C113,'Train Runs'!$A$13:$V$246,22,0)</f>
        <v>#N/A</v>
      </c>
      <c r="Q113" s="14" t="str">
        <f t="shared" si="2"/>
        <v/>
      </c>
    </row>
    <row r="114" spans="1:17" x14ac:dyDescent="0.25">
      <c r="A114" s="78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16"/>
      <c r="M114" s="15"/>
      <c r="N114" s="16"/>
      <c r="O114" s="2"/>
      <c r="P114" s="54" t="e">
        <f>VLOOKUP(C114,'Train Runs'!$A$13:$V$246,22,0)</f>
        <v>#N/A</v>
      </c>
      <c r="Q114" s="14" t="str">
        <f t="shared" si="2"/>
        <v/>
      </c>
    </row>
    <row r="115" spans="1:17" x14ac:dyDescent="0.25">
      <c r="A115" s="78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16"/>
      <c r="M115" s="15"/>
      <c r="N115" s="16"/>
      <c r="O115" s="2"/>
      <c r="P115" s="54" t="e">
        <f>VLOOKUP(C115,'Train Runs'!$A$13:$V$246,22,0)</f>
        <v>#N/A</v>
      </c>
      <c r="Q115" s="14" t="str">
        <f t="shared" si="2"/>
        <v/>
      </c>
    </row>
    <row r="116" spans="1:17" x14ac:dyDescent="0.25">
      <c r="A116" s="78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16"/>
      <c r="M116" s="15"/>
      <c r="N116" s="16"/>
      <c r="O116" s="2"/>
      <c r="P116" s="54" t="e">
        <f>VLOOKUP(C116,'Train Runs'!$A$13:$V$246,22,0)</f>
        <v>#N/A</v>
      </c>
      <c r="Q116" s="14" t="str">
        <f t="shared" si="2"/>
        <v/>
      </c>
    </row>
    <row r="117" spans="1:17" x14ac:dyDescent="0.25">
      <c r="A117" s="78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16"/>
      <c r="M117" s="15"/>
      <c r="N117" s="16"/>
      <c r="O117" s="2"/>
      <c r="P117" s="54" t="e">
        <f>VLOOKUP(C117,'Train Runs'!$A$13:$V$246,22,0)</f>
        <v>#N/A</v>
      </c>
      <c r="Q117" s="14" t="str">
        <f t="shared" si="2"/>
        <v/>
      </c>
    </row>
    <row r="118" spans="1:17" x14ac:dyDescent="0.25">
      <c r="A118" s="78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16"/>
      <c r="M118" s="15"/>
      <c r="N118" s="16"/>
      <c r="O118" s="2"/>
      <c r="P118" s="54" t="e">
        <f>VLOOKUP(C118,'Train Runs'!$A$13:$V$246,22,0)</f>
        <v>#N/A</v>
      </c>
      <c r="Q118" s="14" t="str">
        <f t="shared" si="2"/>
        <v/>
      </c>
    </row>
    <row r="119" spans="1:17" x14ac:dyDescent="0.25">
      <c r="A119" s="78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16"/>
      <c r="M119" s="15"/>
      <c r="N119" s="16"/>
      <c r="O119" s="2"/>
      <c r="P119" s="54" t="e">
        <f>VLOOKUP(C119,'Train Runs'!$A$13:$V$246,22,0)</f>
        <v>#N/A</v>
      </c>
      <c r="Q119" s="14" t="str">
        <f t="shared" si="2"/>
        <v/>
      </c>
    </row>
    <row r="120" spans="1:17" x14ac:dyDescent="0.25">
      <c r="A120" s="78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16"/>
      <c r="M120" s="15"/>
      <c r="N120" s="16"/>
      <c r="O120" s="2"/>
      <c r="P120" s="54" t="e">
        <f>VLOOKUP(C120,'Train Runs'!$A$13:$V$246,22,0)</f>
        <v>#N/A</v>
      </c>
      <c r="Q120" s="14" t="str">
        <f t="shared" si="2"/>
        <v/>
      </c>
    </row>
    <row r="121" spans="1:17" x14ac:dyDescent="0.25">
      <c r="A121" s="78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16"/>
      <c r="M121" s="15"/>
      <c r="N121" s="16"/>
      <c r="O121" s="2"/>
      <c r="P121" s="54" t="e">
        <f>VLOOKUP(C121,'Train Runs'!$A$13:$V$246,22,0)</f>
        <v>#N/A</v>
      </c>
      <c r="Q121" s="14" t="str">
        <f t="shared" si="2"/>
        <v/>
      </c>
    </row>
    <row r="122" spans="1:17" x14ac:dyDescent="0.25">
      <c r="A122" s="78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16"/>
      <c r="M122" s="15"/>
      <c r="N122" s="16"/>
      <c r="O122" s="2"/>
      <c r="P122" s="54" t="e">
        <f>VLOOKUP(C122,'Train Runs'!$A$13:$V$246,22,0)</f>
        <v>#N/A</v>
      </c>
      <c r="Q122" s="14" t="str">
        <f t="shared" si="2"/>
        <v/>
      </c>
    </row>
    <row r="123" spans="1:17" x14ac:dyDescent="0.25">
      <c r="A123" s="78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16"/>
      <c r="M123" s="15"/>
      <c r="N123" s="16"/>
      <c r="O123" s="2"/>
      <c r="P123" s="54" t="e">
        <f>VLOOKUP(C123,'Train Runs'!$A$13:$V$246,22,0)</f>
        <v>#N/A</v>
      </c>
      <c r="Q123" s="14" t="str">
        <f t="shared" si="2"/>
        <v/>
      </c>
    </row>
    <row r="124" spans="1:17" x14ac:dyDescent="0.25">
      <c r="A124" s="78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16"/>
      <c r="M124" s="15"/>
      <c r="N124" s="16"/>
      <c r="O124" s="2"/>
      <c r="P124" s="54" t="e">
        <f>VLOOKUP(C124,'Train Runs'!$A$13:$V$246,22,0)</f>
        <v>#N/A</v>
      </c>
      <c r="Q124" s="14" t="str">
        <f t="shared" si="2"/>
        <v/>
      </c>
    </row>
    <row r="125" spans="1:17" x14ac:dyDescent="0.25">
      <c r="A125" s="78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16"/>
      <c r="M125" s="15"/>
      <c r="N125" s="16"/>
      <c r="O125" s="2"/>
      <c r="P125" s="54" t="e">
        <f>VLOOKUP(C125,'Train Runs'!$A$13:$V$246,22,0)</f>
        <v>#N/A</v>
      </c>
      <c r="Q125" s="14" t="str">
        <f t="shared" si="2"/>
        <v/>
      </c>
    </row>
  </sheetData>
  <autoFilter ref="A6:N73"/>
  <sortState ref="A7:N12">
    <sortCondition ref="F7:F12"/>
  </sortState>
  <mergeCells count="1">
    <mergeCell ref="A5:M5"/>
  </mergeCells>
  <conditionalFormatting sqref="P6 M6:N6 M7:M1048576">
    <cfRule type="cellIs" dxfId="2" priority="10" operator="equal">
      <formula>"Y"</formula>
    </cfRule>
  </conditionalFormatting>
  <conditionalFormatting sqref="A7:N125">
    <cfRule type="expression" dxfId="1" priority="3">
      <formula>$M7="Y"</formula>
    </cfRule>
  </conditionalFormatting>
  <conditionalFormatting sqref="M2:M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9.85546875" style="60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9" t="str">
        <f>"Trips that did not appear in PTC Data "&amp;TEXT(Variables!$A$2,"YYYY-mm-dd")</f>
        <v>Trips that did not appear in PTC Data 2016-06-24</v>
      </c>
      <c r="B1" s="89"/>
      <c r="C1" s="89"/>
      <c r="D1" s="89"/>
      <c r="E1" s="89"/>
    </row>
    <row r="2" spans="1:10" s="52" customFormat="1" ht="45" x14ac:dyDescent="0.25">
      <c r="A2" s="51" t="s">
        <v>101</v>
      </c>
      <c r="B2" s="63" t="s">
        <v>102</v>
      </c>
      <c r="C2" s="61" t="s">
        <v>103</v>
      </c>
      <c r="D2" s="52" t="s">
        <v>99</v>
      </c>
      <c r="E2" s="52" t="s">
        <v>100</v>
      </c>
      <c r="F2" s="52" t="s">
        <v>119</v>
      </c>
      <c r="G2" s="64" t="s">
        <v>120</v>
      </c>
    </row>
    <row r="3" spans="1:10" x14ac:dyDescent="0.25">
      <c r="A3" s="66" t="s">
        <v>311</v>
      </c>
      <c r="B3" s="66"/>
      <c r="C3" s="66"/>
      <c r="D3" s="66"/>
      <c r="E3" s="43" t="str">
        <f>VLOOKUP(A3,'Trips&amp;Operators'!$C$2:$E$10000,3,FALSE)</f>
        <v>STAMBAUGH</v>
      </c>
      <c r="F3" s="43" t="str">
        <f>VLOOKUP(A3,'Trips&amp;Operators'!$C$1:$F$10000,4,FALSE)</f>
        <v>rtdc.l.rtdc.4011:itc</v>
      </c>
      <c r="G3" s="65">
        <f>VLOOKUP(A3,'Trips&amp;Operators'!$C$1:$H$10000,5,FALSE)</f>
        <v>42545.434814814813</v>
      </c>
      <c r="H3" s="42"/>
      <c r="I3" s="42"/>
      <c r="J3" s="42"/>
    </row>
    <row r="4" spans="1:10" x14ac:dyDescent="0.25">
      <c r="A4" s="66" t="s">
        <v>359</v>
      </c>
      <c r="B4" s="66"/>
      <c r="C4" s="66"/>
      <c r="D4" s="66"/>
      <c r="E4" s="43" t="str">
        <f>VLOOKUP(A4,'Trips&amp;Operators'!$C$2:$E$10000,3,FALSE)</f>
        <v>WEBSTER</v>
      </c>
      <c r="F4" s="43" t="str">
        <f>VLOOKUP(A4,'Trips&amp;Operators'!$C$1:$F$10000,4,FALSE)</f>
        <v>rtdc.l.rtdc.4019:itc</v>
      </c>
      <c r="G4" s="65">
        <f>VLOOKUP(A4,'Trips&amp;Operators'!$C$1:$H$10000,5,FALSE)</f>
        <v>42545.641168981485</v>
      </c>
      <c r="H4" s="42"/>
      <c r="I4" s="42"/>
      <c r="J4" s="42"/>
    </row>
    <row r="5" spans="1:10" x14ac:dyDescent="0.25">
      <c r="A5" s="66"/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A7" s="66"/>
      <c r="B7" s="66"/>
      <c r="C7" s="66"/>
      <c r="D7" s="66"/>
      <c r="E7" s="43" t="e">
        <f>VLOOKUP(A7,'Trips&amp;Operators'!$C$2:$E$10000,3,FALSE)</f>
        <v>#N/A</v>
      </c>
      <c r="F7" s="43" t="e">
        <f>VLOOKUP(A7,'Trips&amp;Operators'!$C$1:$F$10000,4,FALSE)</f>
        <v>#N/A</v>
      </c>
      <c r="G7" s="65" t="e">
        <f>VLOOKUP(A7,'Trips&amp;Operators'!$C$1:$H$10000,5,FALSE)</f>
        <v>#N/A</v>
      </c>
      <c r="H7" s="42"/>
      <c r="I7" s="42"/>
      <c r="J7" s="42"/>
    </row>
    <row r="8" spans="1:10" x14ac:dyDescent="0.25">
      <c r="A8" s="66"/>
      <c r="B8" s="66"/>
      <c r="C8" s="66"/>
      <c r="D8" s="66"/>
      <c r="E8" s="43" t="e">
        <f>VLOOKUP(A8,'Trips&amp;Operators'!$C$2:$E$10000,3,FALSE)</f>
        <v>#N/A</v>
      </c>
      <c r="F8" s="43" t="e">
        <f>VLOOKUP(A8,'Trips&amp;Operators'!$C$1:$F$10000,4,FALSE)</f>
        <v>#N/A</v>
      </c>
      <c r="G8" s="65" t="e">
        <f>VLOOKUP(A8,'Trips&amp;Operators'!$C$1:$H$10000,5,FALSE)</f>
        <v>#N/A</v>
      </c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H126" s="42"/>
      <c r="I126" s="42"/>
      <c r="J126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7"/>
  <sheetViews>
    <sheetView workbookViewId="0">
      <selection activeCell="G1" sqref="G1:G1048576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42545.328472222223</v>
      </c>
      <c r="B1" s="42" t="s">
        <v>490</v>
      </c>
      <c r="C1" s="42" t="s">
        <v>266</v>
      </c>
      <c r="D1" s="42">
        <v>540000</v>
      </c>
      <c r="E1" s="42" t="s">
        <v>492</v>
      </c>
      <c r="F1" s="42" t="s">
        <v>490</v>
      </c>
      <c r="G1" s="13">
        <v>42545.328472222223</v>
      </c>
    </row>
    <row r="2" spans="1:7" x14ac:dyDescent="0.25">
      <c r="A2" s="13">
        <v>42545.445300925923</v>
      </c>
      <c r="B2" s="42" t="s">
        <v>97</v>
      </c>
      <c r="C2" s="42" t="s">
        <v>314</v>
      </c>
      <c r="D2" s="42">
        <v>900000</v>
      </c>
      <c r="E2" s="42" t="s">
        <v>95</v>
      </c>
      <c r="F2" s="42" t="s">
        <v>97</v>
      </c>
      <c r="G2" s="13">
        <v>42545.445300925923</v>
      </c>
    </row>
    <row r="3" spans="1:7" x14ac:dyDescent="0.25">
      <c r="A3" s="13">
        <v>42545.516469907408</v>
      </c>
      <c r="B3" s="42" t="s">
        <v>97</v>
      </c>
      <c r="C3" s="42" t="s">
        <v>335</v>
      </c>
      <c r="D3" s="42">
        <v>900000</v>
      </c>
      <c r="E3" s="42" t="s">
        <v>95</v>
      </c>
      <c r="F3" s="42" t="s">
        <v>97</v>
      </c>
      <c r="G3" s="13">
        <v>42545.516469907408</v>
      </c>
    </row>
    <row r="4" spans="1:7" x14ac:dyDescent="0.25">
      <c r="A4" s="13">
        <v>42545.567442129628</v>
      </c>
      <c r="B4" s="42" t="s">
        <v>488</v>
      </c>
      <c r="C4" s="42" t="s">
        <v>462</v>
      </c>
      <c r="D4" s="42">
        <v>1500000</v>
      </c>
      <c r="E4" s="42" t="s">
        <v>96</v>
      </c>
      <c r="F4" s="42" t="s">
        <v>488</v>
      </c>
      <c r="G4" s="13">
        <v>42545.567442129628</v>
      </c>
    </row>
    <row r="5" spans="1:7" x14ac:dyDescent="0.25">
      <c r="A5" s="13">
        <v>42545.350555555553</v>
      </c>
      <c r="B5" s="42" t="s">
        <v>189</v>
      </c>
      <c r="C5" s="42" t="s">
        <v>286</v>
      </c>
      <c r="D5" s="42">
        <v>2000000</v>
      </c>
      <c r="E5" s="42" t="s">
        <v>131</v>
      </c>
      <c r="F5" s="42" t="s">
        <v>189</v>
      </c>
      <c r="G5" s="13">
        <v>42545.350555555553</v>
      </c>
    </row>
    <row r="6" spans="1:7" x14ac:dyDescent="0.25">
      <c r="A6" s="13">
        <v>42545.830312500002</v>
      </c>
      <c r="B6" s="42" t="s">
        <v>86</v>
      </c>
      <c r="C6" s="42" t="s">
        <v>409</v>
      </c>
      <c r="D6" s="42">
        <v>1820000</v>
      </c>
      <c r="E6" s="42" t="s">
        <v>157</v>
      </c>
      <c r="F6" s="42" t="s">
        <v>86</v>
      </c>
      <c r="G6" s="13">
        <v>42545.830312500002</v>
      </c>
    </row>
    <row r="7" spans="1:7" x14ac:dyDescent="0.25">
      <c r="A7" s="13">
        <v>42545.974293981482</v>
      </c>
      <c r="B7" s="42" t="s">
        <v>97</v>
      </c>
      <c r="C7" s="42" t="s">
        <v>429</v>
      </c>
      <c r="D7" s="42">
        <v>2010000</v>
      </c>
      <c r="E7" s="42" t="s">
        <v>116</v>
      </c>
      <c r="F7" s="42" t="s">
        <v>97</v>
      </c>
      <c r="G7" s="13">
        <v>42545.974293981482</v>
      </c>
    </row>
    <row r="8" spans="1:7" x14ac:dyDescent="0.25">
      <c r="A8" s="13">
        <v>42545.280729166669</v>
      </c>
      <c r="B8" s="42" t="s">
        <v>189</v>
      </c>
      <c r="C8" s="42" t="s">
        <v>261</v>
      </c>
      <c r="D8" s="42">
        <v>2000000</v>
      </c>
      <c r="E8" s="42" t="s">
        <v>131</v>
      </c>
      <c r="F8" s="42" t="s">
        <v>189</v>
      </c>
      <c r="G8" s="13">
        <v>42545.280729166669</v>
      </c>
    </row>
    <row r="9" spans="1:7" ht="15.75" thickBot="1" x14ac:dyDescent="0.3">
      <c r="A9" s="57">
        <v>42545.339895833335</v>
      </c>
      <c r="B9" s="42" t="s">
        <v>92</v>
      </c>
      <c r="C9" s="42" t="s">
        <v>269</v>
      </c>
      <c r="D9" s="42">
        <v>2020000</v>
      </c>
      <c r="E9" s="42" t="s">
        <v>493</v>
      </c>
      <c r="F9" s="42" t="s">
        <v>92</v>
      </c>
      <c r="G9" s="57">
        <v>42545.339895833335</v>
      </c>
    </row>
    <row r="10" spans="1:7" x14ac:dyDescent="0.25">
      <c r="A10" s="13">
        <v>42545.456990740742</v>
      </c>
      <c r="B10" s="42" t="s">
        <v>487</v>
      </c>
      <c r="C10" s="42" t="s">
        <v>457</v>
      </c>
      <c r="D10" s="42">
        <v>1500000</v>
      </c>
      <c r="E10" s="42" t="s">
        <v>96</v>
      </c>
      <c r="F10" s="42" t="s">
        <v>487</v>
      </c>
      <c r="G10" s="13">
        <v>42545.456990740742</v>
      </c>
    </row>
    <row r="11" spans="1:7" x14ac:dyDescent="0.25">
      <c r="A11" s="13">
        <v>42545.191122685188</v>
      </c>
      <c r="B11" s="42" t="s">
        <v>70</v>
      </c>
      <c r="C11" s="42" t="s">
        <v>227</v>
      </c>
      <c r="D11" s="42">
        <v>1480000</v>
      </c>
      <c r="E11" s="42" t="s">
        <v>494</v>
      </c>
      <c r="F11" s="42" t="s">
        <v>70</v>
      </c>
      <c r="G11" s="13">
        <v>42545.191122685188</v>
      </c>
    </row>
    <row r="12" spans="1:7" x14ac:dyDescent="0.25">
      <c r="A12" s="13">
        <v>42545.934328703705</v>
      </c>
      <c r="B12" s="42" t="s">
        <v>489</v>
      </c>
      <c r="C12" s="42" t="s">
        <v>425</v>
      </c>
      <c r="D12" s="42">
        <v>2040000</v>
      </c>
      <c r="E12" s="42" t="s">
        <v>129</v>
      </c>
      <c r="F12" s="42" t="s">
        <v>489</v>
      </c>
      <c r="G12" s="13">
        <v>42545.934328703705</v>
      </c>
    </row>
    <row r="13" spans="1:7" x14ac:dyDescent="0.25">
      <c r="A13" s="13">
        <v>42545.933472222219</v>
      </c>
      <c r="B13" s="42" t="s">
        <v>489</v>
      </c>
      <c r="C13" s="42" t="s">
        <v>425</v>
      </c>
      <c r="D13" s="42">
        <v>2040000</v>
      </c>
      <c r="E13" s="42" t="s">
        <v>129</v>
      </c>
      <c r="F13" s="42" t="s">
        <v>489</v>
      </c>
      <c r="G13" s="13">
        <v>42545.933472222219</v>
      </c>
    </row>
    <row r="14" spans="1:7" x14ac:dyDescent="0.25">
      <c r="A14" s="13">
        <v>42545.221377314818</v>
      </c>
      <c r="B14" s="42" t="s">
        <v>91</v>
      </c>
      <c r="C14" s="42" t="s">
        <v>236</v>
      </c>
      <c r="D14" s="42">
        <v>1340000</v>
      </c>
      <c r="E14" s="42" t="s">
        <v>194</v>
      </c>
      <c r="F14" s="42" t="s">
        <v>91</v>
      </c>
      <c r="G14" s="13">
        <v>42545.221377314818</v>
      </c>
    </row>
    <row r="15" spans="1:7" x14ac:dyDescent="0.25">
      <c r="A15" s="13">
        <v>42545.851064814815</v>
      </c>
      <c r="B15" s="42" t="s">
        <v>489</v>
      </c>
      <c r="C15" s="42" t="s">
        <v>415</v>
      </c>
      <c r="D15" s="42">
        <v>2040000</v>
      </c>
      <c r="E15" s="42" t="s">
        <v>129</v>
      </c>
      <c r="F15" s="42" t="s">
        <v>489</v>
      </c>
      <c r="G15" s="13">
        <v>42545.851064814815</v>
      </c>
    </row>
    <row r="16" spans="1:7" x14ac:dyDescent="0.25">
      <c r="A16" s="13">
        <v>42545.446805555555</v>
      </c>
      <c r="B16" s="42" t="s">
        <v>97</v>
      </c>
      <c r="C16" s="42" t="s">
        <v>314</v>
      </c>
      <c r="D16" s="42">
        <v>900000</v>
      </c>
      <c r="E16" s="42" t="s">
        <v>95</v>
      </c>
      <c r="F16" s="42" t="s">
        <v>97</v>
      </c>
      <c r="G16" s="13">
        <v>42545.446805555555</v>
      </c>
    </row>
    <row r="17" spans="1:7" x14ac:dyDescent="0.25">
      <c r="A17" s="13">
        <v>42545.817071759258</v>
      </c>
      <c r="B17" s="42" t="s">
        <v>488</v>
      </c>
      <c r="C17" s="42" t="s">
        <v>478</v>
      </c>
      <c r="D17" s="42">
        <v>1520000</v>
      </c>
      <c r="E17" s="42" t="s">
        <v>185</v>
      </c>
      <c r="F17" s="42" t="s">
        <v>488</v>
      </c>
      <c r="G17" s="13">
        <v>42545.817071759258</v>
      </c>
    </row>
    <row r="18" spans="1:7" x14ac:dyDescent="0.25">
      <c r="A18" s="13">
        <v>42545.526956018519</v>
      </c>
      <c r="B18" s="42" t="s">
        <v>83</v>
      </c>
      <c r="C18" s="42" t="s">
        <v>337</v>
      </c>
      <c r="D18" s="42">
        <v>950000</v>
      </c>
      <c r="E18" s="42" t="s">
        <v>495</v>
      </c>
      <c r="F18" s="42" t="s">
        <v>83</v>
      </c>
      <c r="G18" s="13">
        <v>42545.526956018519</v>
      </c>
    </row>
    <row r="19" spans="1:7" x14ac:dyDescent="0.25">
      <c r="A19" s="13">
        <v>42545.755266203705</v>
      </c>
      <c r="B19" s="42" t="s">
        <v>188</v>
      </c>
      <c r="C19" s="42" t="s">
        <v>496</v>
      </c>
      <c r="D19" s="42">
        <v>2030000</v>
      </c>
      <c r="E19" s="42" t="s">
        <v>156</v>
      </c>
      <c r="F19" s="42" t="s">
        <v>188</v>
      </c>
      <c r="G19" s="13">
        <v>42545.755266203705</v>
      </c>
    </row>
    <row r="20" spans="1:7" x14ac:dyDescent="0.25">
      <c r="A20" s="13">
        <v>42545.72892361111</v>
      </c>
      <c r="B20" s="42" t="s">
        <v>94</v>
      </c>
      <c r="C20" s="42" t="s">
        <v>373</v>
      </c>
      <c r="D20" s="42">
        <v>880000</v>
      </c>
      <c r="E20" s="42" t="s">
        <v>186</v>
      </c>
      <c r="F20" s="42" t="s">
        <v>94</v>
      </c>
      <c r="G20" s="13">
        <v>42545.72892361111</v>
      </c>
    </row>
    <row r="21" spans="1:7" x14ac:dyDescent="0.25">
      <c r="A21" s="13">
        <v>42545.593668981484</v>
      </c>
      <c r="B21" s="42" t="s">
        <v>97</v>
      </c>
      <c r="C21" s="42" t="s">
        <v>356</v>
      </c>
      <c r="D21" s="42">
        <v>900000</v>
      </c>
      <c r="E21" s="42" t="s">
        <v>95</v>
      </c>
      <c r="F21" s="42" t="s">
        <v>97</v>
      </c>
      <c r="G21" s="13">
        <v>42545.593668981484</v>
      </c>
    </row>
    <row r="22" spans="1:7" x14ac:dyDescent="0.25">
      <c r="A22" s="59">
        <v>42545.277118055557</v>
      </c>
      <c r="B22" s="42" t="s">
        <v>488</v>
      </c>
      <c r="C22" s="42" t="s">
        <v>444</v>
      </c>
      <c r="D22" s="42">
        <v>1500000</v>
      </c>
      <c r="E22" s="42" t="s">
        <v>96</v>
      </c>
      <c r="F22" s="42" t="s">
        <v>488</v>
      </c>
      <c r="G22" s="59">
        <v>42545.277118055557</v>
      </c>
    </row>
    <row r="23" spans="1:7" x14ac:dyDescent="0.25">
      <c r="A23" s="13">
        <v>42545.254606481481</v>
      </c>
      <c r="B23" s="42" t="s">
        <v>182</v>
      </c>
      <c r="C23" s="42" t="s">
        <v>442</v>
      </c>
      <c r="D23" s="42">
        <v>1460000</v>
      </c>
      <c r="E23" s="42" t="s">
        <v>191</v>
      </c>
      <c r="F23" s="42" t="s">
        <v>182</v>
      </c>
      <c r="G23" s="13">
        <v>42545.254606481481</v>
      </c>
    </row>
    <row r="24" spans="1:7" x14ac:dyDescent="0.25">
      <c r="A24" s="13">
        <v>42545.434814814813</v>
      </c>
      <c r="B24" s="42" t="s">
        <v>489</v>
      </c>
      <c r="C24" s="42" t="s">
        <v>311</v>
      </c>
      <c r="D24" s="42">
        <v>2000000</v>
      </c>
      <c r="E24" s="42" t="s">
        <v>131</v>
      </c>
      <c r="F24" s="42" t="s">
        <v>489</v>
      </c>
      <c r="G24" s="13">
        <v>42545.434814814813</v>
      </c>
    </row>
    <row r="25" spans="1:7" x14ac:dyDescent="0.25">
      <c r="A25" s="13">
        <v>42545.874166666668</v>
      </c>
      <c r="B25" s="42" t="s">
        <v>487</v>
      </c>
      <c r="C25" s="42" t="s">
        <v>483</v>
      </c>
      <c r="D25" s="42">
        <v>1520000</v>
      </c>
      <c r="E25" s="42" t="s">
        <v>185</v>
      </c>
      <c r="F25" s="42" t="s">
        <v>487</v>
      </c>
      <c r="G25" s="13">
        <v>42545.874166666668</v>
      </c>
    </row>
    <row r="26" spans="1:7" x14ac:dyDescent="0.25">
      <c r="A26" s="13">
        <v>42545.547222222223</v>
      </c>
      <c r="B26" s="42" t="s">
        <v>70</v>
      </c>
      <c r="C26" s="42" t="s">
        <v>333</v>
      </c>
      <c r="D26" s="42">
        <v>880000</v>
      </c>
      <c r="E26" s="42" t="s">
        <v>186</v>
      </c>
      <c r="F26" s="42" t="s">
        <v>70</v>
      </c>
      <c r="G26" s="13">
        <v>42545.547222222223</v>
      </c>
    </row>
    <row r="27" spans="1:7" x14ac:dyDescent="0.25">
      <c r="A27" s="13">
        <v>42545.798229166663</v>
      </c>
      <c r="B27" s="42" t="s">
        <v>182</v>
      </c>
      <c r="C27" s="42" t="s">
        <v>485</v>
      </c>
      <c r="D27" s="42">
        <v>1470000</v>
      </c>
      <c r="E27" s="42" t="s">
        <v>497</v>
      </c>
      <c r="F27" s="42" t="s">
        <v>182</v>
      </c>
      <c r="G27" s="13">
        <v>42545.798229166663</v>
      </c>
    </row>
    <row r="28" spans="1:7" x14ac:dyDescent="0.25">
      <c r="A28" s="13">
        <v>42545.809918981482</v>
      </c>
      <c r="B28" s="42" t="s">
        <v>97</v>
      </c>
      <c r="C28" s="42" t="s">
        <v>411</v>
      </c>
      <c r="D28" s="42">
        <v>2010000</v>
      </c>
      <c r="E28" s="42" t="s">
        <v>116</v>
      </c>
      <c r="F28" s="42" t="s">
        <v>97</v>
      </c>
      <c r="G28" s="13">
        <v>42545.809918981482</v>
      </c>
    </row>
    <row r="29" spans="1:7" x14ac:dyDescent="0.25">
      <c r="A29" s="13">
        <v>42545.421863425923</v>
      </c>
      <c r="B29" s="42" t="s">
        <v>70</v>
      </c>
      <c r="C29" s="42" t="s">
        <v>295</v>
      </c>
      <c r="D29" s="42">
        <v>1480000</v>
      </c>
      <c r="E29" s="42" t="s">
        <v>494</v>
      </c>
      <c r="F29" s="42" t="s">
        <v>70</v>
      </c>
      <c r="G29" s="13">
        <v>42545.421863425923</v>
      </c>
    </row>
    <row r="30" spans="1:7" x14ac:dyDescent="0.25">
      <c r="A30" s="13">
        <v>42545.911412037036</v>
      </c>
      <c r="B30" s="42" t="s">
        <v>86</v>
      </c>
      <c r="C30" s="42" t="s">
        <v>420</v>
      </c>
      <c r="D30" s="42">
        <v>1820000</v>
      </c>
      <c r="E30" s="42" t="s">
        <v>157</v>
      </c>
      <c r="F30" s="42" t="s">
        <v>86</v>
      </c>
      <c r="G30" s="13">
        <v>42545.911412037036</v>
      </c>
    </row>
    <row r="31" spans="1:7" x14ac:dyDescent="0.25">
      <c r="A31" s="13">
        <v>42545.3593287037</v>
      </c>
      <c r="B31" s="42" t="s">
        <v>488</v>
      </c>
      <c r="C31" s="42" t="s">
        <v>452</v>
      </c>
      <c r="D31" s="42">
        <v>1500000</v>
      </c>
      <c r="E31" s="42" t="s">
        <v>96</v>
      </c>
      <c r="F31" s="42" t="s">
        <v>488</v>
      </c>
      <c r="G31" s="13">
        <v>42545.3593287037</v>
      </c>
    </row>
    <row r="32" spans="1:7" x14ac:dyDescent="0.25">
      <c r="A32" s="13">
        <v>42545.572604166664</v>
      </c>
      <c r="B32" s="42" t="s">
        <v>189</v>
      </c>
      <c r="C32" s="42" t="s">
        <v>350</v>
      </c>
      <c r="D32" s="42">
        <v>2030000</v>
      </c>
      <c r="E32" s="42" t="s">
        <v>156</v>
      </c>
      <c r="F32" s="42" t="s">
        <v>189</v>
      </c>
      <c r="G32" s="13">
        <v>42545.572604166664</v>
      </c>
    </row>
    <row r="33" spans="1:7" x14ac:dyDescent="0.25">
      <c r="A33" s="13">
        <v>42545.694687499999</v>
      </c>
      <c r="B33" s="42" t="s">
        <v>183</v>
      </c>
      <c r="C33" s="42" t="s">
        <v>471</v>
      </c>
      <c r="D33" s="42">
        <v>1740000</v>
      </c>
      <c r="E33" s="42" t="s">
        <v>90</v>
      </c>
      <c r="F33" s="42" t="s">
        <v>183</v>
      </c>
      <c r="G33" s="13">
        <v>42545.694687499999</v>
      </c>
    </row>
    <row r="34" spans="1:7" x14ac:dyDescent="0.25">
      <c r="A34" s="13">
        <v>42545.666064814817</v>
      </c>
      <c r="B34" s="42" t="s">
        <v>97</v>
      </c>
      <c r="C34" s="42" t="s">
        <v>375</v>
      </c>
      <c r="D34" s="42">
        <v>900000</v>
      </c>
      <c r="E34" s="42" t="s">
        <v>95</v>
      </c>
      <c r="F34" s="42" t="s">
        <v>97</v>
      </c>
      <c r="G34" s="13">
        <v>42545.666064814817</v>
      </c>
    </row>
    <row r="35" spans="1:7" x14ac:dyDescent="0.25">
      <c r="A35" s="13">
        <v>42545.688784722224</v>
      </c>
      <c r="B35" s="42" t="s">
        <v>184</v>
      </c>
      <c r="C35" s="42" t="s">
        <v>383</v>
      </c>
      <c r="D35" s="42">
        <v>1090000</v>
      </c>
      <c r="E35" s="42" t="s">
        <v>130</v>
      </c>
      <c r="F35" s="42" t="s">
        <v>184</v>
      </c>
      <c r="G35" s="13">
        <v>42545.688784722224</v>
      </c>
    </row>
    <row r="36" spans="1:7" x14ac:dyDescent="0.25">
      <c r="A36" s="13">
        <v>42545.726423611108</v>
      </c>
      <c r="B36" s="42" t="s">
        <v>181</v>
      </c>
      <c r="C36" s="42" t="s">
        <v>385</v>
      </c>
      <c r="D36" s="42">
        <v>1090000</v>
      </c>
      <c r="E36" s="42" t="s">
        <v>130</v>
      </c>
      <c r="F36" s="42" t="s">
        <v>181</v>
      </c>
      <c r="G36" s="13">
        <v>42545.726423611108</v>
      </c>
    </row>
    <row r="37" spans="1:7" x14ac:dyDescent="0.25">
      <c r="A37" s="13">
        <v>42545.390810185185</v>
      </c>
      <c r="B37" s="42" t="s">
        <v>188</v>
      </c>
      <c r="C37" s="42" t="s">
        <v>287</v>
      </c>
      <c r="D37" s="42">
        <v>2000000</v>
      </c>
      <c r="E37" s="42" t="s">
        <v>131</v>
      </c>
      <c r="F37" s="42" t="s">
        <v>188</v>
      </c>
      <c r="G37" s="13">
        <v>42545.390810185185</v>
      </c>
    </row>
    <row r="38" spans="1:7" x14ac:dyDescent="0.25">
      <c r="A38" s="13">
        <v>42545.737175925926</v>
      </c>
      <c r="B38" s="42" t="s">
        <v>97</v>
      </c>
      <c r="C38" s="42" t="s">
        <v>397</v>
      </c>
      <c r="D38" s="42">
        <v>2010000</v>
      </c>
      <c r="E38" s="42" t="s">
        <v>116</v>
      </c>
      <c r="F38" s="42" t="s">
        <v>97</v>
      </c>
      <c r="G38" s="13">
        <v>42545.737175925926</v>
      </c>
    </row>
    <row r="39" spans="1:7" x14ac:dyDescent="0.25">
      <c r="A39" s="13">
        <v>42545.331064814818</v>
      </c>
      <c r="B39" s="42" t="s">
        <v>93</v>
      </c>
      <c r="C39" s="42" t="s">
        <v>279</v>
      </c>
      <c r="D39" s="42">
        <v>1340000</v>
      </c>
      <c r="E39" s="42" t="s">
        <v>194</v>
      </c>
      <c r="F39" s="42" t="s">
        <v>93</v>
      </c>
      <c r="G39" s="13">
        <v>42545.331064814818</v>
      </c>
    </row>
    <row r="40" spans="1:7" x14ac:dyDescent="0.25">
      <c r="A40" s="13">
        <v>42545.831331018519</v>
      </c>
      <c r="B40" s="58" t="s">
        <v>487</v>
      </c>
      <c r="C40" s="42" t="s">
        <v>481</v>
      </c>
      <c r="D40" s="42">
        <v>1520000</v>
      </c>
      <c r="E40" s="42" t="s">
        <v>185</v>
      </c>
      <c r="F40" s="58" t="s">
        <v>487</v>
      </c>
      <c r="G40" s="13">
        <v>42545.831331018519</v>
      </c>
    </row>
    <row r="41" spans="1:7" x14ac:dyDescent="0.25">
      <c r="A41" s="13">
        <v>42545.250497685185</v>
      </c>
      <c r="B41" s="42" t="s">
        <v>184</v>
      </c>
      <c r="C41" s="42" t="s">
        <v>251</v>
      </c>
      <c r="D41" s="42">
        <v>1840000</v>
      </c>
      <c r="E41" s="42" t="s">
        <v>190</v>
      </c>
      <c r="F41" s="42" t="s">
        <v>184</v>
      </c>
      <c r="G41" s="13">
        <v>42545.250497685185</v>
      </c>
    </row>
    <row r="42" spans="1:7" x14ac:dyDescent="0.25">
      <c r="A42" s="13">
        <v>42545.898252314815</v>
      </c>
      <c r="B42" s="42" t="s">
        <v>487</v>
      </c>
      <c r="C42" s="42" t="s">
        <v>483</v>
      </c>
      <c r="D42" s="42">
        <v>1520000</v>
      </c>
      <c r="E42" s="42" t="s">
        <v>185</v>
      </c>
      <c r="F42" s="42" t="s">
        <v>487</v>
      </c>
      <c r="G42" s="13">
        <v>42545.898252314815</v>
      </c>
    </row>
    <row r="43" spans="1:7" x14ac:dyDescent="0.25">
      <c r="A43" s="13">
        <v>42546.001597222225</v>
      </c>
      <c r="B43" s="42" t="s">
        <v>184</v>
      </c>
      <c r="C43" s="42" t="s">
        <v>431</v>
      </c>
      <c r="D43" s="42">
        <v>1770000</v>
      </c>
      <c r="E43" s="42" t="s">
        <v>193</v>
      </c>
      <c r="F43" s="42" t="s">
        <v>184</v>
      </c>
      <c r="G43" s="13">
        <v>42546.001597222225</v>
      </c>
    </row>
    <row r="44" spans="1:7" x14ac:dyDescent="0.25">
      <c r="A44" s="13">
        <v>42545.904074074075</v>
      </c>
      <c r="B44" s="42" t="s">
        <v>488</v>
      </c>
      <c r="C44" s="42" t="s">
        <v>482</v>
      </c>
      <c r="D44" s="42">
        <v>1520000</v>
      </c>
      <c r="E44" s="42" t="s">
        <v>185</v>
      </c>
      <c r="F44" s="42" t="s">
        <v>488</v>
      </c>
      <c r="G44" s="13">
        <v>42545.904074074075</v>
      </c>
    </row>
    <row r="45" spans="1:7" x14ac:dyDescent="0.25">
      <c r="A45" s="13">
        <v>42545.994062500002</v>
      </c>
      <c r="B45" s="42" t="s">
        <v>86</v>
      </c>
      <c r="C45" s="42" t="s">
        <v>428</v>
      </c>
      <c r="D45" s="42">
        <v>1820000</v>
      </c>
      <c r="E45" s="42" t="s">
        <v>157</v>
      </c>
      <c r="F45" s="42" t="s">
        <v>86</v>
      </c>
      <c r="G45" s="13">
        <v>42545.994062500002</v>
      </c>
    </row>
    <row r="46" spans="1:7" x14ac:dyDescent="0.25">
      <c r="A46" s="13">
        <v>42545.949918981481</v>
      </c>
      <c r="B46" s="42" t="s">
        <v>181</v>
      </c>
      <c r="C46" s="42" t="s">
        <v>424</v>
      </c>
      <c r="D46" s="42">
        <v>1770000</v>
      </c>
      <c r="E46" s="42" t="s">
        <v>193</v>
      </c>
      <c r="F46" s="42" t="s">
        <v>181</v>
      </c>
      <c r="G46" s="13">
        <v>42545.949918981481</v>
      </c>
    </row>
    <row r="47" spans="1:7" x14ac:dyDescent="0.25">
      <c r="A47" s="13">
        <v>42545.69672453704</v>
      </c>
      <c r="B47" s="42" t="s">
        <v>489</v>
      </c>
      <c r="C47" s="42" t="s">
        <v>387</v>
      </c>
      <c r="D47" s="42">
        <v>1990000</v>
      </c>
      <c r="E47" s="42" t="s">
        <v>155</v>
      </c>
      <c r="F47" s="42" t="s">
        <v>489</v>
      </c>
      <c r="G47" s="13">
        <v>42545.69672453704</v>
      </c>
    </row>
    <row r="48" spans="1:7" x14ac:dyDescent="0.25">
      <c r="A48" s="13">
        <v>42545.992766203701</v>
      </c>
      <c r="B48" s="42" t="s">
        <v>184</v>
      </c>
      <c r="C48" s="42" t="s">
        <v>431</v>
      </c>
      <c r="D48" s="42">
        <v>1770000</v>
      </c>
      <c r="E48" s="42" t="s">
        <v>193</v>
      </c>
      <c r="F48" s="42" t="s">
        <v>184</v>
      </c>
      <c r="G48" s="13">
        <v>42545.992766203701</v>
      </c>
    </row>
    <row r="49" spans="1:7" x14ac:dyDescent="0.25">
      <c r="A49" s="13">
        <v>42545.566689814812</v>
      </c>
      <c r="B49" s="42" t="s">
        <v>82</v>
      </c>
      <c r="C49" s="42" t="s">
        <v>339</v>
      </c>
      <c r="D49" s="42">
        <v>950000</v>
      </c>
      <c r="E49" s="42" t="s">
        <v>495</v>
      </c>
      <c r="F49" s="42" t="s">
        <v>82</v>
      </c>
      <c r="G49" s="13">
        <v>42545.566689814812</v>
      </c>
    </row>
    <row r="50" spans="1:7" x14ac:dyDescent="0.25">
      <c r="A50" s="13">
        <v>42545.205497685187</v>
      </c>
      <c r="B50" s="42" t="s">
        <v>489</v>
      </c>
      <c r="C50" s="42" t="s">
        <v>241</v>
      </c>
      <c r="D50" s="42">
        <v>1830000</v>
      </c>
      <c r="E50" s="42" t="s">
        <v>187</v>
      </c>
      <c r="F50" s="42" t="s">
        <v>489</v>
      </c>
      <c r="G50" s="13">
        <v>42545.205497685187</v>
      </c>
    </row>
    <row r="51" spans="1:7" x14ac:dyDescent="0.25">
      <c r="A51" s="13">
        <v>42545.453750000001</v>
      </c>
      <c r="B51" s="42" t="s">
        <v>108</v>
      </c>
      <c r="C51" s="42" t="s">
        <v>305</v>
      </c>
      <c r="D51" s="42">
        <v>1310000</v>
      </c>
      <c r="E51" s="42" t="s">
        <v>192</v>
      </c>
      <c r="F51" s="42" t="s">
        <v>108</v>
      </c>
      <c r="G51" s="13">
        <v>42545.453750000001</v>
      </c>
    </row>
    <row r="52" spans="1:7" x14ac:dyDescent="0.25">
      <c r="A52" s="13">
        <v>42545.231909722221</v>
      </c>
      <c r="B52" s="42" t="s">
        <v>94</v>
      </c>
      <c r="C52" s="42" t="s">
        <v>248</v>
      </c>
      <c r="D52" s="42">
        <v>1480000</v>
      </c>
      <c r="E52" s="42" t="s">
        <v>494</v>
      </c>
      <c r="F52" s="42" t="s">
        <v>94</v>
      </c>
      <c r="G52" s="13">
        <v>42545.231909722221</v>
      </c>
    </row>
    <row r="53" spans="1:7" x14ac:dyDescent="0.25">
      <c r="A53" s="13">
        <v>42545.345335648148</v>
      </c>
      <c r="B53" s="42" t="s">
        <v>70</v>
      </c>
      <c r="C53" s="42" t="s">
        <v>273</v>
      </c>
      <c r="D53" s="42">
        <v>1480000</v>
      </c>
      <c r="E53" s="42" t="s">
        <v>494</v>
      </c>
      <c r="F53" s="42" t="s">
        <v>70</v>
      </c>
      <c r="G53" s="13">
        <v>42545.345335648148</v>
      </c>
    </row>
    <row r="54" spans="1:7" x14ac:dyDescent="0.25">
      <c r="A54" s="13">
        <v>42545.256226851852</v>
      </c>
      <c r="B54" s="42" t="s">
        <v>93</v>
      </c>
      <c r="C54" s="42" t="s">
        <v>255</v>
      </c>
      <c r="D54" s="42">
        <v>1340000</v>
      </c>
      <c r="E54" s="42" t="s">
        <v>194</v>
      </c>
      <c r="F54" s="42" t="s">
        <v>93</v>
      </c>
      <c r="G54" s="13">
        <v>42545.256226851852</v>
      </c>
    </row>
    <row r="55" spans="1:7" x14ac:dyDescent="0.25">
      <c r="A55" s="13">
        <v>42546.039826388886</v>
      </c>
      <c r="B55" s="42" t="s">
        <v>85</v>
      </c>
      <c r="C55" s="42" t="s">
        <v>436</v>
      </c>
      <c r="D55" s="42">
        <v>1820000</v>
      </c>
      <c r="E55" s="42" t="s">
        <v>157</v>
      </c>
      <c r="F55" s="42" t="s">
        <v>85</v>
      </c>
      <c r="G55" s="13">
        <v>42546.039826388886</v>
      </c>
    </row>
    <row r="56" spans="1:7" x14ac:dyDescent="0.25">
      <c r="A56" s="13">
        <v>42545.236041666663</v>
      </c>
      <c r="B56" s="42" t="s">
        <v>108</v>
      </c>
      <c r="C56" s="42" t="s">
        <v>238</v>
      </c>
      <c r="D56" s="42">
        <v>1310000</v>
      </c>
      <c r="E56" s="42" t="s">
        <v>192</v>
      </c>
      <c r="F56" s="42" t="s">
        <v>108</v>
      </c>
      <c r="G56" s="13">
        <v>42545.236041666663</v>
      </c>
    </row>
    <row r="57" spans="1:7" x14ac:dyDescent="0.25">
      <c r="A57" s="13">
        <v>42545.845868055556</v>
      </c>
      <c r="B57" s="42" t="s">
        <v>92</v>
      </c>
      <c r="C57" s="42" t="s">
        <v>412</v>
      </c>
      <c r="D57" s="42">
        <v>2010000</v>
      </c>
      <c r="E57" s="42" t="s">
        <v>116</v>
      </c>
      <c r="F57" s="42" t="s">
        <v>92</v>
      </c>
      <c r="G57" s="13">
        <v>42545.845868055556</v>
      </c>
    </row>
    <row r="58" spans="1:7" x14ac:dyDescent="0.25">
      <c r="A58" s="13">
        <v>42545.277314814812</v>
      </c>
      <c r="B58" s="42" t="s">
        <v>183</v>
      </c>
      <c r="C58" s="42" t="s">
        <v>445</v>
      </c>
      <c r="D58" s="42">
        <v>1460000</v>
      </c>
      <c r="E58" s="42" t="s">
        <v>191</v>
      </c>
      <c r="F58" s="42" t="s">
        <v>183</v>
      </c>
      <c r="G58" s="13">
        <v>42545.277314814812</v>
      </c>
    </row>
    <row r="59" spans="1:7" x14ac:dyDescent="0.25">
      <c r="A59" s="13">
        <v>42545.756655092591</v>
      </c>
      <c r="B59" s="42" t="s">
        <v>182</v>
      </c>
      <c r="C59" s="42" t="s">
        <v>475</v>
      </c>
      <c r="D59" s="42">
        <v>1470000</v>
      </c>
      <c r="E59" s="42" t="s">
        <v>497</v>
      </c>
      <c r="F59" s="42" t="s">
        <v>182</v>
      </c>
      <c r="G59" s="13">
        <v>42545.756655092591</v>
      </c>
    </row>
    <row r="60" spans="1:7" x14ac:dyDescent="0.25">
      <c r="A60" s="13">
        <v>42545.286064814813</v>
      </c>
      <c r="B60" s="42" t="s">
        <v>181</v>
      </c>
      <c r="C60" s="42" t="s">
        <v>253</v>
      </c>
      <c r="D60" s="42">
        <v>1840000</v>
      </c>
      <c r="E60" s="42" t="s">
        <v>190</v>
      </c>
      <c r="F60" s="42" t="s">
        <v>181</v>
      </c>
      <c r="G60" s="13">
        <v>42545.286064814813</v>
      </c>
    </row>
    <row r="61" spans="1:7" x14ac:dyDescent="0.25">
      <c r="A61" s="13">
        <v>42545.915972222225</v>
      </c>
      <c r="B61" s="42" t="s">
        <v>184</v>
      </c>
      <c r="C61" s="42" t="s">
        <v>423</v>
      </c>
      <c r="D61" s="42">
        <v>1770000</v>
      </c>
      <c r="E61" s="42" t="s">
        <v>193</v>
      </c>
      <c r="F61" s="42" t="s">
        <v>184</v>
      </c>
      <c r="G61" s="13">
        <v>42545.915972222225</v>
      </c>
    </row>
    <row r="62" spans="1:7" x14ac:dyDescent="0.25">
      <c r="A62" s="13">
        <v>42545.298946759256</v>
      </c>
      <c r="B62" s="42" t="s">
        <v>97</v>
      </c>
      <c r="C62" s="42" t="s">
        <v>267</v>
      </c>
      <c r="D62" s="42">
        <v>2020000</v>
      </c>
      <c r="E62" s="42" t="s">
        <v>493</v>
      </c>
      <c r="F62" s="42" t="s">
        <v>97</v>
      </c>
      <c r="G62" s="13">
        <v>42545.298946759256</v>
      </c>
    </row>
    <row r="63" spans="1:7" x14ac:dyDescent="0.25">
      <c r="A63" s="13">
        <v>42545.781504629631</v>
      </c>
      <c r="B63" s="42" t="s">
        <v>183</v>
      </c>
      <c r="C63" s="42" t="s">
        <v>477</v>
      </c>
      <c r="D63" s="42">
        <v>1740000</v>
      </c>
      <c r="E63" s="42" t="s">
        <v>90</v>
      </c>
      <c r="F63" s="42" t="s">
        <v>183</v>
      </c>
      <c r="G63" s="13">
        <v>42545.781504629631</v>
      </c>
    </row>
    <row r="64" spans="1:7" x14ac:dyDescent="0.25">
      <c r="A64" s="59">
        <v>42545.309687499997</v>
      </c>
      <c r="B64" s="42" t="s">
        <v>94</v>
      </c>
      <c r="C64" s="42" t="s">
        <v>272</v>
      </c>
      <c r="D64" s="42">
        <v>1480000</v>
      </c>
      <c r="E64" s="42" t="s">
        <v>494</v>
      </c>
      <c r="F64" s="42" t="s">
        <v>94</v>
      </c>
      <c r="G64" s="59">
        <v>42545.309687499997</v>
      </c>
    </row>
    <row r="65" spans="1:7" x14ac:dyDescent="0.25">
      <c r="A65" s="13">
        <v>42545.773113425923</v>
      </c>
      <c r="B65" s="42" t="s">
        <v>92</v>
      </c>
      <c r="C65" s="42" t="s">
        <v>398</v>
      </c>
      <c r="D65" s="42">
        <v>2010000</v>
      </c>
      <c r="E65" s="42" t="s">
        <v>116</v>
      </c>
      <c r="F65" s="42" t="s">
        <v>92</v>
      </c>
      <c r="G65" s="13">
        <v>42545.773113425923</v>
      </c>
    </row>
    <row r="66" spans="1:7" x14ac:dyDescent="0.25">
      <c r="A66" s="13">
        <v>42545.184236111112</v>
      </c>
      <c r="B66" s="42" t="s">
        <v>93</v>
      </c>
      <c r="C66" s="42" t="s">
        <v>234</v>
      </c>
      <c r="D66" s="42">
        <v>1340000</v>
      </c>
      <c r="E66" s="42" t="s">
        <v>194</v>
      </c>
      <c r="F66" s="42" t="s">
        <v>93</v>
      </c>
      <c r="G66" s="13">
        <v>42545.184236111112</v>
      </c>
    </row>
    <row r="67" spans="1:7" x14ac:dyDescent="0.25">
      <c r="A67" s="13">
        <v>42546.057581018518</v>
      </c>
      <c r="B67" s="42" t="s">
        <v>490</v>
      </c>
      <c r="C67" s="42" t="s">
        <v>435</v>
      </c>
      <c r="D67" s="42">
        <v>2040000</v>
      </c>
      <c r="E67" s="42" t="s">
        <v>129</v>
      </c>
      <c r="F67" s="42" t="s">
        <v>490</v>
      </c>
      <c r="G67" s="13">
        <v>42546.057581018518</v>
      </c>
    </row>
    <row r="68" spans="1:7" x14ac:dyDescent="0.25">
      <c r="A68" s="13">
        <v>42545.319537037038</v>
      </c>
      <c r="B68" s="42" t="s">
        <v>184</v>
      </c>
      <c r="C68" s="42" t="s">
        <v>276</v>
      </c>
      <c r="D68" s="42">
        <v>1840000</v>
      </c>
      <c r="E68" s="42" t="s">
        <v>190</v>
      </c>
      <c r="F68" s="42" t="s">
        <v>184</v>
      </c>
      <c r="G68" s="13">
        <v>42545.319537037038</v>
      </c>
    </row>
    <row r="69" spans="1:7" x14ac:dyDescent="0.25">
      <c r="A69" s="13">
        <v>42545.918391203704</v>
      </c>
      <c r="B69" s="42" t="s">
        <v>487</v>
      </c>
      <c r="C69" s="42" t="s">
        <v>484</v>
      </c>
      <c r="D69" s="42">
        <v>1520000</v>
      </c>
      <c r="E69" s="42" t="s">
        <v>185</v>
      </c>
      <c r="F69" s="42" t="s">
        <v>487</v>
      </c>
      <c r="G69" s="13">
        <v>42545.918391203704</v>
      </c>
    </row>
    <row r="70" spans="1:7" x14ac:dyDescent="0.25">
      <c r="A70" s="13">
        <v>42545.49590277778</v>
      </c>
      <c r="B70" s="42" t="s">
        <v>189</v>
      </c>
      <c r="C70" s="42" t="s">
        <v>329</v>
      </c>
      <c r="D70" s="42">
        <v>2030000</v>
      </c>
      <c r="E70" s="42" t="s">
        <v>156</v>
      </c>
      <c r="F70" s="42" t="s">
        <v>189</v>
      </c>
      <c r="G70" s="13">
        <v>42545.49590277778</v>
      </c>
    </row>
    <row r="71" spans="1:7" x14ac:dyDescent="0.25">
      <c r="A71" s="13">
        <v>42546.000023148146</v>
      </c>
      <c r="B71" s="42" t="s">
        <v>184</v>
      </c>
      <c r="C71" s="42" t="s">
        <v>431</v>
      </c>
      <c r="D71" s="42">
        <v>1770000</v>
      </c>
      <c r="E71" s="42" t="s">
        <v>193</v>
      </c>
      <c r="F71" s="42" t="s">
        <v>184</v>
      </c>
      <c r="G71" s="13">
        <v>42546.000023148146</v>
      </c>
    </row>
    <row r="72" spans="1:7" x14ac:dyDescent="0.25">
      <c r="A72" s="13">
        <v>42545.592418981483</v>
      </c>
      <c r="B72" s="42" t="s">
        <v>97</v>
      </c>
      <c r="C72" s="42" t="s">
        <v>356</v>
      </c>
      <c r="D72" s="42">
        <v>900000</v>
      </c>
      <c r="E72" s="42" t="s">
        <v>95</v>
      </c>
      <c r="F72" s="42" t="s">
        <v>97</v>
      </c>
      <c r="G72" s="13">
        <v>42545.592418981483</v>
      </c>
    </row>
    <row r="73" spans="1:7" x14ac:dyDescent="0.25">
      <c r="A73" s="13">
        <v>42545.654456018521</v>
      </c>
      <c r="B73" s="42" t="s">
        <v>94</v>
      </c>
      <c r="C73" s="42" t="s">
        <v>370</v>
      </c>
      <c r="D73" s="42">
        <v>880000</v>
      </c>
      <c r="E73" s="42" t="s">
        <v>186</v>
      </c>
      <c r="F73" s="42" t="s">
        <v>94</v>
      </c>
      <c r="G73" s="13">
        <v>42545.654456018521</v>
      </c>
    </row>
    <row r="74" spans="1:7" x14ac:dyDescent="0.25">
      <c r="A74" s="13">
        <v>42545.631342592591</v>
      </c>
      <c r="B74" s="42" t="s">
        <v>92</v>
      </c>
      <c r="C74" s="42" t="s">
        <v>357</v>
      </c>
      <c r="D74" s="42">
        <v>900000</v>
      </c>
      <c r="E74" s="42" t="s">
        <v>95</v>
      </c>
      <c r="F74" s="42" t="s">
        <v>92</v>
      </c>
      <c r="G74" s="13">
        <v>42545.631342592591</v>
      </c>
    </row>
    <row r="75" spans="1:7" x14ac:dyDescent="0.25">
      <c r="A75" s="13">
        <v>42545.466296296298</v>
      </c>
      <c r="B75" s="42" t="s">
        <v>184</v>
      </c>
      <c r="C75" s="42" t="s">
        <v>319</v>
      </c>
      <c r="D75" s="42">
        <v>1090000</v>
      </c>
      <c r="E75" s="42" t="s">
        <v>130</v>
      </c>
      <c r="F75" s="42" t="s">
        <v>184</v>
      </c>
      <c r="G75" s="13">
        <v>42545.466296296298</v>
      </c>
    </row>
    <row r="76" spans="1:7" x14ac:dyDescent="0.25">
      <c r="A76" s="13">
        <v>42545.63490740741</v>
      </c>
      <c r="B76" s="42" t="s">
        <v>109</v>
      </c>
      <c r="C76" s="42" t="s">
        <v>365</v>
      </c>
      <c r="D76" s="42">
        <v>1120000</v>
      </c>
      <c r="E76" s="42" t="s">
        <v>498</v>
      </c>
      <c r="F76" s="42" t="s">
        <v>109</v>
      </c>
      <c r="G76" s="13">
        <v>42545.63490740741</v>
      </c>
    </row>
    <row r="77" spans="1:7" x14ac:dyDescent="0.25">
      <c r="A77" s="13">
        <v>42545.395127314812</v>
      </c>
      <c r="B77" s="42" t="s">
        <v>184</v>
      </c>
      <c r="C77" s="42" t="s">
        <v>297</v>
      </c>
      <c r="D77" s="42">
        <v>1840000</v>
      </c>
      <c r="E77" s="42" t="s">
        <v>190</v>
      </c>
      <c r="F77" s="42" t="s">
        <v>184</v>
      </c>
      <c r="G77" s="13">
        <v>42545.395127314812</v>
      </c>
    </row>
    <row r="78" spans="1:7" x14ac:dyDescent="0.25">
      <c r="A78" s="13">
        <v>42545.649918981479</v>
      </c>
      <c r="B78" s="42" t="s">
        <v>488</v>
      </c>
      <c r="C78" s="42" t="s">
        <v>466</v>
      </c>
      <c r="D78" s="42">
        <v>1520000</v>
      </c>
      <c r="E78" s="42" t="s">
        <v>185</v>
      </c>
      <c r="F78" s="42" t="s">
        <v>488</v>
      </c>
      <c r="G78" s="13">
        <v>42545.649918981479</v>
      </c>
    </row>
    <row r="79" spans="1:7" x14ac:dyDescent="0.25">
      <c r="A79" s="13">
        <v>42545.36991898148</v>
      </c>
      <c r="B79" s="42" t="s">
        <v>91</v>
      </c>
      <c r="C79" s="42" t="s">
        <v>280</v>
      </c>
      <c r="D79" s="42">
        <v>1340000</v>
      </c>
      <c r="E79" s="42" t="s">
        <v>194</v>
      </c>
      <c r="F79" s="42" t="s">
        <v>91</v>
      </c>
      <c r="G79" s="13">
        <v>42545.36991898148</v>
      </c>
    </row>
    <row r="80" spans="1:7" x14ac:dyDescent="0.25">
      <c r="A80" s="13">
        <v>42545.653148148151</v>
      </c>
      <c r="B80" s="42" t="s">
        <v>181</v>
      </c>
      <c r="C80" s="42" t="s">
        <v>361</v>
      </c>
      <c r="D80" s="42">
        <v>1090000</v>
      </c>
      <c r="E80" s="42" t="s">
        <v>130</v>
      </c>
      <c r="F80" s="42" t="s">
        <v>181</v>
      </c>
      <c r="G80" s="13">
        <v>42545.653148148151</v>
      </c>
    </row>
    <row r="81" spans="1:7" x14ac:dyDescent="0.25">
      <c r="A81" s="13">
        <v>42545.315925925926</v>
      </c>
      <c r="B81" s="42" t="s">
        <v>188</v>
      </c>
      <c r="C81" s="42" t="s">
        <v>263</v>
      </c>
      <c r="D81" s="42">
        <v>2000000</v>
      </c>
      <c r="E81" s="42" t="s">
        <v>131</v>
      </c>
      <c r="F81" s="42" t="s">
        <v>188</v>
      </c>
      <c r="G81" s="13">
        <v>42545.315925925926</v>
      </c>
    </row>
    <row r="82" spans="1:7" x14ac:dyDescent="0.25">
      <c r="A82" s="13">
        <v>42545.767789351848</v>
      </c>
      <c r="B82" s="42" t="s">
        <v>489</v>
      </c>
      <c r="C82" s="42" t="s">
        <v>404</v>
      </c>
      <c r="D82" s="42">
        <v>2040000</v>
      </c>
      <c r="E82" s="42" t="s">
        <v>129</v>
      </c>
      <c r="F82" s="42" t="s">
        <v>489</v>
      </c>
      <c r="G82" s="13">
        <v>42545.767789351848</v>
      </c>
    </row>
    <row r="83" spans="1:7" x14ac:dyDescent="0.25">
      <c r="A83" s="13">
        <v>42545.245312500003</v>
      </c>
      <c r="B83" s="42" t="s">
        <v>490</v>
      </c>
      <c r="C83" s="42" t="s">
        <v>242</v>
      </c>
      <c r="D83" s="42">
        <v>1830000</v>
      </c>
      <c r="E83" s="42" t="s">
        <v>187</v>
      </c>
      <c r="F83" s="42" t="s">
        <v>490</v>
      </c>
      <c r="G83" s="13">
        <v>42545.245312500003</v>
      </c>
    </row>
    <row r="84" spans="1:7" x14ac:dyDescent="0.25">
      <c r="A84" s="13">
        <v>42545.974722222221</v>
      </c>
      <c r="B84" s="42" t="s">
        <v>490</v>
      </c>
      <c r="C84" s="42" t="s">
        <v>426</v>
      </c>
      <c r="D84" s="42">
        <v>2040000</v>
      </c>
      <c r="E84" s="42" t="s">
        <v>129</v>
      </c>
      <c r="F84" s="42" t="s">
        <v>490</v>
      </c>
      <c r="G84" s="13">
        <v>42545.974722222221</v>
      </c>
    </row>
    <row r="85" spans="1:7" x14ac:dyDescent="0.25">
      <c r="A85" s="13">
        <v>42545.540509259263</v>
      </c>
      <c r="B85" s="42" t="s">
        <v>184</v>
      </c>
      <c r="C85" s="42" t="s">
        <v>341</v>
      </c>
      <c r="D85" s="42">
        <v>1090000</v>
      </c>
      <c r="E85" s="42" t="s">
        <v>130</v>
      </c>
      <c r="F85" s="42" t="s">
        <v>184</v>
      </c>
      <c r="G85" s="13">
        <v>42545.540509259263</v>
      </c>
    </row>
    <row r="86" spans="1:7" x14ac:dyDescent="0.25">
      <c r="A86" s="13">
        <v>42546.018206018518</v>
      </c>
      <c r="B86" s="42" t="s">
        <v>489</v>
      </c>
      <c r="C86" s="42" t="s">
        <v>434</v>
      </c>
      <c r="D86" s="42">
        <v>2040000</v>
      </c>
      <c r="E86" s="42" t="s">
        <v>129</v>
      </c>
      <c r="F86" s="42" t="s">
        <v>489</v>
      </c>
      <c r="G86" s="13">
        <v>42546.018206018518</v>
      </c>
    </row>
    <row r="87" spans="1:7" x14ac:dyDescent="0.25">
      <c r="A87" s="13">
        <v>42545.473657407405</v>
      </c>
      <c r="B87" s="42" t="s">
        <v>490</v>
      </c>
      <c r="C87" s="42" t="s">
        <v>312</v>
      </c>
      <c r="D87" s="42">
        <v>2000000</v>
      </c>
      <c r="E87" s="42" t="s">
        <v>131</v>
      </c>
      <c r="F87" s="42" t="s">
        <v>490</v>
      </c>
      <c r="G87" s="13">
        <v>42545.473657407405</v>
      </c>
    </row>
    <row r="88" spans="1:7" x14ac:dyDescent="0.25">
      <c r="A88" s="13">
        <v>42546.040914351855</v>
      </c>
      <c r="B88" s="42" t="s">
        <v>85</v>
      </c>
      <c r="C88" s="42" t="s">
        <v>436</v>
      </c>
      <c r="D88" s="42">
        <v>1820000</v>
      </c>
      <c r="E88" s="42" t="s">
        <v>157</v>
      </c>
      <c r="F88" s="42" t="s">
        <v>85</v>
      </c>
      <c r="G88" s="13">
        <v>42546.040914351855</v>
      </c>
    </row>
    <row r="89" spans="1:7" x14ac:dyDescent="0.25">
      <c r="A89" s="13">
        <v>42545.462245370371</v>
      </c>
      <c r="B89" s="42" t="s">
        <v>188</v>
      </c>
      <c r="C89" s="42" t="s">
        <v>308</v>
      </c>
      <c r="D89" s="42">
        <v>2030000</v>
      </c>
      <c r="E89" s="42" t="s">
        <v>156</v>
      </c>
      <c r="F89" s="42" t="s">
        <v>188</v>
      </c>
      <c r="G89" s="13">
        <v>42545.462245370371</v>
      </c>
    </row>
    <row r="90" spans="1:7" x14ac:dyDescent="0.25">
      <c r="A90" s="13">
        <v>42545.380740740744</v>
      </c>
      <c r="B90" s="42" t="s">
        <v>108</v>
      </c>
      <c r="C90" s="42" t="s">
        <v>284</v>
      </c>
      <c r="D90" s="42">
        <v>1310000</v>
      </c>
      <c r="E90" s="42" t="s">
        <v>192</v>
      </c>
      <c r="F90" s="42" t="s">
        <v>108</v>
      </c>
      <c r="G90" s="13">
        <v>42545.380740740744</v>
      </c>
    </row>
    <row r="91" spans="1:7" x14ac:dyDescent="0.25">
      <c r="A91" s="13">
        <v>42545.41615740741</v>
      </c>
      <c r="B91" s="42" t="s">
        <v>109</v>
      </c>
      <c r="C91" s="42" t="s">
        <v>304</v>
      </c>
      <c r="D91" s="42">
        <v>1310000</v>
      </c>
      <c r="E91" s="42" t="s">
        <v>192</v>
      </c>
      <c r="F91" s="42" t="s">
        <v>109</v>
      </c>
      <c r="G91" s="13">
        <v>42545.41615740741</v>
      </c>
    </row>
    <row r="92" spans="1:7" x14ac:dyDescent="0.25">
      <c r="A92" s="13">
        <v>42545.385891203703</v>
      </c>
      <c r="B92" s="42" t="s">
        <v>487</v>
      </c>
      <c r="C92" s="42" t="s">
        <v>453</v>
      </c>
      <c r="D92" s="42">
        <v>1500000</v>
      </c>
      <c r="E92" s="42" t="s">
        <v>96</v>
      </c>
      <c r="F92" s="42" t="s">
        <v>487</v>
      </c>
      <c r="G92" s="13">
        <v>42545.385891203703</v>
      </c>
    </row>
    <row r="93" spans="1:7" x14ac:dyDescent="0.25">
      <c r="A93" s="13">
        <v>42545.29278935185</v>
      </c>
      <c r="B93" s="42" t="s">
        <v>91</v>
      </c>
      <c r="C93" s="42" t="s">
        <v>256</v>
      </c>
      <c r="D93" s="42">
        <v>1340000</v>
      </c>
      <c r="E93" s="42" t="s">
        <v>194</v>
      </c>
      <c r="F93" s="42" t="s">
        <v>91</v>
      </c>
      <c r="G93" s="13">
        <v>42545.29278935185</v>
      </c>
    </row>
    <row r="94" spans="1:7" x14ac:dyDescent="0.25">
      <c r="A94" s="13">
        <v>42545.504664351851</v>
      </c>
      <c r="B94" s="42" t="s">
        <v>94</v>
      </c>
      <c r="C94" s="42" t="s">
        <v>332</v>
      </c>
      <c r="D94" s="42">
        <v>880000</v>
      </c>
      <c r="E94" s="42" t="s">
        <v>186</v>
      </c>
      <c r="F94" s="42" t="s">
        <v>94</v>
      </c>
      <c r="G94" s="13">
        <v>42545.504664351851</v>
      </c>
    </row>
    <row r="95" spans="1:7" x14ac:dyDescent="0.25">
      <c r="A95" s="13">
        <v>42545.262604166666</v>
      </c>
      <c r="B95" s="42" t="s">
        <v>92</v>
      </c>
      <c r="C95" s="42" t="s">
        <v>246</v>
      </c>
      <c r="D95" s="42">
        <v>2020000</v>
      </c>
      <c r="E95" s="42" t="s">
        <v>493</v>
      </c>
      <c r="F95" s="42" t="s">
        <v>92</v>
      </c>
      <c r="G95" s="13">
        <v>42545.262604166666</v>
      </c>
    </row>
    <row r="96" spans="1:7" x14ac:dyDescent="0.25">
      <c r="A96" s="13">
        <v>42545.672337962962</v>
      </c>
      <c r="B96" s="42" t="s">
        <v>93</v>
      </c>
      <c r="C96" s="42" t="s">
        <v>381</v>
      </c>
      <c r="D96" s="42">
        <v>1800000</v>
      </c>
      <c r="E96" s="42" t="s">
        <v>499</v>
      </c>
      <c r="F96" s="42" t="s">
        <v>93</v>
      </c>
      <c r="G96" s="13">
        <v>42545.672337962962</v>
      </c>
    </row>
    <row r="97" spans="1:7" x14ac:dyDescent="0.25">
      <c r="A97" s="13">
        <v>42545.630902777775</v>
      </c>
      <c r="B97" s="42" t="s">
        <v>489</v>
      </c>
      <c r="C97" s="42" t="s">
        <v>362</v>
      </c>
      <c r="D97" s="42">
        <v>1990000</v>
      </c>
      <c r="E97" s="42" t="s">
        <v>155</v>
      </c>
      <c r="F97" s="42" t="s">
        <v>489</v>
      </c>
      <c r="G97" s="13">
        <v>42545.630902777775</v>
      </c>
    </row>
    <row r="98" spans="1:7" x14ac:dyDescent="0.25">
      <c r="A98" s="13">
        <v>42545.712997685187</v>
      </c>
      <c r="B98" s="42" t="s">
        <v>182</v>
      </c>
      <c r="C98" s="42" t="s">
        <v>472</v>
      </c>
      <c r="D98" s="42">
        <v>1470000</v>
      </c>
      <c r="E98" s="42" t="s">
        <v>497</v>
      </c>
      <c r="F98" s="42" t="s">
        <v>182</v>
      </c>
      <c r="G98" s="13">
        <v>42545.712997685187</v>
      </c>
    </row>
    <row r="99" spans="1:7" x14ac:dyDescent="0.25">
      <c r="A99" s="13">
        <v>42545.292175925926</v>
      </c>
      <c r="B99" s="42" t="s">
        <v>487</v>
      </c>
      <c r="C99" s="42" t="s">
        <v>447</v>
      </c>
      <c r="D99" s="42">
        <v>1500000</v>
      </c>
      <c r="E99" s="42" t="s">
        <v>96</v>
      </c>
      <c r="F99" s="42" t="s">
        <v>487</v>
      </c>
      <c r="G99" s="13">
        <v>42545.292175925926</v>
      </c>
    </row>
    <row r="100" spans="1:7" x14ac:dyDescent="0.25">
      <c r="A100" s="13">
        <v>42545.870798611111</v>
      </c>
      <c r="B100" s="42" t="s">
        <v>85</v>
      </c>
      <c r="C100" s="42" t="s">
        <v>419</v>
      </c>
      <c r="D100" s="42">
        <v>1820000</v>
      </c>
      <c r="E100" s="42" t="s">
        <v>157</v>
      </c>
      <c r="F100" s="42" t="s">
        <v>85</v>
      </c>
      <c r="G100" s="13">
        <v>42545.870798611111</v>
      </c>
    </row>
    <row r="101" spans="1:7" x14ac:dyDescent="0.25">
      <c r="A101" s="13">
        <v>42545.533796296295</v>
      </c>
      <c r="B101" s="42" t="s">
        <v>188</v>
      </c>
      <c r="C101" s="42" t="s">
        <v>331</v>
      </c>
      <c r="D101" s="42">
        <v>2030000</v>
      </c>
      <c r="E101" s="42" t="s">
        <v>156</v>
      </c>
      <c r="F101" s="42" t="s">
        <v>188</v>
      </c>
      <c r="G101" s="13">
        <v>42545.533796296295</v>
      </c>
    </row>
    <row r="102" spans="1:7" x14ac:dyDescent="0.25">
      <c r="A102" s="13">
        <v>42545.394386574073</v>
      </c>
      <c r="B102" s="42" t="s">
        <v>490</v>
      </c>
      <c r="C102" s="42" t="s">
        <v>290</v>
      </c>
      <c r="D102" s="42">
        <v>1830000</v>
      </c>
      <c r="E102" s="42" t="s">
        <v>187</v>
      </c>
      <c r="F102" s="42" t="s">
        <v>490</v>
      </c>
      <c r="G102" s="13">
        <v>42545.394386574073</v>
      </c>
    </row>
    <row r="103" spans="1:7" x14ac:dyDescent="0.25">
      <c r="A103" s="13">
        <v>42545.452094907407</v>
      </c>
      <c r="B103" s="42" t="s">
        <v>83</v>
      </c>
      <c r="C103" s="42" t="s">
        <v>316</v>
      </c>
      <c r="D103" s="42">
        <v>2020000</v>
      </c>
      <c r="E103" s="42" t="s">
        <v>493</v>
      </c>
      <c r="F103" s="42" t="s">
        <v>83</v>
      </c>
      <c r="G103" s="13">
        <v>42545.452094907407</v>
      </c>
    </row>
    <row r="104" spans="1:7" x14ac:dyDescent="0.25">
      <c r="A104" s="13">
        <v>42545.599236111113</v>
      </c>
      <c r="B104" s="42" t="s">
        <v>108</v>
      </c>
      <c r="C104" s="42" t="s">
        <v>348</v>
      </c>
      <c r="D104" s="42">
        <v>1120000</v>
      </c>
      <c r="E104" s="42" t="s">
        <v>498</v>
      </c>
      <c r="F104" s="42" t="s">
        <v>108</v>
      </c>
      <c r="G104" s="13">
        <v>42545.599236111113</v>
      </c>
    </row>
    <row r="105" spans="1:7" x14ac:dyDescent="0.25">
      <c r="A105" s="13">
        <v>42545.296527777777</v>
      </c>
      <c r="B105" s="42" t="s">
        <v>182</v>
      </c>
      <c r="C105" s="42" t="s">
        <v>446</v>
      </c>
      <c r="D105" s="42">
        <v>1460000</v>
      </c>
      <c r="E105" s="42" t="s">
        <v>191</v>
      </c>
      <c r="F105" s="42" t="s">
        <v>182</v>
      </c>
      <c r="G105" s="13">
        <v>42545.296527777777</v>
      </c>
    </row>
    <row r="106" spans="1:7" x14ac:dyDescent="0.25">
      <c r="A106" s="13">
        <v>42545.667094907411</v>
      </c>
      <c r="B106" s="42" t="s">
        <v>97</v>
      </c>
      <c r="C106" s="42" t="s">
        <v>375</v>
      </c>
      <c r="D106" s="42">
        <v>900000</v>
      </c>
      <c r="E106" s="42" t="s">
        <v>95</v>
      </c>
      <c r="F106" s="42" t="s">
        <v>97</v>
      </c>
      <c r="G106" s="13">
        <v>42545.667094907411</v>
      </c>
    </row>
    <row r="107" spans="1:7" x14ac:dyDescent="0.25">
      <c r="A107" s="13">
        <v>42545.586655092593</v>
      </c>
      <c r="B107" s="42" t="s">
        <v>94</v>
      </c>
      <c r="C107" s="42" t="s">
        <v>353</v>
      </c>
      <c r="D107" s="42">
        <v>880000</v>
      </c>
      <c r="E107" s="42" t="s">
        <v>186</v>
      </c>
      <c r="F107" s="42" t="s">
        <v>94</v>
      </c>
      <c r="G107" s="13">
        <v>42545.586655092593</v>
      </c>
    </row>
    <row r="108" spans="1:7" x14ac:dyDescent="0.25">
      <c r="A108" s="13">
        <v>42545.712708333333</v>
      </c>
      <c r="B108" s="42" t="s">
        <v>91</v>
      </c>
      <c r="C108" s="42" t="s">
        <v>382</v>
      </c>
      <c r="D108" s="42">
        <v>1800000</v>
      </c>
      <c r="E108" s="42" t="s">
        <v>499</v>
      </c>
      <c r="F108" s="42" t="s">
        <v>91</v>
      </c>
      <c r="G108" s="13">
        <v>42545.712708333333</v>
      </c>
    </row>
    <row r="109" spans="1:7" x14ac:dyDescent="0.25">
      <c r="A109" s="13">
        <v>42545.206030092595</v>
      </c>
      <c r="B109" s="42" t="s">
        <v>189</v>
      </c>
      <c r="C109" s="42" t="s">
        <v>500</v>
      </c>
      <c r="D109" s="42">
        <v>2000000</v>
      </c>
      <c r="E109" s="42" t="s">
        <v>131</v>
      </c>
      <c r="F109" s="42" t="s">
        <v>189</v>
      </c>
      <c r="G109" s="13">
        <v>42545.206030092595</v>
      </c>
    </row>
    <row r="110" spans="1:7" x14ac:dyDescent="0.25">
      <c r="A110" s="13">
        <v>42545.71398148148</v>
      </c>
      <c r="B110" s="42" t="s">
        <v>91</v>
      </c>
      <c r="C110" s="42" t="s">
        <v>382</v>
      </c>
      <c r="D110" s="42">
        <v>1800000</v>
      </c>
      <c r="E110" s="42" t="s">
        <v>499</v>
      </c>
      <c r="F110" s="42" t="s">
        <v>91</v>
      </c>
      <c r="G110" s="13">
        <v>42545.71398148148</v>
      </c>
    </row>
    <row r="111" spans="1:7" x14ac:dyDescent="0.25">
      <c r="A111" s="13">
        <v>42545.693055555559</v>
      </c>
      <c r="B111" s="42" t="s">
        <v>70</v>
      </c>
      <c r="C111" s="42" t="s">
        <v>373</v>
      </c>
      <c r="D111" s="42">
        <v>880000</v>
      </c>
      <c r="E111" s="42" t="s">
        <v>186</v>
      </c>
      <c r="F111" s="42" t="s">
        <v>70</v>
      </c>
      <c r="G111" s="13">
        <v>42545.693055555559</v>
      </c>
    </row>
    <row r="112" spans="1:7" x14ac:dyDescent="0.25">
      <c r="A112" s="13">
        <v>42545.728078703702</v>
      </c>
      <c r="B112" s="42" t="s">
        <v>94</v>
      </c>
      <c r="C112" s="42" t="s">
        <v>373</v>
      </c>
      <c r="D112" s="42">
        <v>880000</v>
      </c>
      <c r="E112" s="42" t="s">
        <v>186</v>
      </c>
      <c r="F112" s="42" t="s">
        <v>94</v>
      </c>
      <c r="G112" s="13">
        <v>42545.728078703702</v>
      </c>
    </row>
    <row r="113" spans="1:7" x14ac:dyDescent="0.25">
      <c r="A113" s="13">
        <v>42545.167129629626</v>
      </c>
      <c r="B113" s="42" t="s">
        <v>184</v>
      </c>
      <c r="C113" s="42" t="s">
        <v>229</v>
      </c>
      <c r="D113" s="42">
        <v>1840000</v>
      </c>
      <c r="E113" s="42" t="s">
        <v>190</v>
      </c>
      <c r="F113" s="42" t="s">
        <v>184</v>
      </c>
      <c r="G113" s="13">
        <v>42545.167129629626</v>
      </c>
    </row>
    <row r="114" spans="1:7" x14ac:dyDescent="0.25">
      <c r="A114" s="13">
        <v>42545.77789351852</v>
      </c>
      <c r="B114" s="42" t="s">
        <v>489</v>
      </c>
      <c r="C114" s="42" t="s">
        <v>404</v>
      </c>
      <c r="D114" s="42">
        <v>2040000</v>
      </c>
      <c r="E114" s="42" t="s">
        <v>129</v>
      </c>
      <c r="F114" s="42" t="s">
        <v>489</v>
      </c>
      <c r="G114" s="13">
        <v>42545.77789351852</v>
      </c>
    </row>
    <row r="115" spans="1:7" x14ac:dyDescent="0.25">
      <c r="A115" s="13">
        <v>42545.672349537039</v>
      </c>
      <c r="B115" s="42" t="s">
        <v>182</v>
      </c>
      <c r="C115" s="42" t="s">
        <v>468</v>
      </c>
      <c r="D115" s="42">
        <v>1470000</v>
      </c>
      <c r="E115" s="42" t="s">
        <v>497</v>
      </c>
      <c r="F115" s="42" t="s">
        <v>182</v>
      </c>
      <c r="G115" s="13">
        <v>42545.672349537039</v>
      </c>
    </row>
    <row r="116" spans="1:7" x14ac:dyDescent="0.25">
      <c r="A116" s="13">
        <v>42545.420034722221</v>
      </c>
      <c r="B116" s="42" t="s">
        <v>487</v>
      </c>
      <c r="C116" s="42" t="s">
        <v>455</v>
      </c>
      <c r="D116" s="42">
        <v>1500000</v>
      </c>
      <c r="E116" s="42" t="s">
        <v>96</v>
      </c>
      <c r="F116" s="42" t="s">
        <v>487</v>
      </c>
      <c r="G116" s="13">
        <v>42545.420034722221</v>
      </c>
    </row>
    <row r="117" spans="1:7" x14ac:dyDescent="0.25">
      <c r="A117" s="13">
        <v>42545.609097222223</v>
      </c>
      <c r="B117" s="42" t="s">
        <v>488</v>
      </c>
      <c r="C117" s="42" t="s">
        <v>464</v>
      </c>
      <c r="D117" s="42">
        <v>1520000</v>
      </c>
      <c r="E117" s="42" t="s">
        <v>185</v>
      </c>
      <c r="F117" s="42" t="s">
        <v>488</v>
      </c>
      <c r="G117" s="13">
        <v>42545.609097222223</v>
      </c>
    </row>
    <row r="118" spans="1:7" x14ac:dyDescent="0.25">
      <c r="A118" s="13">
        <v>42545.441759259258</v>
      </c>
      <c r="B118" s="42" t="s">
        <v>488</v>
      </c>
      <c r="C118" s="42" t="s">
        <v>456</v>
      </c>
      <c r="D118" s="42">
        <v>1500000</v>
      </c>
      <c r="E118" s="42" t="s">
        <v>96</v>
      </c>
      <c r="F118" s="42" t="s">
        <v>488</v>
      </c>
      <c r="G118" s="13">
        <v>42545.441759259258</v>
      </c>
    </row>
    <row r="119" spans="1:7" x14ac:dyDescent="0.25">
      <c r="A119" s="13">
        <v>42545.494722222225</v>
      </c>
      <c r="B119" s="42" t="s">
        <v>82</v>
      </c>
      <c r="C119" s="42" t="s">
        <v>317</v>
      </c>
      <c r="D119" s="42">
        <v>2020000</v>
      </c>
      <c r="E119" s="42" t="s">
        <v>493</v>
      </c>
      <c r="F119" s="42" t="s">
        <v>82</v>
      </c>
      <c r="G119" s="13">
        <v>42545.494722222225</v>
      </c>
    </row>
    <row r="120" spans="1:7" x14ac:dyDescent="0.25">
      <c r="A120" s="13">
        <v>42545.442488425928</v>
      </c>
      <c r="B120" s="42" t="s">
        <v>91</v>
      </c>
      <c r="C120" s="42" t="s">
        <v>302</v>
      </c>
      <c r="D120" s="42">
        <v>1340000</v>
      </c>
      <c r="E120" s="42" t="s">
        <v>194</v>
      </c>
      <c r="F120" s="42" t="s">
        <v>91</v>
      </c>
      <c r="G120" s="13">
        <v>42545.442488425928</v>
      </c>
    </row>
    <row r="121" spans="1:7" x14ac:dyDescent="0.25">
      <c r="A121" s="13">
        <v>42545.412557870368</v>
      </c>
      <c r="B121" s="42" t="s">
        <v>92</v>
      </c>
      <c r="C121" s="42" t="s">
        <v>294</v>
      </c>
      <c r="D121" s="42">
        <v>2020000</v>
      </c>
      <c r="E121" s="42" t="s">
        <v>493</v>
      </c>
      <c r="F121" s="42" t="s">
        <v>92</v>
      </c>
      <c r="G121" s="13">
        <v>42545.412557870368</v>
      </c>
    </row>
    <row r="122" spans="1:7" x14ac:dyDescent="0.25">
      <c r="A122" s="13">
        <v>42545.480474537035</v>
      </c>
      <c r="B122" s="58" t="s">
        <v>93</v>
      </c>
      <c r="C122" s="42" t="s">
        <v>321</v>
      </c>
      <c r="D122" s="42">
        <v>1990000</v>
      </c>
      <c r="E122" s="42" t="s">
        <v>155</v>
      </c>
      <c r="F122" s="58" t="s">
        <v>93</v>
      </c>
      <c r="G122" s="13">
        <v>42545.480474537035</v>
      </c>
    </row>
    <row r="123" spans="1:7" x14ac:dyDescent="0.25">
      <c r="A123" s="13">
        <v>42545.364212962966</v>
      </c>
      <c r="B123" s="42" t="s">
        <v>489</v>
      </c>
      <c r="C123" s="42" t="s">
        <v>288</v>
      </c>
      <c r="D123" s="42">
        <v>540000</v>
      </c>
      <c r="E123" s="42" t="s">
        <v>492</v>
      </c>
      <c r="F123" s="42" t="s">
        <v>489</v>
      </c>
      <c r="G123" s="13">
        <v>42545.364212962966</v>
      </c>
    </row>
    <row r="124" spans="1:7" x14ac:dyDescent="0.25">
      <c r="A124" s="13">
        <v>42545.539282407408</v>
      </c>
      <c r="B124" s="42" t="s">
        <v>487</v>
      </c>
      <c r="C124" s="42" t="s">
        <v>461</v>
      </c>
      <c r="D124" s="42">
        <v>1500000</v>
      </c>
      <c r="E124" s="42" t="s">
        <v>96</v>
      </c>
      <c r="F124" s="42" t="s">
        <v>487</v>
      </c>
      <c r="G124" s="13">
        <v>42545.539282407408</v>
      </c>
    </row>
    <row r="125" spans="1:7" x14ac:dyDescent="0.25">
      <c r="A125" s="13">
        <v>42545.243055555555</v>
      </c>
      <c r="B125" s="42" t="s">
        <v>188</v>
      </c>
      <c r="C125" s="42" t="s">
        <v>240</v>
      </c>
      <c r="D125" s="42">
        <v>2000000</v>
      </c>
      <c r="E125" s="42" t="s">
        <v>131</v>
      </c>
      <c r="F125" s="42" t="s">
        <v>188</v>
      </c>
      <c r="G125" s="13">
        <v>42545.243055555555</v>
      </c>
    </row>
    <row r="126" spans="1:7" x14ac:dyDescent="0.25">
      <c r="A126" s="13">
        <v>42545.559259259258</v>
      </c>
      <c r="B126" s="42" t="s">
        <v>109</v>
      </c>
      <c r="C126" s="42" t="s">
        <v>346</v>
      </c>
      <c r="D126" s="42">
        <v>1120000</v>
      </c>
      <c r="E126" s="42" t="s">
        <v>498</v>
      </c>
      <c r="F126" s="42" t="s">
        <v>109</v>
      </c>
      <c r="G126" s="13">
        <v>42545.559259259258</v>
      </c>
    </row>
    <row r="127" spans="1:7" x14ac:dyDescent="0.25">
      <c r="A127" s="13">
        <v>42545.672951388886</v>
      </c>
      <c r="B127" s="42" t="s">
        <v>108</v>
      </c>
      <c r="C127" s="42" t="s">
        <v>367</v>
      </c>
      <c r="D127" s="42">
        <v>1120000</v>
      </c>
      <c r="E127" s="42" t="s">
        <v>498</v>
      </c>
      <c r="F127" s="42" t="s">
        <v>108</v>
      </c>
      <c r="G127" s="13">
        <v>42545.672951388886</v>
      </c>
    </row>
    <row r="128" spans="1:7" x14ac:dyDescent="0.25">
      <c r="A128" s="13">
        <v>42545.590069444443</v>
      </c>
      <c r="B128" s="42" t="s">
        <v>91</v>
      </c>
      <c r="C128" s="42" t="s">
        <v>501</v>
      </c>
      <c r="D128" s="42">
        <v>1990000</v>
      </c>
      <c r="E128" s="42" t="s">
        <v>155</v>
      </c>
      <c r="F128" s="42" t="s">
        <v>91</v>
      </c>
      <c r="G128" s="13">
        <v>42545.590069444443</v>
      </c>
    </row>
    <row r="129" spans="1:7" x14ac:dyDescent="0.25">
      <c r="A129" s="13">
        <v>42545.386064814818</v>
      </c>
      <c r="B129" s="42" t="s">
        <v>94</v>
      </c>
      <c r="C129" s="42" t="s">
        <v>502</v>
      </c>
      <c r="D129" s="42">
        <v>1480000</v>
      </c>
      <c r="E129" s="42" t="s">
        <v>494</v>
      </c>
      <c r="F129" s="42" t="s">
        <v>94</v>
      </c>
      <c r="G129" s="13">
        <v>42545.386064814818</v>
      </c>
    </row>
    <row r="130" spans="1:7" x14ac:dyDescent="0.25">
      <c r="A130" s="13">
        <v>42545.602835648147</v>
      </c>
      <c r="B130" s="42" t="s">
        <v>83</v>
      </c>
      <c r="C130" s="42" t="s">
        <v>358</v>
      </c>
      <c r="D130" s="42">
        <v>950000</v>
      </c>
      <c r="E130" s="42" t="s">
        <v>495</v>
      </c>
      <c r="F130" s="42" t="s">
        <v>83</v>
      </c>
      <c r="G130" s="13">
        <v>42545.602835648147</v>
      </c>
    </row>
    <row r="131" spans="1:7" x14ac:dyDescent="0.25">
      <c r="A131" s="13">
        <v>42546.018842592595</v>
      </c>
      <c r="B131" s="42" t="s">
        <v>489</v>
      </c>
      <c r="C131" s="42" t="s">
        <v>434</v>
      </c>
      <c r="D131" s="42">
        <v>2040000</v>
      </c>
      <c r="E131" s="42" t="s">
        <v>129</v>
      </c>
      <c r="F131" s="42" t="s">
        <v>489</v>
      </c>
      <c r="G131" s="13">
        <v>42546.018842592595</v>
      </c>
    </row>
    <row r="132" spans="1:7" x14ac:dyDescent="0.25">
      <c r="A132" s="13">
        <v>42545.641168981485</v>
      </c>
      <c r="B132" s="42" t="s">
        <v>82</v>
      </c>
      <c r="C132" s="42" t="s">
        <v>359</v>
      </c>
      <c r="D132" s="42">
        <v>950000</v>
      </c>
      <c r="E132" s="42" t="s">
        <v>495</v>
      </c>
      <c r="F132" s="42" t="s">
        <v>82</v>
      </c>
      <c r="G132" s="13">
        <v>42545.641168981485</v>
      </c>
    </row>
    <row r="133" spans="1:7" x14ac:dyDescent="0.25">
      <c r="A133" s="13">
        <v>42545.930162037039</v>
      </c>
      <c r="B133" s="42" t="s">
        <v>92</v>
      </c>
      <c r="C133" s="42" t="s">
        <v>422</v>
      </c>
      <c r="D133" s="42">
        <v>2010000</v>
      </c>
      <c r="E133" s="42" t="s">
        <v>116</v>
      </c>
      <c r="F133" s="42" t="s">
        <v>92</v>
      </c>
      <c r="G133" s="13">
        <v>42545.930162037039</v>
      </c>
    </row>
    <row r="134" spans="1:7" x14ac:dyDescent="0.25">
      <c r="A134" s="13">
        <v>42545.654490740744</v>
      </c>
      <c r="B134" s="42" t="s">
        <v>183</v>
      </c>
      <c r="C134" s="42" t="s">
        <v>467</v>
      </c>
      <c r="D134" s="42">
        <v>1740000</v>
      </c>
      <c r="E134" s="42" t="s">
        <v>90</v>
      </c>
      <c r="F134" s="42" t="s">
        <v>183</v>
      </c>
      <c r="G134" s="13">
        <v>42545.654490740744</v>
      </c>
    </row>
    <row r="135" spans="1:7" x14ac:dyDescent="0.25">
      <c r="A135" s="13">
        <v>42545.891446759262</v>
      </c>
      <c r="B135" s="42" t="s">
        <v>490</v>
      </c>
      <c r="C135" s="42" t="s">
        <v>417</v>
      </c>
      <c r="D135" s="42">
        <v>2040000</v>
      </c>
      <c r="E135" s="42" t="s">
        <v>129</v>
      </c>
      <c r="F135" s="42" t="s">
        <v>490</v>
      </c>
      <c r="G135" s="13">
        <v>42545.891446759262</v>
      </c>
    </row>
    <row r="136" spans="1:7" x14ac:dyDescent="0.25">
      <c r="A136" s="13">
        <v>42545.807708333334</v>
      </c>
      <c r="B136" s="42" t="s">
        <v>85</v>
      </c>
      <c r="C136" s="42" t="s">
        <v>406</v>
      </c>
      <c r="D136" s="42">
        <v>1820000</v>
      </c>
      <c r="E136" s="42" t="s">
        <v>157</v>
      </c>
      <c r="F136" s="42" t="s">
        <v>85</v>
      </c>
      <c r="G136" s="13">
        <v>42545.807708333334</v>
      </c>
    </row>
    <row r="137" spans="1:7" x14ac:dyDescent="0.25">
      <c r="A137" s="13">
        <v>42545.85015046296</v>
      </c>
      <c r="B137" s="42" t="s">
        <v>489</v>
      </c>
      <c r="C137" s="42" t="s">
        <v>415</v>
      </c>
      <c r="D137" s="42">
        <v>2040000</v>
      </c>
      <c r="E137" s="42" t="s">
        <v>129</v>
      </c>
      <c r="F137" s="42" t="s">
        <v>489</v>
      </c>
      <c r="G137" s="13">
        <v>42545.85015046296</v>
      </c>
    </row>
    <row r="138" spans="1:7" x14ac:dyDescent="0.25">
      <c r="A138" s="13">
        <v>42546.037893518522</v>
      </c>
      <c r="B138" s="42" t="s">
        <v>85</v>
      </c>
      <c r="C138" s="42" t="s">
        <v>436</v>
      </c>
      <c r="D138" s="42">
        <v>1820000</v>
      </c>
      <c r="E138" s="42" t="s">
        <v>157</v>
      </c>
      <c r="F138" s="42" t="s">
        <v>85</v>
      </c>
      <c r="G138" s="13">
        <v>42546.037893518522</v>
      </c>
    </row>
    <row r="139" spans="1:7" x14ac:dyDescent="0.25">
      <c r="A139" s="13">
        <v>42545.992905092593</v>
      </c>
      <c r="B139" s="42" t="s">
        <v>86</v>
      </c>
      <c r="C139" s="42" t="s">
        <v>428</v>
      </c>
      <c r="D139" s="42">
        <v>1820000</v>
      </c>
      <c r="E139" s="42" t="s">
        <v>157</v>
      </c>
      <c r="F139" s="42" t="s">
        <v>86</v>
      </c>
      <c r="G139" s="13">
        <v>42545.992905092593</v>
      </c>
    </row>
    <row r="140" spans="1:7" x14ac:dyDescent="0.25">
      <c r="A140" s="13">
        <v>42545.377187500002</v>
      </c>
      <c r="B140" s="42" t="s">
        <v>97</v>
      </c>
      <c r="C140" s="42" t="s">
        <v>293</v>
      </c>
      <c r="D140" s="42">
        <v>2020000</v>
      </c>
      <c r="E140" s="42" t="s">
        <v>493</v>
      </c>
      <c r="F140" s="42" t="s">
        <v>97</v>
      </c>
      <c r="G140" s="13">
        <v>42545.377187500002</v>
      </c>
    </row>
    <row r="141" spans="1:7" x14ac:dyDescent="0.25">
      <c r="A141" s="13">
        <v>42545.945162037038</v>
      </c>
      <c r="B141" s="42" t="s">
        <v>488</v>
      </c>
      <c r="C141" s="42" t="s">
        <v>486</v>
      </c>
      <c r="D141" s="42">
        <v>1520000</v>
      </c>
      <c r="E141" s="42" t="s">
        <v>185</v>
      </c>
      <c r="F141" s="42" t="s">
        <v>488</v>
      </c>
      <c r="G141" s="13">
        <v>42545.945162037038</v>
      </c>
    </row>
    <row r="142" spans="1:7" x14ac:dyDescent="0.25">
      <c r="A142" s="13">
        <v>42545.400312500002</v>
      </c>
      <c r="B142" s="42" t="s">
        <v>488</v>
      </c>
      <c r="C142" s="42" t="s">
        <v>454</v>
      </c>
      <c r="D142" s="42">
        <v>1500000</v>
      </c>
      <c r="E142" s="42" t="s">
        <v>96</v>
      </c>
      <c r="F142" s="42" t="s">
        <v>488</v>
      </c>
      <c r="G142" s="13">
        <v>42545.400312500002</v>
      </c>
    </row>
    <row r="143" spans="1:7" x14ac:dyDescent="0.25">
      <c r="A143" s="13">
        <v>42545.866539351853</v>
      </c>
      <c r="B143" s="42" t="s">
        <v>181</v>
      </c>
      <c r="C143" s="42" t="s">
        <v>414</v>
      </c>
      <c r="D143" s="42">
        <v>1770000</v>
      </c>
      <c r="E143" s="42" t="s">
        <v>193</v>
      </c>
      <c r="F143" s="42" t="s">
        <v>181</v>
      </c>
      <c r="G143" s="13">
        <v>42545.866539351853</v>
      </c>
    </row>
    <row r="144" spans="1:7" x14ac:dyDescent="0.25">
      <c r="A144" s="13">
        <v>42545.426087962966</v>
      </c>
      <c r="B144" s="42" t="s">
        <v>181</v>
      </c>
      <c r="C144" s="42" t="s">
        <v>298</v>
      </c>
      <c r="D144" s="42">
        <v>1840000</v>
      </c>
      <c r="E144" s="42" t="s">
        <v>190</v>
      </c>
      <c r="F144" s="42" t="s">
        <v>181</v>
      </c>
      <c r="G144" s="13">
        <v>42545.426087962966</v>
      </c>
    </row>
    <row r="145" spans="1:7" x14ac:dyDescent="0.25">
      <c r="A145" s="13">
        <v>42545.858854166669</v>
      </c>
      <c r="B145" s="42" t="s">
        <v>488</v>
      </c>
      <c r="C145" s="42" t="s">
        <v>480</v>
      </c>
      <c r="D145" s="42">
        <v>1520000</v>
      </c>
      <c r="E145" s="42" t="s">
        <v>185</v>
      </c>
      <c r="F145" s="42" t="s">
        <v>488</v>
      </c>
      <c r="G145" s="13">
        <v>42545.858854166669</v>
      </c>
    </row>
    <row r="146" spans="1:7" x14ac:dyDescent="0.25">
      <c r="A146" s="13">
        <v>42545.447893518518</v>
      </c>
      <c r="B146" s="42" t="s">
        <v>97</v>
      </c>
      <c r="C146" s="42" t="s">
        <v>314</v>
      </c>
      <c r="D146" s="42">
        <v>900000</v>
      </c>
      <c r="E146" s="42" t="s">
        <v>95</v>
      </c>
      <c r="F146" s="42" t="s">
        <v>97</v>
      </c>
      <c r="G146" s="13">
        <v>42545.447893518518</v>
      </c>
    </row>
    <row r="147" spans="1:7" x14ac:dyDescent="0.25">
      <c r="A147" s="13">
        <v>42545.765810185185</v>
      </c>
      <c r="B147" s="42" t="s">
        <v>70</v>
      </c>
      <c r="C147" s="42" t="s">
        <v>396</v>
      </c>
      <c r="D147" s="42">
        <v>880000</v>
      </c>
      <c r="E147" s="42" t="s">
        <v>186</v>
      </c>
      <c r="F147" s="42" t="s">
        <v>70</v>
      </c>
      <c r="G147" s="13">
        <v>42545.765810185185</v>
      </c>
    </row>
    <row r="148" spans="1:7" x14ac:dyDescent="0.25">
      <c r="A148" s="13">
        <v>42545.486701388887</v>
      </c>
      <c r="B148" s="42" t="s">
        <v>488</v>
      </c>
      <c r="C148" s="42" t="s">
        <v>458</v>
      </c>
      <c r="D148" s="42">
        <v>1500000</v>
      </c>
      <c r="E148" s="42" t="s">
        <v>96</v>
      </c>
      <c r="F148" s="42" t="s">
        <v>488</v>
      </c>
      <c r="G148" s="13">
        <v>42545.486701388887</v>
      </c>
    </row>
    <row r="149" spans="1:7" x14ac:dyDescent="0.25">
      <c r="A149" s="13">
        <v>42545.744837962964</v>
      </c>
      <c r="B149" s="42" t="s">
        <v>108</v>
      </c>
      <c r="C149" s="42" t="s">
        <v>503</v>
      </c>
      <c r="D149" s="42">
        <v>1120000</v>
      </c>
      <c r="E149" s="42" t="s">
        <v>498</v>
      </c>
      <c r="F149" s="42" t="s">
        <v>108</v>
      </c>
      <c r="G149" s="13">
        <v>42545.744837962964</v>
      </c>
    </row>
    <row r="150" spans="1:7" x14ac:dyDescent="0.25">
      <c r="A150" s="13">
        <v>42545.506736111114</v>
      </c>
      <c r="B150" s="42" t="s">
        <v>94</v>
      </c>
      <c r="C150" s="42" t="s">
        <v>332</v>
      </c>
      <c r="D150" s="42">
        <v>880000</v>
      </c>
      <c r="E150" s="42" t="s">
        <v>186</v>
      </c>
      <c r="F150" s="42" t="s">
        <v>94</v>
      </c>
      <c r="G150" s="13">
        <v>42545.506736111114</v>
      </c>
    </row>
    <row r="151" spans="1:7" x14ac:dyDescent="0.25">
      <c r="A151" s="13">
        <v>42545.739374999997</v>
      </c>
      <c r="B151" s="42" t="s">
        <v>183</v>
      </c>
      <c r="C151" s="42" t="s">
        <v>474</v>
      </c>
      <c r="D151" s="42">
        <v>1740000</v>
      </c>
      <c r="E151" s="42" t="s">
        <v>90</v>
      </c>
      <c r="F151" s="42" t="s">
        <v>183</v>
      </c>
      <c r="G151" s="13">
        <v>42545.739374999997</v>
      </c>
    </row>
    <row r="152" spans="1:7" x14ac:dyDescent="0.25">
      <c r="A152" s="13">
        <v>42545.550995370373</v>
      </c>
      <c r="B152" s="42" t="s">
        <v>93</v>
      </c>
      <c r="C152" s="42" t="s">
        <v>344</v>
      </c>
      <c r="D152" s="42">
        <v>1990000</v>
      </c>
      <c r="E152" s="42" t="s">
        <v>155</v>
      </c>
      <c r="F152" s="42" t="s">
        <v>93</v>
      </c>
      <c r="G152" s="13">
        <v>42545.550995370373</v>
      </c>
    </row>
    <row r="153" spans="1:7" x14ac:dyDescent="0.25">
      <c r="A153" s="13">
        <v>42545.716666666667</v>
      </c>
      <c r="B153" s="42" t="s">
        <v>189</v>
      </c>
      <c r="C153" s="42" t="s">
        <v>393</v>
      </c>
      <c r="D153" s="42">
        <v>2030000</v>
      </c>
      <c r="E153" s="42" t="s">
        <v>156</v>
      </c>
      <c r="F153" s="42" t="s">
        <v>189</v>
      </c>
      <c r="G153" s="13">
        <v>42545.716666666667</v>
      </c>
    </row>
    <row r="154" spans="1:7" x14ac:dyDescent="0.25">
      <c r="A154" s="13">
        <v>42545.557939814818</v>
      </c>
      <c r="B154" s="42" t="s">
        <v>92</v>
      </c>
      <c r="C154" s="42" t="s">
        <v>336</v>
      </c>
      <c r="D154" s="42">
        <v>900000</v>
      </c>
      <c r="E154" s="42" t="s">
        <v>95</v>
      </c>
      <c r="F154" s="42" t="s">
        <v>92</v>
      </c>
      <c r="G154" s="13">
        <v>42545.557939814818</v>
      </c>
    </row>
    <row r="155" spans="1:7" x14ac:dyDescent="0.25">
      <c r="A155" s="13">
        <v>42545.706087962964</v>
      </c>
      <c r="B155" s="42" t="s">
        <v>109</v>
      </c>
      <c r="C155" s="42" t="s">
        <v>391</v>
      </c>
      <c r="D155" s="42">
        <v>1120000</v>
      </c>
      <c r="E155" s="42" t="s">
        <v>498</v>
      </c>
      <c r="F155" s="42" t="s">
        <v>109</v>
      </c>
      <c r="G155" s="13">
        <v>42545.706087962964</v>
      </c>
    </row>
    <row r="156" spans="1:7" x14ac:dyDescent="0.25">
      <c r="A156" s="13">
        <v>42545.613923611112</v>
      </c>
      <c r="B156" s="42" t="s">
        <v>184</v>
      </c>
      <c r="C156" s="42" t="s">
        <v>360</v>
      </c>
      <c r="D156" s="42">
        <v>1090000</v>
      </c>
      <c r="E156" s="42" t="s">
        <v>130</v>
      </c>
      <c r="F156" s="42" t="s">
        <v>184</v>
      </c>
      <c r="G156" s="13">
        <v>42545.613923611112</v>
      </c>
    </row>
    <row r="157" spans="1:7" x14ac:dyDescent="0.25">
      <c r="A157" s="13">
        <v>42545.6715625</v>
      </c>
      <c r="B157" s="42" t="s">
        <v>97</v>
      </c>
      <c r="C157" s="42" t="s">
        <v>375</v>
      </c>
      <c r="D157" s="42">
        <v>900000</v>
      </c>
      <c r="E157" s="42" t="s">
        <v>95</v>
      </c>
      <c r="F157" s="42" t="s">
        <v>97</v>
      </c>
      <c r="G157" s="13">
        <v>42545.6715625</v>
      </c>
    </row>
    <row r="158" spans="1:7" x14ac:dyDescent="0.25">
      <c r="A158" s="13">
        <v>42545.619837962964</v>
      </c>
      <c r="B158" s="42" t="s">
        <v>70</v>
      </c>
      <c r="C158" s="42" t="s">
        <v>355</v>
      </c>
      <c r="D158" s="42">
        <v>880000</v>
      </c>
      <c r="E158" s="42" t="s">
        <v>186</v>
      </c>
      <c r="F158" s="42" t="s">
        <v>70</v>
      </c>
      <c r="G158" s="13">
        <v>42545.619837962964</v>
      </c>
    </row>
    <row r="159" spans="1:7" x14ac:dyDescent="0.25">
      <c r="A159" s="13">
        <v>42545.601817129631</v>
      </c>
      <c r="B159" s="42" t="s">
        <v>83</v>
      </c>
      <c r="C159" s="42" t="s">
        <v>358</v>
      </c>
      <c r="D159" s="42">
        <v>950000</v>
      </c>
      <c r="E159" s="42" t="s">
        <v>495</v>
      </c>
      <c r="F159" s="42" t="s">
        <v>83</v>
      </c>
      <c r="G159" s="13">
        <v>42545.601817129631</v>
      </c>
    </row>
    <row r="160" spans="1:7" x14ac:dyDescent="0.25">
      <c r="A160" s="13">
        <v>42545.640798611108</v>
      </c>
      <c r="B160" s="42" t="s">
        <v>189</v>
      </c>
      <c r="C160" s="42" t="s">
        <v>368</v>
      </c>
      <c r="D160" s="42">
        <v>2030000</v>
      </c>
      <c r="E160" s="42" t="s">
        <v>156</v>
      </c>
      <c r="F160" s="42" t="s">
        <v>189</v>
      </c>
      <c r="G160" s="13">
        <v>42545.640798611108</v>
      </c>
    </row>
    <row r="161" spans="1:7" x14ac:dyDescent="0.25">
      <c r="A161" s="13">
        <v>42545.576620370368</v>
      </c>
      <c r="B161" s="42" t="s">
        <v>181</v>
      </c>
      <c r="C161" s="42" t="s">
        <v>343</v>
      </c>
      <c r="D161" s="42">
        <v>1090000</v>
      </c>
      <c r="E161" s="42" t="s">
        <v>130</v>
      </c>
      <c r="F161" s="42" t="s">
        <v>181</v>
      </c>
      <c r="G161" s="13">
        <v>42545.576620370368</v>
      </c>
    </row>
    <row r="162" spans="1:7" x14ac:dyDescent="0.25">
      <c r="A162" s="13">
        <v>42545.673761574071</v>
      </c>
      <c r="B162" s="42" t="s">
        <v>487</v>
      </c>
      <c r="C162" s="42" t="s">
        <v>469</v>
      </c>
      <c r="D162" s="42">
        <v>1520000</v>
      </c>
      <c r="E162" s="42" t="s">
        <v>185</v>
      </c>
      <c r="F162" s="42" t="s">
        <v>487</v>
      </c>
      <c r="G162" s="13">
        <v>42545.673761574071</v>
      </c>
    </row>
    <row r="163" spans="1:7" x14ac:dyDescent="0.25">
      <c r="A163" s="13">
        <v>42545.524861111109</v>
      </c>
      <c r="B163" s="42" t="s">
        <v>108</v>
      </c>
      <c r="C163" s="42" t="s">
        <v>328</v>
      </c>
      <c r="D163" s="42">
        <v>1120000</v>
      </c>
      <c r="E163" s="42" t="s">
        <v>498</v>
      </c>
      <c r="F163" s="42" t="s">
        <v>108</v>
      </c>
      <c r="G163" s="13">
        <v>42545.524861111109</v>
      </c>
    </row>
    <row r="164" spans="1:7" x14ac:dyDescent="0.25">
      <c r="A164" s="13">
        <v>42545.354756944442</v>
      </c>
      <c r="B164" s="42" t="s">
        <v>181</v>
      </c>
      <c r="C164" s="42" t="s">
        <v>278</v>
      </c>
      <c r="D164" s="42">
        <v>1840000</v>
      </c>
      <c r="E164" s="42" t="s">
        <v>190</v>
      </c>
      <c r="F164" s="42" t="s">
        <v>181</v>
      </c>
      <c r="G164" s="13">
        <v>42545.354756944442</v>
      </c>
    </row>
    <row r="165" spans="1:7" x14ac:dyDescent="0.25">
      <c r="A165" s="13">
        <v>42545.808437500003</v>
      </c>
      <c r="B165" s="42" t="s">
        <v>97</v>
      </c>
      <c r="C165" s="42" t="s">
        <v>412</v>
      </c>
      <c r="D165" s="42">
        <v>2010000</v>
      </c>
      <c r="E165" s="42" t="s">
        <v>116</v>
      </c>
      <c r="F165" s="42" t="s">
        <v>97</v>
      </c>
      <c r="G165" s="13">
        <v>42545.808437500003</v>
      </c>
    </row>
    <row r="166" spans="1:7" x14ac:dyDescent="0.25">
      <c r="A166" s="13">
        <v>42545.403483796297</v>
      </c>
      <c r="B166" s="42" t="s">
        <v>93</v>
      </c>
      <c r="C166" s="42" t="s">
        <v>299</v>
      </c>
      <c r="D166" s="42">
        <v>1340000</v>
      </c>
      <c r="E166" s="42" t="s">
        <v>194</v>
      </c>
      <c r="F166" s="42" t="s">
        <v>93</v>
      </c>
      <c r="G166" s="13">
        <v>42545.403483796297</v>
      </c>
    </row>
    <row r="167" spans="1:7" x14ac:dyDescent="0.25">
      <c r="A167" s="13">
        <v>42545.791331018518</v>
      </c>
      <c r="B167" s="42" t="s">
        <v>487</v>
      </c>
      <c r="C167" s="42" t="s">
        <v>479</v>
      </c>
      <c r="D167" s="42">
        <v>1520000</v>
      </c>
      <c r="E167" s="42" t="s">
        <v>185</v>
      </c>
      <c r="F167" s="42" t="s">
        <v>487</v>
      </c>
      <c r="G167" s="13">
        <v>42545.791331018518</v>
      </c>
    </row>
    <row r="168" spans="1:7" x14ac:dyDescent="0.25">
      <c r="A168" s="13">
        <v>42545.50503472222</v>
      </c>
      <c r="B168" s="42" t="s">
        <v>487</v>
      </c>
      <c r="C168" s="42" t="s">
        <v>459</v>
      </c>
      <c r="D168" s="42">
        <v>1500000</v>
      </c>
      <c r="E168" s="42" t="s">
        <v>96</v>
      </c>
      <c r="F168" s="42" t="s">
        <v>487</v>
      </c>
      <c r="G168" s="13">
        <v>42545.50503472222</v>
      </c>
    </row>
    <row r="169" spans="1:7" x14ac:dyDescent="0.25">
      <c r="A169" s="13">
        <v>42545.786817129629</v>
      </c>
      <c r="B169" s="42" t="s">
        <v>85</v>
      </c>
      <c r="C169" s="42" t="s">
        <v>406</v>
      </c>
      <c r="D169" s="42">
        <v>1820000</v>
      </c>
      <c r="E169" s="42" t="s">
        <v>157</v>
      </c>
      <c r="F169" s="42" t="s">
        <v>85</v>
      </c>
      <c r="G169" s="13">
        <v>42545.786817129629</v>
      </c>
    </row>
    <row r="170" spans="1:7" x14ac:dyDescent="0.25">
      <c r="A170" s="13">
        <v>42545.671215277776</v>
      </c>
      <c r="B170" s="42" t="s">
        <v>93</v>
      </c>
      <c r="C170" s="42" t="s">
        <v>381</v>
      </c>
      <c r="D170" s="42">
        <v>1800000</v>
      </c>
      <c r="E170" s="42" t="s">
        <v>499</v>
      </c>
      <c r="F170" s="42" t="s">
        <v>93</v>
      </c>
      <c r="G170" s="13">
        <v>42545.671215277776</v>
      </c>
    </row>
    <row r="171" spans="1:7" x14ac:dyDescent="0.25">
      <c r="A171" s="13">
        <v>42545.76189814815</v>
      </c>
      <c r="B171" s="42" t="s">
        <v>184</v>
      </c>
      <c r="C171" s="42" t="s">
        <v>402</v>
      </c>
      <c r="D171" s="42">
        <v>1770000</v>
      </c>
      <c r="E171" s="42" t="s">
        <v>193</v>
      </c>
      <c r="F171" s="42" t="s">
        <v>184</v>
      </c>
      <c r="G171" s="13">
        <v>42545.76189814815</v>
      </c>
    </row>
    <row r="172" spans="1:7" x14ac:dyDescent="0.25">
      <c r="A172" s="13">
        <v>42545.680381944447</v>
      </c>
      <c r="B172" s="42" t="s">
        <v>188</v>
      </c>
      <c r="C172" s="42" t="s">
        <v>369</v>
      </c>
      <c r="D172" s="42">
        <v>2030000</v>
      </c>
      <c r="E172" s="42" t="s">
        <v>156</v>
      </c>
      <c r="F172" s="42" t="s">
        <v>188</v>
      </c>
      <c r="G172" s="13">
        <v>42545.680381944447</v>
      </c>
    </row>
    <row r="173" spans="1:7" x14ac:dyDescent="0.25">
      <c r="A173" s="13">
        <v>42545.623506944445</v>
      </c>
      <c r="B173" s="42" t="s">
        <v>487</v>
      </c>
      <c r="C173" s="42" t="s">
        <v>465</v>
      </c>
      <c r="D173" s="42">
        <v>1520000</v>
      </c>
      <c r="E173" s="42" t="s">
        <v>185</v>
      </c>
      <c r="F173" s="42" t="s">
        <v>487</v>
      </c>
      <c r="G173" s="13">
        <v>42545.623506944445</v>
      </c>
    </row>
    <row r="174" spans="1:7" x14ac:dyDescent="0.25">
      <c r="A174" s="13">
        <v>42545.704629629632</v>
      </c>
      <c r="B174" s="42" t="s">
        <v>92</v>
      </c>
      <c r="C174" s="42" t="s">
        <v>380</v>
      </c>
      <c r="D174" s="42">
        <v>900000</v>
      </c>
      <c r="E174" s="42" t="s">
        <v>95</v>
      </c>
      <c r="F174" s="42" t="s">
        <v>92</v>
      </c>
      <c r="G174" s="13">
        <v>42545.704629629632</v>
      </c>
    </row>
    <row r="175" spans="1:7" x14ac:dyDescent="0.25">
      <c r="A175" s="13">
        <v>42545.587754629632</v>
      </c>
      <c r="B175" s="42" t="s">
        <v>94</v>
      </c>
      <c r="C175" s="42" t="s">
        <v>353</v>
      </c>
      <c r="D175" s="42">
        <v>880000</v>
      </c>
      <c r="E175" s="42" t="s">
        <v>186</v>
      </c>
      <c r="F175" s="42" t="s">
        <v>94</v>
      </c>
      <c r="G175" s="13">
        <v>42545.587754629632</v>
      </c>
    </row>
    <row r="176" spans="1:7" x14ac:dyDescent="0.25">
      <c r="A176" s="13">
        <v>42545.711493055554</v>
      </c>
      <c r="B176" s="42" t="s">
        <v>488</v>
      </c>
      <c r="C176" s="42" t="s">
        <v>470</v>
      </c>
      <c r="D176" s="42">
        <v>1520000</v>
      </c>
      <c r="E176" s="42" t="s">
        <v>185</v>
      </c>
      <c r="F176" s="42" t="s">
        <v>488</v>
      </c>
      <c r="G176" s="13">
        <v>42545.711493055554</v>
      </c>
    </row>
    <row r="177" spans="1:7" x14ac:dyDescent="0.25">
      <c r="A177" s="13">
        <v>42545.585266203707</v>
      </c>
      <c r="B177" s="42" t="s">
        <v>487</v>
      </c>
      <c r="C177" s="42" t="s">
        <v>463</v>
      </c>
      <c r="D177" s="42">
        <v>1520000</v>
      </c>
      <c r="E177" s="42" t="s">
        <v>185</v>
      </c>
      <c r="F177" s="42" t="s">
        <v>487</v>
      </c>
      <c r="G177" s="13">
        <v>42545.585266203707</v>
      </c>
    </row>
    <row r="178" spans="1:7" x14ac:dyDescent="0.25">
      <c r="A178" s="13">
        <v>42545.717152777775</v>
      </c>
      <c r="B178" s="42" t="s">
        <v>487</v>
      </c>
      <c r="C178" s="42" t="s">
        <v>473</v>
      </c>
      <c r="D178" s="42">
        <v>1520000</v>
      </c>
      <c r="E178" s="42" t="s">
        <v>185</v>
      </c>
      <c r="F178" s="42" t="s">
        <v>487</v>
      </c>
      <c r="G178" s="13">
        <v>42545.717152777775</v>
      </c>
    </row>
    <row r="179" spans="1:7" x14ac:dyDescent="0.25">
      <c r="A179" s="13">
        <v>42545.525821759256</v>
      </c>
      <c r="B179" s="42" t="s">
        <v>83</v>
      </c>
      <c r="C179" s="42" t="s">
        <v>337</v>
      </c>
      <c r="D179" s="42">
        <v>950000</v>
      </c>
      <c r="E179" s="42" t="s">
        <v>495</v>
      </c>
      <c r="F179" s="42" t="s">
        <v>83</v>
      </c>
      <c r="G179" s="13">
        <v>42545.525821759256</v>
      </c>
    </row>
    <row r="180" spans="1:7" x14ac:dyDescent="0.25">
      <c r="A180" s="13">
        <v>42545.729594907411</v>
      </c>
      <c r="B180" s="42" t="s">
        <v>94</v>
      </c>
      <c r="C180" s="42" t="s">
        <v>395</v>
      </c>
      <c r="D180" s="42">
        <v>880000</v>
      </c>
      <c r="E180" s="42" t="s">
        <v>186</v>
      </c>
      <c r="F180" s="42" t="s">
        <v>94</v>
      </c>
      <c r="G180" s="13">
        <v>42545.729594907411</v>
      </c>
    </row>
    <row r="181" spans="1:7" x14ac:dyDescent="0.25">
      <c r="A181" s="13">
        <v>42545.525810185187</v>
      </c>
      <c r="B181" s="42" t="s">
        <v>488</v>
      </c>
      <c r="C181" s="42" t="s">
        <v>460</v>
      </c>
      <c r="D181" s="42">
        <v>1500000</v>
      </c>
      <c r="E181" s="42" t="s">
        <v>96</v>
      </c>
      <c r="F181" s="42" t="s">
        <v>488</v>
      </c>
      <c r="G181" s="13">
        <v>42545.525810185187</v>
      </c>
    </row>
    <row r="182" spans="1:7" x14ac:dyDescent="0.25">
      <c r="A182" s="13">
        <v>42545.734571759262</v>
      </c>
      <c r="B182" s="42" t="s">
        <v>490</v>
      </c>
      <c r="C182" s="42" t="s">
        <v>389</v>
      </c>
      <c r="D182" s="42">
        <v>1990000</v>
      </c>
      <c r="E182" s="42" t="s">
        <v>155</v>
      </c>
      <c r="F182" s="42" t="s">
        <v>490</v>
      </c>
      <c r="G182" s="13">
        <v>42545.734571759262</v>
      </c>
    </row>
    <row r="183" spans="1:7" x14ac:dyDescent="0.25">
      <c r="A183" s="13">
        <v>42545.503310185188</v>
      </c>
      <c r="B183" s="42" t="s">
        <v>181</v>
      </c>
      <c r="C183" s="42" t="s">
        <v>320</v>
      </c>
      <c r="D183" s="42">
        <v>1090000</v>
      </c>
      <c r="E183" s="42" t="s">
        <v>130</v>
      </c>
      <c r="F183" s="42" t="s">
        <v>181</v>
      </c>
      <c r="G183" s="13">
        <v>42545.503310185188</v>
      </c>
    </row>
    <row r="184" spans="1:7" x14ac:dyDescent="0.25">
      <c r="A184" s="13">
        <v>42545.748935185184</v>
      </c>
      <c r="B184" s="42" t="s">
        <v>93</v>
      </c>
      <c r="C184" s="42" t="s">
        <v>399</v>
      </c>
      <c r="D184" s="42">
        <v>1800000</v>
      </c>
      <c r="E184" s="42" t="s">
        <v>499</v>
      </c>
      <c r="F184" s="42" t="s">
        <v>93</v>
      </c>
      <c r="G184" s="13">
        <v>42545.748935185184</v>
      </c>
    </row>
    <row r="185" spans="1:7" x14ac:dyDescent="0.25">
      <c r="A185" s="13">
        <v>42545.486041666663</v>
      </c>
      <c r="B185" s="42" t="s">
        <v>92</v>
      </c>
      <c r="C185" s="42" t="s">
        <v>315</v>
      </c>
      <c r="D185" s="42">
        <v>900000</v>
      </c>
      <c r="E185" s="42" t="s">
        <v>95</v>
      </c>
      <c r="F185" s="42" t="s">
        <v>92</v>
      </c>
      <c r="G185" s="13">
        <v>42545.486041666663</v>
      </c>
    </row>
    <row r="186" spans="1:7" x14ac:dyDescent="0.25">
      <c r="A186" s="13">
        <v>42545.776076388887</v>
      </c>
      <c r="B186" s="42" t="s">
        <v>488</v>
      </c>
      <c r="C186" s="42" t="s">
        <v>476</v>
      </c>
      <c r="D186" s="42">
        <v>1520000</v>
      </c>
      <c r="E186" s="42" t="s">
        <v>185</v>
      </c>
      <c r="F186" s="42" t="s">
        <v>488</v>
      </c>
      <c r="G186" s="13">
        <v>42545.776076388887</v>
      </c>
    </row>
    <row r="187" spans="1:7" x14ac:dyDescent="0.25">
      <c r="A187" s="13">
        <v>42545.421863425923</v>
      </c>
      <c r="B187" s="42" t="s">
        <v>189</v>
      </c>
      <c r="C187" s="42" t="s">
        <v>307</v>
      </c>
      <c r="D187" s="42">
        <v>2030000</v>
      </c>
      <c r="E187" s="42" t="s">
        <v>156</v>
      </c>
      <c r="F187" s="42" t="s">
        <v>189</v>
      </c>
      <c r="G187" s="13">
        <v>42545.421863425923</v>
      </c>
    </row>
    <row r="188" spans="1:7" x14ac:dyDescent="0.25">
      <c r="A188" s="13">
        <v>42545.795567129629</v>
      </c>
      <c r="B188" s="42" t="s">
        <v>181</v>
      </c>
      <c r="C188" s="42" t="s">
        <v>403</v>
      </c>
      <c r="D188" s="42">
        <v>1770000</v>
      </c>
      <c r="E188" s="42" t="s">
        <v>193</v>
      </c>
      <c r="F188" s="42" t="s">
        <v>181</v>
      </c>
      <c r="G188" s="13">
        <v>42545.795567129629</v>
      </c>
    </row>
    <row r="189" spans="1:7" x14ac:dyDescent="0.25">
      <c r="A189" s="13">
        <v>42545.78597222222</v>
      </c>
      <c r="B189" s="42" t="s">
        <v>91</v>
      </c>
      <c r="C189" s="42" t="s">
        <v>401</v>
      </c>
      <c r="D189" s="42">
        <v>1800000</v>
      </c>
      <c r="E189" s="42" t="s">
        <v>499</v>
      </c>
      <c r="F189" s="42" t="s">
        <v>91</v>
      </c>
      <c r="G189" s="13">
        <v>42545.78597222222</v>
      </c>
    </row>
    <row r="190" spans="1:7" x14ac:dyDescent="0.25">
      <c r="A190" s="13">
        <v>42545.807314814818</v>
      </c>
      <c r="B190" s="42" t="s">
        <v>490</v>
      </c>
      <c r="C190" s="42" t="s">
        <v>405</v>
      </c>
      <c r="D190" s="42">
        <v>2040000</v>
      </c>
      <c r="E190" s="42" t="s">
        <v>129</v>
      </c>
      <c r="F190" s="42" t="s">
        <v>490</v>
      </c>
      <c r="G190" s="13">
        <v>42545.807314814818</v>
      </c>
    </row>
    <row r="191" spans="1:7" x14ac:dyDescent="0.25">
      <c r="A191" s="13">
        <v>42545.693287037036</v>
      </c>
      <c r="B191" s="42" t="s">
        <v>488</v>
      </c>
      <c r="C191" s="42" t="s">
        <v>470</v>
      </c>
      <c r="D191" s="42">
        <v>1520000</v>
      </c>
      <c r="E191" s="42" t="s">
        <v>185</v>
      </c>
      <c r="F191" s="42" t="s">
        <v>488</v>
      </c>
      <c r="G191" s="13">
        <v>42545.693287037036</v>
      </c>
    </row>
    <row r="192" spans="1:7" x14ac:dyDescent="0.25">
      <c r="A192" s="13">
        <v>42545.82949074074</v>
      </c>
      <c r="B192" s="42" t="s">
        <v>184</v>
      </c>
      <c r="C192" s="42" t="s">
        <v>413</v>
      </c>
      <c r="D192" s="42">
        <v>1770000</v>
      </c>
      <c r="E192" s="42" t="s">
        <v>193</v>
      </c>
      <c r="F192" s="42" t="s">
        <v>184</v>
      </c>
      <c r="G192" s="13">
        <v>42545.82949074074</v>
      </c>
    </row>
    <row r="193" spans="1:7" x14ac:dyDescent="0.25">
      <c r="A193" s="13">
        <v>42545.60869212963</v>
      </c>
      <c r="B193" s="42" t="s">
        <v>188</v>
      </c>
      <c r="C193" s="42" t="s">
        <v>351</v>
      </c>
      <c r="D193" s="42">
        <v>2030000</v>
      </c>
      <c r="E193" s="42" t="s">
        <v>156</v>
      </c>
      <c r="F193" s="42" t="s">
        <v>188</v>
      </c>
      <c r="G193" s="13">
        <v>42545.60869212963</v>
      </c>
    </row>
    <row r="194" spans="1:7" x14ac:dyDescent="0.25">
      <c r="A194" s="13">
        <v>42545.888888888891</v>
      </c>
      <c r="B194" s="42" t="s">
        <v>97</v>
      </c>
      <c r="C194" s="42" t="s">
        <v>421</v>
      </c>
      <c r="D194" s="42">
        <v>2010000</v>
      </c>
      <c r="E194" s="42" t="s">
        <v>116</v>
      </c>
      <c r="F194" s="42" t="s">
        <v>97</v>
      </c>
      <c r="G194" s="13">
        <v>42545.888888888891</v>
      </c>
    </row>
    <row r="195" spans="1:7" x14ac:dyDescent="0.25">
      <c r="A195" s="13">
        <v>42545.5159375</v>
      </c>
      <c r="B195" s="42" t="s">
        <v>91</v>
      </c>
      <c r="C195" s="42" t="s">
        <v>324</v>
      </c>
      <c r="D195" s="42">
        <v>1990000</v>
      </c>
      <c r="E195" s="42" t="s">
        <v>155</v>
      </c>
      <c r="F195" s="42" t="s">
        <v>91</v>
      </c>
      <c r="G195" s="13">
        <v>42545.5159375</v>
      </c>
    </row>
    <row r="196" spans="1:7" x14ac:dyDescent="0.25">
      <c r="A196" s="13">
        <v>42545.954606481479</v>
      </c>
      <c r="B196" s="42" t="s">
        <v>85</v>
      </c>
      <c r="C196" s="42" t="s">
        <v>427</v>
      </c>
      <c r="D196" s="42">
        <v>1820000</v>
      </c>
      <c r="E196" s="42" t="s">
        <v>157</v>
      </c>
      <c r="F196" s="42" t="s">
        <v>85</v>
      </c>
      <c r="G196" s="13">
        <v>42545.954606481479</v>
      </c>
    </row>
    <row r="197" spans="1:7" x14ac:dyDescent="0.25">
      <c r="A197" s="13">
        <v>42545.486863425926</v>
      </c>
      <c r="B197" s="42" t="s">
        <v>109</v>
      </c>
      <c r="C197" s="42" t="s">
        <v>326</v>
      </c>
      <c r="D197" s="42">
        <v>1120000</v>
      </c>
      <c r="E197" s="42" t="s">
        <v>498</v>
      </c>
      <c r="F197" s="42" t="s">
        <v>109</v>
      </c>
      <c r="G197" s="13">
        <v>42545.486863425926</v>
      </c>
    </row>
    <row r="198" spans="1:7" x14ac:dyDescent="0.25">
      <c r="A198" s="13">
        <v>42546.011886574073</v>
      </c>
      <c r="B198" s="42" t="s">
        <v>92</v>
      </c>
      <c r="C198" s="42" t="s">
        <v>430</v>
      </c>
      <c r="D198" s="42">
        <v>2010000</v>
      </c>
      <c r="E198" s="42" t="s">
        <v>116</v>
      </c>
      <c r="F198" s="42" t="s">
        <v>92</v>
      </c>
      <c r="G198" s="13">
        <v>42546.011886574073</v>
      </c>
    </row>
    <row r="199" spans="1:7" x14ac:dyDescent="0.25">
      <c r="A199" s="13">
        <v>42545.454826388886</v>
      </c>
      <c r="B199" s="42" t="s">
        <v>83</v>
      </c>
      <c r="C199" s="42" t="s">
        <v>316</v>
      </c>
      <c r="D199" s="42">
        <v>2020000</v>
      </c>
      <c r="E199" s="42" t="s">
        <v>493</v>
      </c>
      <c r="F199" s="42" t="s">
        <v>83</v>
      </c>
      <c r="G199" s="13">
        <v>42545.454826388886</v>
      </c>
    </row>
    <row r="200" spans="1:7" x14ac:dyDescent="0.25">
      <c r="A200" s="13">
        <v>42546.034849537034</v>
      </c>
      <c r="B200" s="42" t="s">
        <v>181</v>
      </c>
      <c r="C200" s="42" t="s">
        <v>432</v>
      </c>
      <c r="D200" s="42">
        <v>1770000</v>
      </c>
      <c r="E200" s="42" t="s">
        <v>193</v>
      </c>
      <c r="F200" s="42" t="s">
        <v>181</v>
      </c>
      <c r="G200" s="13">
        <v>42546.034849537034</v>
      </c>
    </row>
    <row r="201" spans="1:7" x14ac:dyDescent="0.25">
      <c r="A201" s="13">
        <v>42545.320497685185</v>
      </c>
      <c r="B201" s="42" t="s">
        <v>183</v>
      </c>
      <c r="C201" s="42" t="s">
        <v>449</v>
      </c>
      <c r="D201" s="42">
        <v>1460000</v>
      </c>
      <c r="E201" s="42" t="s">
        <v>191</v>
      </c>
      <c r="F201" s="42" t="s">
        <v>183</v>
      </c>
      <c r="G201" s="13">
        <v>42545.320497685185</v>
      </c>
    </row>
    <row r="202" spans="1:7" x14ac:dyDescent="0.25">
      <c r="A202" s="59">
        <v>42545.126400462963</v>
      </c>
      <c r="B202" s="42" t="s">
        <v>189</v>
      </c>
      <c r="C202" s="42" t="s">
        <v>221</v>
      </c>
      <c r="D202" s="42">
        <v>1830000</v>
      </c>
      <c r="E202" s="42" t="s">
        <v>187</v>
      </c>
      <c r="F202" s="42" t="s">
        <v>189</v>
      </c>
      <c r="G202" s="59">
        <v>42545.126400462963</v>
      </c>
    </row>
    <row r="203" spans="1:7" x14ac:dyDescent="0.25">
      <c r="A203" s="13">
        <v>42545.210578703707</v>
      </c>
      <c r="B203" s="42" t="s">
        <v>82</v>
      </c>
      <c r="C203" s="42" t="s">
        <v>232</v>
      </c>
      <c r="D203" s="42">
        <v>1840000</v>
      </c>
      <c r="E203" s="42" t="s">
        <v>190</v>
      </c>
      <c r="F203" s="42" t="s">
        <v>82</v>
      </c>
      <c r="G203" s="13">
        <v>42545.210578703707</v>
      </c>
    </row>
    <row r="204" spans="1:7" x14ac:dyDescent="0.25">
      <c r="A204" s="13">
        <v>42545.149664351855</v>
      </c>
      <c r="B204" s="42" t="s">
        <v>97</v>
      </c>
      <c r="C204" s="42" t="s">
        <v>225</v>
      </c>
      <c r="D204" s="42">
        <v>1480000</v>
      </c>
      <c r="E204" s="42" t="s">
        <v>494</v>
      </c>
      <c r="F204" s="42" t="s">
        <v>97</v>
      </c>
      <c r="G204" s="13">
        <v>42545.149664351855</v>
      </c>
    </row>
    <row r="205" spans="1:7" x14ac:dyDescent="0.25">
      <c r="A205" s="13">
        <v>42545.342268518521</v>
      </c>
      <c r="B205" s="42" t="s">
        <v>109</v>
      </c>
      <c r="C205" s="42" t="s">
        <v>281</v>
      </c>
      <c r="D205" s="42">
        <v>1310000</v>
      </c>
      <c r="E205" s="42" t="s">
        <v>192</v>
      </c>
      <c r="F205" s="42" t="s">
        <v>109</v>
      </c>
      <c r="G205" s="13">
        <v>42545.342268518521</v>
      </c>
    </row>
    <row r="206" spans="1:7" x14ac:dyDescent="0.25">
      <c r="A206" s="13">
        <v>42545.266076388885</v>
      </c>
      <c r="B206" s="42" t="s">
        <v>109</v>
      </c>
      <c r="C206" s="42" t="s">
        <v>257</v>
      </c>
      <c r="D206" s="42">
        <v>1310000</v>
      </c>
      <c r="E206" s="42" t="s">
        <v>192</v>
      </c>
      <c r="F206" s="42" t="s">
        <v>109</v>
      </c>
      <c r="G206" s="13">
        <v>42545.266076388885</v>
      </c>
    </row>
    <row r="207" spans="1:7" x14ac:dyDescent="0.25">
      <c r="A207" s="13">
        <v>42545.277858796297</v>
      </c>
      <c r="B207" s="42" t="s">
        <v>189</v>
      </c>
      <c r="C207" s="42" t="s">
        <v>261</v>
      </c>
      <c r="D207" s="42">
        <v>2000000</v>
      </c>
      <c r="E207" s="42" t="s">
        <v>131</v>
      </c>
      <c r="F207" s="42" t="s">
        <v>189</v>
      </c>
      <c r="G207" s="13">
        <v>42545.277858796297</v>
      </c>
    </row>
    <row r="208" spans="1:7" x14ac:dyDescent="0.25">
      <c r="A208" s="13">
        <v>42545.267407407409</v>
      </c>
      <c r="B208" s="42" t="s">
        <v>109</v>
      </c>
      <c r="C208" s="42" t="s">
        <v>257</v>
      </c>
      <c r="D208" s="42">
        <v>1310000</v>
      </c>
      <c r="E208" s="42" t="s">
        <v>192</v>
      </c>
      <c r="F208" s="42" t="s">
        <v>109</v>
      </c>
      <c r="G208" s="13">
        <v>42545.267407407409</v>
      </c>
    </row>
    <row r="209" spans="1:7" x14ac:dyDescent="0.25">
      <c r="A209" s="13">
        <v>42545.273865740739</v>
      </c>
      <c r="B209" s="42" t="s">
        <v>70</v>
      </c>
      <c r="C209" s="42" t="s">
        <v>249</v>
      </c>
      <c r="D209" s="42">
        <v>1480000</v>
      </c>
      <c r="E209" s="42" t="s">
        <v>494</v>
      </c>
      <c r="F209" s="42" t="s">
        <v>70</v>
      </c>
      <c r="G209" s="13">
        <v>42545.273865740739</v>
      </c>
    </row>
    <row r="210" spans="1:7" x14ac:dyDescent="0.25">
      <c r="A210" s="13">
        <v>42545.286631944444</v>
      </c>
      <c r="B210" s="42" t="s">
        <v>189</v>
      </c>
      <c r="C210" s="42" t="s">
        <v>261</v>
      </c>
      <c r="D210" s="42">
        <v>2000000</v>
      </c>
      <c r="E210" s="42" t="s">
        <v>131</v>
      </c>
      <c r="F210" s="42" t="s">
        <v>189</v>
      </c>
      <c r="G210" s="13">
        <v>42545.286631944444</v>
      </c>
    </row>
    <row r="211" spans="1:7" x14ac:dyDescent="0.25">
      <c r="A211" s="13">
        <v>42545.25708333333</v>
      </c>
      <c r="B211" s="42" t="s">
        <v>487</v>
      </c>
      <c r="C211" s="42" t="s">
        <v>443</v>
      </c>
      <c r="D211" s="42">
        <v>1500000</v>
      </c>
      <c r="E211" s="42" t="s">
        <v>96</v>
      </c>
      <c r="F211" s="42" t="s">
        <v>487</v>
      </c>
      <c r="G211" s="13">
        <v>42545.25708333333</v>
      </c>
    </row>
    <row r="212" spans="1:7" x14ac:dyDescent="0.25">
      <c r="A212" s="13">
        <v>42545.330821759257</v>
      </c>
      <c r="B212" s="42" t="s">
        <v>487</v>
      </c>
      <c r="C212" s="42" t="s">
        <v>451</v>
      </c>
      <c r="D212" s="42">
        <v>1500000</v>
      </c>
      <c r="E212" s="42" t="s">
        <v>96</v>
      </c>
      <c r="F212" s="42" t="s">
        <v>487</v>
      </c>
      <c r="G212" s="13">
        <v>42545.330821759257</v>
      </c>
    </row>
    <row r="213" spans="1:7" x14ac:dyDescent="0.25">
      <c r="A213" s="13">
        <v>42545.217870370368</v>
      </c>
      <c r="B213" s="42" t="s">
        <v>182</v>
      </c>
      <c r="C213" s="42" t="s">
        <v>440</v>
      </c>
      <c r="D213" s="42">
        <v>1460000</v>
      </c>
      <c r="E213" s="42" t="s">
        <v>191</v>
      </c>
      <c r="F213" s="42" t="s">
        <v>182</v>
      </c>
      <c r="G213" s="13">
        <v>42545.217870370368</v>
      </c>
    </row>
    <row r="214" spans="1:7" x14ac:dyDescent="0.25">
      <c r="A214" s="13">
        <v>42545.196111111109</v>
      </c>
      <c r="B214" s="42" t="s">
        <v>109</v>
      </c>
      <c r="C214" s="42" t="s">
        <v>504</v>
      </c>
      <c r="D214" s="42">
        <v>1310000</v>
      </c>
      <c r="E214" s="42" t="s">
        <v>192</v>
      </c>
      <c r="F214" s="42" t="s">
        <v>109</v>
      </c>
      <c r="G214" s="13">
        <v>42545.196111111109</v>
      </c>
    </row>
    <row r="215" spans="1:7" x14ac:dyDescent="0.25">
      <c r="A215" s="13">
        <v>42545.338483796295</v>
      </c>
      <c r="B215" s="42" t="s">
        <v>182</v>
      </c>
      <c r="C215" s="42" t="s">
        <v>450</v>
      </c>
      <c r="D215" s="42">
        <v>1460000</v>
      </c>
      <c r="E215" s="42" t="s">
        <v>191</v>
      </c>
      <c r="F215" s="42" t="s">
        <v>182</v>
      </c>
      <c r="G215" s="13">
        <v>42545.338483796295</v>
      </c>
    </row>
    <row r="216" spans="1:7" x14ac:dyDescent="0.25">
      <c r="A216" s="13">
        <v>42545.239502314813</v>
      </c>
      <c r="B216" s="42" t="s">
        <v>183</v>
      </c>
      <c r="C216" s="42" t="s">
        <v>441</v>
      </c>
      <c r="D216" s="42">
        <v>1460000</v>
      </c>
      <c r="E216" s="42" t="s">
        <v>191</v>
      </c>
      <c r="F216" s="42" t="s">
        <v>183</v>
      </c>
      <c r="G216" s="13">
        <v>42545.239502314813</v>
      </c>
    </row>
    <row r="217" spans="1:7" x14ac:dyDescent="0.25">
      <c r="A217" s="13">
        <v>42545.300937499997</v>
      </c>
      <c r="B217" s="42" t="s">
        <v>97</v>
      </c>
      <c r="C217" s="42" t="s">
        <v>267</v>
      </c>
      <c r="D217" s="42">
        <v>2020000</v>
      </c>
      <c r="E217" s="42" t="s">
        <v>493</v>
      </c>
      <c r="F217" s="42" t="s">
        <v>97</v>
      </c>
      <c r="G217" s="13">
        <v>42545.300937499997</v>
      </c>
    </row>
    <row r="218" spans="1:7" x14ac:dyDescent="0.25">
      <c r="A218" s="13">
        <v>42545.279583333337</v>
      </c>
      <c r="B218" s="42" t="s">
        <v>189</v>
      </c>
      <c r="C218" s="42" t="s">
        <v>261</v>
      </c>
      <c r="D218" s="42">
        <v>2000000</v>
      </c>
      <c r="E218" s="42" t="s">
        <v>131</v>
      </c>
      <c r="F218" s="42" t="s">
        <v>189</v>
      </c>
      <c r="G218" s="13">
        <v>42545.279583333337</v>
      </c>
    </row>
    <row r="219" spans="1:7" x14ac:dyDescent="0.25">
      <c r="A219" s="13">
        <v>42545.22755787037</v>
      </c>
      <c r="B219" s="42" t="s">
        <v>97</v>
      </c>
      <c r="C219" s="42" t="s">
        <v>243</v>
      </c>
      <c r="D219" s="42">
        <v>2020000</v>
      </c>
      <c r="E219" s="42" t="s">
        <v>493</v>
      </c>
      <c r="F219" s="42" t="s">
        <v>97</v>
      </c>
      <c r="G219" s="13">
        <v>42545.22755787037</v>
      </c>
    </row>
    <row r="220" spans="1:7" x14ac:dyDescent="0.25">
      <c r="A220" s="13">
        <v>42545.303541666668</v>
      </c>
      <c r="B220" s="42" t="s">
        <v>108</v>
      </c>
      <c r="C220" s="42" t="s">
        <v>259</v>
      </c>
      <c r="D220" s="42">
        <v>1310000</v>
      </c>
      <c r="E220" s="42" t="s">
        <v>192</v>
      </c>
      <c r="F220" s="42" t="s">
        <v>108</v>
      </c>
      <c r="G220" s="13">
        <v>42545.303541666668</v>
      </c>
    </row>
    <row r="221" spans="1:7" x14ac:dyDescent="0.25">
      <c r="A221" s="13">
        <v>42545.204965277779</v>
      </c>
      <c r="B221" s="42" t="s">
        <v>189</v>
      </c>
      <c r="C221" s="42" t="s">
        <v>500</v>
      </c>
      <c r="D221" s="42">
        <v>2000000</v>
      </c>
      <c r="E221" s="42" t="s">
        <v>131</v>
      </c>
      <c r="F221" s="42" t="s">
        <v>189</v>
      </c>
      <c r="G221" s="13">
        <v>42545.204965277779</v>
      </c>
    </row>
    <row r="222" spans="1:7" x14ac:dyDescent="0.25">
      <c r="A222" s="13">
        <v>42545.315972222219</v>
      </c>
      <c r="B222" s="42" t="s">
        <v>488</v>
      </c>
      <c r="C222" s="42" t="s">
        <v>448</v>
      </c>
      <c r="D222" s="42">
        <v>1500000</v>
      </c>
      <c r="E222" s="42" t="s">
        <v>96</v>
      </c>
      <c r="F222" s="42" t="s">
        <v>488</v>
      </c>
      <c r="G222" s="13">
        <v>42545.315972222219</v>
      </c>
    </row>
    <row r="223" spans="1:7" x14ac:dyDescent="0.25">
      <c r="A223" s="13">
        <v>42545.162465277775</v>
      </c>
      <c r="B223" s="42" t="s">
        <v>490</v>
      </c>
      <c r="C223" s="42" t="s">
        <v>224</v>
      </c>
      <c r="D223" s="42">
        <v>1830000</v>
      </c>
      <c r="E223" s="42" t="s">
        <v>187</v>
      </c>
      <c r="F223" s="42" t="s">
        <v>490</v>
      </c>
      <c r="G223" s="13">
        <v>42545.162465277775</v>
      </c>
    </row>
    <row r="224" spans="1:7" x14ac:dyDescent="0.25">
      <c r="A224" s="13">
        <v>42545.285381944443</v>
      </c>
      <c r="B224" t="s">
        <v>489</v>
      </c>
      <c r="C224" t="s">
        <v>264</v>
      </c>
      <c r="D224">
        <v>1830000</v>
      </c>
      <c r="E224" t="s">
        <v>187</v>
      </c>
      <c r="F224" s="42" t="s">
        <v>489</v>
      </c>
      <c r="G224" s="13">
        <v>42545.285381944443</v>
      </c>
    </row>
    <row r="225" spans="1:7" x14ac:dyDescent="0.25">
      <c r="A225" s="13">
        <v>42545.351111111115</v>
      </c>
      <c r="B225" t="s">
        <v>92</v>
      </c>
      <c r="C225" t="s">
        <v>269</v>
      </c>
      <c r="D225">
        <v>2020000</v>
      </c>
      <c r="E225" t="s">
        <v>493</v>
      </c>
      <c r="F225" s="42" t="s">
        <v>92</v>
      </c>
      <c r="G225" s="13">
        <v>42545.351111111115</v>
      </c>
    </row>
    <row r="226" spans="1:7" x14ac:dyDescent="0.25">
      <c r="A226" s="13">
        <v>42545.318425925929</v>
      </c>
      <c r="B226" t="s">
        <v>490</v>
      </c>
      <c r="C226" t="s">
        <v>266</v>
      </c>
      <c r="D226">
        <v>1830000</v>
      </c>
      <c r="E226" t="s">
        <v>187</v>
      </c>
      <c r="F226" s="42" t="s">
        <v>490</v>
      </c>
      <c r="G226" s="13">
        <v>42545.318425925929</v>
      </c>
    </row>
    <row r="227" spans="1:7" x14ac:dyDescent="0.25">
      <c r="A227" s="13">
        <v>42545.663124999999</v>
      </c>
      <c r="B227" t="s">
        <v>490</v>
      </c>
      <c r="C227" t="s">
        <v>363</v>
      </c>
      <c r="D227">
        <v>1990000</v>
      </c>
      <c r="E227" t="s">
        <v>155</v>
      </c>
      <c r="F227" s="42" t="s">
        <v>490</v>
      </c>
      <c r="G227" s="13">
        <v>42545.663124999999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134</v>
      </c>
      <c r="K1" s="67" t="s">
        <v>135</v>
      </c>
      <c r="L1" s="67" t="s">
        <v>136</v>
      </c>
      <c r="M1" s="42"/>
    </row>
    <row r="2" spans="1:13" ht="15.75" thickBot="1" x14ac:dyDescent="0.3">
      <c r="A2" s="24">
        <v>42545</v>
      </c>
      <c r="B2" s="9"/>
      <c r="C2" s="30">
        <v>50</v>
      </c>
      <c r="F2" t="s">
        <v>63</v>
      </c>
      <c r="J2" s="67" t="s">
        <v>134</v>
      </c>
      <c r="K2" s="67" t="s">
        <v>135</v>
      </c>
      <c r="L2" s="67" t="s">
        <v>136</v>
      </c>
      <c r="M2" s="42"/>
    </row>
    <row r="3" spans="1:13" x14ac:dyDescent="0.25">
      <c r="F3" t="s">
        <v>64</v>
      </c>
      <c r="J3" s="68" t="s">
        <v>137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138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139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140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141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142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143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144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145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146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147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148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2016-06-27T15:48:31Z</dcterms:modified>
</cp:coreProperties>
</file>