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Analysis\2016-04-12 RTDC Report since 03-01\"/>
    </mc:Choice>
  </mc:AlternateContent>
  <bookViews>
    <workbookView xWindow="0" yWindow="0" windowWidth="28800" windowHeight="14235"/>
  </bookViews>
  <sheets>
    <sheet name="Train Runs" sheetId="1" r:id="rId1"/>
    <sheet name="Enforcements" sheetId="3" r:id="rId2"/>
  </sheets>
  <definedNames>
    <definedName name="_xlnm._FilterDatabase" localSheetId="1" hidden="1">Enforcements!$A$2:$L$2</definedName>
    <definedName name="_xlnm._FilterDatabase" localSheetId="0" hidden="1">'Train Runs'!$A$2:$O$135</definedName>
    <definedName name="Denver_Train_Runs_04122016" localSheetId="0">'Train Runs'!$A$2:$J$131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3" i="1"/>
  <c r="K4" i="1"/>
  <c r="L4" i="1" s="1"/>
  <c r="K5" i="1"/>
  <c r="L5" i="1" s="1"/>
  <c r="K6" i="1"/>
  <c r="L6" i="1" s="1"/>
  <c r="K7" i="1"/>
  <c r="L7" i="1" s="1"/>
  <c r="K8" i="1"/>
  <c r="L8" i="1" s="1"/>
  <c r="K9" i="1"/>
  <c r="N9" i="1" s="1"/>
  <c r="K10" i="1"/>
  <c r="L10" i="1" s="1"/>
  <c r="K11" i="1"/>
  <c r="L11" i="1" s="1"/>
  <c r="K12" i="1"/>
  <c r="L12" i="1" s="1"/>
  <c r="K13" i="1"/>
  <c r="L13" i="1" s="1"/>
  <c r="K14" i="1"/>
  <c r="N14" i="1" s="1"/>
  <c r="K15" i="1"/>
  <c r="L15" i="1" s="1"/>
  <c r="K16" i="1"/>
  <c r="L16" i="1" s="1"/>
  <c r="K17" i="1"/>
  <c r="L17" i="1" s="1"/>
  <c r="K18" i="1"/>
  <c r="L18" i="1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3" i="1"/>
  <c r="L86" i="3"/>
  <c r="L87" i="3" s="1"/>
  <c r="I128" i="1" l="1"/>
  <c r="A1" i="1"/>
  <c r="K19" i="1" l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N71" i="1" s="1"/>
  <c r="K72" i="1"/>
  <c r="N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N80" i="1" s="1"/>
  <c r="K81" i="1"/>
  <c r="N81" i="1" s="1"/>
  <c r="K82" i="1"/>
  <c r="L82" i="1" s="1"/>
  <c r="K83" i="1"/>
  <c r="L83" i="1" s="1"/>
  <c r="K84" i="1"/>
  <c r="K85" i="1"/>
  <c r="K86" i="1"/>
  <c r="L86" i="1" s="1"/>
  <c r="K87" i="1"/>
  <c r="L87" i="1" s="1"/>
  <c r="K88" i="1"/>
  <c r="L88" i="1" s="1"/>
  <c r="K89" i="1"/>
  <c r="N89" i="1" s="1"/>
  <c r="K90" i="1"/>
  <c r="N90" i="1" s="1"/>
  <c r="K91" i="1"/>
  <c r="L91" i="1" s="1"/>
  <c r="K92" i="1"/>
  <c r="N92" i="1" s="1"/>
  <c r="K93" i="1"/>
  <c r="L93" i="1" s="1"/>
  <c r="K94" i="1"/>
  <c r="L94" i="1" s="1"/>
  <c r="K95" i="1"/>
  <c r="L95" i="1" s="1"/>
  <c r="K96" i="1"/>
  <c r="N96" i="1" s="1"/>
  <c r="K97" i="1"/>
  <c r="L97" i="1" s="1"/>
  <c r="K98" i="1"/>
  <c r="L98" i="1" s="1"/>
  <c r="K99" i="1"/>
  <c r="L99" i="1" s="1"/>
  <c r="K100" i="1"/>
  <c r="N100" i="1" s="1"/>
  <c r="K101" i="1"/>
  <c r="L101" i="1" s="1"/>
  <c r="K102" i="1"/>
  <c r="L102" i="1" s="1"/>
  <c r="K103" i="1"/>
  <c r="L103" i="1" s="1"/>
  <c r="K104" i="1"/>
  <c r="K105" i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N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N127" i="1" s="1"/>
  <c r="K3" i="1"/>
  <c r="L3" i="1" s="1"/>
  <c r="M104" i="1" l="1"/>
  <c r="M84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3" i="1"/>
  <c r="T3" i="1"/>
  <c r="U101" i="1" l="1"/>
  <c r="R101" i="1" s="1"/>
  <c r="U97" i="1"/>
  <c r="R97" i="1" s="1"/>
  <c r="U93" i="1"/>
  <c r="R93" i="1" s="1"/>
  <c r="U89" i="1"/>
  <c r="R89" i="1" s="1"/>
  <c r="U29" i="1"/>
  <c r="R29" i="1" s="1"/>
  <c r="U25" i="1"/>
  <c r="R25" i="1" s="1"/>
  <c r="U82" i="1"/>
  <c r="R82" i="1" s="1"/>
  <c r="U126" i="1"/>
  <c r="R126" i="1" s="1"/>
  <c r="U124" i="1"/>
  <c r="R124" i="1" s="1"/>
  <c r="U120" i="1"/>
  <c r="R120" i="1" s="1"/>
  <c r="U116" i="1"/>
  <c r="R116" i="1" s="1"/>
  <c r="U108" i="1"/>
  <c r="R108" i="1" s="1"/>
  <c r="U94" i="1"/>
  <c r="R94" i="1" s="1"/>
  <c r="U92" i="1"/>
  <c r="R92" i="1" s="1"/>
  <c r="U84" i="1"/>
  <c r="R84" i="1" s="1"/>
  <c r="U50" i="1"/>
  <c r="R50" i="1" s="1"/>
  <c r="U30" i="1"/>
  <c r="R30" i="1" s="1"/>
  <c r="U28" i="1"/>
  <c r="R28" i="1" s="1"/>
  <c r="U24" i="1"/>
  <c r="R24" i="1" s="1"/>
  <c r="U21" i="1"/>
  <c r="R21" i="1" s="1"/>
  <c r="U106" i="1"/>
  <c r="R106" i="1" s="1"/>
  <c r="U102" i="1"/>
  <c r="R102" i="1" s="1"/>
  <c r="U117" i="1"/>
  <c r="R117" i="1" s="1"/>
  <c r="U113" i="1"/>
  <c r="R113" i="1" s="1"/>
  <c r="U74" i="1"/>
  <c r="R74" i="1" s="1"/>
  <c r="U72" i="1"/>
  <c r="R72" i="1" s="1"/>
  <c r="U52" i="1"/>
  <c r="R52" i="1" s="1"/>
  <c r="U104" i="1"/>
  <c r="R104" i="1" s="1"/>
  <c r="U77" i="1"/>
  <c r="R77" i="1" s="1"/>
  <c r="U53" i="1"/>
  <c r="R53" i="1" s="1"/>
  <c r="U42" i="1"/>
  <c r="R42" i="1" s="1"/>
  <c r="U10" i="1"/>
  <c r="R10" i="1" s="1"/>
  <c r="U8" i="1"/>
  <c r="R8" i="1" s="1"/>
  <c r="U109" i="1"/>
  <c r="R109" i="1" s="1"/>
  <c r="U37" i="1"/>
  <c r="R37" i="1" s="1"/>
  <c r="U70" i="1"/>
  <c r="R70" i="1" s="1"/>
  <c r="U62" i="1"/>
  <c r="R62" i="1" s="1"/>
  <c r="U58" i="1"/>
  <c r="R58" i="1" s="1"/>
  <c r="U54" i="1"/>
  <c r="R54" i="1" s="1"/>
  <c r="U13" i="1"/>
  <c r="R13" i="1" s="1"/>
  <c r="U3" i="1"/>
  <c r="R3" i="1" s="1"/>
  <c r="U5" i="1"/>
  <c r="R5" i="1" s="1"/>
  <c r="U80" i="1"/>
  <c r="R80" i="1" s="1"/>
  <c r="U69" i="1"/>
  <c r="R69" i="1" s="1"/>
  <c r="U65" i="1"/>
  <c r="R65" i="1" s="1"/>
  <c r="U61" i="1"/>
  <c r="R61" i="1" s="1"/>
  <c r="U57" i="1"/>
  <c r="R57" i="1" s="1"/>
  <c r="U48" i="1"/>
  <c r="R48" i="1" s="1"/>
  <c r="U44" i="1"/>
  <c r="R44" i="1" s="1"/>
  <c r="U38" i="1"/>
  <c r="R38" i="1" s="1"/>
  <c r="U34" i="1"/>
  <c r="R34" i="1" s="1"/>
  <c r="U32" i="1"/>
  <c r="R32" i="1" s="1"/>
  <c r="U17" i="1"/>
  <c r="R17" i="1" s="1"/>
  <c r="U6" i="1"/>
  <c r="R6" i="1" s="1"/>
  <c r="U88" i="1"/>
  <c r="R88" i="1" s="1"/>
  <c r="U114" i="1"/>
  <c r="R114" i="1" s="1"/>
  <c r="U110" i="1"/>
  <c r="R110" i="1" s="1"/>
  <c r="U85" i="1"/>
  <c r="R85" i="1" s="1"/>
  <c r="U81" i="1"/>
  <c r="R81" i="1" s="1"/>
  <c r="U66" i="1"/>
  <c r="R66" i="1" s="1"/>
  <c r="U64" i="1"/>
  <c r="R64" i="1" s="1"/>
  <c r="U45" i="1"/>
  <c r="R45" i="1" s="1"/>
  <c r="U18" i="1"/>
  <c r="R18" i="1" s="1"/>
  <c r="U16" i="1"/>
  <c r="R16" i="1" s="1"/>
  <c r="U12" i="1"/>
  <c r="R12" i="1" s="1"/>
  <c r="U90" i="1"/>
  <c r="R90" i="1" s="1"/>
  <c r="U86" i="1"/>
  <c r="R86" i="1" s="1"/>
  <c r="U14" i="1"/>
  <c r="R14" i="1" s="1"/>
  <c r="U7" i="1"/>
  <c r="R7" i="1" s="1"/>
  <c r="U122" i="1"/>
  <c r="R122" i="1" s="1"/>
  <c r="U118" i="1"/>
  <c r="R118" i="1" s="1"/>
  <c r="U46" i="1"/>
  <c r="R46" i="1" s="1"/>
  <c r="U39" i="1"/>
  <c r="R39" i="1" s="1"/>
  <c r="U125" i="1"/>
  <c r="R125" i="1" s="1"/>
  <c r="U121" i="1"/>
  <c r="R121" i="1" s="1"/>
  <c r="U112" i="1"/>
  <c r="R112" i="1" s="1"/>
  <c r="U98" i="1"/>
  <c r="R98" i="1" s="1"/>
  <c r="U96" i="1"/>
  <c r="R96" i="1" s="1"/>
  <c r="U78" i="1"/>
  <c r="R78" i="1" s="1"/>
  <c r="U76" i="1"/>
  <c r="R76" i="1" s="1"/>
  <c r="U71" i="1"/>
  <c r="R71" i="1" s="1"/>
  <c r="U60" i="1"/>
  <c r="R60" i="1" s="1"/>
  <c r="U56" i="1"/>
  <c r="R56" i="1" s="1"/>
  <c r="U49" i="1"/>
  <c r="R49" i="1" s="1"/>
  <c r="U40" i="1"/>
  <c r="R40" i="1" s="1"/>
  <c r="U33" i="1"/>
  <c r="R33" i="1" s="1"/>
  <c r="U26" i="1"/>
  <c r="R26" i="1" s="1"/>
  <c r="U22" i="1"/>
  <c r="R22" i="1" s="1"/>
  <c r="U20" i="1"/>
  <c r="R20" i="1" s="1"/>
  <c r="U111" i="1"/>
  <c r="R111" i="1" s="1"/>
  <c r="U79" i="1"/>
  <c r="R79" i="1" s="1"/>
  <c r="U47" i="1"/>
  <c r="R47" i="1" s="1"/>
  <c r="U15" i="1"/>
  <c r="R15" i="1" s="1"/>
  <c r="U119" i="1"/>
  <c r="R119" i="1" s="1"/>
  <c r="U87" i="1"/>
  <c r="R87" i="1" s="1"/>
  <c r="U55" i="1"/>
  <c r="R55" i="1" s="1"/>
  <c r="U23" i="1"/>
  <c r="R23" i="1" s="1"/>
  <c r="U127" i="1"/>
  <c r="R127" i="1" s="1"/>
  <c r="U105" i="1"/>
  <c r="R105" i="1" s="1"/>
  <c r="U100" i="1"/>
  <c r="R100" i="1" s="1"/>
  <c r="U95" i="1"/>
  <c r="R95" i="1" s="1"/>
  <c r="U73" i="1"/>
  <c r="R73" i="1" s="1"/>
  <c r="U68" i="1"/>
  <c r="R68" i="1" s="1"/>
  <c r="U63" i="1"/>
  <c r="R63" i="1" s="1"/>
  <c r="U41" i="1"/>
  <c r="R41" i="1" s="1"/>
  <c r="U36" i="1"/>
  <c r="R36" i="1" s="1"/>
  <c r="U31" i="1"/>
  <c r="R31" i="1" s="1"/>
  <c r="U9" i="1"/>
  <c r="R9" i="1" s="1"/>
  <c r="U4" i="1"/>
  <c r="R4" i="1" s="1"/>
  <c r="U123" i="1"/>
  <c r="R123" i="1" s="1"/>
  <c r="U115" i="1"/>
  <c r="R115" i="1" s="1"/>
  <c r="U107" i="1"/>
  <c r="R107" i="1" s="1"/>
  <c r="U99" i="1"/>
  <c r="R99" i="1" s="1"/>
  <c r="U91" i="1"/>
  <c r="R91" i="1" s="1"/>
  <c r="U83" i="1"/>
  <c r="R83" i="1" s="1"/>
  <c r="U75" i="1"/>
  <c r="R75" i="1" s="1"/>
  <c r="U67" i="1"/>
  <c r="R67" i="1" s="1"/>
  <c r="U59" i="1"/>
  <c r="R59" i="1" s="1"/>
  <c r="U51" i="1"/>
  <c r="R51" i="1" s="1"/>
  <c r="U43" i="1"/>
  <c r="R43" i="1" s="1"/>
  <c r="U35" i="1"/>
  <c r="R35" i="1" s="1"/>
  <c r="U27" i="1"/>
  <c r="R27" i="1" s="1"/>
  <c r="U19" i="1"/>
  <c r="R19" i="1" s="1"/>
  <c r="U11" i="1"/>
  <c r="R11" i="1" s="1"/>
  <c r="U103" i="1"/>
  <c r="R103" i="1" s="1"/>
  <c r="M132" i="1"/>
  <c r="L132" i="1"/>
  <c r="K132" i="1"/>
  <c r="J133" i="1"/>
  <c r="J132" i="1"/>
  <c r="L134" i="1" l="1"/>
  <c r="L131" i="1"/>
  <c r="J131" i="1"/>
  <c r="M134" i="1"/>
  <c r="K134" i="1"/>
  <c r="J130" i="1"/>
  <c r="K131" i="1"/>
  <c r="J134" i="1"/>
  <c r="M131" i="1"/>
  <c r="J135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<sst xmlns="http://schemas.openxmlformats.org/spreadsheetml/2006/main" count="1264" uniqueCount="416">
  <si>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</si>
  <si>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</si>
  <si>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</si>
  <si>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</si>
  <si>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</si>
  <si>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</si>
  <si>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</si>
  <si>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</si>
  <si>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204:149</t>
  </si>
  <si>
    <t>204:143</t>
  </si>
  <si>
    <t>204:233304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</si>
  <si>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</si>
  <si>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</si>
  <si>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</si>
  <si>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</si>
  <si>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</si>
  <si>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</si>
  <si>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</si>
  <si>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</si>
  <si>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</si>
  <si>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</si>
  <si>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</si>
  <si>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204:462</t>
  </si>
  <si>
    <t>204:233308</t>
  </si>
  <si>
    <t>204:471</t>
  </si>
  <si>
    <t>204:147</t>
  </si>
  <si>
    <t>204:158</t>
  </si>
  <si>
    <t>Total Completed PTC runs (%)</t>
  </si>
  <si>
    <t>204:232994</t>
  </si>
  <si>
    <t>204:139</t>
  </si>
  <si>
    <t>204:150</t>
  </si>
  <si>
    <t>204:233312</t>
  </si>
  <si>
    <t>204:444</t>
  </si>
  <si>
    <t>204:233314</t>
  </si>
  <si>
    <t>204:152</t>
  </si>
  <si>
    <t>204:233291</t>
  </si>
  <si>
    <t>204:154</t>
  </si>
  <si>
    <t>204:141</t>
  </si>
  <si>
    <t>204:233293</t>
  </si>
  <si>
    <t>204:233299</t>
  </si>
  <si>
    <t>204:464</t>
  </si>
  <si>
    <t>204:458</t>
  </si>
  <si>
    <t>204:156</t>
  </si>
  <si>
    <t>204:232986</t>
  </si>
  <si>
    <t>204:145</t>
  </si>
  <si>
    <t>204:451</t>
  </si>
  <si>
    <t>204:233288</t>
  </si>
  <si>
    <t>204:469</t>
  </si>
  <si>
    <t>204:232987</t>
  </si>
  <si>
    <t>204:232993</t>
  </si>
  <si>
    <t>204:438</t>
  </si>
  <si>
    <t>204:232989</t>
  </si>
  <si>
    <t>204:136</t>
  </si>
  <si>
    <t>204:457</t>
  </si>
  <si>
    <t>204:440</t>
  </si>
  <si>
    <t>204:233302</t>
  </si>
  <si>
    <t>204:232985</t>
  </si>
  <si>
    <t>204:232978</t>
  </si>
  <si>
    <t>204:232982</t>
  </si>
  <si>
    <t>204:233002</t>
  </si>
  <si>
    <t>204:232980</t>
  </si>
  <si>
    <t>204:233303</t>
  </si>
  <si>
    <t>204:785</t>
  </si>
  <si>
    <t>Color Legend</t>
  </si>
  <si>
    <t>204:233006</t>
  </si>
  <si>
    <t>204:233310</t>
  </si>
  <si>
    <t>204:160</t>
  </si>
  <si>
    <t>204:232991</t>
  </si>
  <si>
    <t>204:232990</t>
  </si>
  <si>
    <t>204:185</t>
  </si>
  <si>
    <t>204:489</t>
  </si>
  <si>
    <t>204:233289</t>
  </si>
  <si>
    <t>204:233300</t>
  </si>
  <si>
    <t>204:233307</t>
  </si>
  <si>
    <t>204:466</t>
  </si>
  <si>
    <t>204:232959</t>
  </si>
  <si>
    <t>204:232988</t>
  </si>
  <si>
    <t>204:460</t>
  </si>
  <si>
    <t>204:233318</t>
  </si>
  <si>
    <t>204:233115</t>
  </si>
  <si>
    <t>204:233340</t>
  </si>
  <si>
    <t>204:480</t>
  </si>
  <si>
    <t>204:449</t>
  </si>
  <si>
    <t>204:138</t>
  </si>
  <si>
    <t>204:233000</t>
  </si>
  <si>
    <t>204:473</t>
  </si>
  <si>
    <t>204:163</t>
  </si>
  <si>
    <t>204:233295</t>
  </si>
  <si>
    <t>204:232998</t>
  </si>
  <si>
    <t>204:429</t>
  </si>
  <si>
    <t>Trip Start MP</t>
  </si>
  <si>
    <t>Trip End MP</t>
  </si>
  <si>
    <t>Trip Distance</t>
  </si>
  <si>
    <t>Concerning?</t>
  </si>
  <si>
    <t>Comments</t>
  </si>
  <si>
    <t>Operating Date</t>
  </si>
  <si>
    <t>Train Run with multiple inits</t>
  </si>
  <si>
    <t>Train Run where PTC was Cut Out during some or all of the trip</t>
  </si>
  <si>
    <t>Train Run with other issues. See comments for more details</t>
  </si>
  <si>
    <t>Onboard Software Version</t>
  </si>
  <si>
    <t>Training enforcement</t>
  </si>
  <si>
    <t>Possible System Enforcement</t>
  </si>
  <si>
    <t>Training - DIA/DUS end of territory</t>
  </si>
  <si>
    <t>N</t>
  </si>
  <si>
    <t>Increasing Mileposts (1)</t>
  </si>
  <si>
    <t>Form based authority (4)</t>
  </si>
  <si>
    <t>TRACK WARRANT AUTHORITY</t>
  </si>
  <si>
    <t>Predictive Enforcement (2)</t>
  </si>
  <si>
    <t>241-20</t>
  </si>
  <si>
    <t>rtdc.l.rtdc.4040:itc</t>
  </si>
  <si>
    <t>231-20</t>
  </si>
  <si>
    <t>rtdc.l.rtdc.4018:itc</t>
  </si>
  <si>
    <t>219-20</t>
  </si>
  <si>
    <t>rtdc.l.rtdc.4024:itc</t>
  </si>
  <si>
    <t>203-20</t>
  </si>
  <si>
    <t>rtdc.l.rtdc.4031:itc</t>
  </si>
  <si>
    <t>191-20</t>
  </si>
  <si>
    <t>Decreasing Mileposts (2)</t>
  </si>
  <si>
    <t>172-20</t>
  </si>
  <si>
    <t>rtdc.l.rtdc.4015:itc</t>
  </si>
  <si>
    <t>166-20</t>
  </si>
  <si>
    <t>rtdc.l.rtdc.4026:itc</t>
  </si>
  <si>
    <t>164-20</t>
  </si>
  <si>
    <t>rtdc.l.rtdc.4043:itc</t>
  </si>
  <si>
    <t>162-20</t>
  </si>
  <si>
    <t>rtdc.l.rtdc.4013:itc</t>
  </si>
  <si>
    <t>154-20</t>
  </si>
  <si>
    <t>rtdc.l.rtdc.4008:itc</t>
  </si>
  <si>
    <t>159-20</t>
  </si>
  <si>
    <t>rtdc.l.rtdc.4016:itc</t>
  </si>
  <si>
    <t>150-20</t>
  </si>
  <si>
    <t>157-20</t>
  </si>
  <si>
    <t>142-20</t>
  </si>
  <si>
    <t>rtdc.l.rtdc.4017:itc</t>
  </si>
  <si>
    <t>151-20</t>
  </si>
  <si>
    <t>rtdc.l.rtdc.4044:itc</t>
  </si>
  <si>
    <t>141-20</t>
  </si>
  <si>
    <t>rtdc.l.rtdc.4007:itc</t>
  </si>
  <si>
    <t>137-20</t>
  </si>
  <si>
    <t>127-20</t>
  </si>
  <si>
    <t>116-20</t>
  </si>
  <si>
    <t>106-20</t>
  </si>
  <si>
    <t>102-20</t>
  </si>
  <si>
    <t>101-20</t>
  </si>
  <si>
    <t>rtdc.l.rtdc.4025:itc</t>
  </si>
  <si>
    <t>Onboard - Navigation Fault</t>
  </si>
  <si>
    <t>Y</t>
  </si>
  <si>
    <t>Track device (7)</t>
  </si>
  <si>
    <t>SWITCH ALIGNMENT</t>
  </si>
  <si>
    <t>Reactive Enforcement (3)</t>
  </si>
  <si>
    <t>177-20</t>
  </si>
  <si>
    <t>Training - route not aligned</t>
  </si>
  <si>
    <t>Signal based authority (5)</t>
  </si>
  <si>
    <t>SIGNAL</t>
  </si>
  <si>
    <t>226-20</t>
  </si>
  <si>
    <t>rtdc.l.rtdc.4028:itc</t>
  </si>
  <si>
    <t>EC0206RH 21-1T 1S False occupation?</t>
  </si>
  <si>
    <t>204-20</t>
  </si>
  <si>
    <t>rtdc.l.rtdc.4032:itc</t>
  </si>
  <si>
    <t>176-20</t>
  </si>
  <si>
    <t>Green Valley Comm Failure</t>
  </si>
  <si>
    <t>181-20</t>
  </si>
  <si>
    <t>179-20</t>
  </si>
  <si>
    <t>167-20</t>
  </si>
  <si>
    <t>155-20</t>
  </si>
  <si>
    <t>146-20</t>
  </si>
  <si>
    <t>rtdc.l.rtdc.4023:itc</t>
  </si>
  <si>
    <t>144-20</t>
  </si>
  <si>
    <t>145-20</t>
  </si>
  <si>
    <t>143-20</t>
  </si>
  <si>
    <t>132-20</t>
  </si>
  <si>
    <t>135-20</t>
  </si>
  <si>
    <t>rtdc.l.rtdc.4014:itc</t>
  </si>
  <si>
    <t>133-20</t>
  </si>
  <si>
    <t>131-20</t>
  </si>
  <si>
    <t>129-20</t>
  </si>
  <si>
    <t>125-20</t>
  </si>
  <si>
    <t>118-20</t>
  </si>
  <si>
    <t>121-20</t>
  </si>
  <si>
    <t>119-20</t>
  </si>
  <si>
    <t>117-20</t>
  </si>
  <si>
    <t>113-20</t>
  </si>
  <si>
    <t>Tower Rd Comm Failure</t>
  </si>
  <si>
    <t>111-20</t>
  </si>
  <si>
    <t>104-20</t>
  </si>
  <si>
    <t>107-20</t>
  </si>
  <si>
    <t>103-20</t>
  </si>
  <si>
    <t>Training - track speed restrictions</t>
  </si>
  <si>
    <t>Speed (6)</t>
  </si>
  <si>
    <t>PERMANENT SPEED RESTRICTION</t>
  </si>
  <si>
    <t>212-20</t>
  </si>
  <si>
    <t>rtdc.l.rtdc.4039:itc</t>
  </si>
  <si>
    <t>202-20</t>
  </si>
  <si>
    <t>198-20</t>
  </si>
  <si>
    <t>169-20</t>
  </si>
  <si>
    <t>161-20</t>
  </si>
  <si>
    <t>156-20</t>
  </si>
  <si>
    <t>130-20</t>
  </si>
  <si>
    <t>139-20</t>
  </si>
  <si>
    <t>114-20</t>
  </si>
  <si>
    <t>Training - Form C</t>
  </si>
  <si>
    <t>Bulletin (2)</t>
  </si>
  <si>
    <t>GRADE CROSSING</t>
  </si>
  <si>
    <t>174-20</t>
  </si>
  <si>
    <t>175-20</t>
  </si>
  <si>
    <t>EQUIPMENT RESTRICTION</t>
  </si>
  <si>
    <t>218-20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</si>
  <si>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</si>
  <si>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</si>
  <si>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</si>
  <si>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</si>
  <si>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</si>
  <si>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</si>
  <si>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</si>
  <si>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</si>
  <si>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</si>
  <si>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</si>
  <si>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</si>
  <si>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</si>
  <si>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Eagle P3 Braking Events - 2016-04-20</t>
  </si>
  <si>
    <t>100-20</t>
  </si>
  <si>
    <t>DE.1.0.6.0</t>
  </si>
  <si>
    <t>204:232668</t>
  </si>
  <si>
    <t>204:670</t>
  </si>
  <si>
    <t>204:232679</t>
  </si>
  <si>
    <t>204:774</t>
  </si>
  <si>
    <t>204:232685</t>
  </si>
  <si>
    <t>204:1889</t>
  </si>
  <si>
    <t>105-20</t>
  </si>
  <si>
    <t>204:735</t>
  </si>
  <si>
    <t>204:233327</t>
  </si>
  <si>
    <t>204:154009</t>
  </si>
  <si>
    <t>204:161</t>
  </si>
  <si>
    <t>204:233326</t>
  </si>
  <si>
    <t>108-20</t>
  </si>
  <si>
    <t>109-20</t>
  </si>
  <si>
    <t>110-20</t>
  </si>
  <si>
    <t>204:788</t>
  </si>
  <si>
    <t>204:173962</t>
  </si>
  <si>
    <t>112-20</t>
  </si>
  <si>
    <t>204:232983</t>
  </si>
  <si>
    <t>204:233268</t>
  </si>
  <si>
    <t>204:232973</t>
  </si>
  <si>
    <t>115-20</t>
  </si>
  <si>
    <t>204:750</t>
  </si>
  <si>
    <t>204:233028</t>
  </si>
  <si>
    <t>204:211</t>
  </si>
  <si>
    <t>204:178</t>
  </si>
  <si>
    <t>204:1488</t>
  </si>
  <si>
    <t>120-20</t>
  </si>
  <si>
    <t>204:232977</t>
  </si>
  <si>
    <t>204:233306</t>
  </si>
  <si>
    <t>122-20</t>
  </si>
  <si>
    <t>123-20</t>
  </si>
  <si>
    <t>204:427</t>
  </si>
  <si>
    <t>124-20</t>
  </si>
  <si>
    <t>204:232967</t>
  </si>
  <si>
    <t>204:233328</t>
  </si>
  <si>
    <t>126-20</t>
  </si>
  <si>
    <t>128-20</t>
  </si>
  <si>
    <t>204:233023</t>
  </si>
  <si>
    <t>204:498</t>
  </si>
  <si>
    <t>204:233334</t>
  </si>
  <si>
    <t>204:233007</t>
  </si>
  <si>
    <t>134-20</t>
  </si>
  <si>
    <t>136-20</t>
  </si>
  <si>
    <t>138-20</t>
  </si>
  <si>
    <t>140-20</t>
  </si>
  <si>
    <t>204:477</t>
  </si>
  <si>
    <t>204:455</t>
  </si>
  <si>
    <t>204:233008</t>
  </si>
  <si>
    <t>147-20</t>
  </si>
  <si>
    <t>148-20</t>
  </si>
  <si>
    <t>149-20</t>
  </si>
  <si>
    <t>204:233341</t>
  </si>
  <si>
    <t>204:130</t>
  </si>
  <si>
    <t>204:447</t>
  </si>
  <si>
    <t>204:233317</t>
  </si>
  <si>
    <t>152-20</t>
  </si>
  <si>
    <t>204:172</t>
  </si>
  <si>
    <t>153-20</t>
  </si>
  <si>
    <t>204:233322</t>
  </si>
  <si>
    <t>204:313</t>
  </si>
  <si>
    <t>204:233019</t>
  </si>
  <si>
    <t>204:233349</t>
  </si>
  <si>
    <t>158-20</t>
  </si>
  <si>
    <t>160-20</t>
  </si>
  <si>
    <t>204:233083</t>
  </si>
  <si>
    <t>204:233400</t>
  </si>
  <si>
    <t>204:121</t>
  </si>
  <si>
    <t>163-20</t>
  </si>
  <si>
    <t>204:207</t>
  </si>
  <si>
    <t>165-20</t>
  </si>
  <si>
    <t>204:426</t>
  </si>
  <si>
    <t>204:233297</t>
  </si>
  <si>
    <t>168-20</t>
  </si>
  <si>
    <t>204:232966</t>
  </si>
  <si>
    <t>204:228837</t>
  </si>
  <si>
    <t>204:37241</t>
  </si>
  <si>
    <t>170-20</t>
  </si>
  <si>
    <t>204:125</t>
  </si>
  <si>
    <t>171-20</t>
  </si>
  <si>
    <t>204:232981</t>
  </si>
  <si>
    <t>204:169</t>
  </si>
  <si>
    <t>173-20</t>
  </si>
  <si>
    <t>204:914</t>
  </si>
  <si>
    <t>204:2770</t>
  </si>
  <si>
    <t>204:3266</t>
  </si>
  <si>
    <t>204:5886</t>
  </si>
  <si>
    <t>204:6326</t>
  </si>
  <si>
    <t>178-20</t>
  </si>
  <si>
    <t>204:351</t>
  </si>
  <si>
    <t>204:520</t>
  </si>
  <si>
    <t>204:233332</t>
  </si>
  <si>
    <t>204:19137</t>
  </si>
  <si>
    <t>204:4458</t>
  </si>
  <si>
    <t>204:5476</t>
  </si>
  <si>
    <t>192-20</t>
  </si>
  <si>
    <t>204:132</t>
  </si>
  <si>
    <t>193-20</t>
  </si>
  <si>
    <t>204:1160</t>
  </si>
  <si>
    <t>194-20</t>
  </si>
  <si>
    <t>204:58276</t>
  </si>
  <si>
    <t>196-20</t>
  </si>
  <si>
    <t>204:58274</t>
  </si>
  <si>
    <t>197-20</t>
  </si>
  <si>
    <t>204:33906</t>
  </si>
  <si>
    <t>199-20</t>
  </si>
  <si>
    <t>204:1241</t>
  </si>
  <si>
    <t>204:233417</t>
  </si>
  <si>
    <t>200-20</t>
  </si>
  <si>
    <t>204:127</t>
  </si>
  <si>
    <t>201-20</t>
  </si>
  <si>
    <t>204:664</t>
  </si>
  <si>
    <t>204:86353</t>
  </si>
  <si>
    <t>204:233361</t>
  </si>
  <si>
    <t>204:233053</t>
  </si>
  <si>
    <t>208-20</t>
  </si>
  <si>
    <t>204:467</t>
  </si>
  <si>
    <t>209-20</t>
  </si>
  <si>
    <t>204:30877</t>
  </si>
  <si>
    <t>204:232951</t>
  </si>
  <si>
    <t>213-20</t>
  </si>
  <si>
    <t>204:233261</t>
  </si>
  <si>
    <t>216-20</t>
  </si>
  <si>
    <t>204:232976</t>
  </si>
  <si>
    <t>204:113852</t>
  </si>
  <si>
    <t>204:114774</t>
  </si>
  <si>
    <t>204:413</t>
  </si>
  <si>
    <t>220-20</t>
  </si>
  <si>
    <t>221-20</t>
  </si>
  <si>
    <t>222-20</t>
  </si>
  <si>
    <t>204:232932</t>
  </si>
  <si>
    <t>223-20</t>
  </si>
  <si>
    <t>204:781</t>
  </si>
  <si>
    <t>204:233249</t>
  </si>
  <si>
    <t>225-20</t>
  </si>
  <si>
    <t>204:233287</t>
  </si>
  <si>
    <t>228-20</t>
  </si>
  <si>
    <t>229-20</t>
  </si>
  <si>
    <t>230-20</t>
  </si>
  <si>
    <t>204:338</t>
  </si>
  <si>
    <t>232-20</t>
  </si>
  <si>
    <t>204:232940</t>
  </si>
  <si>
    <t>233-20</t>
  </si>
  <si>
    <t>204:233274</t>
  </si>
  <si>
    <t>234-20</t>
  </si>
  <si>
    <t>235-20</t>
  </si>
  <si>
    <t>204:768</t>
  </si>
  <si>
    <t>236-20</t>
  </si>
  <si>
    <t>238-20</t>
  </si>
  <si>
    <t>239-20</t>
  </si>
  <si>
    <t>204:692</t>
  </si>
  <si>
    <t>240-20</t>
  </si>
  <si>
    <t>204:232964</t>
  </si>
  <si>
    <t>204:233266</t>
  </si>
  <si>
    <t>242-20</t>
  </si>
  <si>
    <t>204:232996</t>
  </si>
  <si>
    <t>204:3386</t>
  </si>
  <si>
    <t>243-20</t>
  </si>
  <si>
    <t>204:1431</t>
  </si>
  <si>
    <t>Enforcement MP</t>
  </si>
  <si>
    <t>Enforcement Desc</t>
  </si>
  <si>
    <t>w/o multiple inits</t>
  </si>
  <si>
    <t>w/ multiple inits</t>
  </si>
  <si>
    <t>Form C - Chambers</t>
  </si>
  <si>
    <t>Multi Init runs</t>
  </si>
  <si>
    <t>Loco ID</t>
  </si>
  <si>
    <t>Onboard issue preventing init</t>
  </si>
  <si>
    <t>Routing issues (signals not cleared/ switches not aligned)</t>
  </si>
  <si>
    <t>Routing issues at 40th &amp; Airport</t>
  </si>
  <si>
    <t>Onboard - Comparator Issue</t>
  </si>
  <si>
    <t>Routing (delayed out of DIA, 40th &amp; Airport, Chambers)</t>
  </si>
  <si>
    <t>Routing issues at 38th</t>
  </si>
  <si>
    <t>Routing issues at 78th</t>
  </si>
  <si>
    <t>Routing issues at various signals as train approached DUS</t>
  </si>
  <si>
    <t>Initialized too close to signal</t>
  </si>
  <si>
    <t>Routing issues at 40th &amp; Airport, Training issue at Form C</t>
  </si>
  <si>
    <t>Form C - Chambers, Routing issues at DIA</t>
  </si>
  <si>
    <t>Signal issue at Quebec?</t>
  </si>
  <si>
    <t>Routing and Form C issues</t>
  </si>
  <si>
    <t>Training - improper approach to Steele St Form C</t>
  </si>
  <si>
    <t>Slowed down by Steele St Form C and routing at 61st</t>
  </si>
  <si>
    <t>Driver was very conservative in approach to Steele Form C and Routing issues at Bright</t>
  </si>
  <si>
    <t>Routing issues approaching DIA</t>
  </si>
  <si>
    <t>Routing issues at Sable</t>
  </si>
  <si>
    <t>Slowed down by Steele St Form C</t>
  </si>
  <si>
    <t>Onboard failure</t>
  </si>
  <si>
    <t>Kibana Link</t>
  </si>
  <si>
    <t>Training - very conservative approach to early arrival, also form C at Steele</t>
  </si>
  <si>
    <t>Station Signal stuck on STATION STOP aspect</t>
  </si>
  <si>
    <t>Driver was very conservative in approach to Steele Form C and Routing issues at 40th &amp; Airport</t>
  </si>
  <si>
    <t>GPS signal unavailable under DUS canopy</t>
  </si>
  <si>
    <t>Routing issues at Pena, also training at Steele Form C</t>
  </si>
  <si>
    <t>Form C at Steele</t>
  </si>
  <si>
    <t>Comparator Issue - EBI Fault 0152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</si>
</sst>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4" borderId="5" xfId="0" applyFill="1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Fill="1" applyBorder="1"/>
    <xf numFmtId="1" fontId="0" fillId="0" borderId="10" xfId="0" applyNumberFormat="1" applyFill="1" applyBorder="1"/>
    <xf numFmtId="0" fontId="0" fillId="0" borderId="1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" fontId="0" fillId="0" borderId="15" xfId="0" applyNumberFormat="1" applyFill="1" applyBorder="1" applyAlignment="1">
      <alignment horizontal="left"/>
    </xf>
    <xf numFmtId="0" fontId="0" fillId="2" borderId="5" xfId="0" applyFill="1" applyBorder="1"/>
    <xf numFmtId="0" fontId="0" fillId="3" borderId="5" xfId="0" applyFill="1" applyBorder="1"/>
    <xf numFmtId="0" fontId="1" fillId="0" borderId="5" xfId="0" applyFont="1" applyBorder="1"/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20" fontId="1" fillId="0" borderId="12" xfId="0" applyNumberFormat="1" applyFont="1" applyFill="1" applyBorder="1" applyAlignment="1">
      <alignment horizontal="left" vertical="center" wrapText="1"/>
    </xf>
    <xf numFmtId="1" fontId="1" fillId="0" borderId="12" xfId="0" applyNumberFormat="1" applyFont="1" applyBorder="1" applyAlignment="1">
      <alignment horizontal="left" vertical="center" wrapText="1"/>
    </xf>
    <xf numFmtId="1" fontId="1" fillId="0" borderId="13" xfId="0" applyNumberFormat="1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167" fontId="0" fillId="0" borderId="0" xfId="0" applyNumberFormat="1"/>
    <xf numFmtId="0" fontId="0" fillId="0" borderId="8" xfId="0" applyBorder="1"/>
    <xf numFmtId="0" fontId="0" fillId="0" borderId="7" xfId="0" applyBorder="1" applyAlignment="1">
      <alignment vertical="center" wrapText="1"/>
    </xf>
    <xf numFmtId="0" fontId="0" fillId="2" borderId="18" xfId="0" applyFill="1" applyBorder="1"/>
    <xf numFmtId="0" fontId="0" fillId="2" borderId="19" xfId="0" applyFill="1" applyBorder="1" applyAlignment="1">
      <alignment vertical="center" wrapText="1"/>
    </xf>
    <xf numFmtId="0" fontId="0" fillId="0" borderId="0" xfId="0" applyFill="1" applyAlignment="1"/>
    <xf numFmtId="0" fontId="0" fillId="0" borderId="20" xfId="0" applyFill="1" applyBorder="1" applyAlignment="1">
      <alignment vertical="center"/>
    </xf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/>
    </xf>
    <xf numFmtId="0" fontId="4" fillId="0" borderId="16" xfId="0" applyFont="1" applyBorder="1" applyAlignment="1">
      <alignment horizontal="center" wrapText="1"/>
    </xf>
    <xf numFmtId="166" fontId="5" fillId="0" borderId="17" xfId="0" applyNumberFormat="1" applyFont="1" applyBorder="1" applyAlignment="1">
      <alignment horizontal="center" vertical="center" wrapText="1"/>
    </xf>
    <xf numFmtId="0" fontId="0" fillId="4" borderId="1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164" fontId="0" fillId="4" borderId="5" xfId="0" applyNumberFormat="1" applyFill="1" applyBorder="1" applyAlignment="1">
      <alignment horizontal="left"/>
    </xf>
    <xf numFmtId="1" fontId="0" fillId="4" borderId="5" xfId="0" applyNumberFormat="1" applyFill="1" applyBorder="1" applyAlignment="1">
      <alignment horizontal="left"/>
    </xf>
    <xf numFmtId="1" fontId="0" fillId="4" borderId="15" xfId="0" applyNumberFormat="1" applyFill="1" applyBorder="1" applyAlignment="1">
      <alignment horizontal="left"/>
    </xf>
    <xf numFmtId="1" fontId="0" fillId="4" borderId="10" xfId="0" applyNumberFormat="1" applyFill="1" applyBorder="1"/>
    <xf numFmtId="167" fontId="1" fillId="0" borderId="12" xfId="0" applyNumberFormat="1" applyFont="1" applyBorder="1" applyAlignment="1">
      <alignment horizontal="left" vertical="center" wrapText="1"/>
    </xf>
    <xf numFmtId="167" fontId="0" fillId="0" borderId="5" xfId="0" applyNumberFormat="1" applyFill="1" applyBorder="1" applyAlignment="1">
      <alignment horizontal="left"/>
    </xf>
    <xf numFmtId="167" fontId="0" fillId="4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166" fontId="0" fillId="0" borderId="7" xfId="0" applyNumberFormat="1" applyBorder="1" applyAlignment="1">
      <alignment horizontal="center" wrapText="1"/>
    </xf>
    <xf numFmtId="166" fontId="0" fillId="0" borderId="8" xfId="0" applyNumberForma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35"/>
  <sheetViews>
    <sheetView showGridLines="0" tabSelected="1" zoomScale="85" zoomScaleNormal="85" workbookViewId="0">
      <selection activeCell="A2" sqref="A2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32" customWidth="1"/>
    <col min="6" max="6" width="18.85546875" style="32" hidden="1" customWidth="1"/>
    <col min="7" max="7" width="7.140625" style="32" hidden="1" customWidth="1"/>
    <col min="8" max="8" width="3.140625" style="32" hidden="1" customWidth="1"/>
    <col min="9" max="9" width="19.7109375" style="32" customWidth="1"/>
    <col min="10" max="10" width="8.7109375" customWidth="1"/>
    <col min="11" max="11" width="9.5703125" style="1" customWidth="1"/>
    <col min="12" max="12" width="8.85546875" style="4" customWidth="1"/>
    <col min="13" max="13" width="9.140625" style="4"/>
    <col min="14" max="14" width="6" style="4" customWidth="1"/>
    <col min="15" max="15" width="29.28515625" customWidth="1"/>
    <col min="16" max="16" width="4.28515625" customWidth="1"/>
    <col min="18" max="18" width="10.140625" customWidth="1"/>
    <col min="22" max="22" width="9.140625" style="48"/>
    <col min="23" max="23" width="17.85546875" style="48" customWidth="1"/>
    <col min="25" max="25" width="12.42578125" customWidth="1"/>
    <col min="26" max="26" width="58.85546875" customWidth="1"/>
  </cols>
  <sheetData>
    <row r="1" spans="1:88" ht="42" customHeight="1" thickBot="1" x14ac:dyDescent="0.35">
      <c r="A1" s="74" t="str">
        <f>"Eagle P3 System Performance - "&amp;TEXT(Y2,"yyyy-mm-dd")</f>
        <v>Eagle P3 System Performance - 2016-04-20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Y1" s="52" t="s">
        <v>95</v>
      </c>
    </row>
    <row r="2" spans="1:88" s="12" customFormat="1" ht="69" customHeight="1" thickBot="1" x14ac:dyDescent="0.3">
      <c r="A2" s="26" t="s">
        <v>0</v>
      </c>
      <c r="B2" s="27" t="s">
        <v>387</v>
      </c>
      <c r="C2" s="27" t="s">
        <v>99</v>
      </c>
      <c r="D2" s="27" t="s">
        <v>1</v>
      </c>
      <c r="E2" s="60" t="s">
        <v>2</v>
      </c>
      <c r="F2" s="60" t="s">
        <v>3</v>
      </c>
      <c r="G2" s="60" t="s">
        <v>4</v>
      </c>
      <c r="H2" s="60" t="s">
        <v>5</v>
      </c>
      <c r="I2" s="60" t="s">
        <v>6</v>
      </c>
      <c r="J2" s="27" t="s">
        <v>7</v>
      </c>
      <c r="K2" s="28" t="s">
        <v>11</v>
      </c>
      <c r="L2" s="27" t="s">
        <v>383</v>
      </c>
      <c r="M2" s="29" t="s">
        <v>384</v>
      </c>
      <c r="N2" s="30" t="s">
        <v>21</v>
      </c>
      <c r="O2" s="31" t="s">
        <v>94</v>
      </c>
      <c r="P2" s="11"/>
      <c r="Q2" s="15" t="s">
        <v>408</v>
      </c>
      <c r="R2" s="15" t="s">
        <v>93</v>
      </c>
      <c r="S2" s="15" t="s">
        <v>90</v>
      </c>
      <c r="T2" s="15" t="s">
        <v>91</v>
      </c>
      <c r="U2" s="15" t="s">
        <v>92</v>
      </c>
      <c r="V2" s="50" t="s">
        <v>381</v>
      </c>
      <c r="W2" s="50" t="s">
        <v>382</v>
      </c>
      <c r="X2" s="11"/>
      <c r="Y2" s="53">
        <v>42480</v>
      </c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 spans="1:88" s="2" customFormat="1" x14ac:dyDescent="0.25">
      <c r="A3" s="18" t="s">
        <v>220</v>
      </c>
      <c r="B3" s="19">
        <v>4008</v>
      </c>
      <c r="C3" s="19" t="s">
        <v>221</v>
      </c>
      <c r="D3" s="19" t="s">
        <v>222</v>
      </c>
      <c r="E3" s="61">
        <v>42480.168229166666</v>
      </c>
      <c r="F3" s="61">
        <v>42480.16946759259</v>
      </c>
      <c r="G3" s="61">
        <v>1</v>
      </c>
      <c r="H3" s="61" t="s">
        <v>29</v>
      </c>
      <c r="I3" s="61">
        <v>42480.200624999998</v>
      </c>
      <c r="J3" s="19">
        <v>0</v>
      </c>
      <c r="K3" s="20">
        <f t="shared" ref="K3:K47" si="0">I3-F3</f>
        <v>3.1157407407590654E-2</v>
      </c>
      <c r="L3" s="21">
        <f>$K3*24*60</f>
        <v>44.866666666930541</v>
      </c>
      <c r="M3" s="21"/>
      <c r="N3" s="22"/>
      <c r="O3" s="17"/>
      <c r="Q3" s="16" t="str">
        <f t="shared" ref="Q3:Q34" si="1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https://search-rtdc-monitor-bjffxe2xuh6vdkpspy63sjmuny.us-east-1.es.amazonaws.com/_plugin/kibana/#/discover/Steve-Slow-Train-Analysis-(2080s-and-2083s)?_g=(refreshInterval:(display:Off,section:0,value:0),time:(from:'2016-04-20 04:01:15-0600',mode:absolute,to:'2016-04-20 04:49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3" s="16" t="str">
        <f>IF(U3&lt;23,"Y","N")</f>
        <v>N</v>
      </c>
      <c r="S3" s="16">
        <f t="shared" ref="S3:S34" si="2">RIGHT(D3,LEN(D3)-4)/10000</f>
        <v>23.2668</v>
      </c>
      <c r="T3" s="16">
        <f t="shared" ref="T3:T34" si="3">RIGHT(H3,LEN(H3)-4)/10000</f>
        <v>1.3899999999999999E-2</v>
      </c>
      <c r="U3" s="16">
        <f>ABS(T3-S3)</f>
        <v>23.2529</v>
      </c>
      <c r="V3" s="51" t="e">
        <f>VLOOKUP(A3,Enforcements!$C$3:$J$62,8,0)</f>
        <v>#N/A</v>
      </c>
      <c r="W3" s="51" t="e">
        <f>VLOOKUP(A3,Enforcements!$C$3:$J$62,3,0)</f>
        <v>#N/A</v>
      </c>
    </row>
    <row r="4" spans="1:88" s="2" customFormat="1" x14ac:dyDescent="0.25">
      <c r="A4" s="18" t="s">
        <v>143</v>
      </c>
      <c r="B4" s="19">
        <v>4025</v>
      </c>
      <c r="C4" s="19" t="s">
        <v>221</v>
      </c>
      <c r="D4" s="19" t="s">
        <v>223</v>
      </c>
      <c r="E4" s="61">
        <v>42480.128032407411</v>
      </c>
      <c r="F4" s="61">
        <v>42480.132418981484</v>
      </c>
      <c r="G4" s="61">
        <v>6</v>
      </c>
      <c r="H4" s="61" t="s">
        <v>33</v>
      </c>
      <c r="I4" s="61">
        <v>42480.160925925928</v>
      </c>
      <c r="J4" s="19">
        <v>1</v>
      </c>
      <c r="K4" s="20">
        <f t="shared" si="0"/>
        <v>2.8506944443506654E-2</v>
      </c>
      <c r="L4" s="21">
        <f t="shared" ref="L4:N19" si="4">$K4*24*60</f>
        <v>41.049999998649582</v>
      </c>
      <c r="M4" s="21"/>
      <c r="N4" s="22"/>
      <c r="O4" s="17"/>
      <c r="Q4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03:03:22-0600',mode:absolute,to:'2016-04-20 03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4" s="16" t="str">
        <f t="shared" ref="R4:R67" si="5">IF(U4&lt;23,"Y","N")</f>
        <v>N</v>
      </c>
      <c r="S4" s="16">
        <f t="shared" si="2"/>
        <v>6.7000000000000004E-2</v>
      </c>
      <c r="T4" s="16">
        <f t="shared" si="3"/>
        <v>23.331399999999999</v>
      </c>
      <c r="U4" s="16">
        <f t="shared" ref="U4:U67" si="6">ABS(T4-S4)</f>
        <v>23.264399999999998</v>
      </c>
      <c r="V4" s="51" t="e">
        <f>VLOOKUP(A4,Enforcements!$C$3:$J$62,8,0)</f>
        <v>#N/A</v>
      </c>
      <c r="W4" s="51" t="e">
        <f>VLOOKUP(A4,Enforcements!$C$3:$J$62,3,0)</f>
        <v>#N/A</v>
      </c>
    </row>
    <row r="5" spans="1:88" s="2" customFormat="1" x14ac:dyDescent="0.25">
      <c r="A5" s="18" t="s">
        <v>142</v>
      </c>
      <c r="B5" s="19">
        <v>4015</v>
      </c>
      <c r="C5" s="19" t="s">
        <v>221</v>
      </c>
      <c r="D5" s="19" t="s">
        <v>224</v>
      </c>
      <c r="E5" s="61">
        <v>42480.191724537035</v>
      </c>
      <c r="F5" s="61">
        <v>42480.192928240744</v>
      </c>
      <c r="G5" s="61">
        <v>1</v>
      </c>
      <c r="H5" s="61" t="s">
        <v>8</v>
      </c>
      <c r="I5" s="61">
        <v>42480.223078703704</v>
      </c>
      <c r="J5" s="19">
        <v>1</v>
      </c>
      <c r="K5" s="20">
        <f t="shared" si="0"/>
        <v>3.015046296059154E-2</v>
      </c>
      <c r="L5" s="21">
        <f t="shared" si="4"/>
        <v>43.416666663251817</v>
      </c>
      <c r="M5" s="21"/>
      <c r="N5" s="22"/>
      <c r="O5" s="17"/>
      <c r="Q5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04:35:05-0600',mode:absolute,to:'2016-04-20 05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5" s="16" t="str">
        <f t="shared" si="5"/>
        <v>N</v>
      </c>
      <c r="S5" s="16">
        <f t="shared" si="2"/>
        <v>23.267900000000001</v>
      </c>
      <c r="T5" s="16">
        <f t="shared" si="3"/>
        <v>1.49E-2</v>
      </c>
      <c r="U5" s="16">
        <f t="shared" si="6"/>
        <v>23.253</v>
      </c>
      <c r="V5" s="51">
        <f>VLOOKUP(A5,Enforcements!$C$3:$J$62,8,0)</f>
        <v>15167</v>
      </c>
      <c r="W5" s="51" t="str">
        <f>VLOOKUP(A5,Enforcements!$C$3:$J$62,3,0)</f>
        <v>PERMANENT SPEED RESTRICTION</v>
      </c>
      <c r="Y5" s="25" t="s">
        <v>63</v>
      </c>
      <c r="Z5" s="13"/>
    </row>
    <row r="6" spans="1:88" s="2" customFormat="1" x14ac:dyDescent="0.25">
      <c r="A6" s="18" t="s">
        <v>186</v>
      </c>
      <c r="B6" s="19">
        <v>4018</v>
      </c>
      <c r="C6" s="19" t="s">
        <v>221</v>
      </c>
      <c r="D6" s="19" t="s">
        <v>225</v>
      </c>
      <c r="E6" s="61">
        <v>42480.15351851852</v>
      </c>
      <c r="F6" s="61">
        <v>42480.155104166668</v>
      </c>
      <c r="G6" s="61">
        <v>2</v>
      </c>
      <c r="H6" s="61" t="s">
        <v>65</v>
      </c>
      <c r="I6" s="61">
        <v>42480.183182870373</v>
      </c>
      <c r="J6" s="19">
        <v>1</v>
      </c>
      <c r="K6" s="20">
        <f t="shared" si="0"/>
        <v>2.8078703704522923E-2</v>
      </c>
      <c r="L6" s="21">
        <f t="shared" si="4"/>
        <v>40.433333334513009</v>
      </c>
      <c r="M6" s="21"/>
      <c r="N6" s="22"/>
      <c r="O6" s="17"/>
      <c r="Q6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03:40:04-0600',mode:absolute,to:'2016-04-20 04:24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" s="16" t="str">
        <f t="shared" si="5"/>
        <v>N</v>
      </c>
      <c r="S6" s="16">
        <f t="shared" si="2"/>
        <v>7.7399999999999997E-2</v>
      </c>
      <c r="T6" s="16">
        <f t="shared" si="3"/>
        <v>23.331</v>
      </c>
      <c r="U6" s="16">
        <f t="shared" si="6"/>
        <v>23.253599999999999</v>
      </c>
      <c r="V6" s="51">
        <f>VLOOKUP(A6,Enforcements!$C$3:$J$62,8,0)</f>
        <v>144300</v>
      </c>
      <c r="W6" s="51" t="str">
        <f>VLOOKUP(A6,Enforcements!$C$3:$J$62,3,0)</f>
        <v>SIGNAL</v>
      </c>
      <c r="Y6" s="23"/>
      <c r="Z6" s="13" t="s">
        <v>96</v>
      </c>
    </row>
    <row r="7" spans="1:88" s="2" customFormat="1" x14ac:dyDescent="0.25">
      <c r="A7" s="18" t="s">
        <v>184</v>
      </c>
      <c r="B7" s="19">
        <v>4028</v>
      </c>
      <c r="C7" s="19" t="s">
        <v>221</v>
      </c>
      <c r="D7" s="19" t="s">
        <v>226</v>
      </c>
      <c r="E7" s="61">
        <v>42480.212314814817</v>
      </c>
      <c r="F7" s="61">
        <v>42480.21398148148</v>
      </c>
      <c r="G7" s="61">
        <v>2</v>
      </c>
      <c r="H7" s="61" t="s">
        <v>227</v>
      </c>
      <c r="I7" s="61">
        <v>42480.241643518515</v>
      </c>
      <c r="J7" s="19">
        <v>1</v>
      </c>
      <c r="K7" s="20">
        <f t="shared" si="0"/>
        <v>2.7662037035042886E-2</v>
      </c>
      <c r="L7" s="21">
        <f t="shared" si="4"/>
        <v>39.833333330461755</v>
      </c>
      <c r="M7" s="21"/>
      <c r="N7" s="22"/>
      <c r="O7" s="17"/>
      <c r="Q7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05:04:44-0600',mode:absolute,to:'2016-04-20 05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7" s="16" t="str">
        <f t="shared" si="5"/>
        <v>N</v>
      </c>
      <c r="S7" s="16">
        <f t="shared" si="2"/>
        <v>23.2685</v>
      </c>
      <c r="T7" s="16">
        <f t="shared" si="3"/>
        <v>0.18890000000000001</v>
      </c>
      <c r="U7" s="16">
        <f t="shared" si="6"/>
        <v>23.079599999999999</v>
      </c>
      <c r="V7" s="51">
        <f>VLOOKUP(A7,Enforcements!$C$3:$J$62,8,0)</f>
        <v>133166</v>
      </c>
      <c r="W7" s="51" t="str">
        <f>VLOOKUP(A7,Enforcements!$C$3:$J$62,3,0)</f>
        <v>SIGNAL</v>
      </c>
      <c r="Y7" s="24"/>
      <c r="Z7" s="13" t="s">
        <v>97</v>
      </c>
    </row>
    <row r="8" spans="1:88" s="2" customFormat="1" x14ac:dyDescent="0.25">
      <c r="A8" s="18" t="s">
        <v>228</v>
      </c>
      <c r="B8" s="19">
        <v>4024</v>
      </c>
      <c r="C8" s="19" t="s">
        <v>221</v>
      </c>
      <c r="D8" s="19" t="s">
        <v>229</v>
      </c>
      <c r="E8" s="61">
        <v>42480.168923611112</v>
      </c>
      <c r="F8" s="61">
        <v>42480.171331018515</v>
      </c>
      <c r="G8" s="61">
        <v>3</v>
      </c>
      <c r="H8" s="61" t="s">
        <v>230</v>
      </c>
      <c r="I8" s="61">
        <v>42480.203252314815</v>
      </c>
      <c r="J8" s="19">
        <v>0</v>
      </c>
      <c r="K8" s="20">
        <f t="shared" si="0"/>
        <v>3.1921296300424729E-2</v>
      </c>
      <c r="L8" s="21">
        <f t="shared" si="4"/>
        <v>45.966666672611609</v>
      </c>
      <c r="M8" s="21"/>
      <c r="N8" s="22"/>
      <c r="O8" s="17"/>
      <c r="Q8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04:02:15-0600',mode:absolute,to:'2016-04-20 04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R8" s="16" t="str">
        <f t="shared" si="5"/>
        <v>N</v>
      </c>
      <c r="S8" s="16">
        <f t="shared" si="2"/>
        <v>7.3499999999999996E-2</v>
      </c>
      <c r="T8" s="16">
        <f t="shared" si="3"/>
        <v>23.332699999999999</v>
      </c>
      <c r="U8" s="16">
        <f t="shared" si="6"/>
        <v>23.2592</v>
      </c>
      <c r="V8" s="51" t="e">
        <f>VLOOKUP(A8,Enforcements!$C$3:$J$62,8,0)</f>
        <v>#N/A</v>
      </c>
      <c r="W8" s="51" t="e">
        <f>VLOOKUP(A8,Enforcements!$C$3:$J$62,3,0)</f>
        <v>#N/A</v>
      </c>
      <c r="Y8" s="14"/>
      <c r="Z8" s="13" t="s">
        <v>98</v>
      </c>
    </row>
    <row r="9" spans="1:88" s="2" customFormat="1" x14ac:dyDescent="0.25">
      <c r="A9" s="18" t="s">
        <v>141</v>
      </c>
      <c r="B9" s="19">
        <v>4013</v>
      </c>
      <c r="C9" s="19" t="s">
        <v>221</v>
      </c>
      <c r="D9" s="19" t="s">
        <v>231</v>
      </c>
      <c r="E9" s="61">
        <v>42480.235659722224</v>
      </c>
      <c r="F9" s="61">
        <v>42480.237083333333</v>
      </c>
      <c r="G9" s="61">
        <v>2</v>
      </c>
      <c r="H9" s="61" t="s">
        <v>232</v>
      </c>
      <c r="I9" s="61">
        <v>42480.25640046296</v>
      </c>
      <c r="J9" s="19">
        <v>1</v>
      </c>
      <c r="K9" s="20">
        <f t="shared" si="0"/>
        <v>1.9317129626870155E-2</v>
      </c>
      <c r="L9" s="21"/>
      <c r="M9" s="21"/>
      <c r="N9" s="21">
        <f t="shared" si="4"/>
        <v>27.816666662693024</v>
      </c>
      <c r="O9" s="17" t="s">
        <v>388</v>
      </c>
      <c r="Q9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05:38:21-0600',mode:absolute,to:'2016-04-20 06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9" s="16" t="str">
        <f t="shared" si="5"/>
        <v>Y</v>
      </c>
      <c r="S9" s="16">
        <f t="shared" si="2"/>
        <v>15.4009</v>
      </c>
      <c r="T9" s="16">
        <f t="shared" si="3"/>
        <v>1.61E-2</v>
      </c>
      <c r="U9" s="16">
        <f t="shared" si="6"/>
        <v>15.3848</v>
      </c>
      <c r="V9" s="51" t="e">
        <f>VLOOKUP(A9,Enforcements!$C$3:$J$62,8,0)</f>
        <v>#N/A</v>
      </c>
      <c r="W9" s="51" t="e">
        <f>VLOOKUP(A9,Enforcements!$C$3:$J$62,3,0)</f>
        <v>#N/A</v>
      </c>
    </row>
    <row r="10" spans="1:88" s="2" customFormat="1" x14ac:dyDescent="0.25">
      <c r="A10" s="18" t="s">
        <v>185</v>
      </c>
      <c r="B10" s="19">
        <v>4014</v>
      </c>
      <c r="C10" s="19" t="s">
        <v>221</v>
      </c>
      <c r="D10" s="19" t="s">
        <v>41</v>
      </c>
      <c r="E10" s="61">
        <v>42480.184328703705</v>
      </c>
      <c r="F10" s="61">
        <v>42480.187384259261</v>
      </c>
      <c r="G10" s="61">
        <v>4</v>
      </c>
      <c r="H10" s="61" t="s">
        <v>233</v>
      </c>
      <c r="I10" s="61">
        <v>42480.216261574074</v>
      </c>
      <c r="J10" s="19">
        <v>1</v>
      </c>
      <c r="K10" s="20">
        <f t="shared" si="0"/>
        <v>2.8877314813144039E-2</v>
      </c>
      <c r="L10" s="21">
        <f t="shared" si="4"/>
        <v>41.583333330927417</v>
      </c>
      <c r="M10" s="21"/>
      <c r="N10" s="22"/>
      <c r="O10" s="17"/>
      <c r="Q10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04:24:26-0600',mode:absolute,to:'2016-04-20 05:12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10" s="16" t="str">
        <f t="shared" si="5"/>
        <v>N</v>
      </c>
      <c r="S10" s="16">
        <f t="shared" si="2"/>
        <v>4.58E-2</v>
      </c>
      <c r="T10" s="16">
        <f t="shared" si="3"/>
        <v>23.332599999999999</v>
      </c>
      <c r="U10" s="16">
        <f t="shared" si="6"/>
        <v>23.286799999999999</v>
      </c>
      <c r="V10" s="51">
        <f>VLOOKUP(A10,Enforcements!$C$3:$J$62,8,0)</f>
        <v>149694</v>
      </c>
      <c r="W10" s="51" t="str">
        <f>VLOOKUP(A10,Enforcements!$C$3:$J$62,3,0)</f>
        <v>SIGNAL</v>
      </c>
    </row>
    <row r="11" spans="1:88" s="2" customFormat="1" x14ac:dyDescent="0.25">
      <c r="A11" s="18" t="s">
        <v>234</v>
      </c>
      <c r="B11" s="19">
        <v>4043</v>
      </c>
      <c r="C11" s="19" t="s">
        <v>221</v>
      </c>
      <c r="D11" s="19" t="s">
        <v>56</v>
      </c>
      <c r="E11" s="61">
        <v>42480.229062500002</v>
      </c>
      <c r="F11" s="61">
        <v>42480.23165509259</v>
      </c>
      <c r="G11" s="61">
        <v>3</v>
      </c>
      <c r="H11" s="61" t="s">
        <v>29</v>
      </c>
      <c r="I11" s="61">
        <v>42480.263865740744</v>
      </c>
      <c r="J11" s="19">
        <v>0</v>
      </c>
      <c r="K11" s="20">
        <f t="shared" si="0"/>
        <v>3.221064815443242E-2</v>
      </c>
      <c r="L11" s="21">
        <f t="shared" si="4"/>
        <v>46.383333342382684</v>
      </c>
      <c r="M11" s="21"/>
      <c r="N11" s="22"/>
      <c r="O11" s="17"/>
      <c r="Q11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05:28:51-0600',mode:absolute,to:'2016-04-20 06:20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11" s="16" t="str">
        <f t="shared" si="5"/>
        <v>N</v>
      </c>
      <c r="S11" s="16">
        <f t="shared" si="2"/>
        <v>23.298500000000001</v>
      </c>
      <c r="T11" s="16">
        <f t="shared" si="3"/>
        <v>1.3899999999999999E-2</v>
      </c>
      <c r="U11" s="16">
        <f t="shared" si="6"/>
        <v>23.284600000000001</v>
      </c>
      <c r="V11" s="51" t="e">
        <f>VLOOKUP(A11,Enforcements!$C$3:$J$62,8,0)</f>
        <v>#N/A</v>
      </c>
      <c r="W11" s="51" t="e">
        <f>VLOOKUP(A11,Enforcements!$C$3:$J$62,3,0)</f>
        <v>#N/A</v>
      </c>
    </row>
    <row r="12" spans="1:88" s="2" customFormat="1" x14ac:dyDescent="0.25">
      <c r="A12" s="18" t="s">
        <v>235</v>
      </c>
      <c r="B12" s="19">
        <v>4044</v>
      </c>
      <c r="C12" s="19" t="s">
        <v>221</v>
      </c>
      <c r="D12" s="19" t="s">
        <v>50</v>
      </c>
      <c r="E12" s="61">
        <v>42480.191608796296</v>
      </c>
      <c r="F12" s="61">
        <v>42480.193402777775</v>
      </c>
      <c r="G12" s="61">
        <v>2</v>
      </c>
      <c r="H12" s="61" t="s">
        <v>31</v>
      </c>
      <c r="I12" s="61">
        <v>42480.223402777781</v>
      </c>
      <c r="J12" s="19">
        <v>0</v>
      </c>
      <c r="K12" s="20">
        <f t="shared" si="0"/>
        <v>3.0000000006111804E-2</v>
      </c>
      <c r="L12" s="21">
        <f t="shared" si="4"/>
        <v>43.200000008800998</v>
      </c>
      <c r="M12" s="21"/>
      <c r="N12" s="22"/>
      <c r="O12" s="17"/>
      <c r="Q12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04:34:55-0600',mode:absolute,to:'2016-04-20 05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12" s="16" t="str">
        <f t="shared" si="5"/>
        <v>N</v>
      </c>
      <c r="S12" s="16">
        <f t="shared" si="2"/>
        <v>4.3799999999999999E-2</v>
      </c>
      <c r="T12" s="16">
        <f t="shared" si="3"/>
        <v>23.331199999999999</v>
      </c>
      <c r="U12" s="16">
        <f t="shared" si="6"/>
        <v>23.287399999999998</v>
      </c>
      <c r="V12" s="51" t="e">
        <f>VLOOKUP(A12,Enforcements!$C$3:$J$62,8,0)</f>
        <v>#N/A</v>
      </c>
      <c r="W12" s="51" t="e">
        <f>VLOOKUP(A12,Enforcements!$C$3:$J$62,3,0)</f>
        <v>#N/A</v>
      </c>
    </row>
    <row r="13" spans="1:88" s="2" customFormat="1" x14ac:dyDescent="0.25">
      <c r="A13" s="18" t="s">
        <v>236</v>
      </c>
      <c r="B13" s="19">
        <v>4026</v>
      </c>
      <c r="C13" s="19" t="s">
        <v>221</v>
      </c>
      <c r="D13" s="19" t="s">
        <v>57</v>
      </c>
      <c r="E13" s="61">
        <v>42480.244988425926</v>
      </c>
      <c r="F13" s="61">
        <v>42480.246365740742</v>
      </c>
      <c r="G13" s="61">
        <v>1</v>
      </c>
      <c r="H13" s="61" t="s">
        <v>36</v>
      </c>
      <c r="I13" s="61">
        <v>42480.27380787037</v>
      </c>
      <c r="J13" s="19">
        <v>0</v>
      </c>
      <c r="K13" s="20">
        <f t="shared" si="0"/>
        <v>2.7442129627161194E-2</v>
      </c>
      <c r="L13" s="21">
        <f t="shared" si="4"/>
        <v>39.516666663112119</v>
      </c>
      <c r="M13" s="21"/>
      <c r="N13" s="22"/>
      <c r="O13" s="17"/>
      <c r="Q13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05:51:47-0600',mode:absolute,to:'2016-04-20 06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13" s="16" t="str">
        <f t="shared" si="5"/>
        <v>N</v>
      </c>
      <c r="S13" s="16">
        <f t="shared" si="2"/>
        <v>23.297799999999999</v>
      </c>
      <c r="T13" s="16">
        <f t="shared" si="3"/>
        <v>1.54E-2</v>
      </c>
      <c r="U13" s="16">
        <f t="shared" si="6"/>
        <v>23.282399999999999</v>
      </c>
      <c r="V13" s="51" t="e">
        <f>VLOOKUP(A13,Enforcements!$C$3:$J$62,8,0)</f>
        <v>#N/A</v>
      </c>
      <c r="W13" s="51" t="e">
        <f>VLOOKUP(A13,Enforcements!$C$3:$J$62,3,0)</f>
        <v>#N/A</v>
      </c>
    </row>
    <row r="14" spans="1:88" s="2" customFormat="1" x14ac:dyDescent="0.25">
      <c r="A14" s="18" t="s">
        <v>183</v>
      </c>
      <c r="B14" s="19">
        <v>4025</v>
      </c>
      <c r="C14" s="19" t="s">
        <v>221</v>
      </c>
      <c r="D14" s="19" t="s">
        <v>237</v>
      </c>
      <c r="E14" s="61">
        <v>42480.204606481479</v>
      </c>
      <c r="F14" s="61">
        <v>42480.206631944442</v>
      </c>
      <c r="G14" s="61">
        <v>2</v>
      </c>
      <c r="H14" s="61" t="s">
        <v>238</v>
      </c>
      <c r="I14" s="61">
        <v>42480.230115740742</v>
      </c>
      <c r="J14" s="19">
        <v>2</v>
      </c>
      <c r="K14" s="20">
        <f t="shared" si="0"/>
        <v>2.3483796299842652E-2</v>
      </c>
      <c r="L14" s="21"/>
      <c r="M14" s="21"/>
      <c r="N14" s="21">
        <f t="shared" si="4"/>
        <v>33.816666671773419</v>
      </c>
      <c r="O14" s="17" t="s">
        <v>160</v>
      </c>
      <c r="Q14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04:53:38-0600',mode:absolute,to:'2016-04-20 05:32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4" s="16" t="str">
        <f t="shared" si="5"/>
        <v>Y</v>
      </c>
      <c r="S14" s="16">
        <f t="shared" si="2"/>
        <v>7.8799999999999995E-2</v>
      </c>
      <c r="T14" s="16">
        <f t="shared" si="3"/>
        <v>17.3962</v>
      </c>
      <c r="U14" s="16">
        <f t="shared" si="6"/>
        <v>17.317399999999999</v>
      </c>
      <c r="V14" s="51">
        <f>VLOOKUP(A14,Enforcements!$C$3:$J$62,8,0)</f>
        <v>144300</v>
      </c>
      <c r="W14" s="51" t="str">
        <f>VLOOKUP(A14,Enforcements!$C$3:$J$62,3,0)</f>
        <v>SIGNAL</v>
      </c>
    </row>
    <row r="15" spans="1:88" s="2" customFormat="1" x14ac:dyDescent="0.25">
      <c r="A15" s="18" t="s">
        <v>239</v>
      </c>
      <c r="B15" s="19">
        <v>4008</v>
      </c>
      <c r="C15" s="19" t="s">
        <v>221</v>
      </c>
      <c r="D15" s="19" t="s">
        <v>240</v>
      </c>
      <c r="E15" s="61">
        <v>42480.254467592589</v>
      </c>
      <c r="F15" s="61">
        <v>42480.255358796298</v>
      </c>
      <c r="G15" s="61">
        <v>1</v>
      </c>
      <c r="H15" s="61" t="s">
        <v>29</v>
      </c>
      <c r="I15" s="61">
        <v>42480.283217592594</v>
      </c>
      <c r="J15" s="19">
        <v>0</v>
      </c>
      <c r="K15" s="20">
        <f t="shared" si="0"/>
        <v>2.7858796296641231E-2</v>
      </c>
      <c r="L15" s="21">
        <f t="shared" si="4"/>
        <v>40.116666667163372</v>
      </c>
      <c r="M15" s="21"/>
      <c r="N15" s="22"/>
      <c r="O15" s="17"/>
      <c r="Q15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06:05:26-0600',mode:absolute,to:'2016-04-20 06:48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15" s="16" t="str">
        <f t="shared" si="5"/>
        <v>N</v>
      </c>
      <c r="S15" s="16">
        <f t="shared" si="2"/>
        <v>23.298300000000001</v>
      </c>
      <c r="T15" s="16">
        <f t="shared" si="3"/>
        <v>1.3899999999999999E-2</v>
      </c>
      <c r="U15" s="16">
        <f t="shared" si="6"/>
        <v>23.284400000000002</v>
      </c>
      <c r="V15" s="51" t="e">
        <f>VLOOKUP(A15,Enforcements!$C$3:$J$62,8,0)</f>
        <v>#N/A</v>
      </c>
      <c r="W15" s="51" t="e">
        <f>VLOOKUP(A15,Enforcements!$C$3:$J$62,3,0)</f>
        <v>#N/A</v>
      </c>
    </row>
    <row r="16" spans="1:88" s="2" customFormat="1" x14ac:dyDescent="0.25">
      <c r="A16" s="18" t="s">
        <v>181</v>
      </c>
      <c r="B16" s="19">
        <v>4007</v>
      </c>
      <c r="C16" s="19" t="s">
        <v>221</v>
      </c>
      <c r="D16" s="19" t="s">
        <v>85</v>
      </c>
      <c r="E16" s="61">
        <v>42480.208587962959</v>
      </c>
      <c r="F16" s="61">
        <v>42480.209722222222</v>
      </c>
      <c r="G16" s="61">
        <v>1</v>
      </c>
      <c r="H16" s="61" t="s">
        <v>241</v>
      </c>
      <c r="I16" s="61">
        <v>42480.246354166666</v>
      </c>
      <c r="J16" s="19">
        <v>1</v>
      </c>
      <c r="K16" s="20">
        <f t="shared" si="0"/>
        <v>3.6631944443797693E-2</v>
      </c>
      <c r="L16" s="21">
        <f t="shared" si="4"/>
        <v>52.749999999068677</v>
      </c>
      <c r="M16" s="21"/>
      <c r="N16" s="22"/>
      <c r="O16" s="59" t="s">
        <v>160</v>
      </c>
      <c r="Q16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04:59:22-0600',mode:absolute,to:'2016-04-20 05:55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16" s="16" t="str">
        <f t="shared" si="5"/>
        <v>N</v>
      </c>
      <c r="S16" s="16">
        <f t="shared" si="2"/>
        <v>4.7300000000000002E-2</v>
      </c>
      <c r="T16" s="16">
        <f t="shared" si="3"/>
        <v>23.326799999999999</v>
      </c>
      <c r="U16" s="16">
        <f t="shared" si="6"/>
        <v>23.279499999999999</v>
      </c>
      <c r="V16" s="51">
        <f>VLOOKUP(A16,Enforcements!$C$3:$J$62,8,0)</f>
        <v>144300</v>
      </c>
      <c r="W16" s="51" t="str">
        <f>VLOOKUP(A16,Enforcements!$C$3:$J$62,3,0)</f>
        <v>SIGNAL</v>
      </c>
    </row>
    <row r="17" spans="1:23" s="2" customFormat="1" x14ac:dyDescent="0.25">
      <c r="A17" s="18" t="s">
        <v>199</v>
      </c>
      <c r="B17" s="19">
        <v>4017</v>
      </c>
      <c r="C17" s="19" t="s">
        <v>221</v>
      </c>
      <c r="D17" s="19" t="s">
        <v>242</v>
      </c>
      <c r="E17" s="61">
        <v>42480.263333333336</v>
      </c>
      <c r="F17" s="61">
        <v>42480.264675925922</v>
      </c>
      <c r="G17" s="61">
        <v>1</v>
      </c>
      <c r="H17" s="61" t="s">
        <v>26</v>
      </c>
      <c r="I17" s="61">
        <v>42480.297500000001</v>
      </c>
      <c r="J17" s="19">
        <v>1</v>
      </c>
      <c r="K17" s="20">
        <f t="shared" si="0"/>
        <v>3.2824074078234844E-2</v>
      </c>
      <c r="L17" s="21">
        <f t="shared" si="4"/>
        <v>47.266666672658175</v>
      </c>
      <c r="M17" s="21"/>
      <c r="N17" s="22"/>
      <c r="O17" s="17"/>
      <c r="Q17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06:18:12-0600',mode:absolute,to:'2016-04-20 07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7" s="16" t="str">
        <f t="shared" si="5"/>
        <v>N</v>
      </c>
      <c r="S17" s="16">
        <f t="shared" si="2"/>
        <v>23.2973</v>
      </c>
      <c r="T17" s="16">
        <f t="shared" si="3"/>
        <v>1.5800000000000002E-2</v>
      </c>
      <c r="U17" s="16">
        <f t="shared" si="6"/>
        <v>23.281500000000001</v>
      </c>
      <c r="V17" s="51">
        <f>VLOOKUP(A17,Enforcements!$C$3:$J$62,8,0)</f>
        <v>228668</v>
      </c>
      <c r="W17" s="51" t="str">
        <f>VLOOKUP(A17,Enforcements!$C$3:$J$62,3,0)</f>
        <v>PERMANENT SPEED RESTRICTION</v>
      </c>
    </row>
    <row r="18" spans="1:23" s="2" customFormat="1" x14ac:dyDescent="0.25">
      <c r="A18" s="18" t="s">
        <v>243</v>
      </c>
      <c r="B18" s="19">
        <v>4018</v>
      </c>
      <c r="C18" s="19" t="s">
        <v>221</v>
      </c>
      <c r="D18" s="19" t="s">
        <v>244</v>
      </c>
      <c r="E18" s="61">
        <v>42480.226481481484</v>
      </c>
      <c r="F18" s="61">
        <v>42480.228321759256</v>
      </c>
      <c r="G18" s="61">
        <v>2</v>
      </c>
      <c r="H18" s="61" t="s">
        <v>35</v>
      </c>
      <c r="I18" s="61">
        <v>42480.256516203706</v>
      </c>
      <c r="J18" s="19">
        <v>0</v>
      </c>
      <c r="K18" s="20">
        <f t="shared" si="0"/>
        <v>2.8194444450491574E-2</v>
      </c>
      <c r="L18" s="21">
        <f t="shared" si="4"/>
        <v>40.600000008707866</v>
      </c>
      <c r="M18" s="21"/>
      <c r="N18" s="22"/>
      <c r="O18" s="17"/>
      <c r="Q18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05:25:08-0600',mode:absolute,to:'2016-04-20 06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8" s="16" t="str">
        <f t="shared" si="5"/>
        <v>N</v>
      </c>
      <c r="S18" s="16">
        <f t="shared" si="2"/>
        <v>7.4999999999999997E-2</v>
      </c>
      <c r="T18" s="16">
        <f t="shared" si="3"/>
        <v>23.3291</v>
      </c>
      <c r="U18" s="16">
        <f t="shared" si="6"/>
        <v>23.254100000000001</v>
      </c>
      <c r="V18" s="51" t="e">
        <f>VLOOKUP(A18,Enforcements!$C$3:$J$62,8,0)</f>
        <v>#N/A</v>
      </c>
      <c r="W18" s="51" t="e">
        <f>VLOOKUP(A18,Enforcements!$C$3:$J$62,3,0)</f>
        <v>#N/A</v>
      </c>
    </row>
    <row r="19" spans="1:23" s="2" customFormat="1" x14ac:dyDescent="0.25">
      <c r="A19" s="18" t="s">
        <v>140</v>
      </c>
      <c r="B19" s="19">
        <v>4015</v>
      </c>
      <c r="C19" s="19" t="s">
        <v>221</v>
      </c>
      <c r="D19" s="19" t="s">
        <v>245</v>
      </c>
      <c r="E19" s="61">
        <v>42480.274733796294</v>
      </c>
      <c r="F19" s="61">
        <v>42480.275694444441</v>
      </c>
      <c r="G19" s="61">
        <v>1</v>
      </c>
      <c r="H19" s="61" t="s">
        <v>246</v>
      </c>
      <c r="I19" s="61">
        <v>42480.305289351854</v>
      </c>
      <c r="J19" s="19">
        <v>2</v>
      </c>
      <c r="K19" s="20">
        <f t="shared" si="0"/>
        <v>2.959490741341142E-2</v>
      </c>
      <c r="L19" s="21">
        <f t="shared" si="4"/>
        <v>42.616666675312445</v>
      </c>
      <c r="M19" s="21"/>
      <c r="N19" s="22"/>
      <c r="O19" s="17"/>
      <c r="Q19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06:34:37-0600',mode:absolute,to:'2016-04-20 07:20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9" s="16" t="str">
        <f t="shared" si="5"/>
        <v>N</v>
      </c>
      <c r="S19" s="16">
        <f t="shared" si="2"/>
        <v>23.302800000000001</v>
      </c>
      <c r="T19" s="16">
        <f t="shared" si="3"/>
        <v>2.1100000000000001E-2</v>
      </c>
      <c r="U19" s="16">
        <f t="shared" si="6"/>
        <v>23.281700000000001</v>
      </c>
      <c r="V19" s="51">
        <f>VLOOKUP(A19,Enforcements!$C$3:$J$62,8,0)</f>
        <v>30562</v>
      </c>
      <c r="W19" s="51" t="str">
        <f>VLOOKUP(A19,Enforcements!$C$3:$J$62,3,0)</f>
        <v>PERMANENT SPEED RESTRICTION</v>
      </c>
    </row>
    <row r="20" spans="1:23" s="2" customFormat="1" x14ac:dyDescent="0.25">
      <c r="A20" s="18" t="s">
        <v>180</v>
      </c>
      <c r="B20" s="19">
        <v>4016</v>
      </c>
      <c r="C20" s="19" t="s">
        <v>221</v>
      </c>
      <c r="D20" s="19" t="s">
        <v>45</v>
      </c>
      <c r="E20" s="61">
        <v>42480.234270833331</v>
      </c>
      <c r="F20" s="61">
        <v>42480.235879629632</v>
      </c>
      <c r="G20" s="61">
        <v>2</v>
      </c>
      <c r="H20" s="61" t="s">
        <v>80</v>
      </c>
      <c r="I20" s="61">
        <v>42480.265405092592</v>
      </c>
      <c r="J20" s="19">
        <v>1</v>
      </c>
      <c r="K20" s="20">
        <f t="shared" si="0"/>
        <v>2.9525462960009463E-2</v>
      </c>
      <c r="L20" s="21">
        <f t="shared" ref="L20:N75" si="7">$K20*24*60</f>
        <v>42.516666662413627</v>
      </c>
      <c r="M20" s="21"/>
      <c r="N20" s="22"/>
      <c r="O20" s="17"/>
      <c r="Q20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05:36:21-0600',mode:absolute,to:'2016-04-20 06:23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20" s="16" t="str">
        <f t="shared" si="5"/>
        <v>N</v>
      </c>
      <c r="S20" s="16">
        <f t="shared" si="2"/>
        <v>4.5100000000000001E-2</v>
      </c>
      <c r="T20" s="16">
        <f t="shared" si="3"/>
        <v>23.334</v>
      </c>
      <c r="U20" s="16">
        <f t="shared" si="6"/>
        <v>23.288899999999998</v>
      </c>
      <c r="V20" s="51">
        <f>VLOOKUP(A20,Enforcements!$C$3:$J$62,8,0)</f>
        <v>144300</v>
      </c>
      <c r="W20" s="51" t="str">
        <f>VLOOKUP(A20,Enforcements!$C$3:$J$62,3,0)</f>
        <v>SIGNAL</v>
      </c>
    </row>
    <row r="21" spans="1:23" s="2" customFormat="1" x14ac:dyDescent="0.25">
      <c r="A21" s="18" t="s">
        <v>177</v>
      </c>
      <c r="B21" s="19">
        <v>4023</v>
      </c>
      <c r="C21" s="19" t="s">
        <v>221</v>
      </c>
      <c r="D21" s="19" t="s">
        <v>88</v>
      </c>
      <c r="E21" s="61">
        <v>42480.284456018519</v>
      </c>
      <c r="F21" s="61">
        <v>42480.286168981482</v>
      </c>
      <c r="G21" s="61">
        <v>2</v>
      </c>
      <c r="H21" s="61" t="s">
        <v>247</v>
      </c>
      <c r="I21" s="61">
        <v>42480.315868055557</v>
      </c>
      <c r="J21" s="19">
        <v>1</v>
      </c>
      <c r="K21" s="20">
        <f t="shared" si="0"/>
        <v>2.9699074075324461E-2</v>
      </c>
      <c r="L21" s="21">
        <f t="shared" si="7"/>
        <v>42.766666668467224</v>
      </c>
      <c r="M21" s="21"/>
      <c r="N21" s="22"/>
      <c r="O21" s="17"/>
      <c r="Q21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06:48:37-0600',mode:absolute,to:'2016-04-20 07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R21" s="16" t="str">
        <f t="shared" si="5"/>
        <v>N</v>
      </c>
      <c r="S21" s="16">
        <f t="shared" si="2"/>
        <v>23.299800000000001</v>
      </c>
      <c r="T21" s="16">
        <f t="shared" si="3"/>
        <v>1.78E-2</v>
      </c>
      <c r="U21" s="16">
        <f t="shared" si="6"/>
        <v>23.282</v>
      </c>
      <c r="V21" s="51">
        <f>VLOOKUP(A21,Enforcements!$C$3:$J$62,8,0)</f>
        <v>133166</v>
      </c>
      <c r="W21" s="51" t="str">
        <f>VLOOKUP(A21,Enforcements!$C$3:$J$62,3,0)</f>
        <v>SIGNAL</v>
      </c>
    </row>
    <row r="22" spans="1:23" s="2" customFormat="1" x14ac:dyDescent="0.25">
      <c r="A22" s="18" t="s">
        <v>179</v>
      </c>
      <c r="B22" s="19">
        <v>4024</v>
      </c>
      <c r="C22" s="19" t="s">
        <v>221</v>
      </c>
      <c r="D22" s="19" t="s">
        <v>248</v>
      </c>
      <c r="E22" s="61">
        <v>42480.248310185183</v>
      </c>
      <c r="F22" s="61">
        <v>42480.249409722222</v>
      </c>
      <c r="G22" s="61">
        <v>1</v>
      </c>
      <c r="H22" s="61" t="s">
        <v>73</v>
      </c>
      <c r="I22" s="61">
        <v>42480.279027777775</v>
      </c>
      <c r="J22" s="19">
        <v>1</v>
      </c>
      <c r="K22" s="20">
        <f t="shared" si="0"/>
        <v>2.9618055552418809E-2</v>
      </c>
      <c r="L22" s="21">
        <f t="shared" si="7"/>
        <v>42.649999995483086</v>
      </c>
      <c r="M22" s="21"/>
      <c r="N22" s="22"/>
      <c r="O22" s="17"/>
      <c r="Q22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05:56:34-0600',mode:absolute,to:'2016-04-20 06:42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R22" s="16" t="str">
        <f t="shared" si="5"/>
        <v>N</v>
      </c>
      <c r="S22" s="16">
        <f t="shared" si="2"/>
        <v>0.14879999999999999</v>
      </c>
      <c r="T22" s="16">
        <f t="shared" si="3"/>
        <v>23.3307</v>
      </c>
      <c r="U22" s="16">
        <f t="shared" si="6"/>
        <v>23.181899999999999</v>
      </c>
      <c r="V22" s="51">
        <f>VLOOKUP(A22,Enforcements!$C$3:$J$62,8,0)</f>
        <v>144300</v>
      </c>
      <c r="W22" s="51" t="str">
        <f>VLOOKUP(A22,Enforcements!$C$3:$J$62,3,0)</f>
        <v>SIGNAL</v>
      </c>
    </row>
    <row r="23" spans="1:23" s="2" customFormat="1" x14ac:dyDescent="0.25">
      <c r="A23" s="18" t="s">
        <v>249</v>
      </c>
      <c r="B23" s="19">
        <v>4013</v>
      </c>
      <c r="C23" s="19" t="s">
        <v>221</v>
      </c>
      <c r="D23" s="19" t="s">
        <v>250</v>
      </c>
      <c r="E23" s="61">
        <v>42480.293055555558</v>
      </c>
      <c r="F23" s="61">
        <v>42480.297361111108</v>
      </c>
      <c r="G23" s="61">
        <v>6</v>
      </c>
      <c r="H23" s="61" t="s">
        <v>34</v>
      </c>
      <c r="I23" s="61">
        <v>42480.328113425923</v>
      </c>
      <c r="J23" s="19">
        <v>0</v>
      </c>
      <c r="K23" s="20">
        <f t="shared" si="0"/>
        <v>3.0752314814890269E-2</v>
      </c>
      <c r="L23" s="21">
        <f t="shared" si="7"/>
        <v>44.283333333441988</v>
      </c>
      <c r="M23" s="21"/>
      <c r="N23" s="22"/>
      <c r="O23" s="17"/>
      <c r="Q23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07:01:00-0600',mode:absolute,to:'2016-04-20 07:53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23" s="16" t="str">
        <f t="shared" si="5"/>
        <v>N</v>
      </c>
      <c r="S23" s="16">
        <f t="shared" si="2"/>
        <v>23.297699999999999</v>
      </c>
      <c r="T23" s="16">
        <f t="shared" si="3"/>
        <v>1.52E-2</v>
      </c>
      <c r="U23" s="16">
        <f t="shared" si="6"/>
        <v>23.282499999999999</v>
      </c>
      <c r="V23" s="51" t="e">
        <f>VLOOKUP(A23,Enforcements!$C$3:$J$62,8,0)</f>
        <v>#N/A</v>
      </c>
      <c r="W23" s="51" t="e">
        <f>VLOOKUP(A23,Enforcements!$C$3:$J$62,3,0)</f>
        <v>#N/A</v>
      </c>
    </row>
    <row r="24" spans="1:23" s="2" customFormat="1" x14ac:dyDescent="0.25">
      <c r="A24" s="18" t="s">
        <v>178</v>
      </c>
      <c r="B24" s="19">
        <v>4014</v>
      </c>
      <c r="C24" s="19" t="s">
        <v>221</v>
      </c>
      <c r="D24" s="19" t="s">
        <v>74</v>
      </c>
      <c r="E24" s="61">
        <v>42480.257731481484</v>
      </c>
      <c r="F24" s="61">
        <v>42480.259016203701</v>
      </c>
      <c r="G24" s="61">
        <v>1</v>
      </c>
      <c r="H24" s="61" t="s">
        <v>251</v>
      </c>
      <c r="I24" s="61">
        <v>42480.287349537037</v>
      </c>
      <c r="J24" s="19">
        <v>1</v>
      </c>
      <c r="K24" s="20">
        <f t="shared" si="0"/>
        <v>2.8333333335467614E-2</v>
      </c>
      <c r="L24" s="21">
        <f t="shared" si="7"/>
        <v>40.800000003073364</v>
      </c>
      <c r="M24" s="21"/>
      <c r="N24" s="22"/>
      <c r="O24" s="17"/>
      <c r="Q24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06:10:08-0600',mode:absolute,to:'2016-04-20 06:54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24" s="16" t="str">
        <f t="shared" si="5"/>
        <v>N</v>
      </c>
      <c r="S24" s="16">
        <f t="shared" si="2"/>
        <v>4.6600000000000003E-2</v>
      </c>
      <c r="T24" s="16">
        <f t="shared" si="3"/>
        <v>23.3306</v>
      </c>
      <c r="U24" s="16">
        <f t="shared" si="6"/>
        <v>23.283999999999999</v>
      </c>
      <c r="V24" s="51">
        <f>VLOOKUP(A24,Enforcements!$C$3:$J$62,8,0)</f>
        <v>149694</v>
      </c>
      <c r="W24" s="51" t="str">
        <f>VLOOKUP(A24,Enforcements!$C$3:$J$62,3,0)</f>
        <v>SIGNAL</v>
      </c>
    </row>
    <row r="25" spans="1:23" s="2" customFormat="1" x14ac:dyDescent="0.25">
      <c r="A25" s="18" t="s">
        <v>252</v>
      </c>
      <c r="B25" s="19">
        <v>4043</v>
      </c>
      <c r="C25" s="19" t="s">
        <v>221</v>
      </c>
      <c r="D25" s="19" t="s">
        <v>43</v>
      </c>
      <c r="E25" s="61">
        <v>42480.305555555555</v>
      </c>
      <c r="F25" s="61">
        <v>42480.310243055559</v>
      </c>
      <c r="G25" s="61">
        <v>6</v>
      </c>
      <c r="H25" s="61" t="s">
        <v>9</v>
      </c>
      <c r="I25" s="61">
        <v>42480.337060185186</v>
      </c>
      <c r="J25" s="19">
        <v>0</v>
      </c>
      <c r="K25" s="20">
        <f t="shared" si="0"/>
        <v>2.6817129626579117E-2</v>
      </c>
      <c r="L25" s="21">
        <f t="shared" si="7"/>
        <v>38.616666662273929</v>
      </c>
      <c r="M25" s="21"/>
      <c r="N25" s="22"/>
      <c r="O25" s="17"/>
      <c r="Q25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07:19:00-0600',mode:absolute,to:'2016-04-20 08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25" s="16" t="str">
        <f t="shared" si="5"/>
        <v>N</v>
      </c>
      <c r="S25" s="16">
        <f t="shared" si="2"/>
        <v>23.2986</v>
      </c>
      <c r="T25" s="16">
        <f t="shared" si="3"/>
        <v>1.43E-2</v>
      </c>
      <c r="U25" s="16">
        <f t="shared" si="6"/>
        <v>23.284300000000002</v>
      </c>
      <c r="V25" s="51" t="e">
        <f>VLOOKUP(A25,Enforcements!$C$3:$J$62,8,0)</f>
        <v>#N/A</v>
      </c>
      <c r="W25" s="51" t="e">
        <f>VLOOKUP(A25,Enforcements!$C$3:$J$62,3,0)</f>
        <v>#N/A</v>
      </c>
    </row>
    <row r="26" spans="1:23" s="2" customFormat="1" x14ac:dyDescent="0.25">
      <c r="A26" s="18" t="s">
        <v>253</v>
      </c>
      <c r="B26" s="19">
        <v>4044</v>
      </c>
      <c r="C26" s="19" t="s">
        <v>221</v>
      </c>
      <c r="D26" s="19" t="s">
        <v>254</v>
      </c>
      <c r="E26" s="61">
        <v>42480.265648148146</v>
      </c>
      <c r="F26" s="61">
        <v>42480.266863425924</v>
      </c>
      <c r="G26" s="61">
        <v>1</v>
      </c>
      <c r="H26" s="61" t="s">
        <v>39</v>
      </c>
      <c r="I26" s="61">
        <v>42480.303657407407</v>
      </c>
      <c r="J26" s="19">
        <v>0</v>
      </c>
      <c r="K26" s="20">
        <f t="shared" si="0"/>
        <v>3.6793981482333038E-2</v>
      </c>
      <c r="L26" s="21">
        <f t="shared" si="7"/>
        <v>52.983333334559575</v>
      </c>
      <c r="M26" s="21"/>
      <c r="N26" s="22"/>
      <c r="O26" s="17" t="s">
        <v>389</v>
      </c>
      <c r="Q26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06:21:32-0600',mode:absolute,to:'2016-04-20 07:18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26" s="16" t="str">
        <f t="shared" si="5"/>
        <v>N</v>
      </c>
      <c r="S26" s="16">
        <f t="shared" si="2"/>
        <v>4.2700000000000002E-2</v>
      </c>
      <c r="T26" s="16">
        <f t="shared" si="3"/>
        <v>23.329899999999999</v>
      </c>
      <c r="U26" s="16">
        <f t="shared" si="6"/>
        <v>23.287199999999999</v>
      </c>
      <c r="V26" s="51" t="e">
        <f>VLOOKUP(A26,Enforcements!$C$3:$J$62,8,0)</f>
        <v>#N/A</v>
      </c>
      <c r="W26" s="51" t="e">
        <f>VLOOKUP(A26,Enforcements!$C$3:$J$62,3,0)</f>
        <v>#N/A</v>
      </c>
    </row>
    <row r="27" spans="1:23" s="2" customFormat="1" x14ac:dyDescent="0.25">
      <c r="A27" s="18" t="s">
        <v>255</v>
      </c>
      <c r="B27" s="19">
        <v>4026</v>
      </c>
      <c r="C27" s="19" t="s">
        <v>221</v>
      </c>
      <c r="D27" s="19" t="s">
        <v>256</v>
      </c>
      <c r="E27" s="61">
        <v>42480.320636574077</v>
      </c>
      <c r="F27" s="61">
        <v>42480.321608796294</v>
      </c>
      <c r="G27" s="61">
        <v>1</v>
      </c>
      <c r="H27" s="61" t="s">
        <v>37</v>
      </c>
      <c r="I27" s="61">
        <v>42480.348946759259</v>
      </c>
      <c r="J27" s="19">
        <v>0</v>
      </c>
      <c r="K27" s="20">
        <f t="shared" si="0"/>
        <v>2.7337962965248153E-2</v>
      </c>
      <c r="L27" s="21">
        <f t="shared" si="7"/>
        <v>39.36666666995734</v>
      </c>
      <c r="M27" s="21"/>
      <c r="N27" s="22"/>
      <c r="O27" s="17"/>
      <c r="Q27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07:40:43-0600',mode:absolute,to:'2016-04-20 08:23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27" s="16" t="str">
        <f t="shared" si="5"/>
        <v>N</v>
      </c>
      <c r="S27" s="16">
        <f t="shared" si="2"/>
        <v>23.296700000000001</v>
      </c>
      <c r="T27" s="16">
        <f t="shared" si="3"/>
        <v>1.41E-2</v>
      </c>
      <c r="U27" s="16">
        <f t="shared" si="6"/>
        <v>23.282600000000002</v>
      </c>
      <c r="V27" s="51" t="e">
        <f>VLOOKUP(A27,Enforcements!$C$3:$J$62,8,0)</f>
        <v>#N/A</v>
      </c>
      <c r="W27" s="51" t="e">
        <f>VLOOKUP(A27,Enforcements!$C$3:$J$62,3,0)</f>
        <v>#N/A</v>
      </c>
    </row>
    <row r="28" spans="1:23" s="2" customFormat="1" x14ac:dyDescent="0.25">
      <c r="A28" s="54" t="s">
        <v>176</v>
      </c>
      <c r="B28" s="55">
        <v>4025</v>
      </c>
      <c r="C28" s="55" t="s">
        <v>221</v>
      </c>
      <c r="D28" s="55" t="s">
        <v>74</v>
      </c>
      <c r="E28" s="62">
        <v>42480.276203703703</v>
      </c>
      <c r="F28" s="62">
        <v>42480.277187500003</v>
      </c>
      <c r="G28" s="62">
        <v>1</v>
      </c>
      <c r="H28" s="62" t="s">
        <v>257</v>
      </c>
      <c r="I28" s="62">
        <v>42480.31890046296</v>
      </c>
      <c r="J28" s="55">
        <v>1</v>
      </c>
      <c r="K28" s="56">
        <f t="shared" si="0"/>
        <v>4.1712962956808042E-2</v>
      </c>
      <c r="L28" s="57">
        <f t="shared" si="7"/>
        <v>60.06666665780358</v>
      </c>
      <c r="M28" s="57"/>
      <c r="N28" s="58"/>
      <c r="O28" s="59" t="s">
        <v>160</v>
      </c>
      <c r="Q28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06:36:44-0600',mode:absolute,to:'2016-04-20 07:40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28" s="16" t="str">
        <f t="shared" si="5"/>
        <v>N</v>
      </c>
      <c r="S28" s="16">
        <f t="shared" si="2"/>
        <v>4.6600000000000003E-2</v>
      </c>
      <c r="T28" s="16">
        <f t="shared" si="3"/>
        <v>23.332799999999999</v>
      </c>
      <c r="U28" s="16">
        <f t="shared" si="6"/>
        <v>23.286199999999997</v>
      </c>
      <c r="V28" s="51">
        <f>VLOOKUP(A28,Enforcements!$C$3:$J$62,8,0)</f>
        <v>144300</v>
      </c>
      <c r="W28" s="51" t="str">
        <f>VLOOKUP(A28,Enforcements!$C$3:$J$62,3,0)</f>
        <v>SIGNAL</v>
      </c>
    </row>
    <row r="29" spans="1:23" s="2" customFormat="1" x14ac:dyDescent="0.25">
      <c r="A29" s="18" t="s">
        <v>258</v>
      </c>
      <c r="B29" s="19">
        <v>4008</v>
      </c>
      <c r="C29" s="19" t="s">
        <v>221</v>
      </c>
      <c r="D29" s="19" t="s">
        <v>250</v>
      </c>
      <c r="E29" s="61">
        <v>42480.327210648145</v>
      </c>
      <c r="F29" s="61">
        <v>42480.328472222223</v>
      </c>
      <c r="G29" s="61">
        <v>1</v>
      </c>
      <c r="H29" s="61" t="s">
        <v>30</v>
      </c>
      <c r="I29" s="61">
        <v>42480.358148148145</v>
      </c>
      <c r="J29" s="19">
        <v>0</v>
      </c>
      <c r="K29" s="20">
        <f t="shared" si="0"/>
        <v>2.9675925921765156E-2</v>
      </c>
      <c r="L29" s="21">
        <f t="shared" si="7"/>
        <v>42.733333327341825</v>
      </c>
      <c r="M29" s="21"/>
      <c r="N29" s="22"/>
      <c r="O29" s="17"/>
      <c r="Q29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07:50:11-0600',mode:absolute,to:'2016-04-20 08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29" s="16" t="str">
        <f t="shared" si="5"/>
        <v>N</v>
      </c>
      <c r="S29" s="16">
        <f t="shared" si="2"/>
        <v>23.297699999999999</v>
      </c>
      <c r="T29" s="16">
        <f t="shared" si="3"/>
        <v>1.4999999999999999E-2</v>
      </c>
      <c r="U29" s="16">
        <f t="shared" si="6"/>
        <v>23.282699999999998</v>
      </c>
      <c r="V29" s="51" t="e">
        <f>VLOOKUP(A29,Enforcements!$C$3:$J$62,8,0)</f>
        <v>#N/A</v>
      </c>
      <c r="W29" s="51" t="e">
        <f>VLOOKUP(A29,Enforcements!$C$3:$J$62,3,0)</f>
        <v>#N/A</v>
      </c>
    </row>
    <row r="30" spans="1:23" s="2" customFormat="1" x14ac:dyDescent="0.25">
      <c r="A30" s="18" t="s">
        <v>139</v>
      </c>
      <c r="B30" s="19">
        <v>4007</v>
      </c>
      <c r="C30" s="19" t="s">
        <v>221</v>
      </c>
      <c r="D30" s="19" t="s">
        <v>32</v>
      </c>
      <c r="E30" s="61">
        <v>42480.28707175926</v>
      </c>
      <c r="F30" s="61">
        <v>42480.290833333333</v>
      </c>
      <c r="G30" s="61">
        <v>5</v>
      </c>
      <c r="H30" s="61" t="s">
        <v>31</v>
      </c>
      <c r="I30" s="61">
        <v>42480.318368055552</v>
      </c>
      <c r="J30" s="19">
        <v>3</v>
      </c>
      <c r="K30" s="20">
        <f t="shared" si="0"/>
        <v>2.753472221957054E-2</v>
      </c>
      <c r="L30" s="21">
        <f t="shared" si="7"/>
        <v>39.649999996181577</v>
      </c>
      <c r="M30" s="21"/>
      <c r="N30" s="22"/>
      <c r="O30" s="17"/>
      <c r="Q30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06:52:23-0600',mode:absolute,to:'2016-04-20 07:39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30" s="16" t="str">
        <f t="shared" si="5"/>
        <v>N</v>
      </c>
      <c r="S30" s="16">
        <f t="shared" si="2"/>
        <v>4.4400000000000002E-2</v>
      </c>
      <c r="T30" s="16">
        <f t="shared" si="3"/>
        <v>23.331199999999999</v>
      </c>
      <c r="U30" s="16">
        <f t="shared" si="6"/>
        <v>23.286799999999999</v>
      </c>
      <c r="V30" s="51">
        <f>VLOOKUP(A30,Enforcements!$C$3:$J$62,8,0)</f>
        <v>0</v>
      </c>
      <c r="W30" s="51" t="str">
        <f>VLOOKUP(A30,Enforcements!$C$3:$J$62,3,0)</f>
        <v>PERMANENT SPEED RESTRICTION</v>
      </c>
    </row>
    <row r="31" spans="1:23" s="2" customFormat="1" x14ac:dyDescent="0.25">
      <c r="A31" s="54" t="s">
        <v>259</v>
      </c>
      <c r="B31" s="55">
        <v>4017</v>
      </c>
      <c r="C31" s="55" t="s">
        <v>221</v>
      </c>
      <c r="D31" s="55" t="s">
        <v>43</v>
      </c>
      <c r="E31" s="62">
        <v>42480.329687500001</v>
      </c>
      <c r="F31" s="62">
        <v>42480.33053240741</v>
      </c>
      <c r="G31" s="62">
        <v>1</v>
      </c>
      <c r="H31" s="62" t="s">
        <v>42</v>
      </c>
      <c r="I31" s="62">
        <v>42480.369305555556</v>
      </c>
      <c r="J31" s="55">
        <v>0</v>
      </c>
      <c r="K31" s="56">
        <f t="shared" si="0"/>
        <v>3.8773148145992309E-2</v>
      </c>
      <c r="L31" s="57">
        <f t="shared" si="7"/>
        <v>55.833333330228925</v>
      </c>
      <c r="M31" s="57"/>
      <c r="N31" s="58"/>
      <c r="O31" s="17" t="s">
        <v>389</v>
      </c>
      <c r="Q31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07:53:45-0600',mode:absolute,to:'2016-04-20 08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1" s="16" t="str">
        <f t="shared" si="5"/>
        <v>N</v>
      </c>
      <c r="S31" s="16">
        <f t="shared" si="2"/>
        <v>23.2986</v>
      </c>
      <c r="T31" s="16">
        <f t="shared" si="3"/>
        <v>1.5599999999999999E-2</v>
      </c>
      <c r="U31" s="16">
        <f t="shared" si="6"/>
        <v>23.283000000000001</v>
      </c>
      <c r="V31" s="51" t="e">
        <f>VLOOKUP(A31,Enforcements!$C$3:$J$62,8,0)</f>
        <v>#N/A</v>
      </c>
      <c r="W31" s="51" t="e">
        <f>VLOOKUP(A31,Enforcements!$C$3:$J$62,3,0)</f>
        <v>#N/A</v>
      </c>
    </row>
    <row r="32" spans="1:23" s="2" customFormat="1" x14ac:dyDescent="0.25">
      <c r="A32" s="18" t="s">
        <v>175</v>
      </c>
      <c r="B32" s="19">
        <v>4018</v>
      </c>
      <c r="C32" s="19" t="s">
        <v>221</v>
      </c>
      <c r="D32" s="19" t="s">
        <v>82</v>
      </c>
      <c r="E32" s="61">
        <v>42480.301099537035</v>
      </c>
      <c r="F32" s="61">
        <v>42480.302060185182</v>
      </c>
      <c r="G32" s="61">
        <v>1</v>
      </c>
      <c r="H32" s="61" t="s">
        <v>87</v>
      </c>
      <c r="I32" s="61">
        <v>42480.328506944446</v>
      </c>
      <c r="J32" s="19">
        <v>2</v>
      </c>
      <c r="K32" s="20">
        <f t="shared" si="0"/>
        <v>2.644675926421769E-2</v>
      </c>
      <c r="L32" s="21">
        <f t="shared" si="7"/>
        <v>38.083333340473473</v>
      </c>
      <c r="M32" s="21"/>
      <c r="N32" s="22"/>
      <c r="O32" s="17"/>
      <c r="Q32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07:12:35-0600',mode:absolute,to:'2016-04-20 07:54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32" s="16" t="str">
        <f t="shared" si="5"/>
        <v>N</v>
      </c>
      <c r="S32" s="16">
        <f t="shared" si="2"/>
        <v>4.4900000000000002E-2</v>
      </c>
      <c r="T32" s="16">
        <f t="shared" si="3"/>
        <v>23.329499999999999</v>
      </c>
      <c r="U32" s="16">
        <f t="shared" si="6"/>
        <v>23.284600000000001</v>
      </c>
      <c r="V32" s="51">
        <f>VLOOKUP(A32,Enforcements!$C$3:$J$62,8,0)</f>
        <v>17867</v>
      </c>
      <c r="W32" s="51" t="str">
        <f>VLOOKUP(A32,Enforcements!$C$3:$J$62,3,0)</f>
        <v>PERMANENT SPEED RESTRICTION</v>
      </c>
    </row>
    <row r="33" spans="1:23" s="2" customFormat="1" x14ac:dyDescent="0.25">
      <c r="A33" s="18" t="s">
        <v>197</v>
      </c>
      <c r="B33" s="19">
        <v>4015</v>
      </c>
      <c r="C33" s="19" t="s">
        <v>221</v>
      </c>
      <c r="D33" s="19" t="s">
        <v>260</v>
      </c>
      <c r="E33" s="61">
        <v>42480.348136574074</v>
      </c>
      <c r="F33" s="61">
        <v>42480.349074074074</v>
      </c>
      <c r="G33" s="61">
        <v>1</v>
      </c>
      <c r="H33" s="61" t="s">
        <v>25</v>
      </c>
      <c r="I33" s="61">
        <v>42480.379513888889</v>
      </c>
      <c r="J33" s="19">
        <v>1</v>
      </c>
      <c r="K33" s="20">
        <f t="shared" si="0"/>
        <v>3.0439814814599231E-2</v>
      </c>
      <c r="L33" s="21">
        <f t="shared" si="7"/>
        <v>43.833333333022892</v>
      </c>
      <c r="M33" s="21"/>
      <c r="N33" s="22"/>
      <c r="O33" s="17"/>
      <c r="Q33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08:20:19-0600',mode:absolute,to:'2016-04-20 09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3" s="16" t="str">
        <f t="shared" si="5"/>
        <v>N</v>
      </c>
      <c r="S33" s="16">
        <f t="shared" si="2"/>
        <v>23.302299999999999</v>
      </c>
      <c r="T33" s="16">
        <f t="shared" si="3"/>
        <v>1.47E-2</v>
      </c>
      <c r="U33" s="16">
        <f t="shared" si="6"/>
        <v>23.287599999999998</v>
      </c>
      <c r="V33" s="51">
        <f>VLOOKUP(A33,Enforcements!$C$3:$J$62,8,0)</f>
        <v>110617</v>
      </c>
      <c r="W33" s="51" t="str">
        <f>VLOOKUP(A33,Enforcements!$C$3:$J$62,3,0)</f>
        <v>PERMANENT SPEED RESTRICTION</v>
      </c>
    </row>
    <row r="34" spans="1:23" s="2" customFormat="1" x14ac:dyDescent="0.25">
      <c r="A34" s="18" t="s">
        <v>174</v>
      </c>
      <c r="B34" s="19">
        <v>4016</v>
      </c>
      <c r="C34" s="19" t="s">
        <v>221</v>
      </c>
      <c r="D34" s="19" t="s">
        <v>261</v>
      </c>
      <c r="E34" s="61">
        <v>42480.312962962962</v>
      </c>
      <c r="F34" s="61">
        <v>42480.313657407409</v>
      </c>
      <c r="G34" s="61">
        <v>1</v>
      </c>
      <c r="H34" s="61" t="s">
        <v>262</v>
      </c>
      <c r="I34" s="61">
        <v>42480.33871527778</v>
      </c>
      <c r="J34" s="19">
        <v>1</v>
      </c>
      <c r="K34" s="20">
        <f t="shared" si="0"/>
        <v>2.5057870370801538E-2</v>
      </c>
      <c r="L34" s="21">
        <f t="shared" si="7"/>
        <v>36.083333333954215</v>
      </c>
      <c r="M34" s="21"/>
      <c r="N34" s="22"/>
      <c r="O34" s="17"/>
      <c r="Q34" s="16" t="str">
        <f t="shared" si="1"/>
        <v>https://search-rtdc-monitor-bjffxe2xuh6vdkpspy63sjmuny.us-east-1.es.amazonaws.com/_plugin/kibana/#/discover/Steve-Slow-Train-Analysis-(2080s-and-2083s)?_g=(refreshInterval:(display:Off,section:0,value:0),time:(from:'2016-04-20 07:29:40-0600',mode:absolute,to:'2016-04-20 08:08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34" s="16" t="str">
        <f t="shared" si="5"/>
        <v>N</v>
      </c>
      <c r="S34" s="16">
        <f t="shared" si="2"/>
        <v>4.9799999999999997E-2</v>
      </c>
      <c r="T34" s="16">
        <f t="shared" si="3"/>
        <v>23.333400000000001</v>
      </c>
      <c r="U34" s="16">
        <f t="shared" si="6"/>
        <v>23.2836</v>
      </c>
      <c r="V34" s="51">
        <f>VLOOKUP(A34,Enforcements!$C$3:$J$62,8,0)</f>
        <v>149694</v>
      </c>
      <c r="W34" s="51" t="str">
        <f>VLOOKUP(A34,Enforcements!$C$3:$J$62,3,0)</f>
        <v>SIGNAL</v>
      </c>
    </row>
    <row r="35" spans="1:23" s="2" customFormat="1" x14ac:dyDescent="0.25">
      <c r="A35" s="18" t="s">
        <v>170</v>
      </c>
      <c r="B35" s="19">
        <v>4023</v>
      </c>
      <c r="C35" s="19" t="s">
        <v>221</v>
      </c>
      <c r="D35" s="19" t="s">
        <v>263</v>
      </c>
      <c r="E35" s="61">
        <v>42480.357997685183</v>
      </c>
      <c r="F35" s="61">
        <v>42480.359097222223</v>
      </c>
      <c r="G35" s="61">
        <v>1</v>
      </c>
      <c r="H35" s="61" t="s">
        <v>44</v>
      </c>
      <c r="I35" s="61">
        <v>42480.389837962961</v>
      </c>
      <c r="J35" s="19">
        <v>1</v>
      </c>
      <c r="K35" s="20">
        <f t="shared" si="0"/>
        <v>3.0740740738110617E-2</v>
      </c>
      <c r="L35" s="21">
        <f t="shared" si="7"/>
        <v>44.266666662879288</v>
      </c>
      <c r="M35" s="21"/>
      <c r="N35" s="22"/>
      <c r="O35" s="17"/>
      <c r="Q35" s="16" t="str">
        <f t="shared" ref="Q35:Q66" si="8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https://search-rtdc-monitor-bjffxe2xuh6vdkpspy63sjmuny.us-east-1.es.amazonaws.com/_plugin/kibana/#/discover/Steve-Slow-Train-Analysis-(2080s-and-2083s)?_g=(refreshInterval:(display:Off,section:0,value:0),time:(from:'2016-04-20 08:34:31-0600',mode:absolute,to:'2016-04-20 09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R35" s="16" t="str">
        <f t="shared" si="5"/>
        <v>N</v>
      </c>
      <c r="S35" s="16">
        <f t="shared" ref="S35:S66" si="9">RIGHT(D35,LEN(D35)-4)/10000</f>
        <v>23.300699999999999</v>
      </c>
      <c r="T35" s="16">
        <f t="shared" ref="T35:T66" si="10">RIGHT(H35,LEN(H35)-4)/10000</f>
        <v>1.4500000000000001E-2</v>
      </c>
      <c r="U35" s="16">
        <f t="shared" si="6"/>
        <v>23.286199999999997</v>
      </c>
      <c r="V35" s="51">
        <f>VLOOKUP(A35,Enforcements!$C$3:$J$62,8,0)</f>
        <v>127587</v>
      </c>
      <c r="W35" s="51" t="str">
        <f>VLOOKUP(A35,Enforcements!$C$3:$J$62,3,0)</f>
        <v>SIGNAL</v>
      </c>
    </row>
    <row r="36" spans="1:23" s="2" customFormat="1" x14ac:dyDescent="0.25">
      <c r="A36" s="18" t="s">
        <v>173</v>
      </c>
      <c r="B36" s="19">
        <v>4024</v>
      </c>
      <c r="C36" s="19" t="s">
        <v>221</v>
      </c>
      <c r="D36" s="19" t="s">
        <v>77</v>
      </c>
      <c r="E36" s="61">
        <v>42480.319178240738</v>
      </c>
      <c r="F36" s="61">
        <v>42480.320127314815</v>
      </c>
      <c r="G36" s="61">
        <v>1</v>
      </c>
      <c r="H36" s="61" t="s">
        <v>78</v>
      </c>
      <c r="I36" s="61">
        <v>42480.348587962966</v>
      </c>
      <c r="J36" s="19">
        <v>1</v>
      </c>
      <c r="K36" s="20">
        <f t="shared" si="0"/>
        <v>2.846064815093996E-2</v>
      </c>
      <c r="L36" s="21">
        <f t="shared" si="7"/>
        <v>40.983333337353542</v>
      </c>
      <c r="M36" s="21"/>
      <c r="N36" s="22"/>
      <c r="O36" s="17"/>
      <c r="Q36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07:38:37-0600',mode:absolute,to:'2016-04-20 08:22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R36" s="16" t="str">
        <f t="shared" si="5"/>
        <v>N</v>
      </c>
      <c r="S36" s="16">
        <f t="shared" si="9"/>
        <v>4.5999999999999999E-2</v>
      </c>
      <c r="T36" s="16">
        <f t="shared" si="10"/>
        <v>23.331800000000001</v>
      </c>
      <c r="U36" s="16">
        <f t="shared" si="6"/>
        <v>23.285800000000002</v>
      </c>
      <c r="V36" s="51">
        <f>VLOOKUP(A36,Enforcements!$C$3:$J$62,8,0)</f>
        <v>144300</v>
      </c>
      <c r="W36" s="51" t="str">
        <f>VLOOKUP(A36,Enforcements!$C$3:$J$62,3,0)</f>
        <v>SIGNAL</v>
      </c>
    </row>
    <row r="37" spans="1:23" s="2" customFormat="1" x14ac:dyDescent="0.25">
      <c r="A37" s="18" t="s">
        <v>264</v>
      </c>
      <c r="B37" s="19">
        <v>4013</v>
      </c>
      <c r="C37" s="19" t="s">
        <v>221</v>
      </c>
      <c r="D37" s="19" t="s">
        <v>28</v>
      </c>
      <c r="E37" s="61">
        <v>42480.366365740738</v>
      </c>
      <c r="F37" s="61">
        <v>42480.367986111109</v>
      </c>
      <c r="G37" s="61">
        <v>2</v>
      </c>
      <c r="H37" s="61" t="s">
        <v>232</v>
      </c>
      <c r="I37" s="61">
        <v>42480.400659722225</v>
      </c>
      <c r="J37" s="19">
        <v>0</v>
      </c>
      <c r="K37" s="20">
        <f t="shared" si="0"/>
        <v>3.2673611116479151E-2</v>
      </c>
      <c r="L37" s="21">
        <f t="shared" si="7"/>
        <v>47.050000007729977</v>
      </c>
      <c r="M37" s="21"/>
      <c r="N37" s="22"/>
      <c r="O37" s="17"/>
      <c r="Q37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08:46:34-0600',mode:absolute,to:'2016-04-20 09:37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7" s="16" t="str">
        <f t="shared" si="5"/>
        <v>N</v>
      </c>
      <c r="S37" s="16">
        <f t="shared" si="9"/>
        <v>23.299399999999999</v>
      </c>
      <c r="T37" s="16">
        <f t="shared" si="10"/>
        <v>1.61E-2</v>
      </c>
      <c r="U37" s="16">
        <f t="shared" si="6"/>
        <v>23.283299999999997</v>
      </c>
      <c r="V37" s="51" t="e">
        <f>VLOOKUP(A37,Enforcements!$C$3:$J$62,8,0)</f>
        <v>#N/A</v>
      </c>
      <c r="W37" s="51" t="e">
        <f>VLOOKUP(A37,Enforcements!$C$3:$J$62,3,0)</f>
        <v>#N/A</v>
      </c>
    </row>
    <row r="38" spans="1:23" s="2" customFormat="1" x14ac:dyDescent="0.25">
      <c r="A38" s="18" t="s">
        <v>171</v>
      </c>
      <c r="B38" s="19">
        <v>4014</v>
      </c>
      <c r="C38" s="19" t="s">
        <v>221</v>
      </c>
      <c r="D38" s="19" t="s">
        <v>53</v>
      </c>
      <c r="E38" s="61">
        <v>42480.32980324074</v>
      </c>
      <c r="F38" s="61">
        <v>42480.332881944443</v>
      </c>
      <c r="G38" s="61">
        <v>4</v>
      </c>
      <c r="H38" s="61" t="s">
        <v>55</v>
      </c>
      <c r="I38" s="61">
        <v>42480.358865740738</v>
      </c>
      <c r="J38" s="19">
        <v>1</v>
      </c>
      <c r="K38" s="20">
        <f t="shared" si="0"/>
        <v>2.5983796294895001E-2</v>
      </c>
      <c r="L38" s="21">
        <f t="shared" si="7"/>
        <v>37.416666664648801</v>
      </c>
      <c r="M38" s="21"/>
      <c r="N38" s="22"/>
      <c r="O38" s="17"/>
      <c r="Q38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07:53:55-0600',mode:absolute,to:'2016-04-20 08:37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38" s="16" t="str">
        <f t="shared" si="5"/>
        <v>N</v>
      </c>
      <c r="S38" s="16">
        <f t="shared" si="9"/>
        <v>4.5699999999999998E-2</v>
      </c>
      <c r="T38" s="16">
        <f t="shared" si="10"/>
        <v>23.330200000000001</v>
      </c>
      <c r="U38" s="16">
        <f t="shared" si="6"/>
        <v>23.284500000000001</v>
      </c>
      <c r="V38" s="51">
        <f>VLOOKUP(A38,Enforcements!$C$3:$J$62,8,0)</f>
        <v>144300</v>
      </c>
      <c r="W38" s="51" t="str">
        <f>VLOOKUP(A38,Enforcements!$C$3:$J$62,3,0)</f>
        <v>SIGNAL</v>
      </c>
    </row>
    <row r="39" spans="1:23" s="2" customFormat="1" x14ac:dyDescent="0.25">
      <c r="A39" s="18" t="s">
        <v>265</v>
      </c>
      <c r="B39" s="19">
        <v>4043</v>
      </c>
      <c r="C39" s="19" t="s">
        <v>221</v>
      </c>
      <c r="D39" s="19" t="s">
        <v>43</v>
      </c>
      <c r="E39" s="61">
        <v>42480.37641203704</v>
      </c>
      <c r="F39" s="61">
        <v>42480.378113425926</v>
      </c>
      <c r="G39" s="61">
        <v>2</v>
      </c>
      <c r="H39" s="61" t="s">
        <v>9</v>
      </c>
      <c r="I39" s="61">
        <v>42480.410543981481</v>
      </c>
      <c r="J39" s="19">
        <v>0</v>
      </c>
      <c r="K39" s="20">
        <f t="shared" si="0"/>
        <v>3.2430555555038154E-2</v>
      </c>
      <c r="L39" s="21">
        <f t="shared" si="7"/>
        <v>46.699999999254942</v>
      </c>
      <c r="M39" s="21"/>
      <c r="N39" s="22"/>
      <c r="O39" s="17"/>
      <c r="Q39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09:01:02-0600',mode:absolute,to:'2016-04-20 09:52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9" s="16" t="str">
        <f t="shared" si="5"/>
        <v>N</v>
      </c>
      <c r="S39" s="16">
        <f t="shared" si="9"/>
        <v>23.2986</v>
      </c>
      <c r="T39" s="16">
        <f t="shared" si="10"/>
        <v>1.43E-2</v>
      </c>
      <c r="U39" s="16">
        <f t="shared" si="6"/>
        <v>23.284300000000002</v>
      </c>
      <c r="V39" s="51" t="e">
        <f>VLOOKUP(A39,Enforcements!$C$3:$J$62,8,0)</f>
        <v>#N/A</v>
      </c>
      <c r="W39" s="51" t="e">
        <f>VLOOKUP(A39,Enforcements!$C$3:$J$62,3,0)</f>
        <v>#N/A</v>
      </c>
    </row>
    <row r="40" spans="1:23" s="2" customFormat="1" x14ac:dyDescent="0.25">
      <c r="A40" s="18" t="s">
        <v>138</v>
      </c>
      <c r="B40" s="19">
        <v>4044</v>
      </c>
      <c r="C40" s="19" t="s">
        <v>221</v>
      </c>
      <c r="D40" s="19" t="s">
        <v>32</v>
      </c>
      <c r="E40" s="61">
        <v>42480.33866898148</v>
      </c>
      <c r="F40" s="61">
        <v>42480.339884259258</v>
      </c>
      <c r="G40" s="61">
        <v>1</v>
      </c>
      <c r="H40" s="61" t="s">
        <v>78</v>
      </c>
      <c r="I40" s="61">
        <v>42480.368414351855</v>
      </c>
      <c r="J40" s="19">
        <v>1</v>
      </c>
      <c r="K40" s="20">
        <f t="shared" si="0"/>
        <v>2.8530092597065959E-2</v>
      </c>
      <c r="L40" s="21">
        <f t="shared" si="7"/>
        <v>41.083333339774981</v>
      </c>
      <c r="M40" s="21"/>
      <c r="N40" s="22"/>
      <c r="O40" s="17"/>
      <c r="Q40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08:06:41-0600',mode:absolute,to:'2016-04-20 08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0" s="16" t="str">
        <f t="shared" si="5"/>
        <v>N</v>
      </c>
      <c r="S40" s="16">
        <f t="shared" si="9"/>
        <v>4.4400000000000002E-2</v>
      </c>
      <c r="T40" s="16">
        <f t="shared" si="10"/>
        <v>23.331800000000001</v>
      </c>
      <c r="U40" s="16">
        <f t="shared" si="6"/>
        <v>23.287400000000002</v>
      </c>
      <c r="V40" s="51" t="e">
        <f>VLOOKUP(A40,Enforcements!$C$3:$J$62,8,0)</f>
        <v>#N/A</v>
      </c>
      <c r="W40" s="51" t="e">
        <f>VLOOKUP(A40,Enforcements!$C$3:$J$62,3,0)</f>
        <v>#N/A</v>
      </c>
    </row>
    <row r="41" spans="1:23" s="2" customFormat="1" x14ac:dyDescent="0.25">
      <c r="A41" s="18" t="s">
        <v>266</v>
      </c>
      <c r="B41" s="19">
        <v>4026</v>
      </c>
      <c r="C41" s="19" t="s">
        <v>221</v>
      </c>
      <c r="D41" s="19" t="s">
        <v>48</v>
      </c>
      <c r="E41" s="61">
        <v>42480.391134259262</v>
      </c>
      <c r="F41" s="61">
        <v>42480.392418981479</v>
      </c>
      <c r="G41" s="61">
        <v>1</v>
      </c>
      <c r="H41" s="61" t="s">
        <v>34</v>
      </c>
      <c r="I41" s="61">
        <v>42480.422164351854</v>
      </c>
      <c r="J41" s="19">
        <v>0</v>
      </c>
      <c r="K41" s="20">
        <f t="shared" si="0"/>
        <v>2.9745370375167113E-2</v>
      </c>
      <c r="L41" s="21">
        <f t="shared" si="7"/>
        <v>42.833333340240642</v>
      </c>
      <c r="M41" s="21"/>
      <c r="N41" s="22"/>
      <c r="O41" s="17"/>
      <c r="Q41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09:22:14-0600',mode:absolute,to:'2016-04-20 10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41" s="16" t="str">
        <f t="shared" si="5"/>
        <v>N</v>
      </c>
      <c r="S41" s="16">
        <f t="shared" si="9"/>
        <v>23.2987</v>
      </c>
      <c r="T41" s="16">
        <f t="shared" si="10"/>
        <v>1.52E-2</v>
      </c>
      <c r="U41" s="16">
        <f t="shared" si="6"/>
        <v>23.2835</v>
      </c>
      <c r="V41" s="51" t="e">
        <f>VLOOKUP(A41,Enforcements!$C$3:$J$62,8,0)</f>
        <v>#N/A</v>
      </c>
      <c r="W41" s="51" t="e">
        <f>VLOOKUP(A41,Enforcements!$C$3:$J$62,3,0)</f>
        <v>#N/A</v>
      </c>
    </row>
    <row r="42" spans="1:23" s="2" customFormat="1" x14ac:dyDescent="0.25">
      <c r="A42" s="18" t="s">
        <v>198</v>
      </c>
      <c r="B42" s="19">
        <v>4025</v>
      </c>
      <c r="C42" s="19" t="s">
        <v>221</v>
      </c>
      <c r="D42" s="19" t="s">
        <v>45</v>
      </c>
      <c r="E42" s="61">
        <v>42480.354062500002</v>
      </c>
      <c r="F42" s="61">
        <v>42480.355185185188</v>
      </c>
      <c r="G42" s="61">
        <v>1</v>
      </c>
      <c r="H42" s="61" t="s">
        <v>23</v>
      </c>
      <c r="I42" s="61">
        <v>42480.388969907406</v>
      </c>
      <c r="J42" s="19">
        <v>1</v>
      </c>
      <c r="K42" s="20">
        <f t="shared" si="0"/>
        <v>3.3784722218115348E-2</v>
      </c>
      <c r="L42" s="21">
        <f t="shared" si="7"/>
        <v>48.649999994086102</v>
      </c>
      <c r="M42" s="21"/>
      <c r="N42" s="22"/>
      <c r="O42" s="17"/>
      <c r="Q42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08:28:51-0600',mode:absolute,to:'2016-04-20 09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42" s="16" t="str">
        <f t="shared" si="5"/>
        <v>N</v>
      </c>
      <c r="S42" s="16">
        <f t="shared" si="9"/>
        <v>4.5100000000000001E-2</v>
      </c>
      <c r="T42" s="16">
        <f t="shared" si="10"/>
        <v>23.3308</v>
      </c>
      <c r="U42" s="16">
        <f t="shared" si="6"/>
        <v>23.285699999999999</v>
      </c>
      <c r="V42" s="51">
        <f>VLOOKUP(A42,Enforcements!$C$3:$J$62,8,0)</f>
        <v>27333</v>
      </c>
      <c r="W42" s="51" t="str">
        <f>VLOOKUP(A42,Enforcements!$C$3:$J$62,3,0)</f>
        <v>PERMANENT SPEED RESTRICTION</v>
      </c>
    </row>
    <row r="43" spans="1:23" s="2" customFormat="1" x14ac:dyDescent="0.25">
      <c r="A43" s="54" t="s">
        <v>267</v>
      </c>
      <c r="B43" s="55">
        <v>4008</v>
      </c>
      <c r="C43" s="55" t="s">
        <v>221</v>
      </c>
      <c r="D43" s="55" t="s">
        <v>57</v>
      </c>
      <c r="E43" s="62">
        <v>42480.393587962964</v>
      </c>
      <c r="F43" s="62">
        <v>42480.394803240742</v>
      </c>
      <c r="G43" s="62">
        <v>1</v>
      </c>
      <c r="H43" s="62" t="s">
        <v>25</v>
      </c>
      <c r="I43" s="62">
        <v>42480.432314814818</v>
      </c>
      <c r="J43" s="55">
        <v>0</v>
      </c>
      <c r="K43" s="56">
        <f t="shared" si="0"/>
        <v>3.7511574075324461E-2</v>
      </c>
      <c r="L43" s="57">
        <f t="shared" si="7"/>
        <v>54.016666668467224</v>
      </c>
      <c r="M43" s="57"/>
      <c r="N43" s="58"/>
      <c r="O43" s="17" t="s">
        <v>389</v>
      </c>
      <c r="Q43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09:25:46-0600',mode:absolute,to:'2016-04-20 10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43" s="16" t="str">
        <f t="shared" si="5"/>
        <v>N</v>
      </c>
      <c r="S43" s="16">
        <f t="shared" si="9"/>
        <v>23.297799999999999</v>
      </c>
      <c r="T43" s="16">
        <f t="shared" si="10"/>
        <v>1.47E-2</v>
      </c>
      <c r="U43" s="16">
        <f t="shared" si="6"/>
        <v>23.283099999999997</v>
      </c>
      <c r="V43" s="51" t="e">
        <f>VLOOKUP(A43,Enforcements!$C$3:$J$62,8,0)</f>
        <v>#N/A</v>
      </c>
      <c r="W43" s="51" t="e">
        <f>VLOOKUP(A43,Enforcements!$C$3:$J$62,3,0)</f>
        <v>#N/A</v>
      </c>
    </row>
    <row r="44" spans="1:23" s="2" customFormat="1" x14ac:dyDescent="0.25">
      <c r="A44" s="18" t="s">
        <v>136</v>
      </c>
      <c r="B44" s="19">
        <v>4007</v>
      </c>
      <c r="C44" s="19" t="s">
        <v>221</v>
      </c>
      <c r="D44" s="19" t="s">
        <v>268</v>
      </c>
      <c r="E44" s="61">
        <v>42480.360868055555</v>
      </c>
      <c r="F44" s="61">
        <v>42480.362060185187</v>
      </c>
      <c r="G44" s="61">
        <v>1</v>
      </c>
      <c r="H44" s="61" t="s">
        <v>39</v>
      </c>
      <c r="I44" s="61">
        <v>42480.391736111109</v>
      </c>
      <c r="J44" s="19">
        <v>2</v>
      </c>
      <c r="K44" s="20">
        <f t="shared" si="0"/>
        <v>2.9675925921765156E-2</v>
      </c>
      <c r="L44" s="21">
        <f t="shared" si="7"/>
        <v>42.733333327341825</v>
      </c>
      <c r="M44" s="21"/>
      <c r="N44" s="22"/>
      <c r="O44" s="17"/>
      <c r="Q44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08:38:39-0600',mode:absolute,to:'2016-04-20 09:25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44" s="16" t="str">
        <f t="shared" si="5"/>
        <v>N</v>
      </c>
      <c r="S44" s="16">
        <f t="shared" si="9"/>
        <v>4.7699999999999999E-2</v>
      </c>
      <c r="T44" s="16">
        <f t="shared" si="10"/>
        <v>23.329899999999999</v>
      </c>
      <c r="U44" s="16">
        <f t="shared" si="6"/>
        <v>23.2822</v>
      </c>
      <c r="V44" s="51">
        <f>VLOOKUP(A44,Enforcements!$C$3:$J$62,8,0)</f>
        <v>144300</v>
      </c>
      <c r="W44" s="51" t="str">
        <f>VLOOKUP(A44,Enforcements!$C$3:$J$62,3,0)</f>
        <v>SIGNAL</v>
      </c>
    </row>
    <row r="45" spans="1:23" s="2" customFormat="1" x14ac:dyDescent="0.25">
      <c r="A45" s="18" t="s">
        <v>132</v>
      </c>
      <c r="B45" s="19">
        <v>4017</v>
      </c>
      <c r="C45" s="19" t="s">
        <v>221</v>
      </c>
      <c r="D45" s="19" t="s">
        <v>75</v>
      </c>
      <c r="E45" s="61">
        <v>42480.411273148151</v>
      </c>
      <c r="F45" s="61">
        <v>42480.412476851852</v>
      </c>
      <c r="G45" s="61">
        <v>1</v>
      </c>
      <c r="H45" s="61" t="s">
        <v>42</v>
      </c>
      <c r="I45" s="61">
        <v>42480.444548611114</v>
      </c>
      <c r="J45" s="19">
        <v>5</v>
      </c>
      <c r="K45" s="20">
        <f t="shared" si="0"/>
        <v>3.2071759262180422E-2</v>
      </c>
      <c r="L45" s="21">
        <f t="shared" si="7"/>
        <v>46.183333337539807</v>
      </c>
      <c r="M45" s="21"/>
      <c r="N45" s="22"/>
      <c r="O45" s="17"/>
      <c r="Q45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09:51:14-0600',mode:absolute,to:'2016-04-20 10:41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45" s="16" t="str">
        <f t="shared" si="5"/>
        <v>N</v>
      </c>
      <c r="S45" s="16">
        <f t="shared" si="9"/>
        <v>23.2959</v>
      </c>
      <c r="T45" s="16">
        <f t="shared" si="10"/>
        <v>1.5599999999999999E-2</v>
      </c>
      <c r="U45" s="16">
        <f t="shared" si="6"/>
        <v>23.2803</v>
      </c>
      <c r="V45" s="51">
        <f>VLOOKUP(A45,Enforcements!$C$3:$J$62,8,0)</f>
        <v>190834</v>
      </c>
      <c r="W45" s="51" t="str">
        <f>VLOOKUP(A45,Enforcements!$C$3:$J$62,3,0)</f>
        <v>PERMANENT SPEED RESTRICTION</v>
      </c>
    </row>
    <row r="46" spans="1:23" s="2" customFormat="1" x14ac:dyDescent="0.25">
      <c r="A46" s="18" t="s">
        <v>169</v>
      </c>
      <c r="B46" s="19">
        <v>4018</v>
      </c>
      <c r="C46" s="19" t="s">
        <v>221</v>
      </c>
      <c r="D46" s="19" t="s">
        <v>41</v>
      </c>
      <c r="E46" s="61">
        <v>42480.371655092589</v>
      </c>
      <c r="F46" s="61">
        <v>42480.373333333337</v>
      </c>
      <c r="G46" s="61">
        <v>2</v>
      </c>
      <c r="H46" s="61" t="s">
        <v>71</v>
      </c>
      <c r="I46" s="61">
        <v>42480.404328703706</v>
      </c>
      <c r="J46" s="19">
        <v>3</v>
      </c>
      <c r="K46" s="20">
        <f t="shared" si="0"/>
        <v>3.0995370369055308E-2</v>
      </c>
      <c r="L46" s="21">
        <f t="shared" si="7"/>
        <v>44.633333331439644</v>
      </c>
      <c r="M46" s="21"/>
      <c r="N46" s="22"/>
      <c r="O46" s="17"/>
      <c r="Q46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08:54:11-0600',mode:absolute,to:'2016-04-20 09:43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46" s="16" t="str">
        <f t="shared" si="5"/>
        <v>N</v>
      </c>
      <c r="S46" s="16">
        <f t="shared" si="9"/>
        <v>4.58E-2</v>
      </c>
      <c r="T46" s="16">
        <f t="shared" si="10"/>
        <v>23.328900000000001</v>
      </c>
      <c r="U46" s="16">
        <f t="shared" si="6"/>
        <v>23.283100000000001</v>
      </c>
      <c r="V46" s="51">
        <f>VLOOKUP(A46,Enforcements!$C$3:$J$62,8,0)</f>
        <v>222090</v>
      </c>
      <c r="W46" s="51" t="str">
        <f>VLOOKUP(A46,Enforcements!$C$3:$J$62,3,0)</f>
        <v>PERMANENT SPEED RESTRICTION</v>
      </c>
    </row>
    <row r="47" spans="1:23" s="2" customFormat="1" x14ac:dyDescent="0.25">
      <c r="A47" s="18" t="s">
        <v>167</v>
      </c>
      <c r="B47" s="19">
        <v>4015</v>
      </c>
      <c r="C47" s="19" t="s">
        <v>221</v>
      </c>
      <c r="D47" s="19" t="s">
        <v>256</v>
      </c>
      <c r="E47" s="61">
        <v>42480.420601851853</v>
      </c>
      <c r="F47" s="61">
        <v>42480.422025462962</v>
      </c>
      <c r="G47" s="61">
        <v>2</v>
      </c>
      <c r="H47" s="61" t="s">
        <v>36</v>
      </c>
      <c r="I47" s="61">
        <v>42480.4534375</v>
      </c>
      <c r="J47" s="19">
        <v>1</v>
      </c>
      <c r="K47" s="20">
        <f t="shared" si="0"/>
        <v>3.1412037038535345E-2</v>
      </c>
      <c r="L47" s="21">
        <f t="shared" si="7"/>
        <v>45.233333335490897</v>
      </c>
      <c r="M47" s="21"/>
      <c r="N47" s="22"/>
      <c r="O47" s="17"/>
      <c r="Q47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10:04:40-0600',mode:absolute,to:'2016-04-20 10:53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7" s="16" t="str">
        <f t="shared" si="5"/>
        <v>N</v>
      </c>
      <c r="S47" s="16">
        <f t="shared" si="9"/>
        <v>23.296700000000001</v>
      </c>
      <c r="T47" s="16">
        <f t="shared" si="10"/>
        <v>1.54E-2</v>
      </c>
      <c r="U47" s="16">
        <f t="shared" si="6"/>
        <v>23.281300000000002</v>
      </c>
      <c r="V47" s="51">
        <f>VLOOKUP(A47,Enforcements!$C$3:$J$62,8,0)</f>
        <v>133166</v>
      </c>
      <c r="W47" s="51" t="str">
        <f>VLOOKUP(A47,Enforcements!$C$3:$J$62,3,0)</f>
        <v>SIGNAL</v>
      </c>
    </row>
    <row r="48" spans="1:23" s="2" customFormat="1" x14ac:dyDescent="0.25">
      <c r="A48" s="18" t="s">
        <v>168</v>
      </c>
      <c r="B48" s="19">
        <v>4016</v>
      </c>
      <c r="C48" s="19" t="s">
        <v>221</v>
      </c>
      <c r="D48" s="19" t="s">
        <v>269</v>
      </c>
      <c r="E48" s="61">
        <v>42480.383773148147</v>
      </c>
      <c r="F48" s="61">
        <v>42480.384768518517</v>
      </c>
      <c r="G48" s="61">
        <v>1</v>
      </c>
      <c r="H48" s="61" t="s">
        <v>71</v>
      </c>
      <c r="I48" s="61">
        <v>42480.412175925929</v>
      </c>
      <c r="J48" s="19">
        <v>2</v>
      </c>
      <c r="K48" s="20">
        <f t="shared" ref="K48:K111" si="11">I48-F48</f>
        <v>2.7407407411374152E-2</v>
      </c>
      <c r="L48" s="21">
        <f t="shared" si="7"/>
        <v>39.466666672378778</v>
      </c>
      <c r="M48" s="21"/>
      <c r="N48" s="22"/>
      <c r="O48" s="17"/>
      <c r="Q48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09:11:38-0600',mode:absolute,to:'2016-04-20 09:54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48" s="16" t="str">
        <f t="shared" si="5"/>
        <v>N</v>
      </c>
      <c r="S48" s="16">
        <f t="shared" si="9"/>
        <v>4.5499999999999999E-2</v>
      </c>
      <c r="T48" s="16">
        <f t="shared" si="10"/>
        <v>23.328900000000001</v>
      </c>
      <c r="U48" s="16">
        <f t="shared" si="6"/>
        <v>23.2834</v>
      </c>
      <c r="V48" s="51">
        <f>VLOOKUP(A48,Enforcements!$C$3:$J$62,8,0)</f>
        <v>149694</v>
      </c>
      <c r="W48" s="51" t="str">
        <f>VLOOKUP(A48,Enforcements!$C$3:$J$62,3,0)</f>
        <v>SIGNAL</v>
      </c>
    </row>
    <row r="49" spans="1:23" s="2" customFormat="1" x14ac:dyDescent="0.25">
      <c r="A49" s="54" t="s">
        <v>165</v>
      </c>
      <c r="B49" s="55">
        <v>4023</v>
      </c>
      <c r="C49" s="55" t="s">
        <v>221</v>
      </c>
      <c r="D49" s="55" t="s">
        <v>270</v>
      </c>
      <c r="E49" s="62">
        <v>42480.4299537037</v>
      </c>
      <c r="F49" s="62">
        <v>42480.431041666663</v>
      </c>
      <c r="G49" s="62">
        <v>1</v>
      </c>
      <c r="H49" s="62" t="s">
        <v>30</v>
      </c>
      <c r="I49" s="62">
        <v>42480.466435185182</v>
      </c>
      <c r="J49" s="55">
        <v>1</v>
      </c>
      <c r="K49" s="56">
        <f t="shared" si="11"/>
        <v>3.5393518519413192E-2</v>
      </c>
      <c r="L49" s="57">
        <f t="shared" si="7"/>
        <v>50.966666667954996</v>
      </c>
      <c r="M49" s="57"/>
      <c r="N49" s="58"/>
      <c r="O49" s="59" t="s">
        <v>160</v>
      </c>
      <c r="Q49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10:18:08-0600',mode:absolute,to:'2016-04-20 11:12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R49" s="16" t="str">
        <f t="shared" si="5"/>
        <v>N</v>
      </c>
      <c r="S49" s="16">
        <f t="shared" si="9"/>
        <v>23.300799999999999</v>
      </c>
      <c r="T49" s="16">
        <f t="shared" si="10"/>
        <v>1.4999999999999999E-2</v>
      </c>
      <c r="U49" s="16">
        <f t="shared" si="6"/>
        <v>23.285799999999998</v>
      </c>
      <c r="V49" s="51">
        <f>VLOOKUP(A49,Enforcements!$C$3:$J$62,8,0)</f>
        <v>133166</v>
      </c>
      <c r="W49" s="51" t="str">
        <f>VLOOKUP(A49,Enforcements!$C$3:$J$62,3,0)</f>
        <v>SIGNAL</v>
      </c>
    </row>
    <row r="50" spans="1:23" s="2" customFormat="1" x14ac:dyDescent="0.25">
      <c r="A50" s="18" t="s">
        <v>271</v>
      </c>
      <c r="B50" s="19">
        <v>4024</v>
      </c>
      <c r="C50" s="19" t="s">
        <v>221</v>
      </c>
      <c r="D50" s="19" t="s">
        <v>32</v>
      </c>
      <c r="E50" s="61">
        <v>42480.393553240741</v>
      </c>
      <c r="F50" s="61">
        <v>42480.394780092596</v>
      </c>
      <c r="G50" s="61">
        <v>1</v>
      </c>
      <c r="H50" s="61" t="s">
        <v>230</v>
      </c>
      <c r="I50" s="61">
        <v>42480.420520833337</v>
      </c>
      <c r="J50" s="19">
        <v>0</v>
      </c>
      <c r="K50" s="20">
        <f t="shared" si="11"/>
        <v>2.5740740740729962E-2</v>
      </c>
      <c r="L50" s="21">
        <f t="shared" si="7"/>
        <v>37.066666666651145</v>
      </c>
      <c r="M50" s="21"/>
      <c r="N50" s="22"/>
      <c r="O50" s="17"/>
      <c r="Q50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09:25:43-0600',mode:absolute,to:'2016-04-20 10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R50" s="16" t="str">
        <f t="shared" si="5"/>
        <v>N</v>
      </c>
      <c r="S50" s="16">
        <f t="shared" si="9"/>
        <v>4.4400000000000002E-2</v>
      </c>
      <c r="T50" s="16">
        <f t="shared" si="10"/>
        <v>23.332699999999999</v>
      </c>
      <c r="U50" s="16">
        <f t="shared" si="6"/>
        <v>23.2883</v>
      </c>
      <c r="V50" s="51" t="e">
        <f>VLOOKUP(A50,Enforcements!$C$3:$J$62,8,0)</f>
        <v>#N/A</v>
      </c>
      <c r="W50" s="51" t="e">
        <f>VLOOKUP(A50,Enforcements!$C$3:$J$62,3,0)</f>
        <v>#N/A</v>
      </c>
    </row>
    <row r="51" spans="1:23" s="2" customFormat="1" x14ac:dyDescent="0.25">
      <c r="A51" s="18" t="s">
        <v>272</v>
      </c>
      <c r="B51" s="19">
        <v>4013</v>
      </c>
      <c r="C51" s="19" t="s">
        <v>221</v>
      </c>
      <c r="D51" s="19" t="s">
        <v>57</v>
      </c>
      <c r="E51" s="61">
        <v>42480.437164351853</v>
      </c>
      <c r="F51" s="61">
        <v>42480.438460648147</v>
      </c>
      <c r="G51" s="61">
        <v>1</v>
      </c>
      <c r="H51" s="61" t="s">
        <v>34</v>
      </c>
      <c r="I51" s="61">
        <v>42480.472627314812</v>
      </c>
      <c r="J51" s="19">
        <v>0</v>
      </c>
      <c r="K51" s="20">
        <f t="shared" si="11"/>
        <v>3.4166666664532386E-2</v>
      </c>
      <c r="L51" s="21">
        <f t="shared" si="7"/>
        <v>49.199999996926636</v>
      </c>
      <c r="M51" s="21"/>
      <c r="N51" s="22"/>
      <c r="O51" s="17"/>
      <c r="Q51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10:28:31-0600',mode:absolute,to:'2016-04-20 11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51" s="16" t="str">
        <f t="shared" si="5"/>
        <v>N</v>
      </c>
      <c r="S51" s="16">
        <f t="shared" si="9"/>
        <v>23.297799999999999</v>
      </c>
      <c r="T51" s="16">
        <f t="shared" si="10"/>
        <v>1.52E-2</v>
      </c>
      <c r="U51" s="16">
        <f t="shared" si="6"/>
        <v>23.282599999999999</v>
      </c>
      <c r="V51" s="51" t="e">
        <f>VLOOKUP(A51,Enforcements!$C$3:$J$62,8,0)</f>
        <v>#N/A</v>
      </c>
      <c r="W51" s="51" t="e">
        <f>VLOOKUP(A51,Enforcements!$C$3:$J$62,3,0)</f>
        <v>#N/A</v>
      </c>
    </row>
    <row r="52" spans="1:23" s="2" customFormat="1" x14ac:dyDescent="0.25">
      <c r="A52" s="18" t="s">
        <v>273</v>
      </c>
      <c r="B52" s="19">
        <v>4014</v>
      </c>
      <c r="C52" s="19" t="s">
        <v>221</v>
      </c>
      <c r="D52" s="19" t="s">
        <v>77</v>
      </c>
      <c r="E52" s="61">
        <v>42480.405358796299</v>
      </c>
      <c r="F52" s="61">
        <v>42480.406631944446</v>
      </c>
      <c r="G52" s="61">
        <v>1</v>
      </c>
      <c r="H52" s="61" t="s">
        <v>274</v>
      </c>
      <c r="I52" s="61">
        <v>42480.431979166664</v>
      </c>
      <c r="J52" s="19">
        <v>0</v>
      </c>
      <c r="K52" s="20">
        <f t="shared" si="11"/>
        <v>2.5347222217533272E-2</v>
      </c>
      <c r="L52" s="21">
        <f t="shared" si="7"/>
        <v>36.499999993247911</v>
      </c>
      <c r="M52" s="21"/>
      <c r="N52" s="22"/>
      <c r="O52" s="17"/>
      <c r="Q52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09:42:43-0600',mode:absolute,to:'2016-04-20 10:23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52" s="16" t="str">
        <f t="shared" si="5"/>
        <v>N</v>
      </c>
      <c r="S52" s="16">
        <f t="shared" si="9"/>
        <v>4.5999999999999999E-2</v>
      </c>
      <c r="T52" s="16">
        <f t="shared" si="10"/>
        <v>23.334099999999999</v>
      </c>
      <c r="U52" s="16">
        <f t="shared" si="6"/>
        <v>23.2881</v>
      </c>
      <c r="V52" s="51" t="e">
        <f>VLOOKUP(A52,Enforcements!$C$3:$J$62,8,0)</f>
        <v>#N/A</v>
      </c>
      <c r="W52" s="51" t="e">
        <f>VLOOKUP(A52,Enforcements!$C$3:$J$62,3,0)</f>
        <v>#N/A</v>
      </c>
    </row>
    <row r="53" spans="1:23" s="2" customFormat="1" x14ac:dyDescent="0.25">
      <c r="A53" s="54" t="s">
        <v>130</v>
      </c>
      <c r="B53" s="55">
        <v>4043</v>
      </c>
      <c r="C53" s="55" t="s">
        <v>221</v>
      </c>
      <c r="D53" s="55" t="s">
        <v>67</v>
      </c>
      <c r="E53" s="62">
        <v>42480.448287037034</v>
      </c>
      <c r="F53" s="62">
        <v>42480.449259259258</v>
      </c>
      <c r="G53" s="62">
        <v>1</v>
      </c>
      <c r="H53" s="62" t="s">
        <v>275</v>
      </c>
      <c r="I53" s="62">
        <v>42480.487060185187</v>
      </c>
      <c r="J53" s="55">
        <v>1</v>
      </c>
      <c r="K53" s="56">
        <f t="shared" si="11"/>
        <v>3.7800925929332152E-2</v>
      </c>
      <c r="L53" s="57">
        <f t="shared" si="7"/>
        <v>54.433333338238299</v>
      </c>
      <c r="M53" s="57"/>
      <c r="N53" s="58"/>
      <c r="O53" s="17" t="s">
        <v>389</v>
      </c>
      <c r="Q53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10:44:32-0600',mode:absolute,to:'2016-04-20 11:42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53" s="16" t="str">
        <f t="shared" si="5"/>
        <v>N</v>
      </c>
      <c r="S53" s="16">
        <f t="shared" si="9"/>
        <v>23.299099999999999</v>
      </c>
      <c r="T53" s="16">
        <f t="shared" si="10"/>
        <v>1.2999999999999999E-2</v>
      </c>
      <c r="U53" s="16">
        <f t="shared" si="6"/>
        <v>23.286099999999998</v>
      </c>
      <c r="V53" s="51" t="e">
        <f>VLOOKUP(A53,Enforcements!$C$3:$J$62,8,0)</f>
        <v>#N/A</v>
      </c>
      <c r="W53" s="51" t="e">
        <f>VLOOKUP(A53,Enforcements!$C$3:$J$62,3,0)</f>
        <v>#N/A</v>
      </c>
    </row>
    <row r="54" spans="1:23" s="2" customFormat="1" x14ac:dyDescent="0.25">
      <c r="A54" s="18" t="s">
        <v>134</v>
      </c>
      <c r="B54" s="19">
        <v>4044</v>
      </c>
      <c r="C54" s="19" t="s">
        <v>221</v>
      </c>
      <c r="D54" s="19" t="s">
        <v>276</v>
      </c>
      <c r="E54" s="61">
        <v>42480.414687500001</v>
      </c>
      <c r="F54" s="61">
        <v>42480.415821759256</v>
      </c>
      <c r="G54" s="61">
        <v>1</v>
      </c>
      <c r="H54" s="61" t="s">
        <v>277</v>
      </c>
      <c r="I54" s="61">
        <v>42480.442696759259</v>
      </c>
      <c r="J54" s="19">
        <v>2</v>
      </c>
      <c r="K54" s="20">
        <f t="shared" si="11"/>
        <v>2.6875000003201421E-2</v>
      </c>
      <c r="L54" s="21">
        <f t="shared" si="7"/>
        <v>38.700000004610047</v>
      </c>
      <c r="M54" s="21"/>
      <c r="N54" s="22"/>
      <c r="O54" s="17"/>
      <c r="Q54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09:56:09-0600',mode:absolute,to:'2016-04-20 10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54" s="16" t="str">
        <f t="shared" si="5"/>
        <v>N</v>
      </c>
      <c r="S54" s="16">
        <f t="shared" si="9"/>
        <v>4.4699999999999997E-2</v>
      </c>
      <c r="T54" s="16">
        <f t="shared" si="10"/>
        <v>23.331700000000001</v>
      </c>
      <c r="U54" s="16">
        <f t="shared" si="6"/>
        <v>23.287000000000003</v>
      </c>
      <c r="V54" s="51">
        <f>VLOOKUP(A54,Enforcements!$C$3:$J$62,8,0)</f>
        <v>144300</v>
      </c>
      <c r="W54" s="51" t="str">
        <f>VLOOKUP(A54,Enforcements!$C$3:$J$62,3,0)</f>
        <v>SIGNAL</v>
      </c>
    </row>
    <row r="55" spans="1:23" s="2" customFormat="1" x14ac:dyDescent="0.25">
      <c r="A55" s="18" t="s">
        <v>278</v>
      </c>
      <c r="B55" s="19">
        <v>4026</v>
      </c>
      <c r="C55" s="19" t="s">
        <v>221</v>
      </c>
      <c r="D55" s="19" t="s">
        <v>68</v>
      </c>
      <c r="E55" s="61">
        <v>42480.468807870369</v>
      </c>
      <c r="F55" s="61">
        <v>42480.471608796295</v>
      </c>
      <c r="G55" s="61">
        <v>4</v>
      </c>
      <c r="H55" s="61" t="s">
        <v>279</v>
      </c>
      <c r="I55" s="61">
        <v>42480.500868055555</v>
      </c>
      <c r="J55" s="19">
        <v>0</v>
      </c>
      <c r="K55" s="20">
        <f t="shared" si="11"/>
        <v>2.9259259259561077E-2</v>
      </c>
      <c r="L55" s="21">
        <f t="shared" si="7"/>
        <v>42.133333333767951</v>
      </c>
      <c r="M55" s="21"/>
      <c r="N55" s="22"/>
      <c r="O55" s="17"/>
      <c r="Q55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11:14:05-0600',mode:absolute,to:'2016-04-20 12:02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5" s="16" t="str">
        <f t="shared" si="5"/>
        <v>N</v>
      </c>
      <c r="S55" s="16">
        <f t="shared" si="9"/>
        <v>23.298999999999999</v>
      </c>
      <c r="T55" s="16">
        <f t="shared" si="10"/>
        <v>1.72E-2</v>
      </c>
      <c r="U55" s="16">
        <f t="shared" si="6"/>
        <v>23.2818</v>
      </c>
      <c r="V55" s="51" t="e">
        <f>VLOOKUP(A55,Enforcements!$C$3:$J$62,8,0)</f>
        <v>#N/A</v>
      </c>
      <c r="W55" s="51" t="e">
        <f>VLOOKUP(A55,Enforcements!$C$3:$J$62,3,0)</f>
        <v>#N/A</v>
      </c>
    </row>
    <row r="56" spans="1:23" s="2" customFormat="1" x14ac:dyDescent="0.25">
      <c r="A56" s="18" t="s">
        <v>280</v>
      </c>
      <c r="B56" s="19">
        <v>4025</v>
      </c>
      <c r="C56" s="19" t="s">
        <v>221</v>
      </c>
      <c r="D56" s="19" t="s">
        <v>53</v>
      </c>
      <c r="E56" s="61">
        <v>42480.427256944444</v>
      </c>
      <c r="F56" s="61">
        <v>42480.430300925924</v>
      </c>
      <c r="G56" s="61">
        <v>4</v>
      </c>
      <c r="H56" s="61" t="s">
        <v>281</v>
      </c>
      <c r="I56" s="61">
        <v>42480.462222222224</v>
      </c>
      <c r="J56" s="19">
        <v>0</v>
      </c>
      <c r="K56" s="20">
        <f t="shared" si="11"/>
        <v>3.1921296300424729E-2</v>
      </c>
      <c r="L56" s="21">
        <f t="shared" si="7"/>
        <v>45.966666672611609</v>
      </c>
      <c r="M56" s="21"/>
      <c r="N56" s="22"/>
      <c r="O56" s="17"/>
      <c r="Q56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10:14:15-0600',mode:absolute,to:'2016-04-20 11:06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6" s="16" t="str">
        <f t="shared" si="5"/>
        <v>N</v>
      </c>
      <c r="S56" s="16">
        <f t="shared" si="9"/>
        <v>4.5699999999999998E-2</v>
      </c>
      <c r="T56" s="16">
        <f t="shared" si="10"/>
        <v>23.3322</v>
      </c>
      <c r="U56" s="16">
        <f t="shared" si="6"/>
        <v>23.2865</v>
      </c>
      <c r="V56" s="51" t="e">
        <f>VLOOKUP(A56,Enforcements!$C$3:$J$62,8,0)</f>
        <v>#N/A</v>
      </c>
      <c r="W56" s="51" t="e">
        <f>VLOOKUP(A56,Enforcements!$C$3:$J$62,3,0)</f>
        <v>#N/A</v>
      </c>
    </row>
    <row r="57" spans="1:23" s="2" customFormat="1" x14ac:dyDescent="0.25">
      <c r="A57" s="18" t="s">
        <v>126</v>
      </c>
      <c r="B57" s="19">
        <v>4008</v>
      </c>
      <c r="C57" s="19" t="s">
        <v>221</v>
      </c>
      <c r="D57" s="19" t="s">
        <v>60</v>
      </c>
      <c r="E57" s="61">
        <v>42480.478842592594</v>
      </c>
      <c r="F57" s="61">
        <v>42480.480312500003</v>
      </c>
      <c r="G57" s="61">
        <v>2</v>
      </c>
      <c r="H57" s="61" t="s">
        <v>282</v>
      </c>
      <c r="I57" s="61">
        <v>42480.509282407409</v>
      </c>
      <c r="J57" s="19">
        <v>1</v>
      </c>
      <c r="K57" s="20">
        <f t="shared" si="11"/>
        <v>2.8969907405553386E-2</v>
      </c>
      <c r="L57" s="21">
        <f t="shared" si="7"/>
        <v>41.716666663996875</v>
      </c>
      <c r="M57" s="21"/>
      <c r="N57" s="22"/>
      <c r="O57" s="17"/>
      <c r="Q57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11:28:32-0600',mode:absolute,to:'2016-04-20 12:14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57" s="16" t="str">
        <f t="shared" si="5"/>
        <v>N</v>
      </c>
      <c r="S57" s="16">
        <f t="shared" si="9"/>
        <v>23.297999999999998</v>
      </c>
      <c r="T57" s="16">
        <f t="shared" si="10"/>
        <v>3.1300000000000001E-2</v>
      </c>
      <c r="U57" s="16">
        <f t="shared" si="6"/>
        <v>23.266699999999997</v>
      </c>
      <c r="V57" s="51" t="e">
        <f>VLOOKUP(A57,Enforcements!$C$3:$J$62,8,0)</f>
        <v>#N/A</v>
      </c>
      <c r="W57" s="51" t="e">
        <f>VLOOKUP(A57,Enforcements!$C$3:$J$62,3,0)</f>
        <v>#N/A</v>
      </c>
    </row>
    <row r="58" spans="1:23" s="2" customFormat="1" x14ac:dyDescent="0.25">
      <c r="A58" s="54" t="s">
        <v>164</v>
      </c>
      <c r="B58" s="55">
        <v>4007</v>
      </c>
      <c r="C58" s="55" t="s">
        <v>221</v>
      </c>
      <c r="D58" s="55" t="s">
        <v>47</v>
      </c>
      <c r="E58" s="62">
        <v>42480.438888888886</v>
      </c>
      <c r="F58" s="62">
        <v>42480.440891203703</v>
      </c>
      <c r="G58" s="62">
        <v>2</v>
      </c>
      <c r="H58" s="62" t="s">
        <v>73</v>
      </c>
      <c r="I58" s="62">
        <v>42480.476122685184</v>
      </c>
      <c r="J58" s="55">
        <v>1</v>
      </c>
      <c r="K58" s="56">
        <f t="shared" si="11"/>
        <v>3.5231481480877846E-2</v>
      </c>
      <c r="L58" s="57">
        <f t="shared" si="7"/>
        <v>50.733333332464099</v>
      </c>
      <c r="M58" s="57"/>
      <c r="N58" s="58"/>
      <c r="O58" s="59" t="s">
        <v>160</v>
      </c>
      <c r="Q58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10:31:00-0600',mode:absolute,to:'2016-04-20 11:26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58" s="16" t="str">
        <f t="shared" si="5"/>
        <v>N</v>
      </c>
      <c r="S58" s="16">
        <f t="shared" si="9"/>
        <v>4.6899999999999997E-2</v>
      </c>
      <c r="T58" s="16">
        <f t="shared" si="10"/>
        <v>23.3307</v>
      </c>
      <c r="U58" s="16">
        <f t="shared" si="6"/>
        <v>23.283799999999999</v>
      </c>
      <c r="V58" s="51">
        <f>VLOOKUP(A58,Enforcements!$C$3:$J$62,8,0)</f>
        <v>144300</v>
      </c>
      <c r="W58" s="51" t="str">
        <f>VLOOKUP(A58,Enforcements!$C$3:$J$62,3,0)</f>
        <v>SIGNAL</v>
      </c>
    </row>
    <row r="59" spans="1:23" s="2" customFormat="1" x14ac:dyDescent="0.25">
      <c r="A59" s="18" t="s">
        <v>196</v>
      </c>
      <c r="B59" s="19">
        <v>4017</v>
      </c>
      <c r="C59" s="19" t="s">
        <v>221</v>
      </c>
      <c r="D59" s="19" t="s">
        <v>283</v>
      </c>
      <c r="E59" s="61">
        <v>42480.483252314814</v>
      </c>
      <c r="F59" s="61">
        <v>42480.484583333331</v>
      </c>
      <c r="G59" s="61">
        <v>1</v>
      </c>
      <c r="H59" s="61" t="s">
        <v>52</v>
      </c>
      <c r="I59" s="61">
        <v>42480.516712962963</v>
      </c>
      <c r="J59" s="19">
        <v>1</v>
      </c>
      <c r="K59" s="20">
        <f t="shared" si="11"/>
        <v>3.2129629631526768E-2</v>
      </c>
      <c r="L59" s="21">
        <f t="shared" si="7"/>
        <v>46.266666669398546</v>
      </c>
      <c r="M59" s="21"/>
      <c r="N59" s="22"/>
      <c r="O59" s="17"/>
      <c r="Q59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11:34:53-0600',mode:absolute,to:'2016-04-20 12:25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59" s="16" t="str">
        <f t="shared" si="5"/>
        <v>N</v>
      </c>
      <c r="S59" s="16">
        <f t="shared" si="9"/>
        <v>23.3019</v>
      </c>
      <c r="T59" s="16">
        <f t="shared" si="10"/>
        <v>1.3599999999999999E-2</v>
      </c>
      <c r="U59" s="16">
        <f t="shared" si="6"/>
        <v>23.2883</v>
      </c>
      <c r="V59" s="51">
        <f>VLOOKUP(A59,Enforcements!$C$3:$J$62,8,0)</f>
        <v>190834</v>
      </c>
      <c r="W59" s="51" t="str">
        <f>VLOOKUP(A59,Enforcements!$C$3:$J$62,3,0)</f>
        <v>PERMANENT SPEED RESTRICTION</v>
      </c>
    </row>
    <row r="60" spans="1:23" s="2" customFormat="1" x14ac:dyDescent="0.25">
      <c r="A60" s="18" t="s">
        <v>131</v>
      </c>
      <c r="B60" s="19">
        <v>4018</v>
      </c>
      <c r="C60" s="19" t="s">
        <v>221</v>
      </c>
      <c r="D60" s="19" t="s">
        <v>82</v>
      </c>
      <c r="E60" s="61">
        <v>42480.449189814812</v>
      </c>
      <c r="F60" s="61">
        <v>42480.450428240743</v>
      </c>
      <c r="G60" s="61">
        <v>1</v>
      </c>
      <c r="H60" s="61" t="s">
        <v>284</v>
      </c>
      <c r="I60" s="61">
        <v>42480.478738425925</v>
      </c>
      <c r="J60" s="19">
        <v>1</v>
      </c>
      <c r="K60" s="20">
        <f t="shared" si="11"/>
        <v>2.8310185181908309E-2</v>
      </c>
      <c r="L60" s="21">
        <f t="shared" si="7"/>
        <v>40.766666661947966</v>
      </c>
      <c r="M60" s="21"/>
      <c r="N60" s="22"/>
      <c r="O60" s="17"/>
      <c r="Q60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10:45:50-0600',mode:absolute,to:'2016-04-20 11:30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0" s="16" t="str">
        <f t="shared" si="5"/>
        <v>N</v>
      </c>
      <c r="S60" s="16">
        <f t="shared" si="9"/>
        <v>4.4900000000000002E-2</v>
      </c>
      <c r="T60" s="16">
        <f t="shared" si="10"/>
        <v>23.334900000000001</v>
      </c>
      <c r="U60" s="16">
        <f t="shared" si="6"/>
        <v>23.290000000000003</v>
      </c>
      <c r="V60" s="51" t="e">
        <f>VLOOKUP(A60,Enforcements!$C$3:$J$62,8,0)</f>
        <v>#N/A</v>
      </c>
      <c r="W60" s="51" t="e">
        <f>VLOOKUP(A60,Enforcements!$C$3:$J$62,3,0)</f>
        <v>#N/A</v>
      </c>
    </row>
    <row r="61" spans="1:23" s="2" customFormat="1" x14ac:dyDescent="0.25">
      <c r="A61" s="54" t="s">
        <v>285</v>
      </c>
      <c r="B61" s="55">
        <v>4015</v>
      </c>
      <c r="C61" s="55" t="s">
        <v>221</v>
      </c>
      <c r="D61" s="55" t="s">
        <v>57</v>
      </c>
      <c r="E61" s="62">
        <v>42480.487858796296</v>
      </c>
      <c r="F61" s="62">
        <v>42480.489884259259</v>
      </c>
      <c r="G61" s="62">
        <v>2</v>
      </c>
      <c r="H61" s="62" t="s">
        <v>34</v>
      </c>
      <c r="I61" s="62">
        <v>42480.527222222219</v>
      </c>
      <c r="J61" s="55">
        <v>0</v>
      </c>
      <c r="K61" s="56">
        <f t="shared" si="11"/>
        <v>3.7337962960009463E-2</v>
      </c>
      <c r="L61" s="57">
        <f t="shared" si="7"/>
        <v>53.766666662413627</v>
      </c>
      <c r="M61" s="57"/>
      <c r="N61" s="58"/>
      <c r="O61" s="17" t="s">
        <v>389</v>
      </c>
      <c r="Q61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11:41:31-0600',mode:absolute,to:'2016-04-20 12:40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61" s="16" t="str">
        <f t="shared" si="5"/>
        <v>N</v>
      </c>
      <c r="S61" s="16">
        <f t="shared" si="9"/>
        <v>23.297799999999999</v>
      </c>
      <c r="T61" s="16">
        <f t="shared" si="10"/>
        <v>1.52E-2</v>
      </c>
      <c r="U61" s="16">
        <f t="shared" si="6"/>
        <v>23.282599999999999</v>
      </c>
      <c r="V61" s="51" t="e">
        <f>VLOOKUP(A61,Enforcements!$C$3:$J$62,8,0)</f>
        <v>#N/A</v>
      </c>
      <c r="W61" s="51" t="e">
        <f>VLOOKUP(A61,Enforcements!$C$3:$J$62,3,0)</f>
        <v>#N/A</v>
      </c>
    </row>
    <row r="62" spans="1:23" s="2" customFormat="1" x14ac:dyDescent="0.25">
      <c r="A62" s="18" t="s">
        <v>128</v>
      </c>
      <c r="B62" s="19">
        <v>4016</v>
      </c>
      <c r="C62" s="19" t="s">
        <v>221</v>
      </c>
      <c r="D62" s="19" t="s">
        <v>77</v>
      </c>
      <c r="E62" s="61">
        <v>42480.456307870372</v>
      </c>
      <c r="F62" s="61">
        <v>42480.457719907405</v>
      </c>
      <c r="G62" s="61">
        <v>2</v>
      </c>
      <c r="H62" s="61" t="s">
        <v>39</v>
      </c>
      <c r="I62" s="61">
        <v>42480.486643518518</v>
      </c>
      <c r="J62" s="19">
        <v>1</v>
      </c>
      <c r="K62" s="20">
        <f t="shared" si="11"/>
        <v>2.8923611112986691E-2</v>
      </c>
      <c r="L62" s="21">
        <f t="shared" si="7"/>
        <v>41.650000002700835</v>
      </c>
      <c r="M62" s="21"/>
      <c r="N62" s="22"/>
      <c r="O62" s="17"/>
      <c r="Q62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10:56:05-0600',mode:absolute,to:'2016-04-20 11:41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62" s="16" t="str">
        <f t="shared" si="5"/>
        <v>N</v>
      </c>
      <c r="S62" s="16">
        <f t="shared" si="9"/>
        <v>4.5999999999999999E-2</v>
      </c>
      <c r="T62" s="16">
        <f t="shared" si="10"/>
        <v>23.329899999999999</v>
      </c>
      <c r="U62" s="16">
        <f t="shared" si="6"/>
        <v>23.283899999999999</v>
      </c>
      <c r="V62" s="51" t="e">
        <f>VLOOKUP(A62,Enforcements!$C$3:$J$62,8,0)</f>
        <v>#N/A</v>
      </c>
      <c r="W62" s="51" t="e">
        <f>VLOOKUP(A62,Enforcements!$C$3:$J$62,3,0)</f>
        <v>#N/A</v>
      </c>
    </row>
    <row r="63" spans="1:23" s="2" customFormat="1" x14ac:dyDescent="0.25">
      <c r="A63" s="18" t="s">
        <v>286</v>
      </c>
      <c r="B63" s="19">
        <v>4023</v>
      </c>
      <c r="C63" s="19" t="s">
        <v>221</v>
      </c>
      <c r="D63" s="19" t="s">
        <v>287</v>
      </c>
      <c r="E63" s="61">
        <v>42480.504513888889</v>
      </c>
      <c r="F63" s="61">
        <v>42480.506608796299</v>
      </c>
      <c r="G63" s="61">
        <v>3</v>
      </c>
      <c r="H63" s="61" t="s">
        <v>66</v>
      </c>
      <c r="I63" s="61">
        <v>42480.535451388889</v>
      </c>
      <c r="J63" s="19">
        <v>0</v>
      </c>
      <c r="K63" s="20">
        <f t="shared" si="11"/>
        <v>2.884259259008104E-2</v>
      </c>
      <c r="L63" s="21">
        <f t="shared" si="7"/>
        <v>41.533333329716697</v>
      </c>
      <c r="M63" s="21"/>
      <c r="N63" s="22"/>
      <c r="O63" s="17"/>
      <c r="Q63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12:05:30-0600',mode:absolute,to:'2016-04-20 12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R63" s="16" t="str">
        <f t="shared" si="5"/>
        <v>N</v>
      </c>
      <c r="S63" s="16">
        <f t="shared" si="9"/>
        <v>23.308299999999999</v>
      </c>
      <c r="T63" s="16">
        <f t="shared" si="10"/>
        <v>1.6E-2</v>
      </c>
      <c r="U63" s="16">
        <f t="shared" si="6"/>
        <v>23.292300000000001</v>
      </c>
      <c r="V63" s="51" t="e">
        <f>VLOOKUP(A63,Enforcements!$C$3:$J$62,8,0)</f>
        <v>#N/A</v>
      </c>
      <c r="W63" s="51" t="e">
        <f>VLOOKUP(A63,Enforcements!$C$3:$J$62,3,0)</f>
        <v>#N/A</v>
      </c>
    </row>
    <row r="64" spans="1:23" s="2" customFormat="1" x14ac:dyDescent="0.25">
      <c r="A64" s="18" t="s">
        <v>195</v>
      </c>
      <c r="B64" s="19">
        <v>4024</v>
      </c>
      <c r="C64" s="19" t="s">
        <v>221</v>
      </c>
      <c r="D64" s="19" t="s">
        <v>32</v>
      </c>
      <c r="E64" s="61">
        <v>42480.471030092594</v>
      </c>
      <c r="F64" s="61">
        <v>42480.473101851851</v>
      </c>
      <c r="G64" s="61">
        <v>2</v>
      </c>
      <c r="H64" s="61" t="s">
        <v>288</v>
      </c>
      <c r="I64" s="61">
        <v>42480.501979166664</v>
      </c>
      <c r="J64" s="19">
        <v>1</v>
      </c>
      <c r="K64" s="20">
        <f t="shared" si="11"/>
        <v>2.8877314813144039E-2</v>
      </c>
      <c r="L64" s="21">
        <f t="shared" si="7"/>
        <v>41.583333330927417</v>
      </c>
      <c r="M64" s="21"/>
      <c r="N64" s="22"/>
      <c r="O64" s="17"/>
      <c r="Q64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11:17:17-0600',mode:absolute,to:'2016-04-20 12:03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R64" s="16" t="str">
        <f t="shared" si="5"/>
        <v>N</v>
      </c>
      <c r="S64" s="16">
        <f t="shared" si="9"/>
        <v>4.4400000000000002E-2</v>
      </c>
      <c r="T64" s="16">
        <f t="shared" si="10"/>
        <v>23.34</v>
      </c>
      <c r="U64" s="16">
        <f t="shared" si="6"/>
        <v>23.2956</v>
      </c>
      <c r="V64" s="51">
        <f>VLOOKUP(A64,Enforcements!$C$3:$J$62,8,0)</f>
        <v>232107</v>
      </c>
      <c r="W64" s="51" t="str">
        <f>VLOOKUP(A64,Enforcements!$C$3:$J$62,3,0)</f>
        <v>PERMANENT SPEED RESTRICTION</v>
      </c>
    </row>
    <row r="65" spans="1:23" s="2" customFormat="1" x14ac:dyDescent="0.25">
      <c r="A65" s="18" t="s">
        <v>124</v>
      </c>
      <c r="B65" s="19">
        <v>4013</v>
      </c>
      <c r="C65" s="19" t="s">
        <v>221</v>
      </c>
      <c r="D65" s="19" t="s">
        <v>76</v>
      </c>
      <c r="E65" s="61">
        <v>42480.513819444444</v>
      </c>
      <c r="F65" s="61">
        <v>42480.515011574076</v>
      </c>
      <c r="G65" s="61">
        <v>1</v>
      </c>
      <c r="H65" s="61" t="s">
        <v>289</v>
      </c>
      <c r="I65" s="61">
        <v>42480.547986111109</v>
      </c>
      <c r="J65" s="19">
        <v>1</v>
      </c>
      <c r="K65" s="20">
        <f t="shared" si="11"/>
        <v>3.2974537032714579E-2</v>
      </c>
      <c r="L65" s="21">
        <f t="shared" si="7"/>
        <v>47.483333327108994</v>
      </c>
      <c r="M65" s="21"/>
      <c r="N65" s="22"/>
      <c r="O65" s="17"/>
      <c r="Q65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12:18:54-0600',mode:absolute,to:'2016-04-20 13:10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65" s="16" t="str">
        <f t="shared" si="5"/>
        <v>N</v>
      </c>
      <c r="S65" s="16">
        <f t="shared" si="9"/>
        <v>23.2988</v>
      </c>
      <c r="T65" s="16">
        <f t="shared" si="10"/>
        <v>1.21E-2</v>
      </c>
      <c r="U65" s="16">
        <f t="shared" si="6"/>
        <v>23.2867</v>
      </c>
      <c r="V65" s="51" t="e">
        <f>VLOOKUP(A65,Enforcements!$C$3:$J$62,8,0)</f>
        <v>#N/A</v>
      </c>
      <c r="W65" s="51" t="e">
        <f>VLOOKUP(A65,Enforcements!$C$3:$J$62,3,0)</f>
        <v>#N/A</v>
      </c>
    </row>
    <row r="66" spans="1:23" s="2" customFormat="1" x14ac:dyDescent="0.25">
      <c r="A66" s="18" t="s">
        <v>290</v>
      </c>
      <c r="B66" s="19">
        <v>4014</v>
      </c>
      <c r="C66" s="19" t="s">
        <v>221</v>
      </c>
      <c r="D66" s="19" t="s">
        <v>24</v>
      </c>
      <c r="E66" s="61">
        <v>42480.478530092594</v>
      </c>
      <c r="F66" s="61">
        <v>42480.479780092595</v>
      </c>
      <c r="G66" s="61">
        <v>1</v>
      </c>
      <c r="H66" s="61" t="s">
        <v>61</v>
      </c>
      <c r="I66" s="61">
        <v>42480.512812499997</v>
      </c>
      <c r="J66" s="19">
        <v>0</v>
      </c>
      <c r="K66" s="20">
        <f t="shared" si="11"/>
        <v>3.3032407402060926E-2</v>
      </c>
      <c r="L66" s="21">
        <f t="shared" si="7"/>
        <v>47.566666658967733</v>
      </c>
      <c r="M66" s="21"/>
      <c r="N66" s="22"/>
      <c r="O66" s="17"/>
      <c r="Q66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https://search-rtdc-monitor-bjffxe2xuh6vdkpspy63sjmuny.us-east-1.es.amazonaws.com/_plugin/kibana/#/discover/Steve-Slow-Train-Analysis-(2080s-and-2083s)?_g=(refreshInterval:(display:Off,section:0,value:0),time:(from:'2016-04-20 11:28:05-0600',mode:absolute,to:'2016-04-20 12:19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66" s="16" t="str">
        <f t="shared" si="5"/>
        <v>N</v>
      </c>
      <c r="S66" s="16">
        <f t="shared" si="9"/>
        <v>4.7100000000000003E-2</v>
      </c>
      <c r="T66" s="16">
        <f t="shared" si="10"/>
        <v>23.330300000000001</v>
      </c>
      <c r="U66" s="16">
        <f t="shared" si="6"/>
        <v>23.283200000000001</v>
      </c>
      <c r="V66" s="51" t="e">
        <f>VLOOKUP(A66,Enforcements!$C$3:$J$62,8,0)</f>
        <v>#N/A</v>
      </c>
      <c r="W66" s="51" t="e">
        <f>VLOOKUP(A66,Enforcements!$C$3:$J$62,3,0)</f>
        <v>#N/A</v>
      </c>
    </row>
    <row r="67" spans="1:23" s="2" customFormat="1" x14ac:dyDescent="0.25">
      <c r="A67" s="18" t="s">
        <v>122</v>
      </c>
      <c r="B67" s="19">
        <v>4043</v>
      </c>
      <c r="C67" s="19" t="s">
        <v>221</v>
      </c>
      <c r="D67" s="19" t="s">
        <v>28</v>
      </c>
      <c r="E67" s="61">
        <v>42480.526666666665</v>
      </c>
      <c r="F67" s="61">
        <v>42480.527916666666</v>
      </c>
      <c r="G67" s="61">
        <v>1</v>
      </c>
      <c r="H67" s="61" t="s">
        <v>291</v>
      </c>
      <c r="I67" s="61">
        <v>42480.556909722225</v>
      </c>
      <c r="J67" s="19">
        <v>1</v>
      </c>
      <c r="K67" s="20">
        <f t="shared" si="11"/>
        <v>2.899305555911269E-2</v>
      </c>
      <c r="L67" s="21">
        <f t="shared" si="7"/>
        <v>41.750000005122274</v>
      </c>
      <c r="M67" s="21"/>
      <c r="N67" s="22"/>
      <c r="O67" s="17"/>
      <c r="Q67" s="16" t="str">
        <f t="shared" ref="Q67:Q98" si="12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https://search-rtdc-monitor-bjffxe2xuh6vdkpspy63sjmuny.us-east-1.es.amazonaws.com/_plugin/kibana/#/discover/Steve-Slow-Train-Analysis-(2080s-and-2083s)?_g=(refreshInterval:(display:Off,section:0,value:0),time:(from:'2016-04-20 12:37:24-0600',mode:absolute,to:'2016-04-20 13:22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67" s="16" t="str">
        <f t="shared" si="5"/>
        <v>N</v>
      </c>
      <c r="S67" s="16">
        <f t="shared" ref="S67:S98" si="13">RIGHT(D67,LEN(D67)-4)/10000</f>
        <v>23.299399999999999</v>
      </c>
      <c r="T67" s="16">
        <f t="shared" ref="T67:T98" si="14">RIGHT(H67,LEN(H67)-4)/10000</f>
        <v>2.07E-2</v>
      </c>
      <c r="U67" s="16">
        <f t="shared" si="6"/>
        <v>23.278699999999997</v>
      </c>
      <c r="V67" s="51" t="e">
        <f>VLOOKUP(A67,Enforcements!$C$3:$J$62,8,0)</f>
        <v>#N/A</v>
      </c>
      <c r="W67" s="51" t="e">
        <f>VLOOKUP(A67,Enforcements!$C$3:$J$62,3,0)</f>
        <v>#N/A</v>
      </c>
    </row>
    <row r="68" spans="1:23" s="2" customFormat="1" x14ac:dyDescent="0.25">
      <c r="A68" s="18" t="s">
        <v>292</v>
      </c>
      <c r="B68" s="19">
        <v>4044</v>
      </c>
      <c r="C68" s="19" t="s">
        <v>221</v>
      </c>
      <c r="D68" s="19" t="s">
        <v>293</v>
      </c>
      <c r="E68" s="61">
        <v>42480.491157407407</v>
      </c>
      <c r="F68" s="61">
        <v>42480.492164351854</v>
      </c>
      <c r="G68" s="61">
        <v>1</v>
      </c>
      <c r="H68" s="61" t="s">
        <v>294</v>
      </c>
      <c r="I68" s="61">
        <v>42480.519328703704</v>
      </c>
      <c r="J68" s="19">
        <v>0</v>
      </c>
      <c r="K68" s="20">
        <f t="shared" si="11"/>
        <v>2.7164351849933155E-2</v>
      </c>
      <c r="L68" s="21">
        <f t="shared" si="7"/>
        <v>39.116666663903743</v>
      </c>
      <c r="M68" s="21"/>
      <c r="N68" s="22"/>
      <c r="O68" s="17"/>
      <c r="Q68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11:46:16-0600',mode:absolute,to:'2016-04-20 12:28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68" s="16" t="str">
        <f t="shared" ref="R68:R127" si="15">IF(U68&lt;23,"Y","N")</f>
        <v>N</v>
      </c>
      <c r="S68" s="16">
        <f t="shared" si="13"/>
        <v>4.2599999999999999E-2</v>
      </c>
      <c r="T68" s="16">
        <f t="shared" si="14"/>
        <v>23.329699999999999</v>
      </c>
      <c r="U68" s="16">
        <f t="shared" ref="U68:U127" si="16">ABS(T68-S68)</f>
        <v>23.287099999999999</v>
      </c>
      <c r="V68" s="51" t="e">
        <f>VLOOKUP(A68,Enforcements!$C$3:$J$62,8,0)</f>
        <v>#N/A</v>
      </c>
      <c r="W68" s="51" t="e">
        <f>VLOOKUP(A68,Enforcements!$C$3:$J$62,3,0)</f>
        <v>#N/A</v>
      </c>
    </row>
    <row r="69" spans="1:23" s="2" customFormat="1" x14ac:dyDescent="0.25">
      <c r="A69" s="54" t="s">
        <v>120</v>
      </c>
      <c r="B69" s="55">
        <v>4026</v>
      </c>
      <c r="C69" s="55" t="s">
        <v>221</v>
      </c>
      <c r="D69" s="55" t="s">
        <v>250</v>
      </c>
      <c r="E69" s="62">
        <v>42480.540266203701</v>
      </c>
      <c r="F69" s="62">
        <v>42480.541597222225</v>
      </c>
      <c r="G69" s="62">
        <v>1</v>
      </c>
      <c r="H69" s="62" t="s">
        <v>276</v>
      </c>
      <c r="I69" s="62">
        <v>42480.600069444445</v>
      </c>
      <c r="J69" s="55">
        <v>1</v>
      </c>
      <c r="K69" s="56">
        <f t="shared" si="11"/>
        <v>5.8472222219279502E-2</v>
      </c>
      <c r="L69" s="57">
        <f t="shared" si="7"/>
        <v>84.199999995762482</v>
      </c>
      <c r="M69" s="57"/>
      <c r="N69" s="58"/>
      <c r="O69" s="59" t="s">
        <v>390</v>
      </c>
      <c r="Q69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12:56:59-0600',mode:absolute,to:'2016-04-20 14:25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69" s="16" t="str">
        <f t="shared" si="15"/>
        <v>N</v>
      </c>
      <c r="S69" s="16">
        <f t="shared" si="13"/>
        <v>23.297699999999999</v>
      </c>
      <c r="T69" s="16">
        <f t="shared" si="14"/>
        <v>4.4699999999999997E-2</v>
      </c>
      <c r="U69" s="16">
        <f t="shared" si="16"/>
        <v>23.253</v>
      </c>
      <c r="V69" s="51" t="e">
        <f>VLOOKUP(A69,Enforcements!$C$3:$J$62,8,0)</f>
        <v>#N/A</v>
      </c>
      <c r="W69" s="51" t="e">
        <f>VLOOKUP(A69,Enforcements!$C$3:$J$62,3,0)</f>
        <v>#N/A</v>
      </c>
    </row>
    <row r="70" spans="1:23" s="2" customFormat="1" x14ac:dyDescent="0.25">
      <c r="A70" s="18" t="s">
        <v>163</v>
      </c>
      <c r="B70" s="19">
        <v>4025</v>
      </c>
      <c r="C70" s="19" t="s">
        <v>221</v>
      </c>
      <c r="D70" s="19" t="s">
        <v>22</v>
      </c>
      <c r="E70" s="61">
        <v>42480.505601851852</v>
      </c>
      <c r="F70" s="61">
        <v>42480.507199074076</v>
      </c>
      <c r="G70" s="61">
        <v>2</v>
      </c>
      <c r="H70" s="61" t="s">
        <v>87</v>
      </c>
      <c r="I70" s="61">
        <v>42480.537326388891</v>
      </c>
      <c r="J70" s="19">
        <v>1</v>
      </c>
      <c r="K70" s="20">
        <f t="shared" si="11"/>
        <v>3.0127314814308193E-2</v>
      </c>
      <c r="L70" s="21">
        <f t="shared" si="7"/>
        <v>43.383333332603797</v>
      </c>
      <c r="M70" s="21"/>
      <c r="N70" s="22"/>
      <c r="O70" s="17"/>
      <c r="Q70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12:07:04-0600',mode:absolute,to:'2016-04-20 12:54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70" s="16" t="str">
        <f t="shared" si="15"/>
        <v>N</v>
      </c>
      <c r="S70" s="16">
        <f t="shared" si="13"/>
        <v>4.6199999999999998E-2</v>
      </c>
      <c r="T70" s="16">
        <f t="shared" si="14"/>
        <v>23.329499999999999</v>
      </c>
      <c r="U70" s="16">
        <f t="shared" si="16"/>
        <v>23.283300000000001</v>
      </c>
      <c r="V70" s="51">
        <f>VLOOKUP(A70,Enforcements!$C$3:$J$62,8,0)</f>
        <v>144300</v>
      </c>
      <c r="W70" s="51" t="str">
        <f>VLOOKUP(A70,Enforcements!$C$3:$J$62,3,0)</f>
        <v>SIGNAL</v>
      </c>
    </row>
    <row r="71" spans="1:23" s="2" customFormat="1" x14ac:dyDescent="0.25">
      <c r="A71" s="18" t="s">
        <v>295</v>
      </c>
      <c r="B71" s="19">
        <v>4008</v>
      </c>
      <c r="C71" s="19" t="s">
        <v>221</v>
      </c>
      <c r="D71" s="19" t="s">
        <v>296</v>
      </c>
      <c r="E71" s="61">
        <v>42480.556585648148</v>
      </c>
      <c r="F71" s="61">
        <v>42480.557974537034</v>
      </c>
      <c r="G71" s="61">
        <v>2</v>
      </c>
      <c r="H71" s="61" t="s">
        <v>297</v>
      </c>
      <c r="I71" s="61">
        <v>42480.559849537036</v>
      </c>
      <c r="J71" s="19">
        <v>0</v>
      </c>
      <c r="K71" s="20">
        <f t="shared" si="11"/>
        <v>1.8750000017462298E-3</v>
      </c>
      <c r="L71" s="21"/>
      <c r="M71" s="21"/>
      <c r="N71" s="21">
        <f t="shared" si="7"/>
        <v>2.700000002514571</v>
      </c>
      <c r="O71" s="17" t="s">
        <v>391</v>
      </c>
      <c r="Q71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13:20:29-0600',mode:absolute,to:'2016-04-20 13:27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71" s="16" t="str">
        <f t="shared" si="15"/>
        <v>Y</v>
      </c>
      <c r="S71" s="16">
        <f t="shared" si="13"/>
        <v>23.296600000000002</v>
      </c>
      <c r="T71" s="16">
        <f t="shared" si="14"/>
        <v>22.883700000000001</v>
      </c>
      <c r="U71" s="16">
        <f t="shared" si="16"/>
        <v>0.41290000000000049</v>
      </c>
      <c r="V71" s="51" t="e">
        <f>VLOOKUP(A71,Enforcements!$C$3:$J$62,8,0)</f>
        <v>#N/A</v>
      </c>
      <c r="W71" s="51" t="e">
        <f>VLOOKUP(A71,Enforcements!$C$3:$J$62,3,0)</f>
        <v>#N/A</v>
      </c>
    </row>
    <row r="72" spans="1:23" s="2" customFormat="1" x14ac:dyDescent="0.25">
      <c r="A72" s="18" t="s">
        <v>194</v>
      </c>
      <c r="B72" s="19">
        <v>4007</v>
      </c>
      <c r="C72" s="19" t="s">
        <v>221</v>
      </c>
      <c r="D72" s="19" t="s">
        <v>45</v>
      </c>
      <c r="E72" s="61">
        <v>42480.513252314813</v>
      </c>
      <c r="F72" s="61">
        <v>42480.514745370368</v>
      </c>
      <c r="G72" s="61">
        <v>2</v>
      </c>
      <c r="H72" s="61" t="s">
        <v>298</v>
      </c>
      <c r="I72" s="61">
        <v>42480.524664351855</v>
      </c>
      <c r="J72" s="19">
        <v>1</v>
      </c>
      <c r="K72" s="20">
        <f t="shared" si="11"/>
        <v>9.9189814864075743E-3</v>
      </c>
      <c r="L72" s="21"/>
      <c r="M72" s="21"/>
      <c r="N72" s="21">
        <f t="shared" si="7"/>
        <v>14.283333340426907</v>
      </c>
      <c r="O72" s="17" t="s">
        <v>391</v>
      </c>
      <c r="Q72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12:18:05-0600',mode:absolute,to:'2016-04-20 12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72" s="16" t="str">
        <f t="shared" si="15"/>
        <v>Y</v>
      </c>
      <c r="S72" s="16">
        <f t="shared" si="13"/>
        <v>4.5100000000000001E-2</v>
      </c>
      <c r="T72" s="16">
        <f t="shared" si="14"/>
        <v>3.7241</v>
      </c>
      <c r="U72" s="16">
        <f t="shared" si="16"/>
        <v>3.6789999999999998</v>
      </c>
      <c r="V72" s="51">
        <f>VLOOKUP(A72,Enforcements!$C$3:$J$62,8,0)</f>
        <v>20338</v>
      </c>
      <c r="W72" s="51" t="str">
        <f>VLOOKUP(A72,Enforcements!$C$3:$J$62,3,0)</f>
        <v>PERMANENT SPEED RESTRICTION</v>
      </c>
    </row>
    <row r="73" spans="1:23" s="2" customFormat="1" x14ac:dyDescent="0.25">
      <c r="A73" s="54" t="s">
        <v>299</v>
      </c>
      <c r="B73" s="55">
        <v>4017</v>
      </c>
      <c r="C73" s="55" t="s">
        <v>221</v>
      </c>
      <c r="D73" s="55" t="s">
        <v>88</v>
      </c>
      <c r="E73" s="62">
        <v>42480.558506944442</v>
      </c>
      <c r="F73" s="62">
        <v>42480.560011574074</v>
      </c>
      <c r="G73" s="62">
        <v>2</v>
      </c>
      <c r="H73" s="62" t="s">
        <v>300</v>
      </c>
      <c r="I73" s="62">
        <v>42480.610219907408</v>
      </c>
      <c r="J73" s="55">
        <v>0</v>
      </c>
      <c r="K73" s="56">
        <f t="shared" si="11"/>
        <v>5.0208333334012423E-2</v>
      </c>
      <c r="L73" s="57">
        <f t="shared" si="7"/>
        <v>72.300000000977889</v>
      </c>
      <c r="M73" s="57"/>
      <c r="N73" s="58"/>
      <c r="O73" s="59" t="s">
        <v>392</v>
      </c>
      <c r="Q73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13:23:15-0600',mode:absolute,to:'2016-04-20 14:39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73" s="16" t="str">
        <f t="shared" si="15"/>
        <v>N</v>
      </c>
      <c r="S73" s="16">
        <f t="shared" si="13"/>
        <v>23.299800000000001</v>
      </c>
      <c r="T73" s="16">
        <f t="shared" si="14"/>
        <v>1.2500000000000001E-2</v>
      </c>
      <c r="U73" s="16">
        <f t="shared" si="16"/>
        <v>23.287300000000002</v>
      </c>
      <c r="V73" s="51" t="e">
        <f>VLOOKUP(A73,Enforcements!$C$3:$J$62,8,0)</f>
        <v>#N/A</v>
      </c>
      <c r="W73" s="51" t="e">
        <f>VLOOKUP(A73,Enforcements!$C$3:$J$62,3,0)</f>
        <v>#N/A</v>
      </c>
    </row>
    <row r="74" spans="1:23" s="2" customFormat="1" x14ac:dyDescent="0.25">
      <c r="A74" s="18" t="s">
        <v>301</v>
      </c>
      <c r="B74" s="19">
        <v>4018</v>
      </c>
      <c r="C74" s="19" t="s">
        <v>221</v>
      </c>
      <c r="D74" s="19" t="s">
        <v>54</v>
      </c>
      <c r="E74" s="61">
        <v>42480.525983796295</v>
      </c>
      <c r="F74" s="61">
        <v>42480.526967592596</v>
      </c>
      <c r="G74" s="61">
        <v>1</v>
      </c>
      <c r="H74" s="61" t="s">
        <v>78</v>
      </c>
      <c r="I74" s="61">
        <v>42480.557210648149</v>
      </c>
      <c r="J74" s="19">
        <v>0</v>
      </c>
      <c r="K74" s="20">
        <f t="shared" si="11"/>
        <v>3.0243055553000886E-2</v>
      </c>
      <c r="L74" s="21">
        <f t="shared" si="7"/>
        <v>43.549999996321276</v>
      </c>
      <c r="M74" s="21"/>
      <c r="N74" s="22"/>
      <c r="O74" s="17"/>
      <c r="Q74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12:36:25-0600',mode:absolute,to:'2016-04-20 13:23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74" s="16" t="str">
        <f t="shared" si="15"/>
        <v>N</v>
      </c>
      <c r="S74" s="16">
        <f t="shared" si="13"/>
        <v>4.3999999999999997E-2</v>
      </c>
      <c r="T74" s="16">
        <f t="shared" si="14"/>
        <v>23.331800000000001</v>
      </c>
      <c r="U74" s="16">
        <f t="shared" si="16"/>
        <v>23.287800000000001</v>
      </c>
      <c r="V74" s="51" t="e">
        <f>VLOOKUP(A74,Enforcements!$C$3:$J$62,8,0)</f>
        <v>#N/A</v>
      </c>
      <c r="W74" s="51" t="e">
        <f>VLOOKUP(A74,Enforcements!$C$3:$J$62,3,0)</f>
        <v>#N/A</v>
      </c>
    </row>
    <row r="75" spans="1:23" s="2" customFormat="1" x14ac:dyDescent="0.25">
      <c r="A75" s="54" t="s">
        <v>118</v>
      </c>
      <c r="B75" s="55">
        <v>4015</v>
      </c>
      <c r="C75" s="55" t="s">
        <v>221</v>
      </c>
      <c r="D75" s="55" t="s">
        <v>302</v>
      </c>
      <c r="E75" s="62">
        <v>42480.580428240741</v>
      </c>
      <c r="F75" s="62">
        <v>42480.581678240742</v>
      </c>
      <c r="G75" s="62">
        <v>1</v>
      </c>
      <c r="H75" s="62" t="s">
        <v>303</v>
      </c>
      <c r="I75" s="62">
        <v>42480.646574074075</v>
      </c>
      <c r="J75" s="55">
        <v>2</v>
      </c>
      <c r="K75" s="56">
        <f t="shared" si="11"/>
        <v>6.4895833333139308E-2</v>
      </c>
      <c r="L75" s="57">
        <f t="shared" si="7"/>
        <v>93.449999999720603</v>
      </c>
      <c r="M75" s="57"/>
      <c r="N75" s="58"/>
      <c r="O75" s="59" t="s">
        <v>393</v>
      </c>
      <c r="Q75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13:54:49-0600',mode:absolute,to:'2016-04-20 15:32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75" s="16" t="str">
        <f t="shared" si="15"/>
        <v>N</v>
      </c>
      <c r="S75" s="16">
        <f t="shared" si="13"/>
        <v>23.298100000000002</v>
      </c>
      <c r="T75" s="16">
        <f t="shared" si="14"/>
        <v>1.6899999999999998E-2</v>
      </c>
      <c r="U75" s="16">
        <f t="shared" si="16"/>
        <v>23.281200000000002</v>
      </c>
      <c r="V75" s="51">
        <f>VLOOKUP(A75,Enforcements!$C$3:$J$62,8,0)</f>
        <v>110617</v>
      </c>
      <c r="W75" s="51" t="str">
        <f>VLOOKUP(A75,Enforcements!$C$3:$J$62,3,0)</f>
        <v>PERMANENT SPEED RESTRICTION</v>
      </c>
    </row>
    <row r="76" spans="1:23" s="2" customFormat="1" x14ac:dyDescent="0.25">
      <c r="A76" s="54" t="s">
        <v>304</v>
      </c>
      <c r="B76" s="55">
        <v>4016</v>
      </c>
      <c r="C76" s="55" t="s">
        <v>221</v>
      </c>
      <c r="D76" s="55" t="s">
        <v>40</v>
      </c>
      <c r="E76" s="62">
        <v>42480.532280092593</v>
      </c>
      <c r="F76" s="62">
        <v>42480.536805555559</v>
      </c>
      <c r="G76" s="62">
        <v>6</v>
      </c>
      <c r="H76" s="62" t="s">
        <v>35</v>
      </c>
      <c r="I76" s="62">
        <v>42480.57917824074</v>
      </c>
      <c r="J76" s="55">
        <v>0</v>
      </c>
      <c r="K76" s="56">
        <f t="shared" si="11"/>
        <v>4.2372685180453118E-2</v>
      </c>
      <c r="L76" s="57">
        <f t="shared" ref="L76:L79" si="17">$K76*24*60</f>
        <v>61.01666665985249</v>
      </c>
      <c r="M76" s="57"/>
      <c r="N76" s="58"/>
      <c r="O76" s="59" t="s">
        <v>394</v>
      </c>
      <c r="Q76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12:45:29-0600',mode:absolute,to:'2016-04-20 13:55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76" s="16" t="str">
        <f t="shared" si="15"/>
        <v>N</v>
      </c>
      <c r="S76" s="16">
        <f t="shared" si="13"/>
        <v>4.6399999999999997E-2</v>
      </c>
      <c r="T76" s="16">
        <f t="shared" si="14"/>
        <v>23.3291</v>
      </c>
      <c r="U76" s="16">
        <f t="shared" si="16"/>
        <v>23.282700000000002</v>
      </c>
      <c r="V76" s="51" t="e">
        <f>VLOOKUP(A76,Enforcements!$C$3:$J$62,8,0)</f>
        <v>#N/A</v>
      </c>
      <c r="W76" s="51" t="e">
        <f>VLOOKUP(A76,Enforcements!$C$3:$J$62,3,0)</f>
        <v>#N/A</v>
      </c>
    </row>
    <row r="77" spans="1:23" s="2" customFormat="1" x14ac:dyDescent="0.25">
      <c r="A77" s="54" t="s">
        <v>203</v>
      </c>
      <c r="B77" s="55">
        <v>4023</v>
      </c>
      <c r="C77" s="55" t="s">
        <v>221</v>
      </c>
      <c r="D77" s="55" t="s">
        <v>58</v>
      </c>
      <c r="E77" s="62">
        <v>42480.596678240741</v>
      </c>
      <c r="F77" s="62">
        <v>42480.598437499997</v>
      </c>
      <c r="G77" s="62">
        <v>2</v>
      </c>
      <c r="H77" s="62" t="s">
        <v>305</v>
      </c>
      <c r="I77" s="62">
        <v>42480.652384259258</v>
      </c>
      <c r="J77" s="55">
        <v>1</v>
      </c>
      <c r="K77" s="56">
        <f t="shared" si="11"/>
        <v>5.394675926072523E-2</v>
      </c>
      <c r="L77" s="57">
        <f t="shared" si="17"/>
        <v>77.683333335444331</v>
      </c>
      <c r="M77" s="57"/>
      <c r="N77" s="58"/>
      <c r="O77" s="59" t="s">
        <v>385</v>
      </c>
      <c r="Q77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14:18:13-0600',mode:absolute,to:'2016-04-20 15:40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R77" s="16" t="str">
        <f t="shared" si="15"/>
        <v>N</v>
      </c>
      <c r="S77" s="16">
        <f t="shared" si="13"/>
        <v>23.298200000000001</v>
      </c>
      <c r="T77" s="16">
        <f t="shared" si="14"/>
        <v>9.1399999999999995E-2</v>
      </c>
      <c r="U77" s="16">
        <f t="shared" si="16"/>
        <v>23.206800000000001</v>
      </c>
      <c r="V77" s="51">
        <f>VLOOKUP(A77,Enforcements!$C$3:$J$62,8,0)</f>
        <v>109135</v>
      </c>
      <c r="W77" s="51" t="str">
        <f>VLOOKUP(A77,Enforcements!$C$3:$J$62,3,0)</f>
        <v>GRADE CROSSING</v>
      </c>
    </row>
    <row r="78" spans="1:23" s="2" customFormat="1" x14ac:dyDescent="0.25">
      <c r="A78" s="54" t="s">
        <v>204</v>
      </c>
      <c r="B78" s="55">
        <v>4024</v>
      </c>
      <c r="C78" s="55" t="s">
        <v>221</v>
      </c>
      <c r="D78" s="55" t="s">
        <v>89</v>
      </c>
      <c r="E78" s="62">
        <v>42480.539965277778</v>
      </c>
      <c r="F78" s="62">
        <v>42480.541203703702</v>
      </c>
      <c r="G78" s="62">
        <v>1</v>
      </c>
      <c r="H78" s="62" t="s">
        <v>39</v>
      </c>
      <c r="I78" s="62">
        <v>42480.589270833334</v>
      </c>
      <c r="J78" s="55">
        <v>1</v>
      </c>
      <c r="K78" s="56">
        <f t="shared" si="11"/>
        <v>4.8067129631817807E-2</v>
      </c>
      <c r="L78" s="57">
        <f t="shared" si="17"/>
        <v>69.216666669817641</v>
      </c>
      <c r="M78" s="57"/>
      <c r="N78" s="58"/>
      <c r="O78" s="59" t="s">
        <v>385</v>
      </c>
      <c r="Q78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12:56:33-0600',mode:absolute,to:'2016-04-20 14:09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R78" s="16" t="str">
        <f t="shared" si="15"/>
        <v>N</v>
      </c>
      <c r="S78" s="16">
        <f t="shared" si="13"/>
        <v>4.2900000000000001E-2</v>
      </c>
      <c r="T78" s="16">
        <f t="shared" si="14"/>
        <v>23.329899999999999</v>
      </c>
      <c r="U78" s="16">
        <f t="shared" si="16"/>
        <v>23.286999999999999</v>
      </c>
      <c r="V78" s="51">
        <f>VLOOKUP(A78,Enforcements!$C$3:$J$62,8,0)</f>
        <v>108954</v>
      </c>
      <c r="W78" s="51" t="str">
        <f>VLOOKUP(A78,Enforcements!$C$3:$J$62,3,0)</f>
        <v>GRADE CROSSING</v>
      </c>
    </row>
    <row r="79" spans="1:23" s="2" customFormat="1" x14ac:dyDescent="0.25">
      <c r="A79" s="54" t="s">
        <v>159</v>
      </c>
      <c r="B79" s="55">
        <v>4032</v>
      </c>
      <c r="C79" s="55" t="s">
        <v>221</v>
      </c>
      <c r="D79" s="55" t="s">
        <v>57</v>
      </c>
      <c r="E79" s="62">
        <v>42480.611620370371</v>
      </c>
      <c r="F79" s="62">
        <v>42480.613622685189</v>
      </c>
      <c r="G79" s="62">
        <v>2</v>
      </c>
      <c r="H79" s="62" t="s">
        <v>69</v>
      </c>
      <c r="I79" s="62">
        <v>42480.664224537039</v>
      </c>
      <c r="J79" s="55">
        <v>3</v>
      </c>
      <c r="K79" s="56">
        <f t="shared" si="11"/>
        <v>5.0601851849933155E-2</v>
      </c>
      <c r="L79" s="57">
        <f t="shared" si="17"/>
        <v>72.866666663903743</v>
      </c>
      <c r="M79" s="57"/>
      <c r="N79" s="58"/>
      <c r="O79" s="59" t="s">
        <v>385</v>
      </c>
      <c r="Q79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14:39:44-0600',mode:absolute,to:'2016-04-20 15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79" s="16" t="str">
        <f t="shared" si="15"/>
        <v>N</v>
      </c>
      <c r="S79" s="16">
        <f t="shared" si="13"/>
        <v>23.297799999999999</v>
      </c>
      <c r="T79" s="16">
        <f t="shared" si="14"/>
        <v>1.8499999999999999E-2</v>
      </c>
      <c r="U79" s="16">
        <f t="shared" si="16"/>
        <v>23.279299999999999</v>
      </c>
      <c r="V79" s="51">
        <f>VLOOKUP(A79,Enforcements!$C$3:$J$62,8,0)</f>
        <v>109135</v>
      </c>
      <c r="W79" s="51" t="str">
        <f>VLOOKUP(A79,Enforcements!$C$3:$J$62,3,0)</f>
        <v>GRADE CROSSING</v>
      </c>
    </row>
    <row r="80" spans="1:23" s="2" customFormat="1" x14ac:dyDescent="0.25">
      <c r="A80" s="18" t="s">
        <v>150</v>
      </c>
      <c r="B80" s="19">
        <v>4031</v>
      </c>
      <c r="C80" s="19" t="s">
        <v>221</v>
      </c>
      <c r="D80" s="19" t="s">
        <v>306</v>
      </c>
      <c r="E80" s="61">
        <v>42480.555335648147</v>
      </c>
      <c r="F80" s="61">
        <v>42480.558865740742</v>
      </c>
      <c r="G80" s="61">
        <v>5</v>
      </c>
      <c r="H80" s="61" t="s">
        <v>307</v>
      </c>
      <c r="I80" s="61">
        <v>42480.562638888892</v>
      </c>
      <c r="J80" s="19">
        <v>1</v>
      </c>
      <c r="K80" s="20">
        <f t="shared" si="11"/>
        <v>3.7731481497758068E-3</v>
      </c>
      <c r="L80" s="21"/>
      <c r="M80" s="21"/>
      <c r="N80" s="21">
        <f t="shared" ref="N80:N81" si="18">$K80*24*60</f>
        <v>5.4333333356771618</v>
      </c>
      <c r="O80" s="17" t="s">
        <v>145</v>
      </c>
      <c r="Q80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13:18:41-0600',mode:absolute,to:'2016-04-20 13:31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80" s="16" t="str">
        <f t="shared" si="15"/>
        <v>Y</v>
      </c>
      <c r="S80" s="16">
        <f t="shared" si="13"/>
        <v>0.27700000000000002</v>
      </c>
      <c r="T80" s="16">
        <f t="shared" si="14"/>
        <v>0.3266</v>
      </c>
      <c r="U80" s="16">
        <f t="shared" si="16"/>
        <v>4.9599999999999977E-2</v>
      </c>
      <c r="V80" s="51">
        <f>VLOOKUP(A80,Enforcements!$C$3:$J$62,8,0)</f>
        <v>2789</v>
      </c>
      <c r="W80" s="51" t="str">
        <f>VLOOKUP(A80,Enforcements!$C$3:$J$62,3,0)</f>
        <v>SWITCH ALIGNMENT</v>
      </c>
    </row>
    <row r="81" spans="1:23" s="2" customFormat="1" x14ac:dyDescent="0.25">
      <c r="A81" s="18" t="s">
        <v>150</v>
      </c>
      <c r="B81" s="19">
        <v>4031</v>
      </c>
      <c r="C81" s="19" t="s">
        <v>221</v>
      </c>
      <c r="D81" s="19" t="s">
        <v>308</v>
      </c>
      <c r="E81" s="61">
        <v>42480.566967592589</v>
      </c>
      <c r="F81" s="61">
        <v>42480.567881944444</v>
      </c>
      <c r="G81" s="61">
        <v>1</v>
      </c>
      <c r="H81" s="61" t="s">
        <v>309</v>
      </c>
      <c r="I81" s="61">
        <v>42480.572430555556</v>
      </c>
      <c r="J81" s="19">
        <v>0</v>
      </c>
      <c r="K81" s="20">
        <f t="shared" si="11"/>
        <v>4.5486111121135764E-3</v>
      </c>
      <c r="L81" s="21"/>
      <c r="M81" s="21"/>
      <c r="N81" s="21">
        <f t="shared" si="18"/>
        <v>6.55000000144355</v>
      </c>
      <c r="O81" s="17" t="s">
        <v>145</v>
      </c>
      <c r="Q81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13:35:26-0600',mode:absolute,to:'2016-04-20 13:45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81" s="16" t="str">
        <f t="shared" si="15"/>
        <v>Y</v>
      </c>
      <c r="S81" s="16">
        <f t="shared" si="13"/>
        <v>0.58860000000000001</v>
      </c>
      <c r="T81" s="16">
        <f t="shared" si="14"/>
        <v>0.63260000000000005</v>
      </c>
      <c r="U81" s="16">
        <f t="shared" si="16"/>
        <v>4.4000000000000039E-2</v>
      </c>
      <c r="V81" s="51">
        <f>VLOOKUP(A81,Enforcements!$C$3:$J$62,8,0)</f>
        <v>2789</v>
      </c>
      <c r="W81" s="51" t="str">
        <f>VLOOKUP(A81,Enforcements!$C$3:$J$62,3,0)</f>
        <v>SWITCH ALIGNMENT</v>
      </c>
    </row>
    <row r="82" spans="1:23" s="2" customFormat="1" x14ac:dyDescent="0.25">
      <c r="A82" s="54" t="s">
        <v>310</v>
      </c>
      <c r="B82" s="55">
        <v>4043</v>
      </c>
      <c r="C82" s="55" t="s">
        <v>221</v>
      </c>
      <c r="D82" s="55" t="s">
        <v>64</v>
      </c>
      <c r="E82" s="62">
        <v>42480.606122685182</v>
      </c>
      <c r="F82" s="62">
        <v>42480.607048611113</v>
      </c>
      <c r="G82" s="62">
        <v>1</v>
      </c>
      <c r="H82" s="62" t="s">
        <v>311</v>
      </c>
      <c r="I82" s="62">
        <v>42480.659039351849</v>
      </c>
      <c r="J82" s="55">
        <v>0</v>
      </c>
      <c r="K82" s="56">
        <f t="shared" si="11"/>
        <v>5.1990740736073349E-2</v>
      </c>
      <c r="L82" s="57">
        <f t="shared" ref="L82:L83" si="19">$K82*24*60</f>
        <v>74.866666659945622</v>
      </c>
      <c r="M82" s="57"/>
      <c r="N82" s="58"/>
      <c r="O82" s="59" t="s">
        <v>395</v>
      </c>
      <c r="Q82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14:31:49-0600',mode:absolute,to:'2016-04-20 15:50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82" s="16" t="str">
        <f t="shared" si="15"/>
        <v>N</v>
      </c>
      <c r="S82" s="16">
        <f t="shared" si="13"/>
        <v>23.300599999999999</v>
      </c>
      <c r="T82" s="16">
        <f t="shared" si="14"/>
        <v>3.5099999999999999E-2</v>
      </c>
      <c r="U82" s="16">
        <f t="shared" si="16"/>
        <v>23.265499999999999</v>
      </c>
      <c r="V82" s="51" t="e">
        <f>VLOOKUP(A82,Enforcements!$C$3:$J$62,8,0)</f>
        <v>#N/A</v>
      </c>
      <c r="W82" s="51" t="e">
        <f>VLOOKUP(A82,Enforcements!$C$3:$J$62,3,0)</f>
        <v>#N/A</v>
      </c>
    </row>
    <row r="83" spans="1:23" s="2" customFormat="1" x14ac:dyDescent="0.25">
      <c r="A83" s="54" t="s">
        <v>162</v>
      </c>
      <c r="B83" s="55">
        <v>4044</v>
      </c>
      <c r="C83" s="55" t="s">
        <v>221</v>
      </c>
      <c r="D83" s="55" t="s">
        <v>312</v>
      </c>
      <c r="E83" s="62">
        <v>42480.561273148145</v>
      </c>
      <c r="F83" s="62">
        <v>42480.562256944446</v>
      </c>
      <c r="G83" s="62">
        <v>1</v>
      </c>
      <c r="H83" s="62" t="s">
        <v>313</v>
      </c>
      <c r="I83" s="62">
        <v>42480.602025462962</v>
      </c>
      <c r="J83" s="55">
        <v>1</v>
      </c>
      <c r="K83" s="56">
        <f t="shared" si="11"/>
        <v>3.976851851621177E-2</v>
      </c>
      <c r="L83" s="57">
        <f t="shared" si="19"/>
        <v>57.266666663344949</v>
      </c>
      <c r="M83" s="57"/>
      <c r="N83" s="58"/>
      <c r="O83" s="59" t="s">
        <v>160</v>
      </c>
      <c r="Q83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13:27:14-0600',mode:absolute,to:'2016-04-20 14:27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83" s="16" t="str">
        <f t="shared" si="15"/>
        <v>N</v>
      </c>
      <c r="S83" s="16">
        <f t="shared" si="13"/>
        <v>5.1999999999999998E-2</v>
      </c>
      <c r="T83" s="16">
        <f t="shared" si="14"/>
        <v>23.333200000000001</v>
      </c>
      <c r="U83" s="16">
        <f t="shared" si="16"/>
        <v>23.281200000000002</v>
      </c>
      <c r="V83" s="51">
        <f>VLOOKUP(A83,Enforcements!$C$3:$J$62,8,0)</f>
        <v>149694</v>
      </c>
      <c r="W83" s="51" t="str">
        <f>VLOOKUP(A83,Enforcements!$C$3:$J$62,3,0)</f>
        <v>SIGNAL</v>
      </c>
    </row>
    <row r="84" spans="1:23" s="2" customFormat="1" x14ac:dyDescent="0.25">
      <c r="A84" s="18" t="s">
        <v>161</v>
      </c>
      <c r="B84" s="19">
        <v>4040</v>
      </c>
      <c r="C84" s="19" t="s">
        <v>221</v>
      </c>
      <c r="D84" s="19" t="s">
        <v>314</v>
      </c>
      <c r="E84" s="61">
        <v>42480.625601851854</v>
      </c>
      <c r="F84" s="61">
        <v>42480.626747685186</v>
      </c>
      <c r="G84" s="61">
        <v>1</v>
      </c>
      <c r="H84" s="61" t="s">
        <v>87</v>
      </c>
      <c r="I84" s="61">
        <v>42480.661539351851</v>
      </c>
      <c r="J84" s="19">
        <v>2</v>
      </c>
      <c r="K84" s="20">
        <f t="shared" si="11"/>
        <v>3.4791666665114462E-2</v>
      </c>
      <c r="L84" s="21"/>
      <c r="M84" s="21">
        <f>($K84+K85)*24*60</f>
        <v>52.599999995436519</v>
      </c>
      <c r="N84" s="22"/>
      <c r="O84" s="17" t="s">
        <v>396</v>
      </c>
      <c r="Q84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14:59:52-0600',mode:absolute,to:'2016-04-20 15:53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84" s="16" t="str">
        <f t="shared" si="15"/>
        <v>Y</v>
      </c>
      <c r="S84" s="16">
        <f t="shared" si="13"/>
        <v>1.9137</v>
      </c>
      <c r="T84" s="16">
        <f t="shared" si="14"/>
        <v>23.329499999999999</v>
      </c>
      <c r="U84" s="16">
        <f t="shared" si="16"/>
        <v>21.415800000000001</v>
      </c>
      <c r="V84" s="51">
        <f>VLOOKUP(A84,Enforcements!$C$3:$J$62,8,0)</f>
        <v>33136</v>
      </c>
      <c r="W84" s="51" t="str">
        <f>VLOOKUP(A84,Enforcements!$C$3:$J$62,3,0)</f>
        <v>GRADE CROSSING</v>
      </c>
    </row>
    <row r="85" spans="1:23" s="2" customFormat="1" x14ac:dyDescent="0.25">
      <c r="A85" s="18" t="s">
        <v>161</v>
      </c>
      <c r="B85" s="19">
        <v>4040</v>
      </c>
      <c r="C85" s="19" t="s">
        <v>221</v>
      </c>
      <c r="D85" s="19" t="s">
        <v>315</v>
      </c>
      <c r="E85" s="61">
        <v>42480.612962962965</v>
      </c>
      <c r="F85" s="61">
        <v>42480.617939814816</v>
      </c>
      <c r="G85" s="61">
        <v>7</v>
      </c>
      <c r="H85" s="61" t="s">
        <v>316</v>
      </c>
      <c r="I85" s="61">
        <v>42480.619675925926</v>
      </c>
      <c r="J85" s="19">
        <v>0</v>
      </c>
      <c r="K85" s="20">
        <f t="shared" si="11"/>
        <v>1.7361111094942316E-3</v>
      </c>
      <c r="L85" s="21"/>
      <c r="M85" s="21"/>
      <c r="N85" s="22"/>
      <c r="O85" s="17"/>
      <c r="Q85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14:41:40-0600',mode:absolute,to:'2016-04-20 14:53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85" s="16" t="str">
        <f t="shared" si="15"/>
        <v>Y</v>
      </c>
      <c r="S85" s="16">
        <f t="shared" si="13"/>
        <v>0.44579999999999997</v>
      </c>
      <c r="T85" s="16">
        <f t="shared" si="14"/>
        <v>0.54759999999999998</v>
      </c>
      <c r="U85" s="16">
        <f t="shared" si="16"/>
        <v>0.1018</v>
      </c>
      <c r="V85" s="51">
        <f>VLOOKUP(A85,Enforcements!$C$3:$J$62,8,0)</f>
        <v>33136</v>
      </c>
      <c r="W85" s="51" t="str">
        <f>VLOOKUP(A85,Enforcements!$C$3:$J$62,3,0)</f>
        <v>GRADE CROSSING</v>
      </c>
    </row>
    <row r="86" spans="1:23" s="2" customFormat="1" x14ac:dyDescent="0.25">
      <c r="A86" s="18" t="s">
        <v>116</v>
      </c>
      <c r="B86" s="19">
        <v>4018</v>
      </c>
      <c r="C86" s="19" t="s">
        <v>221</v>
      </c>
      <c r="D86" s="19" t="s">
        <v>45</v>
      </c>
      <c r="E86" s="61">
        <v>42480.638032407405</v>
      </c>
      <c r="F86" s="61">
        <v>42480.638888888891</v>
      </c>
      <c r="G86" s="61">
        <v>1</v>
      </c>
      <c r="H86" s="61" t="s">
        <v>35</v>
      </c>
      <c r="I86" s="61">
        <v>42480.668842592589</v>
      </c>
      <c r="J86" s="19">
        <v>1</v>
      </c>
      <c r="K86" s="20">
        <f t="shared" si="11"/>
        <v>2.9953703698993195E-2</v>
      </c>
      <c r="L86" s="21">
        <f t="shared" ref="L86:L88" si="20">$K86*24*60</f>
        <v>43.133333326550201</v>
      </c>
      <c r="M86" s="21"/>
      <c r="N86" s="22"/>
      <c r="O86" s="17"/>
      <c r="Q86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15:17:46-0600',mode:absolute,to:'2016-04-20 16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86" s="16" t="str">
        <f t="shared" si="15"/>
        <v>N</v>
      </c>
      <c r="S86" s="16">
        <f t="shared" si="13"/>
        <v>4.5100000000000001E-2</v>
      </c>
      <c r="T86" s="16">
        <f t="shared" si="14"/>
        <v>23.3291</v>
      </c>
      <c r="U86" s="16">
        <f t="shared" si="16"/>
        <v>23.283999999999999</v>
      </c>
      <c r="V86" s="51" t="e">
        <f>VLOOKUP(A86,Enforcements!$C$3:$J$62,8,0)</f>
        <v>#N/A</v>
      </c>
      <c r="W86" s="51" t="e">
        <f>VLOOKUP(A86,Enforcements!$C$3:$J$62,3,0)</f>
        <v>#N/A</v>
      </c>
    </row>
    <row r="87" spans="1:23" s="2" customFormat="1" x14ac:dyDescent="0.25">
      <c r="A87" s="18" t="s">
        <v>317</v>
      </c>
      <c r="B87" s="19">
        <v>4017</v>
      </c>
      <c r="C87" s="19" t="s">
        <v>221</v>
      </c>
      <c r="D87" s="19" t="s">
        <v>48</v>
      </c>
      <c r="E87" s="61">
        <v>42480.675104166665</v>
      </c>
      <c r="F87" s="61">
        <v>42480.676307870373</v>
      </c>
      <c r="G87" s="61">
        <v>1</v>
      </c>
      <c r="H87" s="61" t="s">
        <v>318</v>
      </c>
      <c r="I87" s="61">
        <v>42480.715381944443</v>
      </c>
      <c r="J87" s="19">
        <v>0</v>
      </c>
      <c r="K87" s="20">
        <f t="shared" si="11"/>
        <v>3.9074074069503695E-2</v>
      </c>
      <c r="L87" s="21">
        <f t="shared" si="20"/>
        <v>56.26666666008532</v>
      </c>
      <c r="M87" s="21"/>
      <c r="N87" s="22"/>
      <c r="O87" s="17" t="s">
        <v>397</v>
      </c>
      <c r="Q87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16:11:09-0600',mode:absolute,to:'2016-04-20 17:11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87" s="16" t="str">
        <f t="shared" si="15"/>
        <v>N</v>
      </c>
      <c r="S87" s="16">
        <f t="shared" si="13"/>
        <v>23.2987</v>
      </c>
      <c r="T87" s="16">
        <f t="shared" si="14"/>
        <v>1.32E-2</v>
      </c>
      <c r="U87" s="16">
        <f t="shared" si="16"/>
        <v>23.285499999999999</v>
      </c>
      <c r="V87" s="51" t="e">
        <f>VLOOKUP(A87,Enforcements!$C$3:$J$62,8,0)</f>
        <v>#N/A</v>
      </c>
      <c r="W87" s="51" t="e">
        <f>VLOOKUP(A87,Enforcements!$C$3:$J$62,3,0)</f>
        <v>#N/A</v>
      </c>
    </row>
    <row r="88" spans="1:23" s="2" customFormat="1" x14ac:dyDescent="0.25">
      <c r="A88" s="18" t="s">
        <v>319</v>
      </c>
      <c r="B88" s="19">
        <v>4027</v>
      </c>
      <c r="C88" s="19" t="s">
        <v>221</v>
      </c>
      <c r="D88" s="19" t="s">
        <v>320</v>
      </c>
      <c r="E88" s="61">
        <v>42480.639050925929</v>
      </c>
      <c r="F88" s="61">
        <v>42480.642743055556</v>
      </c>
      <c r="G88" s="61">
        <v>5</v>
      </c>
      <c r="H88" s="61" t="s">
        <v>72</v>
      </c>
      <c r="I88" s="61">
        <v>42480.680949074071</v>
      </c>
      <c r="J88" s="19">
        <v>0</v>
      </c>
      <c r="K88" s="20">
        <f t="shared" si="11"/>
        <v>3.8206018514756579E-2</v>
      </c>
      <c r="L88" s="21">
        <f t="shared" si="20"/>
        <v>55.016666661249474</v>
      </c>
      <c r="M88" s="21"/>
      <c r="N88" s="22"/>
      <c r="O88" s="17" t="s">
        <v>398</v>
      </c>
      <c r="Q88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15:19:14-0600',mode:absolute,to:'2016-04-20 16:21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88" s="16" t="str">
        <f t="shared" si="15"/>
        <v>N</v>
      </c>
      <c r="S88" s="16">
        <f t="shared" si="13"/>
        <v>0.11600000000000001</v>
      </c>
      <c r="T88" s="16">
        <f t="shared" si="14"/>
        <v>23.33</v>
      </c>
      <c r="U88" s="16">
        <f t="shared" si="16"/>
        <v>23.213999999999999</v>
      </c>
      <c r="V88" s="51" t="e">
        <f>VLOOKUP(A88,Enforcements!$C$3:$J$62,8,0)</f>
        <v>#N/A</v>
      </c>
      <c r="W88" s="51" t="e">
        <f>VLOOKUP(A88,Enforcements!$C$3:$J$62,3,0)</f>
        <v>#N/A</v>
      </c>
    </row>
    <row r="89" spans="1:23" s="2" customFormat="1" x14ac:dyDescent="0.25">
      <c r="A89" s="18" t="s">
        <v>321</v>
      </c>
      <c r="B89" s="19">
        <v>4039</v>
      </c>
      <c r="C89" s="19" t="s">
        <v>221</v>
      </c>
      <c r="D89" s="19" t="s">
        <v>76</v>
      </c>
      <c r="E89" s="61">
        <v>42480.679398148146</v>
      </c>
      <c r="F89" s="61">
        <v>42480.681250000001</v>
      </c>
      <c r="G89" s="61">
        <v>2</v>
      </c>
      <c r="H89" s="61" t="s">
        <v>322</v>
      </c>
      <c r="I89" s="61">
        <v>42480.717037037037</v>
      </c>
      <c r="J89" s="19">
        <v>0</v>
      </c>
      <c r="K89" s="20">
        <f t="shared" si="11"/>
        <v>3.5787037035333924E-2</v>
      </c>
      <c r="L89" s="21"/>
      <c r="M89" s="21"/>
      <c r="N89" s="21">
        <f t="shared" ref="L89:N92" si="21">$K89*24*60</f>
        <v>51.533333330880851</v>
      </c>
      <c r="O89" s="17" t="s">
        <v>399</v>
      </c>
      <c r="Q89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16:17:20-0600',mode:absolute,to:'2016-04-20 17:13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89" s="16" t="str">
        <f t="shared" si="15"/>
        <v>Y</v>
      </c>
      <c r="S89" s="16">
        <f t="shared" si="13"/>
        <v>23.2988</v>
      </c>
      <c r="T89" s="16">
        <f t="shared" si="14"/>
        <v>5.8276000000000003</v>
      </c>
      <c r="U89" s="16">
        <f t="shared" si="16"/>
        <v>17.4712</v>
      </c>
      <c r="V89" s="51" t="e">
        <f>VLOOKUP(A89,Enforcements!$C$3:$J$62,8,0)</f>
        <v>#N/A</v>
      </c>
      <c r="W89" s="51" t="e">
        <f>VLOOKUP(A89,Enforcements!$C$3:$J$62,3,0)</f>
        <v>#N/A</v>
      </c>
    </row>
    <row r="90" spans="1:23" s="2" customFormat="1" ht="15.75" customHeight="1" x14ac:dyDescent="0.25">
      <c r="A90" s="18" t="s">
        <v>323</v>
      </c>
      <c r="B90" s="19">
        <v>4028</v>
      </c>
      <c r="C90" s="19" t="s">
        <v>221</v>
      </c>
      <c r="D90" s="19" t="s">
        <v>84</v>
      </c>
      <c r="E90" s="61">
        <v>42480.689513888887</v>
      </c>
      <c r="F90" s="61">
        <v>42480.692453703705</v>
      </c>
      <c r="G90" s="61">
        <v>4</v>
      </c>
      <c r="H90" s="61" t="s">
        <v>324</v>
      </c>
      <c r="I90" s="61">
        <v>42480.725717592592</v>
      </c>
      <c r="J90" s="19">
        <v>0</v>
      </c>
      <c r="K90" s="20">
        <f t="shared" si="11"/>
        <v>3.326388888672227E-2</v>
      </c>
      <c r="L90" s="21"/>
      <c r="M90" s="21"/>
      <c r="N90" s="21">
        <f t="shared" si="21"/>
        <v>47.899999996880069</v>
      </c>
      <c r="O90" s="17" t="s">
        <v>399</v>
      </c>
      <c r="Q90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16:31:54-0600',mode:absolute,to:'2016-04-20 17:26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90" s="16" t="str">
        <f t="shared" si="15"/>
        <v>Y</v>
      </c>
      <c r="S90" s="16">
        <f t="shared" si="13"/>
        <v>23.3</v>
      </c>
      <c r="T90" s="16">
        <f t="shared" si="14"/>
        <v>5.8273999999999999</v>
      </c>
      <c r="U90" s="16">
        <f t="shared" si="16"/>
        <v>17.4726</v>
      </c>
      <c r="V90" s="51" t="e">
        <f>VLOOKUP(A90,Enforcements!$C$3:$J$62,8,0)</f>
        <v>#N/A</v>
      </c>
      <c r="W90" s="51" t="e">
        <f>VLOOKUP(A90,Enforcements!$C$3:$J$62,3,0)</f>
        <v>#N/A</v>
      </c>
    </row>
    <row r="91" spans="1:23" s="2" customFormat="1" x14ac:dyDescent="0.25">
      <c r="A91" s="54" t="s">
        <v>325</v>
      </c>
      <c r="B91" s="55">
        <v>4016</v>
      </c>
      <c r="C91" s="55" t="s">
        <v>221</v>
      </c>
      <c r="D91" s="55" t="s">
        <v>70</v>
      </c>
      <c r="E91" s="62">
        <v>42480.650381944448</v>
      </c>
      <c r="F91" s="62">
        <v>42480.651539351849</v>
      </c>
      <c r="G91" s="62">
        <v>1</v>
      </c>
      <c r="H91" s="62" t="s">
        <v>46</v>
      </c>
      <c r="I91" s="62">
        <v>42480.691689814812</v>
      </c>
      <c r="J91" s="55">
        <v>0</v>
      </c>
      <c r="K91" s="56">
        <f t="shared" si="11"/>
        <v>4.0150462962628808E-2</v>
      </c>
      <c r="L91" s="57">
        <f t="shared" si="21"/>
        <v>57.816666666185483</v>
      </c>
      <c r="M91" s="57"/>
      <c r="N91" s="57"/>
      <c r="O91" s="59" t="s">
        <v>400</v>
      </c>
      <c r="Q91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15:35:33-0600',mode:absolute,to:'2016-04-20 16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91" s="16" t="str">
        <f t="shared" si="15"/>
        <v>N</v>
      </c>
      <c r="S91" s="16">
        <f t="shared" si="13"/>
        <v>4.8899999999999999E-2</v>
      </c>
      <c r="T91" s="16">
        <f t="shared" si="14"/>
        <v>23.328800000000001</v>
      </c>
      <c r="U91" s="16">
        <f t="shared" si="16"/>
        <v>23.279900000000001</v>
      </c>
      <c r="V91" s="51" t="e">
        <f>VLOOKUP(A91,Enforcements!$C$3:$J$62,8,0)</f>
        <v>#N/A</v>
      </c>
      <c r="W91" s="51" t="e">
        <f>VLOOKUP(A91,Enforcements!$C$3:$J$62,3,0)</f>
        <v>#N/A</v>
      </c>
    </row>
    <row r="92" spans="1:23" s="2" customFormat="1" x14ac:dyDescent="0.25">
      <c r="A92" s="18" t="s">
        <v>193</v>
      </c>
      <c r="B92" s="19">
        <v>4015</v>
      </c>
      <c r="C92" s="19" t="s">
        <v>221</v>
      </c>
      <c r="D92" s="19" t="s">
        <v>256</v>
      </c>
      <c r="E92" s="61">
        <v>42480.701828703706</v>
      </c>
      <c r="F92" s="61">
        <v>42480.702777777777</v>
      </c>
      <c r="G92" s="61">
        <v>1</v>
      </c>
      <c r="H92" s="61" t="s">
        <v>326</v>
      </c>
      <c r="I92" s="61">
        <v>42480.744849537034</v>
      </c>
      <c r="J92" s="19">
        <v>1</v>
      </c>
      <c r="K92" s="20">
        <f t="shared" si="11"/>
        <v>4.2071759256941732E-2</v>
      </c>
      <c r="L92" s="21"/>
      <c r="M92" s="21"/>
      <c r="N92" s="21">
        <f t="shared" si="21"/>
        <v>60.583333329996094</v>
      </c>
      <c r="O92" s="17" t="s">
        <v>401</v>
      </c>
      <c r="Q92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16:49:38-0600',mode:absolute,to:'2016-04-20 17:53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92" s="16" t="str">
        <f t="shared" si="15"/>
        <v>Y</v>
      </c>
      <c r="S92" s="16">
        <f t="shared" si="13"/>
        <v>23.296700000000001</v>
      </c>
      <c r="T92" s="16">
        <f t="shared" si="14"/>
        <v>3.3906000000000001</v>
      </c>
      <c r="U92" s="16">
        <f t="shared" si="16"/>
        <v>19.906100000000002</v>
      </c>
      <c r="V92" s="51">
        <f>VLOOKUP(A92,Enforcements!$C$3:$J$62,8,0)</f>
        <v>229055</v>
      </c>
      <c r="W92" s="51" t="str">
        <f>VLOOKUP(A92,Enforcements!$C$3:$J$62,3,0)</f>
        <v>PERMANENT SPEED RESTRICTION</v>
      </c>
    </row>
    <row r="93" spans="1:23" s="2" customFormat="1" x14ac:dyDescent="0.25">
      <c r="A93" s="18" t="s">
        <v>327</v>
      </c>
      <c r="B93" s="19">
        <v>4024</v>
      </c>
      <c r="C93" s="19" t="s">
        <v>221</v>
      </c>
      <c r="D93" s="19" t="s">
        <v>328</v>
      </c>
      <c r="E93" s="61">
        <v>42480.657210648147</v>
      </c>
      <c r="F93" s="61">
        <v>42480.663645833331</v>
      </c>
      <c r="G93" s="61">
        <v>9</v>
      </c>
      <c r="H93" s="61" t="s">
        <v>329</v>
      </c>
      <c r="I93" s="61">
        <v>42480.698854166665</v>
      </c>
      <c r="J93" s="19">
        <v>0</v>
      </c>
      <c r="K93" s="20">
        <f t="shared" si="11"/>
        <v>3.5208333334594499E-2</v>
      </c>
      <c r="L93" s="21">
        <f t="shared" ref="L93:N108" si="22">$K93*24*60</f>
        <v>50.700000001816079</v>
      </c>
      <c r="M93" s="21"/>
      <c r="N93" s="22"/>
      <c r="O93" s="17" t="s">
        <v>402</v>
      </c>
      <c r="Q93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15:45:23-0600',mode:absolute,to:'2016-04-20 16:47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R93" s="16" t="str">
        <f t="shared" si="15"/>
        <v>N</v>
      </c>
      <c r="S93" s="16">
        <f t="shared" si="13"/>
        <v>0.1241</v>
      </c>
      <c r="T93" s="16">
        <f t="shared" si="14"/>
        <v>23.341699999999999</v>
      </c>
      <c r="U93" s="16">
        <f t="shared" si="16"/>
        <v>23.217600000000001</v>
      </c>
      <c r="V93" s="51" t="e">
        <f>VLOOKUP(A93,Enforcements!$C$3:$J$62,8,0)</f>
        <v>#N/A</v>
      </c>
      <c r="W93" s="51" t="e">
        <f>VLOOKUP(A93,Enforcements!$C$3:$J$62,3,0)</f>
        <v>#N/A</v>
      </c>
    </row>
    <row r="94" spans="1:23" s="2" customFormat="1" x14ac:dyDescent="0.25">
      <c r="A94" s="18" t="s">
        <v>330</v>
      </c>
      <c r="B94" s="19">
        <v>4023</v>
      </c>
      <c r="C94" s="19" t="s">
        <v>221</v>
      </c>
      <c r="D94" s="19" t="s">
        <v>79</v>
      </c>
      <c r="E94" s="61">
        <v>42480.710034722222</v>
      </c>
      <c r="F94" s="61">
        <v>42480.714953703704</v>
      </c>
      <c r="G94" s="61">
        <v>7</v>
      </c>
      <c r="H94" s="61" t="s">
        <v>331</v>
      </c>
      <c r="I94" s="61">
        <v>42480.775717592594</v>
      </c>
      <c r="J94" s="19">
        <v>0</v>
      </c>
      <c r="K94" s="20">
        <f t="shared" si="11"/>
        <v>6.0763888890505768E-2</v>
      </c>
      <c r="L94" s="21">
        <f t="shared" si="22"/>
        <v>87.500000002328306</v>
      </c>
      <c r="M94" s="21"/>
      <c r="N94" s="22"/>
      <c r="O94" s="17" t="s">
        <v>403</v>
      </c>
      <c r="Q94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17:01:27-0600',mode:absolute,to:'2016-04-20 18:38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R94" s="16" t="str">
        <f t="shared" si="15"/>
        <v>N</v>
      </c>
      <c r="S94" s="16">
        <f t="shared" si="13"/>
        <v>23.311499999999999</v>
      </c>
      <c r="T94" s="16">
        <f t="shared" si="14"/>
        <v>1.2699999999999999E-2</v>
      </c>
      <c r="U94" s="16">
        <f t="shared" si="16"/>
        <v>23.2988</v>
      </c>
      <c r="V94" s="51" t="e">
        <f>VLOOKUP(A94,Enforcements!$C$3:$J$62,8,0)</f>
        <v>#N/A</v>
      </c>
      <c r="W94" s="51" t="e">
        <f>VLOOKUP(A94,Enforcements!$C$3:$J$62,3,0)</f>
        <v>#N/A</v>
      </c>
    </row>
    <row r="95" spans="1:23" s="2" customFormat="1" x14ac:dyDescent="0.25">
      <c r="A95" s="18" t="s">
        <v>332</v>
      </c>
      <c r="B95" s="19">
        <v>4044</v>
      </c>
      <c r="C95" s="19" t="s">
        <v>221</v>
      </c>
      <c r="D95" s="19" t="s">
        <v>333</v>
      </c>
      <c r="E95" s="61">
        <v>42480.672442129631</v>
      </c>
      <c r="F95" s="61">
        <v>42480.673587962963</v>
      </c>
      <c r="G95" s="61">
        <v>1</v>
      </c>
      <c r="H95" s="61" t="s">
        <v>313</v>
      </c>
      <c r="I95" s="61">
        <v>42480.710925925923</v>
      </c>
      <c r="J95" s="19">
        <v>0</v>
      </c>
      <c r="K95" s="20">
        <f t="shared" si="11"/>
        <v>3.7337962960009463E-2</v>
      </c>
      <c r="L95" s="21">
        <f t="shared" si="22"/>
        <v>53.766666662413627</v>
      </c>
      <c r="M95" s="21"/>
      <c r="N95" s="22"/>
      <c r="O95" s="17" t="s">
        <v>404</v>
      </c>
      <c r="Q95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16:07:19-0600',mode:absolute,to:'2016-04-20 17:04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95" s="16" t="str">
        <f t="shared" si="15"/>
        <v>N</v>
      </c>
      <c r="S95" s="16">
        <f t="shared" si="13"/>
        <v>6.6400000000000001E-2</v>
      </c>
      <c r="T95" s="16">
        <f t="shared" si="14"/>
        <v>23.333200000000001</v>
      </c>
      <c r="U95" s="16">
        <f t="shared" si="16"/>
        <v>23.2668</v>
      </c>
      <c r="V95" s="51" t="e">
        <f>VLOOKUP(A95,Enforcements!$C$3:$J$62,8,0)</f>
        <v>#N/A</v>
      </c>
      <c r="W95" s="51" t="e">
        <f>VLOOKUP(A95,Enforcements!$C$3:$J$62,3,0)</f>
        <v>#N/A</v>
      </c>
    </row>
    <row r="96" spans="1:23" s="2" customFormat="1" x14ac:dyDescent="0.25">
      <c r="A96" s="18" t="s">
        <v>192</v>
      </c>
      <c r="B96" s="19">
        <v>4043</v>
      </c>
      <c r="C96" s="19" t="s">
        <v>221</v>
      </c>
      <c r="D96" s="19" t="s">
        <v>263</v>
      </c>
      <c r="E96" s="61">
        <v>42480.724016203705</v>
      </c>
      <c r="F96" s="61">
        <v>42480.726620370369</v>
      </c>
      <c r="G96" s="61">
        <v>3</v>
      </c>
      <c r="H96" s="61" t="s">
        <v>334</v>
      </c>
      <c r="I96" s="61">
        <v>42480.761041666665</v>
      </c>
      <c r="J96" s="19">
        <v>1</v>
      </c>
      <c r="K96" s="20">
        <f t="shared" si="11"/>
        <v>3.4421296295477077E-2</v>
      </c>
      <c r="L96" s="21"/>
      <c r="M96" s="21"/>
      <c r="N96" s="21">
        <f t="shared" si="22"/>
        <v>49.566666665486991</v>
      </c>
      <c r="O96" s="17" t="s">
        <v>410</v>
      </c>
      <c r="Q96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17:21:35-0600',mode:absolute,to:'2016-04-20 18:16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96" s="16" t="str">
        <f t="shared" si="15"/>
        <v>Y</v>
      </c>
      <c r="S96" s="16">
        <f t="shared" si="13"/>
        <v>23.300699999999999</v>
      </c>
      <c r="T96" s="16">
        <f t="shared" si="14"/>
        <v>8.6353000000000009</v>
      </c>
      <c r="U96" s="16">
        <f t="shared" si="16"/>
        <v>14.665399999999998</v>
      </c>
      <c r="V96" s="51">
        <f>VLOOKUP(A96,Enforcements!$C$3:$J$62,8,0)</f>
        <v>190834</v>
      </c>
      <c r="W96" s="51" t="str">
        <f>VLOOKUP(A96,Enforcements!$C$3:$J$62,3,0)</f>
        <v>PERMANENT SPEED RESTRICTION</v>
      </c>
    </row>
    <row r="97" spans="1:23" s="2" customFormat="1" x14ac:dyDescent="0.25">
      <c r="A97" s="18" t="s">
        <v>114</v>
      </c>
      <c r="B97" s="19">
        <v>4031</v>
      </c>
      <c r="C97" s="19" t="s">
        <v>221</v>
      </c>
      <c r="D97" s="19" t="s">
        <v>268</v>
      </c>
      <c r="E97" s="61">
        <v>42480.673298611109</v>
      </c>
      <c r="F97" s="61">
        <v>42480.674953703703</v>
      </c>
      <c r="G97" s="61">
        <v>2</v>
      </c>
      <c r="H97" s="61" t="s">
        <v>335</v>
      </c>
      <c r="I97" s="61">
        <v>42480.720729166664</v>
      </c>
      <c r="J97" s="19">
        <v>2</v>
      </c>
      <c r="K97" s="20">
        <f t="shared" si="11"/>
        <v>4.577546296059154E-2</v>
      </c>
      <c r="L97" s="21">
        <f t="shared" si="22"/>
        <v>65.916666663251817</v>
      </c>
      <c r="M97" s="21"/>
      <c r="N97" s="22"/>
      <c r="O97" s="17" t="s">
        <v>404</v>
      </c>
      <c r="Q97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16:08:33-0600',mode:absolute,to:'2016-04-20 17:18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97" s="16" t="str">
        <f t="shared" si="15"/>
        <v>N</v>
      </c>
      <c r="S97" s="16">
        <f t="shared" si="13"/>
        <v>4.7699999999999999E-2</v>
      </c>
      <c r="T97" s="16">
        <f t="shared" si="14"/>
        <v>23.336099999999998</v>
      </c>
      <c r="U97" s="16">
        <f t="shared" si="16"/>
        <v>23.288399999999999</v>
      </c>
      <c r="V97" s="51">
        <f>VLOOKUP(A97,Enforcements!$C$3:$J$62,8,0)</f>
        <v>33136</v>
      </c>
      <c r="W97" s="51" t="str">
        <f>VLOOKUP(A97,Enforcements!$C$3:$J$62,3,0)</f>
        <v>GRADE CROSSING</v>
      </c>
    </row>
    <row r="98" spans="1:23" s="2" customFormat="1" ht="14.25" customHeight="1" x14ac:dyDescent="0.25">
      <c r="A98" s="18" t="s">
        <v>157</v>
      </c>
      <c r="B98" s="19">
        <v>4032</v>
      </c>
      <c r="C98" s="19" t="s">
        <v>221</v>
      </c>
      <c r="D98" s="19" t="s">
        <v>336</v>
      </c>
      <c r="E98" s="61">
        <v>42480.729166666664</v>
      </c>
      <c r="F98" s="61">
        <v>42480.730752314812</v>
      </c>
      <c r="G98" s="61">
        <v>2</v>
      </c>
      <c r="H98" s="61" t="s">
        <v>83</v>
      </c>
      <c r="I98" s="61">
        <v>42480.79996527778</v>
      </c>
      <c r="J98" s="19">
        <v>2</v>
      </c>
      <c r="K98" s="20">
        <f t="shared" si="11"/>
        <v>6.9212962967867497E-2</v>
      </c>
      <c r="L98" s="21">
        <f t="shared" si="22"/>
        <v>99.666666673729196</v>
      </c>
      <c r="M98" s="21"/>
      <c r="N98" s="22"/>
      <c r="O98" s="17" t="s">
        <v>405</v>
      </c>
      <c r="Q98" s="16" t="str">
        <f t="shared" si="12"/>
        <v>https://search-rtdc-monitor-bjffxe2xuh6vdkpspy63sjmuny.us-east-1.es.amazonaws.com/_plugin/kibana/#/discover/Steve-Slow-Train-Analysis-(2080s-and-2083s)?_g=(refreshInterval:(display:Off,section:0,value:0),time:(from:'2016-04-20 17:29:00-0600',mode:absolute,to:'2016-04-20 19:12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98" s="16" t="str">
        <f t="shared" si="15"/>
        <v>N</v>
      </c>
      <c r="S98" s="16">
        <f t="shared" si="13"/>
        <v>23.305299999999999</v>
      </c>
      <c r="T98" s="16">
        <f t="shared" si="14"/>
        <v>1.38E-2</v>
      </c>
      <c r="U98" s="16">
        <f t="shared" si="16"/>
        <v>23.291499999999999</v>
      </c>
      <c r="V98" s="51">
        <f>VLOOKUP(A98,Enforcements!$C$3:$J$62,8,0)</f>
        <v>33257</v>
      </c>
      <c r="W98" s="51" t="str">
        <f>VLOOKUP(A98,Enforcements!$C$3:$J$62,3,0)</f>
        <v>GRADE CROSSING</v>
      </c>
    </row>
    <row r="99" spans="1:23" s="2" customFormat="1" x14ac:dyDescent="0.25">
      <c r="A99" s="18" t="s">
        <v>337</v>
      </c>
      <c r="B99" s="19">
        <v>4017</v>
      </c>
      <c r="C99" s="19" t="s">
        <v>221</v>
      </c>
      <c r="D99" s="19" t="s">
        <v>59</v>
      </c>
      <c r="E99" s="61">
        <v>42480.763912037037</v>
      </c>
      <c r="F99" s="61">
        <v>42480.767013888886</v>
      </c>
      <c r="G99" s="61">
        <v>4</v>
      </c>
      <c r="H99" s="61" t="s">
        <v>338</v>
      </c>
      <c r="I99" s="61">
        <v>42480.802557870367</v>
      </c>
      <c r="J99" s="19">
        <v>0</v>
      </c>
      <c r="K99" s="20">
        <f t="shared" si="11"/>
        <v>3.5543981481168885E-2</v>
      </c>
      <c r="L99" s="21">
        <f t="shared" si="22"/>
        <v>51.183333332883194</v>
      </c>
      <c r="M99" s="21"/>
      <c r="N99" s="22"/>
      <c r="O99" s="17" t="s">
        <v>406</v>
      </c>
      <c r="Q99" s="16" t="str">
        <f t="shared" ref="Q99:Q127" si="23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https://search-rtdc-monitor-bjffxe2xuh6vdkpspy63sjmuny.us-east-1.es.amazonaws.com/_plugin/kibana/#/discover/Steve-Slow-Train-Analysis-(2080s-and-2083s)?_g=(refreshInterval:(display:Off,section:0,value:0),time:(from:'2016-04-20 18:19:02-0600',mode:absolute,to:'2016-04-20 19:16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99" s="16" t="str">
        <f t="shared" si="15"/>
        <v>N</v>
      </c>
      <c r="S99" s="16">
        <f t="shared" ref="S99:S127" si="24">RIGHT(D99,LEN(D99)-4)/10000</f>
        <v>23.3002</v>
      </c>
      <c r="T99" s="16">
        <f t="shared" ref="T99:T127" si="25">RIGHT(H99,LEN(H99)-4)/10000</f>
        <v>4.6699999999999998E-2</v>
      </c>
      <c r="U99" s="16">
        <f t="shared" si="16"/>
        <v>23.253499999999999</v>
      </c>
      <c r="V99" s="51" t="e">
        <f>VLOOKUP(A99,Enforcements!$C$3:$J$62,8,0)</f>
        <v>#N/A</v>
      </c>
      <c r="W99" s="51" t="e">
        <f>VLOOKUP(A99,Enforcements!$C$3:$J$62,3,0)</f>
        <v>#N/A</v>
      </c>
    </row>
    <row r="100" spans="1:23" s="2" customFormat="1" x14ac:dyDescent="0.25">
      <c r="A100" s="18" t="s">
        <v>339</v>
      </c>
      <c r="B100" s="19">
        <v>4018</v>
      </c>
      <c r="C100" s="19" t="s">
        <v>221</v>
      </c>
      <c r="D100" s="19" t="s">
        <v>50</v>
      </c>
      <c r="E100" s="61">
        <v>42480.721932870372</v>
      </c>
      <c r="F100" s="61">
        <v>42480.723032407404</v>
      </c>
      <c r="G100" s="61">
        <v>1</v>
      </c>
      <c r="H100" s="61" t="s">
        <v>340</v>
      </c>
      <c r="I100" s="61">
        <v>42480.730995370373</v>
      </c>
      <c r="J100" s="19">
        <v>0</v>
      </c>
      <c r="K100" s="20">
        <f t="shared" si="11"/>
        <v>7.9629629690316506E-3</v>
      </c>
      <c r="L100" s="21"/>
      <c r="M100" s="21"/>
      <c r="N100" s="21">
        <f t="shared" si="22"/>
        <v>11.466666675405577</v>
      </c>
      <c r="O100" s="17" t="s">
        <v>391</v>
      </c>
      <c r="Q100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17:18:35-0600',mode:absolute,to:'2016-04-20 17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00" s="16" t="str">
        <f t="shared" si="15"/>
        <v>Y</v>
      </c>
      <c r="S100" s="16">
        <f t="shared" si="24"/>
        <v>4.3799999999999999E-2</v>
      </c>
      <c r="T100" s="16">
        <f t="shared" si="25"/>
        <v>3.0876999999999999</v>
      </c>
      <c r="U100" s="16">
        <f t="shared" si="16"/>
        <v>3.0438999999999998</v>
      </c>
      <c r="V100" s="51" t="e">
        <f>VLOOKUP(A100,Enforcements!$C$3:$J$62,8,0)</f>
        <v>#N/A</v>
      </c>
      <c r="W100" s="51" t="e">
        <f>VLOOKUP(A100,Enforcements!$C$3:$J$62,3,0)</f>
        <v>#N/A</v>
      </c>
    </row>
    <row r="101" spans="1:23" s="2" customFormat="1" x14ac:dyDescent="0.25">
      <c r="A101" s="18" t="s">
        <v>190</v>
      </c>
      <c r="B101" s="19">
        <v>4039</v>
      </c>
      <c r="C101" s="19" t="s">
        <v>221</v>
      </c>
      <c r="D101" s="19" t="s">
        <v>341</v>
      </c>
      <c r="E101" s="61">
        <v>42480.779131944444</v>
      </c>
      <c r="F101" s="61">
        <v>42480.780578703707</v>
      </c>
      <c r="G101" s="61">
        <v>2</v>
      </c>
      <c r="H101" s="61" t="s">
        <v>338</v>
      </c>
      <c r="I101" s="61">
        <v>42480.8125462963</v>
      </c>
      <c r="J101" s="19">
        <v>1</v>
      </c>
      <c r="K101" s="20">
        <f t="shared" si="11"/>
        <v>3.1967592592991423E-2</v>
      </c>
      <c r="L101" s="21">
        <f t="shared" si="22"/>
        <v>46.033333333907649</v>
      </c>
      <c r="M101" s="21"/>
      <c r="N101" s="22"/>
      <c r="O101" s="17"/>
      <c r="Q101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18:40:57-0600',mode:absolute,to:'2016-04-20 19:31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01" s="16" t="str">
        <f t="shared" si="15"/>
        <v>N</v>
      </c>
      <c r="S101" s="16">
        <f t="shared" si="24"/>
        <v>23.295100000000001</v>
      </c>
      <c r="T101" s="16">
        <f t="shared" si="25"/>
        <v>4.6699999999999998E-2</v>
      </c>
      <c r="U101" s="16">
        <f t="shared" si="16"/>
        <v>23.2484</v>
      </c>
      <c r="V101" s="51">
        <f>VLOOKUP(A101,Enforcements!$C$3:$J$62,8,0)</f>
        <v>232107</v>
      </c>
      <c r="W101" s="51" t="str">
        <f>VLOOKUP(A101,Enforcements!$C$3:$J$62,3,0)</f>
        <v>PERMANENT SPEED RESTRICTION</v>
      </c>
    </row>
    <row r="102" spans="1:23" s="2" customFormat="1" x14ac:dyDescent="0.25">
      <c r="A102" s="18" t="s">
        <v>342</v>
      </c>
      <c r="B102" s="19">
        <v>4040</v>
      </c>
      <c r="C102" s="19" t="s">
        <v>221</v>
      </c>
      <c r="D102" s="19" t="s">
        <v>45</v>
      </c>
      <c r="E102" s="61">
        <v>42480.738356481481</v>
      </c>
      <c r="F102" s="61">
        <v>42480.741261574076</v>
      </c>
      <c r="G102" s="61">
        <v>4</v>
      </c>
      <c r="H102" s="61" t="s">
        <v>343</v>
      </c>
      <c r="I102" s="61">
        <v>42480.775034722225</v>
      </c>
      <c r="J102" s="19">
        <v>0</v>
      </c>
      <c r="K102" s="20">
        <f t="shared" si="11"/>
        <v>3.3773148148611654E-2</v>
      </c>
      <c r="L102" s="21">
        <f t="shared" si="22"/>
        <v>48.633333334000781</v>
      </c>
      <c r="M102" s="21"/>
      <c r="N102" s="22"/>
      <c r="O102" s="17"/>
      <c r="Q102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17:42:14-0600',mode:absolute,to:'2016-04-20 18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02" s="16" t="str">
        <f t="shared" si="15"/>
        <v>N</v>
      </c>
      <c r="S102" s="16">
        <f t="shared" si="24"/>
        <v>4.5100000000000001E-2</v>
      </c>
      <c r="T102" s="16">
        <f t="shared" si="25"/>
        <v>23.3261</v>
      </c>
      <c r="U102" s="16">
        <f t="shared" si="16"/>
        <v>23.280999999999999</v>
      </c>
      <c r="V102" s="51" t="e">
        <f>VLOOKUP(A102,Enforcements!$C$3:$J$62,8,0)</f>
        <v>#N/A</v>
      </c>
      <c r="W102" s="51" t="e">
        <f>VLOOKUP(A102,Enforcements!$C$3:$J$62,3,0)</f>
        <v>#N/A</v>
      </c>
    </row>
    <row r="103" spans="1:23" s="2" customFormat="1" x14ac:dyDescent="0.25">
      <c r="A103" s="18" t="s">
        <v>344</v>
      </c>
      <c r="B103" s="19">
        <v>4028</v>
      </c>
      <c r="C103" s="19" t="s">
        <v>221</v>
      </c>
      <c r="D103" s="19" t="s">
        <v>345</v>
      </c>
      <c r="E103" s="61">
        <v>42480.810474537036</v>
      </c>
      <c r="F103" s="61">
        <v>42480.811805555553</v>
      </c>
      <c r="G103" s="61">
        <v>1</v>
      </c>
      <c r="H103" s="61" t="s">
        <v>30</v>
      </c>
      <c r="I103" s="61">
        <v>42480.839814814812</v>
      </c>
      <c r="J103" s="19">
        <v>0</v>
      </c>
      <c r="K103" s="20">
        <f t="shared" si="11"/>
        <v>2.8009259258396924E-2</v>
      </c>
      <c r="L103" s="21">
        <f t="shared" si="22"/>
        <v>40.33333333209157</v>
      </c>
      <c r="M103" s="21"/>
      <c r="N103" s="22"/>
      <c r="O103" s="17"/>
      <c r="Q103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19:26:05-0600',mode:absolute,to:'2016-04-20 20:10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103" s="16" t="str">
        <f t="shared" si="15"/>
        <v>N</v>
      </c>
      <c r="S103" s="16">
        <f t="shared" si="24"/>
        <v>23.297599999999999</v>
      </c>
      <c r="T103" s="16">
        <f t="shared" si="25"/>
        <v>1.4999999999999999E-2</v>
      </c>
      <c r="U103" s="16">
        <f t="shared" si="16"/>
        <v>23.282599999999999</v>
      </c>
      <c r="V103" s="51" t="e">
        <f>VLOOKUP(A103,Enforcements!$C$3:$J$62,8,0)</f>
        <v>#N/A</v>
      </c>
      <c r="W103" s="51" t="e">
        <f>VLOOKUP(A103,Enforcements!$C$3:$J$62,3,0)</f>
        <v>#N/A</v>
      </c>
    </row>
    <row r="104" spans="1:23" s="2" customFormat="1" x14ac:dyDescent="0.25">
      <c r="A104" s="18" t="s">
        <v>206</v>
      </c>
      <c r="B104" s="19">
        <v>4023</v>
      </c>
      <c r="C104" s="19" t="s">
        <v>221</v>
      </c>
      <c r="D104" s="19" t="s">
        <v>346</v>
      </c>
      <c r="E104" s="61">
        <v>42480.841539351852</v>
      </c>
      <c r="F104" s="61">
        <v>42480.843287037038</v>
      </c>
      <c r="G104" s="61">
        <v>2</v>
      </c>
      <c r="H104" s="61" t="s">
        <v>42</v>
      </c>
      <c r="I104" s="61">
        <v>42480.864791666667</v>
      </c>
      <c r="J104" s="19">
        <v>0</v>
      </c>
      <c r="K104" s="20">
        <f t="shared" si="11"/>
        <v>2.1504629628907423E-2</v>
      </c>
      <c r="L104" s="21"/>
      <c r="M104" s="21">
        <f>($K104+K105)*24*60</f>
        <v>52.166666665580124</v>
      </c>
      <c r="N104" s="22"/>
      <c r="O104" s="17" t="s">
        <v>407</v>
      </c>
      <c r="Q104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20:10:49-0600',mode:absolute,to:'2016-04-20 20:46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R104" s="16" t="str">
        <f t="shared" si="15"/>
        <v>Y</v>
      </c>
      <c r="S104" s="16">
        <f t="shared" si="24"/>
        <v>11.385199999999999</v>
      </c>
      <c r="T104" s="16">
        <f t="shared" si="25"/>
        <v>1.5599999999999999E-2</v>
      </c>
      <c r="U104" s="16">
        <f t="shared" si="16"/>
        <v>11.3696</v>
      </c>
      <c r="V104" s="51">
        <f>VLOOKUP(A104,Enforcements!$C$3:$J$62,8,0)</f>
        <v>218001</v>
      </c>
      <c r="W104" s="51" t="str">
        <f>VLOOKUP(A104,Enforcements!$C$3:$J$62,3,0)</f>
        <v>EQUIPMENT RESTRICTION</v>
      </c>
    </row>
    <row r="105" spans="1:23" s="2" customFormat="1" x14ac:dyDescent="0.25">
      <c r="A105" s="18" t="s">
        <v>206</v>
      </c>
      <c r="B105" s="19">
        <v>4023</v>
      </c>
      <c r="C105" s="19" t="s">
        <v>221</v>
      </c>
      <c r="D105" s="19" t="s">
        <v>28</v>
      </c>
      <c r="E105" s="61">
        <v>42480.821157407408</v>
      </c>
      <c r="F105" s="61">
        <v>42480.822800925926</v>
      </c>
      <c r="G105" s="61">
        <v>2</v>
      </c>
      <c r="H105" s="61" t="s">
        <v>347</v>
      </c>
      <c r="I105" s="61">
        <v>42480.837523148148</v>
      </c>
      <c r="J105" s="19">
        <v>1</v>
      </c>
      <c r="K105" s="20">
        <f t="shared" si="11"/>
        <v>1.4722222222189885E-2</v>
      </c>
      <c r="L105" s="21"/>
      <c r="M105" s="21"/>
      <c r="N105" s="22"/>
      <c r="O105" s="17"/>
      <c r="Q105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19:41:28-0600',mode:absolute,to:'2016-04-20 20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R105" s="16" t="str">
        <f t="shared" si="15"/>
        <v>Y</v>
      </c>
      <c r="S105" s="16">
        <f t="shared" si="24"/>
        <v>23.299399999999999</v>
      </c>
      <c r="T105" s="16">
        <f t="shared" si="25"/>
        <v>11.477399999999999</v>
      </c>
      <c r="U105" s="16">
        <f t="shared" si="16"/>
        <v>11.821999999999999</v>
      </c>
      <c r="V105" s="51">
        <f>VLOOKUP(A105,Enforcements!$C$3:$J$62,8,0)</f>
        <v>218001</v>
      </c>
      <c r="W105" s="51" t="str">
        <f>VLOOKUP(A105,Enforcements!$C$3:$J$62,3,0)</f>
        <v>EQUIPMENT RESTRICTION</v>
      </c>
    </row>
    <row r="106" spans="1:23" s="2" customFormat="1" x14ac:dyDescent="0.25">
      <c r="A106" s="18" t="s">
        <v>112</v>
      </c>
      <c r="B106" s="19">
        <v>4024</v>
      </c>
      <c r="C106" s="19" t="s">
        <v>221</v>
      </c>
      <c r="D106" s="19" t="s">
        <v>348</v>
      </c>
      <c r="E106" s="61">
        <v>42480.78502314815</v>
      </c>
      <c r="F106" s="61">
        <v>42480.786574074074</v>
      </c>
      <c r="G106" s="61">
        <v>2</v>
      </c>
      <c r="H106" s="61" t="s">
        <v>33</v>
      </c>
      <c r="I106" s="61">
        <v>42480.819189814814</v>
      </c>
      <c r="J106" s="19">
        <v>1</v>
      </c>
      <c r="K106" s="20">
        <f t="shared" si="11"/>
        <v>3.2615740739856847E-2</v>
      </c>
      <c r="L106" s="21">
        <f t="shared" si="22"/>
        <v>46.966666665393859</v>
      </c>
      <c r="M106" s="21"/>
      <c r="N106" s="22"/>
      <c r="O106" s="17"/>
      <c r="Q106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18:49:26-0600',mode:absolute,to:'2016-04-20 19:40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R106" s="16" t="str">
        <f t="shared" si="15"/>
        <v>N</v>
      </c>
      <c r="S106" s="16">
        <f t="shared" si="24"/>
        <v>4.1300000000000003E-2</v>
      </c>
      <c r="T106" s="16">
        <f t="shared" si="25"/>
        <v>23.331399999999999</v>
      </c>
      <c r="U106" s="16">
        <f t="shared" si="16"/>
        <v>23.290099999999999</v>
      </c>
      <c r="V106" s="51" t="e">
        <f>VLOOKUP(A106,Enforcements!$C$3:$J$62,8,0)</f>
        <v>#N/A</v>
      </c>
      <c r="W106" s="51" t="e">
        <f>VLOOKUP(A106,Enforcements!$C$3:$J$62,3,0)</f>
        <v>#N/A</v>
      </c>
    </row>
    <row r="107" spans="1:23" s="2" customFormat="1" x14ac:dyDescent="0.25">
      <c r="A107" s="18" t="s">
        <v>349</v>
      </c>
      <c r="B107" s="19">
        <v>4017</v>
      </c>
      <c r="C107" s="19" t="s">
        <v>221</v>
      </c>
      <c r="D107" s="19" t="s">
        <v>88</v>
      </c>
      <c r="E107" s="61">
        <v>42480.843182870369</v>
      </c>
      <c r="F107" s="61">
        <v>42480.844733796293</v>
      </c>
      <c r="G107" s="61">
        <v>2</v>
      </c>
      <c r="H107" s="61" t="s">
        <v>26</v>
      </c>
      <c r="I107" s="61">
        <v>42480.876504629632</v>
      </c>
      <c r="J107" s="19">
        <v>0</v>
      </c>
      <c r="K107" s="20">
        <f t="shared" si="11"/>
        <v>3.1770833338669036E-2</v>
      </c>
      <c r="L107" s="21">
        <f t="shared" si="22"/>
        <v>45.750000007683411</v>
      </c>
      <c r="M107" s="21"/>
      <c r="N107" s="22"/>
      <c r="O107" s="17"/>
      <c r="Q107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20:13:11-0600',mode:absolute,to:'2016-04-20 21:03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07" s="16" t="str">
        <f t="shared" si="15"/>
        <v>N</v>
      </c>
      <c r="S107" s="16">
        <f t="shared" si="24"/>
        <v>23.299800000000001</v>
      </c>
      <c r="T107" s="16">
        <f t="shared" si="25"/>
        <v>1.5800000000000002E-2</v>
      </c>
      <c r="U107" s="16">
        <f t="shared" si="16"/>
        <v>23.284000000000002</v>
      </c>
      <c r="V107" s="51" t="e">
        <f>VLOOKUP(A107,Enforcements!$C$3:$J$62,8,0)</f>
        <v>#N/A</v>
      </c>
      <c r="W107" s="51" t="e">
        <f>VLOOKUP(A107,Enforcements!$C$3:$J$62,3,0)</f>
        <v>#N/A</v>
      </c>
    </row>
    <row r="108" spans="1:23" s="2" customFormat="1" x14ac:dyDescent="0.25">
      <c r="A108" s="18" t="s">
        <v>350</v>
      </c>
      <c r="B108" s="19">
        <v>4018</v>
      </c>
      <c r="C108" s="19" t="s">
        <v>221</v>
      </c>
      <c r="D108" s="19" t="s">
        <v>62</v>
      </c>
      <c r="E108" s="61">
        <v>42480.803449074076</v>
      </c>
      <c r="F108" s="61">
        <v>42480.805960648147</v>
      </c>
      <c r="G108" s="61">
        <v>3</v>
      </c>
      <c r="H108" s="61" t="s">
        <v>87</v>
      </c>
      <c r="I108" s="61">
        <v>42480.842199074075</v>
      </c>
      <c r="J108" s="19">
        <v>0</v>
      </c>
      <c r="K108" s="20">
        <f t="shared" si="11"/>
        <v>3.623842592787696E-2</v>
      </c>
      <c r="L108" s="21">
        <f t="shared" si="22"/>
        <v>52.183333336142823</v>
      </c>
      <c r="M108" s="21"/>
      <c r="N108" s="22"/>
      <c r="O108" s="17" t="s">
        <v>406</v>
      </c>
      <c r="Q108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19:15:58-0600',mode:absolute,to:'2016-04-20 20:13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08" s="16" t="str">
        <f t="shared" si="15"/>
        <v>N</v>
      </c>
      <c r="S108" s="16">
        <f t="shared" si="24"/>
        <v>7.85E-2</v>
      </c>
      <c r="T108" s="16">
        <f t="shared" si="25"/>
        <v>23.329499999999999</v>
      </c>
      <c r="U108" s="16">
        <f t="shared" si="16"/>
        <v>23.251000000000001</v>
      </c>
      <c r="V108" s="51" t="e">
        <f>VLOOKUP(A108,Enforcements!$C$3:$J$62,8,0)</f>
        <v>#N/A</v>
      </c>
      <c r="W108" s="51" t="e">
        <f>VLOOKUP(A108,Enforcements!$C$3:$J$62,3,0)</f>
        <v>#N/A</v>
      </c>
    </row>
    <row r="109" spans="1:23" s="2" customFormat="1" x14ac:dyDescent="0.25">
      <c r="A109" s="18" t="s">
        <v>351</v>
      </c>
      <c r="B109" s="19">
        <v>4039</v>
      </c>
      <c r="C109" s="19" t="s">
        <v>221</v>
      </c>
      <c r="D109" s="19" t="s">
        <v>352</v>
      </c>
      <c r="E109" s="61">
        <v>42480.850937499999</v>
      </c>
      <c r="F109" s="61">
        <v>42480.852094907408</v>
      </c>
      <c r="G109" s="61">
        <v>1</v>
      </c>
      <c r="H109" s="61" t="s">
        <v>42</v>
      </c>
      <c r="I109" s="61">
        <v>42480.886099537034</v>
      </c>
      <c r="J109" s="19">
        <v>0</v>
      </c>
      <c r="K109" s="20">
        <f t="shared" si="11"/>
        <v>3.400462962599704E-2</v>
      </c>
      <c r="L109" s="21">
        <f t="shared" ref="L109:N127" si="26">$K109*24*60</f>
        <v>48.966666661435738</v>
      </c>
      <c r="M109" s="21"/>
      <c r="N109" s="22"/>
      <c r="O109" s="17"/>
      <c r="Q109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20:24:21-0600',mode:absolute,to:'2016-04-20 21:16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09" s="16" t="str">
        <f t="shared" si="15"/>
        <v>N</v>
      </c>
      <c r="S109" s="16">
        <f t="shared" si="24"/>
        <v>23.293199999999999</v>
      </c>
      <c r="T109" s="16">
        <f t="shared" si="25"/>
        <v>1.5599999999999999E-2</v>
      </c>
      <c r="U109" s="16">
        <f t="shared" si="16"/>
        <v>23.2776</v>
      </c>
      <c r="V109" s="51" t="e">
        <f>VLOOKUP(A109,Enforcements!$C$3:$J$62,8,0)</f>
        <v>#N/A</v>
      </c>
      <c r="W109" s="51" t="e">
        <f>VLOOKUP(A109,Enforcements!$C$3:$J$62,3,0)</f>
        <v>#N/A</v>
      </c>
    </row>
    <row r="110" spans="1:23" s="2" customFormat="1" x14ac:dyDescent="0.25">
      <c r="A110" s="18" t="s">
        <v>353</v>
      </c>
      <c r="B110" s="19">
        <v>4040</v>
      </c>
      <c r="C110" s="19" t="s">
        <v>221</v>
      </c>
      <c r="D110" s="19" t="s">
        <v>354</v>
      </c>
      <c r="E110" s="61">
        <v>42480.816006944442</v>
      </c>
      <c r="F110" s="61">
        <v>42480.816817129627</v>
      </c>
      <c r="G110" s="61">
        <v>1</v>
      </c>
      <c r="H110" s="61" t="s">
        <v>355</v>
      </c>
      <c r="I110" s="61">
        <v>42480.845833333333</v>
      </c>
      <c r="J110" s="19">
        <v>0</v>
      </c>
      <c r="K110" s="20">
        <f t="shared" si="11"/>
        <v>2.9016203705396038E-2</v>
      </c>
      <c r="L110" s="21">
        <f t="shared" si="26"/>
        <v>41.783333335770294</v>
      </c>
      <c r="M110" s="21"/>
      <c r="N110" s="22"/>
      <c r="O110" s="17"/>
      <c r="Q110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19:34:03-0600',mode:absolute,to:'2016-04-20 20:19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10" s="16" t="str">
        <f t="shared" si="15"/>
        <v>N</v>
      </c>
      <c r="S110" s="16">
        <f t="shared" si="24"/>
        <v>7.8100000000000003E-2</v>
      </c>
      <c r="T110" s="16">
        <f t="shared" si="25"/>
        <v>23.3249</v>
      </c>
      <c r="U110" s="16">
        <f t="shared" si="16"/>
        <v>23.2468</v>
      </c>
      <c r="V110" s="51" t="e">
        <f>VLOOKUP(A110,Enforcements!$C$3:$J$62,8,0)</f>
        <v>#N/A</v>
      </c>
      <c r="W110" s="51" t="e">
        <f>VLOOKUP(A110,Enforcements!$C$3:$J$62,3,0)</f>
        <v>#N/A</v>
      </c>
    </row>
    <row r="111" spans="1:23" s="2" customFormat="1" x14ac:dyDescent="0.25">
      <c r="A111" s="18" t="s">
        <v>356</v>
      </c>
      <c r="B111" s="19">
        <v>4027</v>
      </c>
      <c r="C111" s="19" t="s">
        <v>221</v>
      </c>
      <c r="D111" s="19" t="s">
        <v>24</v>
      </c>
      <c r="E111" s="61">
        <v>42480.8434837963</v>
      </c>
      <c r="F111" s="61">
        <v>42480.844988425924</v>
      </c>
      <c r="G111" s="61">
        <v>2</v>
      </c>
      <c r="H111" s="61" t="s">
        <v>357</v>
      </c>
      <c r="I111" s="61">
        <v>42480.875057870369</v>
      </c>
      <c r="J111" s="19">
        <v>0</v>
      </c>
      <c r="K111" s="20">
        <f t="shared" si="11"/>
        <v>3.0069444444961846E-2</v>
      </c>
      <c r="L111" s="21">
        <f t="shared" si="26"/>
        <v>43.300000000745058</v>
      </c>
      <c r="M111" s="21"/>
      <c r="N111" s="22"/>
      <c r="O111" s="17"/>
      <c r="Q111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20:13:37-0600',mode:absolute,to:'2016-04-20 21:01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111" s="16" t="str">
        <f t="shared" si="15"/>
        <v>N</v>
      </c>
      <c r="S111" s="16">
        <f t="shared" si="24"/>
        <v>4.7100000000000003E-2</v>
      </c>
      <c r="T111" s="16">
        <f t="shared" si="25"/>
        <v>23.328700000000001</v>
      </c>
      <c r="U111" s="16">
        <f t="shared" si="16"/>
        <v>23.281600000000001</v>
      </c>
      <c r="V111" s="51" t="e">
        <f>VLOOKUP(A111,Enforcements!$C$3:$J$62,8,0)</f>
        <v>#N/A</v>
      </c>
      <c r="W111" s="51" t="e">
        <f>VLOOKUP(A111,Enforcements!$C$3:$J$62,3,0)</f>
        <v>#N/A</v>
      </c>
    </row>
    <row r="112" spans="1:23" s="2" customFormat="1" x14ac:dyDescent="0.25">
      <c r="A112" s="18" t="s">
        <v>154</v>
      </c>
      <c r="B112" s="19">
        <v>4028</v>
      </c>
      <c r="C112" s="19" t="s">
        <v>221</v>
      </c>
      <c r="D112" s="19" t="s">
        <v>48</v>
      </c>
      <c r="E112" s="61">
        <v>42480.878796296296</v>
      </c>
      <c r="F112" s="61">
        <v>42480.880520833336</v>
      </c>
      <c r="G112" s="61">
        <v>2</v>
      </c>
      <c r="H112" s="61" t="s">
        <v>8</v>
      </c>
      <c r="I112" s="61">
        <v>42480.922418981485</v>
      </c>
      <c r="J112" s="19">
        <v>1</v>
      </c>
      <c r="K112" s="20">
        <f t="shared" ref="K112:K127" si="27">I112-F112</f>
        <v>4.1898148148902692E-2</v>
      </c>
      <c r="L112" s="21">
        <f t="shared" si="26"/>
        <v>60.333333334419876</v>
      </c>
      <c r="M112" s="21"/>
      <c r="N112" s="22"/>
      <c r="O112" s="17" t="s">
        <v>390</v>
      </c>
      <c r="Q112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21:04:28-0600',mode:absolute,to:'2016-04-20 22:09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112" s="16" t="str">
        <f t="shared" si="15"/>
        <v>N</v>
      </c>
      <c r="S112" s="16">
        <f t="shared" si="24"/>
        <v>23.2987</v>
      </c>
      <c r="T112" s="16">
        <f t="shared" si="25"/>
        <v>1.49E-2</v>
      </c>
      <c r="U112" s="16">
        <f t="shared" si="16"/>
        <v>23.283799999999999</v>
      </c>
      <c r="V112" s="51">
        <f>VLOOKUP(A112,Enforcements!$C$3:$J$62,8,0)</f>
        <v>127587</v>
      </c>
      <c r="W112" s="51" t="str">
        <f>VLOOKUP(A112,Enforcements!$C$3:$J$62,3,0)</f>
        <v>SIGNAL</v>
      </c>
    </row>
    <row r="113" spans="1:23" s="2" customFormat="1" x14ac:dyDescent="0.25">
      <c r="A113" s="18" t="s">
        <v>358</v>
      </c>
      <c r="B113" s="19">
        <v>4023</v>
      </c>
      <c r="C113" s="19" t="s">
        <v>221</v>
      </c>
      <c r="D113" s="19" t="s">
        <v>56</v>
      </c>
      <c r="E113" s="61">
        <v>42480.91300925926</v>
      </c>
      <c r="F113" s="61">
        <v>42480.914039351854</v>
      </c>
      <c r="G113" s="61">
        <v>1</v>
      </c>
      <c r="H113" s="61" t="s">
        <v>8</v>
      </c>
      <c r="I113" s="61">
        <v>42480.941967592589</v>
      </c>
      <c r="J113" s="19">
        <v>0</v>
      </c>
      <c r="K113" s="20">
        <f t="shared" si="27"/>
        <v>2.7928240735491272E-2</v>
      </c>
      <c r="L113" s="21">
        <f t="shared" si="26"/>
        <v>40.216666659107432</v>
      </c>
      <c r="M113" s="21"/>
      <c r="N113" s="22"/>
      <c r="O113" s="17"/>
      <c r="Q113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21:53:44-0600',mode:absolute,to:'2016-04-20 22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R113" s="16" t="str">
        <f t="shared" si="15"/>
        <v>N</v>
      </c>
      <c r="S113" s="16">
        <f t="shared" si="24"/>
        <v>23.298500000000001</v>
      </c>
      <c r="T113" s="16">
        <f t="shared" si="25"/>
        <v>1.49E-2</v>
      </c>
      <c r="U113" s="16">
        <f t="shared" si="16"/>
        <v>23.2836</v>
      </c>
      <c r="V113" s="51" t="e">
        <f>VLOOKUP(A113,Enforcements!$C$3:$J$62,8,0)</f>
        <v>#N/A</v>
      </c>
      <c r="W113" s="51" t="e">
        <f>VLOOKUP(A113,Enforcements!$C$3:$J$62,3,0)</f>
        <v>#N/A</v>
      </c>
    </row>
    <row r="114" spans="1:23" s="2" customFormat="1" x14ac:dyDescent="0.25">
      <c r="A114" s="18" t="s">
        <v>359</v>
      </c>
      <c r="B114" s="19">
        <v>4024</v>
      </c>
      <c r="C114" s="19" t="s">
        <v>221</v>
      </c>
      <c r="D114" s="19" t="s">
        <v>338</v>
      </c>
      <c r="E114" s="61">
        <v>42480.869108796294</v>
      </c>
      <c r="F114" s="61">
        <v>42480.870486111111</v>
      </c>
      <c r="G114" s="61">
        <v>1</v>
      </c>
      <c r="H114" s="61" t="s">
        <v>294</v>
      </c>
      <c r="I114" s="61">
        <v>42480.900509259256</v>
      </c>
      <c r="J114" s="19">
        <v>0</v>
      </c>
      <c r="K114" s="20">
        <f t="shared" si="27"/>
        <v>3.0023148145119194E-2</v>
      </c>
      <c r="L114" s="21">
        <f t="shared" si="26"/>
        <v>43.233333328971639</v>
      </c>
      <c r="M114" s="21"/>
      <c r="N114" s="22"/>
      <c r="O114" s="17"/>
      <c r="Q114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20:50:31-0600',mode:absolute,to:'2016-04-20 21:37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R114" s="16" t="str">
        <f t="shared" si="15"/>
        <v>N</v>
      </c>
      <c r="S114" s="16">
        <f t="shared" si="24"/>
        <v>4.6699999999999998E-2</v>
      </c>
      <c r="T114" s="16">
        <f t="shared" si="25"/>
        <v>23.329699999999999</v>
      </c>
      <c r="U114" s="16">
        <f t="shared" si="16"/>
        <v>23.282999999999998</v>
      </c>
      <c r="V114" s="51" t="e">
        <f>VLOOKUP(A114,Enforcements!$C$3:$J$62,8,0)</f>
        <v>#N/A</v>
      </c>
      <c r="W114" s="51" t="e">
        <f>VLOOKUP(A114,Enforcements!$C$3:$J$62,3,0)</f>
        <v>#N/A</v>
      </c>
    </row>
    <row r="115" spans="1:23" s="2" customFormat="1" x14ac:dyDescent="0.25">
      <c r="A115" s="18" t="s">
        <v>360</v>
      </c>
      <c r="B115" s="19">
        <v>4017</v>
      </c>
      <c r="C115" s="19" t="s">
        <v>221</v>
      </c>
      <c r="D115" s="19" t="s">
        <v>51</v>
      </c>
      <c r="E115" s="61">
        <v>42480.924641203703</v>
      </c>
      <c r="F115" s="61">
        <v>42480.928124999999</v>
      </c>
      <c r="G115" s="61">
        <v>5</v>
      </c>
      <c r="H115" s="61" t="s">
        <v>361</v>
      </c>
      <c r="I115" s="61">
        <v>42480.967581018522</v>
      </c>
      <c r="J115" s="19">
        <v>0</v>
      </c>
      <c r="K115" s="20">
        <f t="shared" si="27"/>
        <v>3.945601852319669E-2</v>
      </c>
      <c r="L115" s="21">
        <f t="shared" si="26"/>
        <v>56.816666673403233</v>
      </c>
      <c r="M115" s="21"/>
      <c r="N115" s="22"/>
      <c r="O115" s="17" t="s">
        <v>409</v>
      </c>
      <c r="Q115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22:10:29-0600',mode:absolute,to:'2016-04-20 23:14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15" s="16" t="str">
        <f t="shared" si="15"/>
        <v>N</v>
      </c>
      <c r="S115" s="16">
        <f t="shared" si="24"/>
        <v>23.2989</v>
      </c>
      <c r="T115" s="16">
        <f t="shared" si="25"/>
        <v>3.3799999999999997E-2</v>
      </c>
      <c r="U115" s="16">
        <f t="shared" si="16"/>
        <v>23.2651</v>
      </c>
      <c r="V115" s="51" t="e">
        <f>VLOOKUP(A115,Enforcements!$C$3:$J$62,8,0)</f>
        <v>#N/A</v>
      </c>
      <c r="W115" s="51" t="e">
        <f>VLOOKUP(A115,Enforcements!$C$3:$J$62,3,0)</f>
        <v>#N/A</v>
      </c>
    </row>
    <row r="116" spans="1:23" s="2" customFormat="1" x14ac:dyDescent="0.25">
      <c r="A116" s="18" t="s">
        <v>110</v>
      </c>
      <c r="B116" s="19">
        <v>4018</v>
      </c>
      <c r="C116" s="19" t="s">
        <v>221</v>
      </c>
      <c r="D116" s="19" t="s">
        <v>81</v>
      </c>
      <c r="E116" s="61">
        <v>42480.877372685187</v>
      </c>
      <c r="F116" s="61">
        <v>42480.881886574076</v>
      </c>
      <c r="G116" s="61">
        <v>6</v>
      </c>
      <c r="H116" s="61" t="s">
        <v>10</v>
      </c>
      <c r="I116" s="61">
        <v>42480.9219212963</v>
      </c>
      <c r="J116" s="19">
        <v>1</v>
      </c>
      <c r="K116" s="20">
        <f t="shared" si="27"/>
        <v>4.0034722223936114E-2</v>
      </c>
      <c r="L116" s="21">
        <f t="shared" si="26"/>
        <v>57.650000002468005</v>
      </c>
      <c r="M116" s="21"/>
      <c r="N116" s="22"/>
      <c r="O116" s="17" t="s">
        <v>411</v>
      </c>
      <c r="Q116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21:02:25-0600',mode:absolute,to:'2016-04-20 22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16" s="16" t="str">
        <f t="shared" si="15"/>
        <v>N</v>
      </c>
      <c r="S116" s="16">
        <f t="shared" si="24"/>
        <v>4.8000000000000001E-2</v>
      </c>
      <c r="T116" s="16">
        <f t="shared" si="25"/>
        <v>23.330400000000001</v>
      </c>
      <c r="U116" s="16">
        <f t="shared" si="16"/>
        <v>23.282400000000003</v>
      </c>
      <c r="V116" s="51" t="e">
        <f>VLOOKUP(A116,Enforcements!$C$3:$J$62,8,0)</f>
        <v>#N/A</v>
      </c>
      <c r="W116" s="51" t="e">
        <f>VLOOKUP(A116,Enforcements!$C$3:$J$62,3,0)</f>
        <v>#N/A</v>
      </c>
    </row>
    <row r="117" spans="1:23" s="2" customFormat="1" x14ac:dyDescent="0.25">
      <c r="A117" s="18" t="s">
        <v>362</v>
      </c>
      <c r="B117" s="19">
        <v>4039</v>
      </c>
      <c r="C117" s="19" t="s">
        <v>221</v>
      </c>
      <c r="D117" s="19" t="s">
        <v>363</v>
      </c>
      <c r="E117" s="61">
        <v>42480.952372685184</v>
      </c>
      <c r="F117" s="61">
        <v>42480.953645833331</v>
      </c>
      <c r="G117" s="61">
        <v>1</v>
      </c>
      <c r="H117" s="61" t="s">
        <v>83</v>
      </c>
      <c r="I117" s="61">
        <v>42480.985902777778</v>
      </c>
      <c r="J117" s="19">
        <v>0</v>
      </c>
      <c r="K117" s="20">
        <f t="shared" si="27"/>
        <v>3.2256944446999114E-2</v>
      </c>
      <c r="L117" s="21">
        <f t="shared" si="26"/>
        <v>46.450000003678724</v>
      </c>
      <c r="M117" s="21"/>
      <c r="N117" s="22"/>
      <c r="O117" s="17"/>
      <c r="Q117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22:50:25-0600',mode:absolute,to:'2016-04-20 23:40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17" s="16" t="str">
        <f t="shared" si="15"/>
        <v>N</v>
      </c>
      <c r="S117" s="16">
        <f t="shared" si="24"/>
        <v>23.294</v>
      </c>
      <c r="T117" s="16">
        <f t="shared" si="25"/>
        <v>1.38E-2</v>
      </c>
      <c r="U117" s="16">
        <f t="shared" si="16"/>
        <v>23.280200000000001</v>
      </c>
      <c r="V117" s="51" t="e">
        <f>VLOOKUP(A117,Enforcements!$C$3:$J$62,8,0)</f>
        <v>#N/A</v>
      </c>
      <c r="W117" s="51" t="e">
        <f>VLOOKUP(A117,Enforcements!$C$3:$J$62,3,0)</f>
        <v>#N/A</v>
      </c>
    </row>
    <row r="118" spans="1:23" s="2" customFormat="1" x14ac:dyDescent="0.25">
      <c r="A118" s="18" t="s">
        <v>364</v>
      </c>
      <c r="B118" s="19">
        <v>4040</v>
      </c>
      <c r="C118" s="19" t="s">
        <v>221</v>
      </c>
      <c r="D118" s="19" t="s">
        <v>81</v>
      </c>
      <c r="E118" s="61">
        <v>42480.912615740737</v>
      </c>
      <c r="F118" s="61">
        <v>42480.913668981484</v>
      </c>
      <c r="G118" s="61">
        <v>1</v>
      </c>
      <c r="H118" s="61" t="s">
        <v>365</v>
      </c>
      <c r="I118" s="61">
        <v>42480.945925925924</v>
      </c>
      <c r="J118" s="19">
        <v>0</v>
      </c>
      <c r="K118" s="20">
        <f t="shared" si="27"/>
        <v>3.2256944439723156E-2</v>
      </c>
      <c r="L118" s="21">
        <f t="shared" si="26"/>
        <v>46.449999993201345</v>
      </c>
      <c r="M118" s="21"/>
      <c r="N118" s="22"/>
      <c r="O118" s="17"/>
      <c r="Q118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21:53:10-0600',mode:absolute,to:'2016-04-20 22:43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18" s="16" t="str">
        <f t="shared" si="15"/>
        <v>N</v>
      </c>
      <c r="S118" s="16">
        <f t="shared" si="24"/>
        <v>4.8000000000000001E-2</v>
      </c>
      <c r="T118" s="16">
        <f t="shared" si="25"/>
        <v>23.327400000000001</v>
      </c>
      <c r="U118" s="16">
        <f t="shared" si="16"/>
        <v>23.279400000000003</v>
      </c>
      <c r="V118" s="51" t="e">
        <f>VLOOKUP(A118,Enforcements!$C$3:$J$62,8,0)</f>
        <v>#N/A</v>
      </c>
      <c r="W118" s="51" t="e">
        <f>VLOOKUP(A118,Enforcements!$C$3:$J$62,3,0)</f>
        <v>#N/A</v>
      </c>
    </row>
    <row r="119" spans="1:23" s="2" customFormat="1" x14ac:dyDescent="0.25">
      <c r="A119" s="18" t="s">
        <v>366</v>
      </c>
      <c r="B119" s="19">
        <v>4023</v>
      </c>
      <c r="C119" s="19" t="s">
        <v>221</v>
      </c>
      <c r="D119" s="19" t="s">
        <v>49</v>
      </c>
      <c r="E119" s="61">
        <v>42480.976469907408</v>
      </c>
      <c r="F119" s="61">
        <v>42480.977164351854</v>
      </c>
      <c r="G119" s="61">
        <v>0</v>
      </c>
      <c r="H119" s="61" t="s">
        <v>30</v>
      </c>
      <c r="I119" s="61">
        <v>42481.009386574071</v>
      </c>
      <c r="J119" s="19">
        <v>0</v>
      </c>
      <c r="K119" s="20">
        <f t="shared" si="27"/>
        <v>3.2222222216660157E-2</v>
      </c>
      <c r="L119" s="21">
        <f t="shared" si="26"/>
        <v>46.399999991990626</v>
      </c>
      <c r="M119" s="21"/>
      <c r="N119" s="22"/>
      <c r="O119" s="17"/>
      <c r="Q119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23:25:07-0600',mode:absolute,to:'2016-04-21 00:14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R119" s="16" t="str">
        <f t="shared" si="15"/>
        <v>N</v>
      </c>
      <c r="S119" s="16">
        <f t="shared" si="24"/>
        <v>23.299299999999999</v>
      </c>
      <c r="T119" s="16">
        <f t="shared" si="25"/>
        <v>1.4999999999999999E-2</v>
      </c>
      <c r="U119" s="16">
        <f t="shared" si="16"/>
        <v>23.284299999999998</v>
      </c>
      <c r="V119" s="51" t="e">
        <f>VLOOKUP(A119,Enforcements!$C$3:$J$62,8,0)</f>
        <v>#N/A</v>
      </c>
      <c r="W119" s="51" t="e">
        <f>VLOOKUP(A119,Enforcements!$C$3:$J$62,3,0)</f>
        <v>#N/A</v>
      </c>
    </row>
    <row r="120" spans="1:23" s="2" customFormat="1" x14ac:dyDescent="0.25">
      <c r="A120" s="18" t="s">
        <v>367</v>
      </c>
      <c r="B120" s="19">
        <v>4027</v>
      </c>
      <c r="C120" s="19" t="s">
        <v>221</v>
      </c>
      <c r="D120" s="19" t="s">
        <v>85</v>
      </c>
      <c r="E120" s="61">
        <v>42480.925983796296</v>
      </c>
      <c r="F120" s="61">
        <v>42480.927094907405</v>
      </c>
      <c r="G120" s="61">
        <v>1</v>
      </c>
      <c r="H120" s="61" t="s">
        <v>368</v>
      </c>
      <c r="I120" s="61">
        <v>42480.94189814815</v>
      </c>
      <c r="J120" s="19">
        <v>0</v>
      </c>
      <c r="K120" s="20">
        <f t="shared" si="27"/>
        <v>1.4803240745095536E-2</v>
      </c>
      <c r="L120" s="21"/>
      <c r="M120" s="21"/>
      <c r="N120" s="21">
        <f t="shared" si="26"/>
        <v>21.316666672937572</v>
      </c>
      <c r="O120" s="17" t="s">
        <v>412</v>
      </c>
      <c r="Q120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22:12:25-0600',mode:absolute,to:'2016-04-20 22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120" s="16" t="str">
        <f t="shared" si="15"/>
        <v>Y</v>
      </c>
      <c r="S120" s="16">
        <f t="shared" si="24"/>
        <v>4.7300000000000002E-2</v>
      </c>
      <c r="T120" s="16">
        <f t="shared" si="25"/>
        <v>7.6799999999999993E-2</v>
      </c>
      <c r="U120" s="16">
        <f t="shared" si="16"/>
        <v>2.9499999999999992E-2</v>
      </c>
      <c r="V120" s="51" t="e">
        <f>VLOOKUP(A120,Enforcements!$C$3:$J$62,8,0)</f>
        <v>#N/A</v>
      </c>
      <c r="W120" s="51" t="e">
        <f>VLOOKUP(A120,Enforcements!$C$3:$J$62,3,0)</f>
        <v>#N/A</v>
      </c>
    </row>
    <row r="121" spans="1:23" s="2" customFormat="1" x14ac:dyDescent="0.25">
      <c r="A121" s="18" t="s">
        <v>369</v>
      </c>
      <c r="B121" s="19">
        <v>4008</v>
      </c>
      <c r="C121" s="19" t="s">
        <v>221</v>
      </c>
      <c r="D121" s="19" t="s">
        <v>240</v>
      </c>
      <c r="E121" s="61">
        <v>42480.992777777778</v>
      </c>
      <c r="F121" s="61">
        <v>42480.996898148151</v>
      </c>
      <c r="G121" s="61">
        <v>5</v>
      </c>
      <c r="H121" s="61" t="s">
        <v>37</v>
      </c>
      <c r="I121" s="61">
        <v>42481.03056712963</v>
      </c>
      <c r="J121" s="19">
        <v>0</v>
      </c>
      <c r="K121" s="20">
        <f t="shared" si="27"/>
        <v>3.3668981479422655E-2</v>
      </c>
      <c r="L121" s="21">
        <f t="shared" si="26"/>
        <v>48.483333330368623</v>
      </c>
      <c r="M121" s="21"/>
      <c r="N121" s="22"/>
      <c r="O121" s="17"/>
      <c r="Q121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23:48:36-0600',mode:absolute,to:'2016-04-21 00:45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121" s="16" t="str">
        <f t="shared" si="15"/>
        <v>N</v>
      </c>
      <c r="S121" s="16">
        <f t="shared" si="24"/>
        <v>23.298300000000001</v>
      </c>
      <c r="T121" s="16">
        <f t="shared" si="25"/>
        <v>1.41E-2</v>
      </c>
      <c r="U121" s="16">
        <f t="shared" si="16"/>
        <v>23.284200000000002</v>
      </c>
      <c r="V121" s="51" t="e">
        <f>VLOOKUP(A121,Enforcements!$C$3:$J$62,8,0)</f>
        <v>#N/A</v>
      </c>
      <c r="W121" s="51" t="e">
        <f>VLOOKUP(A121,Enforcements!$C$3:$J$62,3,0)</f>
        <v>#N/A</v>
      </c>
    </row>
    <row r="122" spans="1:23" s="2" customFormat="1" x14ac:dyDescent="0.25">
      <c r="A122" s="18" t="s">
        <v>370</v>
      </c>
      <c r="B122" s="19">
        <v>4017</v>
      </c>
      <c r="C122" s="19" t="s">
        <v>221</v>
      </c>
      <c r="D122" s="19" t="s">
        <v>250</v>
      </c>
      <c r="E122" s="61">
        <v>42481.013148148151</v>
      </c>
      <c r="F122" s="61">
        <v>42481.015104166669</v>
      </c>
      <c r="G122" s="61">
        <v>2</v>
      </c>
      <c r="H122" s="61" t="s">
        <v>86</v>
      </c>
      <c r="I122" s="61">
        <v>42481.052789351852</v>
      </c>
      <c r="J122" s="19">
        <v>0</v>
      </c>
      <c r="K122" s="20">
        <f t="shared" si="27"/>
        <v>3.7685185183363501E-2</v>
      </c>
      <c r="L122" s="21">
        <f t="shared" si="26"/>
        <v>54.266666664043441</v>
      </c>
      <c r="M122" s="21"/>
      <c r="N122" s="22"/>
      <c r="O122" s="17" t="s">
        <v>413</v>
      </c>
      <c r="Q122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https://search-rtdc-monitor-bjffxe2xuh6vdkpspy63sjmuny.us-east-1.es.amazonaws.com/_plugin/kibana/#/discover/Steve-Slow-Train-Analysis-(2080s-and-2083s)?_g=(refreshInterval:(display:Off,section:0,value:0),time:(from:'2016-04-21 00:17:56-0600',mode:absolute,to:'2016-04-21 01:17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22" s="16" t="str">
        <f t="shared" si="15"/>
        <v>N</v>
      </c>
      <c r="S122" s="16">
        <f t="shared" si="24"/>
        <v>23.297699999999999</v>
      </c>
      <c r="T122" s="16">
        <f t="shared" si="25"/>
        <v>1.6299999999999999E-2</v>
      </c>
      <c r="U122" s="16">
        <f t="shared" si="16"/>
        <v>23.281399999999998</v>
      </c>
      <c r="V122" s="51" t="e">
        <f>VLOOKUP(A122,Enforcements!$C$3:$J$62,8,0)</f>
        <v>#N/A</v>
      </c>
      <c r="W122" s="51" t="e">
        <f>VLOOKUP(A122,Enforcements!$C$3:$J$62,3,0)</f>
        <v>#N/A</v>
      </c>
    </row>
    <row r="123" spans="1:23" s="2" customFormat="1" x14ac:dyDescent="0.25">
      <c r="A123" s="18" t="s">
        <v>371</v>
      </c>
      <c r="B123" s="19">
        <v>4018</v>
      </c>
      <c r="C123" s="19" t="s">
        <v>221</v>
      </c>
      <c r="D123" s="19" t="s">
        <v>372</v>
      </c>
      <c r="E123" s="61">
        <v>42480.970590277779</v>
      </c>
      <c r="F123" s="61">
        <v>42480.971875000003</v>
      </c>
      <c r="G123" s="61">
        <v>1</v>
      </c>
      <c r="H123" s="61" t="s">
        <v>38</v>
      </c>
      <c r="I123" s="61">
        <v>42481.008981481478</v>
      </c>
      <c r="J123" s="19">
        <v>0</v>
      </c>
      <c r="K123" s="20">
        <f t="shared" si="27"/>
        <v>3.7106481475348119E-2</v>
      </c>
      <c r="L123" s="21">
        <f t="shared" si="26"/>
        <v>53.433333324501291</v>
      </c>
      <c r="M123" s="21"/>
      <c r="N123" s="22"/>
      <c r="O123" s="17" t="s">
        <v>414</v>
      </c>
      <c r="Q123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23:16:39-0600',mode:absolute,to:'2016-04-21 00:13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23" s="16" t="str">
        <f t="shared" si="15"/>
        <v>N</v>
      </c>
      <c r="S123" s="16">
        <f t="shared" si="24"/>
        <v>6.9199999999999998E-2</v>
      </c>
      <c r="T123" s="16">
        <f t="shared" si="25"/>
        <v>23.3293</v>
      </c>
      <c r="U123" s="16">
        <f t="shared" si="16"/>
        <v>23.260100000000001</v>
      </c>
      <c r="V123" s="51" t="e">
        <f>VLOOKUP(A123,Enforcements!$C$3:$J$62,8,0)</f>
        <v>#N/A</v>
      </c>
      <c r="W123" s="51" t="e">
        <f>VLOOKUP(A123,Enforcements!$C$3:$J$62,3,0)</f>
        <v>#N/A</v>
      </c>
    </row>
    <row r="124" spans="1:23" s="2" customFormat="1" x14ac:dyDescent="0.25">
      <c r="A124" s="18" t="s">
        <v>373</v>
      </c>
      <c r="B124" s="19">
        <v>4039</v>
      </c>
      <c r="C124" s="19" t="s">
        <v>221</v>
      </c>
      <c r="D124" s="19" t="s">
        <v>374</v>
      </c>
      <c r="E124" s="61">
        <v>42481.033842592595</v>
      </c>
      <c r="F124" s="61">
        <v>42481.036157407405</v>
      </c>
      <c r="G124" s="61">
        <v>3</v>
      </c>
      <c r="H124" s="61" t="s">
        <v>42</v>
      </c>
      <c r="I124" s="61">
        <v>42481.073067129626</v>
      </c>
      <c r="J124" s="19">
        <v>0</v>
      </c>
      <c r="K124" s="20">
        <f t="shared" si="27"/>
        <v>3.6909722221025731E-2</v>
      </c>
      <c r="L124" s="21">
        <f t="shared" si="26"/>
        <v>53.149999998277053</v>
      </c>
      <c r="M124" s="21"/>
      <c r="N124" s="22"/>
      <c r="O124" s="17" t="s">
        <v>414</v>
      </c>
      <c r="Q124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https://search-rtdc-monitor-bjffxe2xuh6vdkpspy63sjmuny.us-east-1.es.amazonaws.com/_plugin/kibana/#/discover/Steve-Slow-Train-Analysis-(2080s-and-2083s)?_g=(refreshInterval:(display:Off,section:0,value:0),time:(from:'2016-04-21 00:47:44-0600',mode:absolute,to:'2016-04-21 01:46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24" s="16" t="str">
        <f t="shared" si="15"/>
        <v>N</v>
      </c>
      <c r="S124" s="16">
        <f t="shared" si="24"/>
        <v>23.296399999999998</v>
      </c>
      <c r="T124" s="16">
        <f t="shared" si="25"/>
        <v>1.5599999999999999E-2</v>
      </c>
      <c r="U124" s="16">
        <f t="shared" si="16"/>
        <v>23.280799999999999</v>
      </c>
      <c r="V124" s="51" t="e">
        <f>VLOOKUP(A124,Enforcements!$C$3:$J$62,8,0)</f>
        <v>#N/A</v>
      </c>
      <c r="W124" s="51" t="e">
        <f>VLOOKUP(A124,Enforcements!$C$3:$J$62,3,0)</f>
        <v>#N/A</v>
      </c>
    </row>
    <row r="125" spans="1:23" s="2" customFormat="1" x14ac:dyDescent="0.25">
      <c r="A125" s="18" t="s">
        <v>108</v>
      </c>
      <c r="B125" s="19">
        <v>4040</v>
      </c>
      <c r="C125" s="19" t="s">
        <v>221</v>
      </c>
      <c r="D125" s="19" t="s">
        <v>53</v>
      </c>
      <c r="E125" s="61">
        <v>42480.996111111112</v>
      </c>
      <c r="F125" s="61">
        <v>42480.997361111113</v>
      </c>
      <c r="G125" s="61">
        <v>1</v>
      </c>
      <c r="H125" s="61" t="s">
        <v>375</v>
      </c>
      <c r="I125" s="61">
        <v>42481.029097222221</v>
      </c>
      <c r="J125" s="19">
        <v>1</v>
      </c>
      <c r="K125" s="20">
        <f t="shared" si="27"/>
        <v>3.1736111108330078E-2</v>
      </c>
      <c r="L125" s="21">
        <f t="shared" si="26"/>
        <v>45.699999995995313</v>
      </c>
      <c r="M125" s="21"/>
      <c r="N125" s="22"/>
      <c r="O125" s="17"/>
      <c r="Q125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https://search-rtdc-monitor-bjffxe2xuh6vdkpspy63sjmuny.us-east-1.es.amazonaws.com/_plugin/kibana/#/discover/Steve-Slow-Train-Analysis-(2080s-and-2083s)?_g=(refreshInterval:(display:Off,section:0,value:0),time:(from:'2016-04-20 23:53:24-0600',mode:absolute,to:'2016-04-21 00:42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25" s="16" t="str">
        <f t="shared" si="15"/>
        <v>N</v>
      </c>
      <c r="S125" s="16">
        <f t="shared" si="24"/>
        <v>4.5699999999999998E-2</v>
      </c>
      <c r="T125" s="16">
        <f t="shared" si="25"/>
        <v>23.326599999999999</v>
      </c>
      <c r="U125" s="16">
        <f t="shared" si="16"/>
        <v>23.280899999999999</v>
      </c>
      <c r="V125" s="51" t="e">
        <f>VLOOKUP(A125,Enforcements!$C$3:$J$62,8,0)</f>
        <v>#N/A</v>
      </c>
      <c r="W125" s="51" t="e">
        <f>VLOOKUP(A125,Enforcements!$C$3:$J$62,3,0)</f>
        <v>#N/A</v>
      </c>
    </row>
    <row r="126" spans="1:23" s="2" customFormat="1" x14ac:dyDescent="0.25">
      <c r="A126" s="18" t="s">
        <v>376</v>
      </c>
      <c r="B126" s="19">
        <v>4023</v>
      </c>
      <c r="C126" s="19" t="s">
        <v>221</v>
      </c>
      <c r="D126" s="19" t="s">
        <v>377</v>
      </c>
      <c r="E126" s="61">
        <v>42481.059930555559</v>
      </c>
      <c r="F126" s="61">
        <v>42481.061493055553</v>
      </c>
      <c r="G126" s="61">
        <v>2</v>
      </c>
      <c r="H126" s="61" t="s">
        <v>378</v>
      </c>
      <c r="I126" s="61">
        <v>42481.089548611111</v>
      </c>
      <c r="J126" s="19">
        <v>0</v>
      </c>
      <c r="K126" s="20">
        <f t="shared" si="27"/>
        <v>2.8055555558239575E-2</v>
      </c>
      <c r="L126" s="21">
        <f t="shared" si="26"/>
        <v>40.400000003864989</v>
      </c>
      <c r="M126" s="21"/>
      <c r="N126" s="22"/>
      <c r="O126" s="17"/>
      <c r="Q126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https://search-rtdc-monitor-bjffxe2xuh6vdkpspy63sjmuny.us-east-1.es.amazonaws.com/_plugin/kibana/#/discover/Steve-Slow-Train-Analysis-(2080s-and-2083s)?_g=(refreshInterval:(display:Off,section:0,value:0),time:(from:'2016-04-21 01:25:18-0600',mode:absolute,to:'2016-04-21 02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R126" s="16" t="str">
        <f t="shared" si="15"/>
        <v>Y</v>
      </c>
      <c r="S126" s="16">
        <f t="shared" si="24"/>
        <v>23.299600000000002</v>
      </c>
      <c r="T126" s="16">
        <f t="shared" si="25"/>
        <v>0.33860000000000001</v>
      </c>
      <c r="U126" s="16">
        <f t="shared" si="16"/>
        <v>22.961000000000002</v>
      </c>
      <c r="V126" s="51" t="e">
        <f>VLOOKUP(A126,Enforcements!$C$3:$J$62,8,0)</f>
        <v>#N/A</v>
      </c>
      <c r="W126" s="51" t="e">
        <f>VLOOKUP(A126,Enforcements!$C$3:$J$62,3,0)</f>
        <v>#N/A</v>
      </c>
    </row>
    <row r="127" spans="1:23" s="2" customFormat="1" x14ac:dyDescent="0.25">
      <c r="A127" s="18" t="s">
        <v>379</v>
      </c>
      <c r="B127" s="19">
        <v>4024</v>
      </c>
      <c r="C127" s="19" t="s">
        <v>221</v>
      </c>
      <c r="D127" s="19" t="s">
        <v>77</v>
      </c>
      <c r="E127" s="61">
        <v>42481.016099537039</v>
      </c>
      <c r="F127" s="61">
        <v>42481.021041666667</v>
      </c>
      <c r="G127" s="61">
        <v>7</v>
      </c>
      <c r="H127" s="61" t="s">
        <v>380</v>
      </c>
      <c r="I127" s="61">
        <v>42481.023726851854</v>
      </c>
      <c r="J127" s="19">
        <v>0</v>
      </c>
      <c r="K127" s="20">
        <f t="shared" si="27"/>
        <v>2.6851851871469989E-3</v>
      </c>
      <c r="L127" s="21"/>
      <c r="M127" s="21"/>
      <c r="N127" s="21">
        <f t="shared" si="26"/>
        <v>3.8666666694916785</v>
      </c>
      <c r="O127" s="17" t="s">
        <v>412</v>
      </c>
      <c r="Q127" s="16" t="str">
        <f t="shared" si="23"/>
        <v>https://search-rtdc-monitor-bjffxe2xuh6vdkpspy63sjmuny.us-east-1.es.amazonaws.com/_plugin/kibana/#/discover/Steve-Slow-Train-Analysis-(2080s-and-2083s)?_g=(refreshInterval:(display:Off,section:0,value:0),time:(from:'2016-04-21 00:22:11-0600',mode:absolute,to:'2016-04-21 00:35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R127" s="16" t="str">
        <f t="shared" si="15"/>
        <v>Y</v>
      </c>
      <c r="S127" s="16">
        <f t="shared" si="24"/>
        <v>4.5999999999999999E-2</v>
      </c>
      <c r="T127" s="16">
        <f t="shared" si="25"/>
        <v>0.1431</v>
      </c>
      <c r="U127" s="16">
        <f t="shared" si="16"/>
        <v>9.7100000000000006E-2</v>
      </c>
      <c r="V127" s="51" t="e">
        <f>VLOOKUP(A127,Enforcements!$C$3:$J$62,8,0)</f>
        <v>#N/A</v>
      </c>
      <c r="W127" s="51" t="e">
        <f>VLOOKUP(A127,Enforcements!$C$3:$J$62,3,0)</f>
        <v>#N/A</v>
      </c>
    </row>
    <row r="128" spans="1:23" s="2" customFormat="1" ht="15.75" thickBot="1" x14ac:dyDescent="0.3">
      <c r="E128" s="63"/>
      <c r="F128" s="63"/>
      <c r="G128" s="63"/>
      <c r="H128" s="63"/>
      <c r="I128" s="67">
        <f>Y2</f>
        <v>42480</v>
      </c>
      <c r="J128" s="68"/>
      <c r="K128" s="69" t="s">
        <v>11</v>
      </c>
      <c r="L128" s="70"/>
      <c r="M128" s="71"/>
      <c r="N128" s="5"/>
      <c r="V128" s="49"/>
      <c r="W128" s="49"/>
    </row>
    <row r="129" spans="5:23" s="2" customFormat="1" ht="15.75" thickBot="1" x14ac:dyDescent="0.3">
      <c r="E129" s="63"/>
      <c r="F129" s="63"/>
      <c r="G129" s="63"/>
      <c r="H129" s="63"/>
      <c r="I129" s="72" t="s">
        <v>13</v>
      </c>
      <c r="J129" s="73"/>
      <c r="K129" s="9" t="s">
        <v>14</v>
      </c>
      <c r="L129" s="6" t="s">
        <v>15</v>
      </c>
      <c r="M129" s="7" t="s">
        <v>16</v>
      </c>
      <c r="N129" s="5"/>
      <c r="V129" s="49"/>
      <c r="W129" s="49"/>
    </row>
    <row r="130" spans="5:23" s="2" customFormat="1" ht="15.75" thickBot="1" x14ac:dyDescent="0.3">
      <c r="E130" s="63"/>
      <c r="F130" s="63"/>
      <c r="G130" s="63"/>
      <c r="H130" s="63"/>
      <c r="I130" s="64" t="s">
        <v>17</v>
      </c>
      <c r="J130" s="3">
        <f>COUNT(L3:N127)</f>
        <v>123</v>
      </c>
      <c r="K130" s="9" t="s">
        <v>18</v>
      </c>
      <c r="L130" s="6" t="s">
        <v>18</v>
      </c>
      <c r="M130" s="7" t="s">
        <v>18</v>
      </c>
      <c r="N130" s="5"/>
      <c r="V130" s="49"/>
      <c r="W130" s="49"/>
    </row>
    <row r="131" spans="5:23" s="2" customFormat="1" ht="15.75" thickBot="1" x14ac:dyDescent="0.3">
      <c r="E131" s="63"/>
      <c r="F131" s="63"/>
      <c r="G131" s="63"/>
      <c r="H131" s="63"/>
      <c r="I131" s="64" t="s">
        <v>20</v>
      </c>
      <c r="J131" s="3">
        <f>COUNT(L3:L127)</f>
        <v>108</v>
      </c>
      <c r="K131" s="10">
        <f>AVERAGE(L3:L127)</f>
        <v>49.052932098372061</v>
      </c>
      <c r="L131" s="6">
        <f>MIN(L3:L127)</f>
        <v>36.083333333954215</v>
      </c>
      <c r="M131" s="7">
        <f>MAX(L3:L127)</f>
        <v>99.666666673729196</v>
      </c>
      <c r="N131" s="5"/>
      <c r="V131" s="49"/>
      <c r="W131" s="49"/>
    </row>
    <row r="132" spans="5:23" ht="15.75" thickBot="1" x14ac:dyDescent="0.3">
      <c r="I132" s="65" t="s">
        <v>386</v>
      </c>
      <c r="J132" s="3">
        <f>COUNT(M3:M127)</f>
        <v>2</v>
      </c>
      <c r="K132" s="10">
        <f>IFERROR(AVERAGE(M3:M127),0)</f>
        <v>52.383333330508322</v>
      </c>
      <c r="L132" s="6">
        <f>MIN(M3:M127)</f>
        <v>52.166666665580124</v>
      </c>
      <c r="M132" s="7">
        <f>MAX(M3:M127)</f>
        <v>52.599999995436519</v>
      </c>
    </row>
    <row r="133" spans="5:23" ht="15.75" thickBot="1" x14ac:dyDescent="0.3">
      <c r="I133" s="66" t="s">
        <v>12</v>
      </c>
      <c r="J133" s="3">
        <f>COUNT(N3:N127)</f>
        <v>13</v>
      </c>
      <c r="K133" s="9" t="s">
        <v>18</v>
      </c>
      <c r="L133" s="6" t="s">
        <v>18</v>
      </c>
      <c r="M133" s="7" t="s">
        <v>18</v>
      </c>
    </row>
    <row r="134" spans="5:23" s="2" customFormat="1" ht="30.75" thickBot="1" x14ac:dyDescent="0.3">
      <c r="E134" s="63"/>
      <c r="F134" s="63"/>
      <c r="G134" s="63"/>
      <c r="H134" s="63"/>
      <c r="I134" s="64" t="s">
        <v>19</v>
      </c>
      <c r="J134" s="3">
        <f>COUNT(L3:M127)</f>
        <v>110</v>
      </c>
      <c r="K134" s="10">
        <f>AVERAGE(L3:N127)</f>
        <v>46.661111110900869</v>
      </c>
      <c r="L134" s="6">
        <f>MIN(L3:M127)</f>
        <v>36.083333333954215</v>
      </c>
      <c r="M134" s="7">
        <f>MAX(L3:M127)</f>
        <v>99.666666673729196</v>
      </c>
      <c r="N134" s="5"/>
      <c r="V134" s="49"/>
      <c r="W134" s="49"/>
    </row>
    <row r="135" spans="5:23" ht="30.75" thickBot="1" x14ac:dyDescent="0.3">
      <c r="I135" s="64" t="s">
        <v>27</v>
      </c>
      <c r="J135" s="8">
        <f>J134/J130</f>
        <v>0.89430894308943087</v>
      </c>
    </row>
  </sheetData>
  <sortState ref="A3:M139">
    <sortCondition ref="A3:A139"/>
  </sortState>
  <mergeCells count="4">
    <mergeCell ref="I128:J128"/>
    <mergeCell ref="K128:M128"/>
    <mergeCell ref="I129:J129"/>
    <mergeCell ref="A1:N1"/>
  </mergeCells>
  <conditionalFormatting sqref="R1:R1048576">
    <cfRule type="cellIs" dxfId="5" priority="7" operator="equal">
      <formula>"Y"</formula>
    </cfRule>
  </conditionalFormatting>
  <conditionalFormatting sqref="A3:O127">
    <cfRule type="expression" dxfId="4" priority="1">
      <formula>$L3&gt;50</formula>
    </cfRule>
    <cfRule type="expression" dxfId="3" priority="2">
      <formula>$N3&gt;0</formula>
    </cfRule>
    <cfRule type="expression" dxfId="2" priority="3">
      <formula>$M3&gt;0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showGridLines="0" topLeftCell="A48" zoomScale="85" zoomScaleNormal="85" workbookViewId="0">
      <selection activeCell="A62" sqref="A62"/>
    </sheetView>
  </sheetViews>
  <sheetFormatPr defaultRowHeight="15" x14ac:dyDescent="0.25"/>
  <cols>
    <col min="1" max="1" width="18.42578125" style="32" customWidth="1"/>
    <col min="2" max="2" width="17.5703125" customWidth="1"/>
    <col min="3" max="3" width="8.5703125" customWidth="1"/>
    <col min="4" max="4" width="26.5703125" customWidth="1"/>
    <col min="5" max="5" width="23.5703125" customWidth="1"/>
    <col min="6" max="6" width="7.5703125" customWidth="1"/>
    <col min="7" max="7" width="7.140625" customWidth="1"/>
    <col min="8" max="8" width="9" customWidth="1"/>
    <col min="9" max="9" width="25.140625" customWidth="1"/>
    <col min="10" max="10" width="10.85546875" customWidth="1"/>
    <col min="11" max="11" width="32.7109375" customWidth="1"/>
    <col min="12" max="12" width="6.42578125" customWidth="1"/>
  </cols>
  <sheetData>
    <row r="1" spans="1:13" s="46" customFormat="1" ht="15" customHeight="1" x14ac:dyDescent="0.25">
      <c r="A1" s="75" t="s">
        <v>219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47"/>
    </row>
    <row r="2" spans="1:13" s="2" customFormat="1" ht="90" x14ac:dyDescent="0.25">
      <c r="A2" s="45" t="s">
        <v>218</v>
      </c>
      <c r="B2" s="44" t="s">
        <v>217</v>
      </c>
      <c r="C2" s="44" t="s">
        <v>216</v>
      </c>
      <c r="D2" s="44" t="s">
        <v>215</v>
      </c>
      <c r="E2" s="44" t="s">
        <v>214</v>
      </c>
      <c r="F2" s="44" t="s">
        <v>213</v>
      </c>
      <c r="G2" s="44" t="s">
        <v>212</v>
      </c>
      <c r="H2" s="44" t="s">
        <v>211</v>
      </c>
      <c r="I2" s="44" t="s">
        <v>210</v>
      </c>
      <c r="J2" s="44" t="s">
        <v>209</v>
      </c>
      <c r="K2" s="44" t="s">
        <v>208</v>
      </c>
      <c r="L2" s="44" t="s">
        <v>207</v>
      </c>
    </row>
    <row r="3" spans="1:13" s="37" customFormat="1" x14ac:dyDescent="0.25">
      <c r="A3" s="42">
        <v>42480.836550925924</v>
      </c>
      <c r="B3" s="41" t="s">
        <v>166</v>
      </c>
      <c r="C3" s="41" t="s">
        <v>206</v>
      </c>
      <c r="D3" s="41" t="s">
        <v>107</v>
      </c>
      <c r="E3" s="41" t="s">
        <v>205</v>
      </c>
      <c r="F3" s="41">
        <v>790</v>
      </c>
      <c r="G3" s="41">
        <v>684</v>
      </c>
      <c r="H3" s="41">
        <v>168091</v>
      </c>
      <c r="I3" s="41" t="s">
        <v>188</v>
      </c>
      <c r="J3" s="41">
        <v>218001</v>
      </c>
      <c r="K3" s="40" t="s">
        <v>117</v>
      </c>
      <c r="L3" s="39" t="s">
        <v>146</v>
      </c>
      <c r="M3" s="38" t="s">
        <v>415</v>
      </c>
    </row>
    <row r="4" spans="1:13" s="37" customFormat="1" x14ac:dyDescent="0.25">
      <c r="A4" s="42">
        <v>42480.577094907407</v>
      </c>
      <c r="B4" s="41" t="s">
        <v>113</v>
      </c>
      <c r="C4" s="41" t="s">
        <v>204</v>
      </c>
      <c r="D4" s="41" t="s">
        <v>107</v>
      </c>
      <c r="E4" s="41" t="s">
        <v>202</v>
      </c>
      <c r="F4" s="41">
        <v>0</v>
      </c>
      <c r="G4" s="41">
        <v>71</v>
      </c>
      <c r="H4" s="41">
        <v>108375</v>
      </c>
      <c r="I4" s="41" t="s">
        <v>201</v>
      </c>
      <c r="J4" s="41">
        <v>108954</v>
      </c>
      <c r="K4" s="40" t="s">
        <v>104</v>
      </c>
      <c r="L4" s="39" t="s">
        <v>103</v>
      </c>
      <c r="M4" s="38" t="s">
        <v>200</v>
      </c>
    </row>
    <row r="5" spans="1:13" s="37" customFormat="1" x14ac:dyDescent="0.25">
      <c r="A5" s="42">
        <v>42480.611122685186</v>
      </c>
      <c r="B5" s="41" t="s">
        <v>166</v>
      </c>
      <c r="C5" s="41" t="s">
        <v>203</v>
      </c>
      <c r="D5" s="41" t="s">
        <v>107</v>
      </c>
      <c r="E5" s="41" t="s">
        <v>202</v>
      </c>
      <c r="F5" s="41">
        <v>0</v>
      </c>
      <c r="G5" s="41">
        <v>200</v>
      </c>
      <c r="H5" s="41">
        <v>110028</v>
      </c>
      <c r="I5" s="41" t="s">
        <v>201</v>
      </c>
      <c r="J5" s="41">
        <v>109135</v>
      </c>
      <c r="K5" s="40" t="s">
        <v>117</v>
      </c>
      <c r="L5" s="39" t="s">
        <v>103</v>
      </c>
      <c r="M5" s="38" t="s">
        <v>200</v>
      </c>
    </row>
    <row r="6" spans="1:13" s="37" customFormat="1" x14ac:dyDescent="0.25">
      <c r="A6" s="42">
        <v>42480.634351851855</v>
      </c>
      <c r="B6" s="41" t="s">
        <v>109</v>
      </c>
      <c r="C6" s="41" t="s">
        <v>161</v>
      </c>
      <c r="D6" s="41" t="s">
        <v>107</v>
      </c>
      <c r="E6" s="41" t="s">
        <v>202</v>
      </c>
      <c r="F6" s="41">
        <v>0</v>
      </c>
      <c r="G6" s="41">
        <v>14</v>
      </c>
      <c r="H6" s="41">
        <v>33126</v>
      </c>
      <c r="I6" s="41" t="s">
        <v>201</v>
      </c>
      <c r="J6" s="41">
        <v>33136</v>
      </c>
      <c r="K6" s="40" t="s">
        <v>104</v>
      </c>
      <c r="L6" s="39" t="s">
        <v>103</v>
      </c>
      <c r="M6" s="38" t="s">
        <v>200</v>
      </c>
    </row>
    <row r="7" spans="1:13" s="37" customFormat="1" x14ac:dyDescent="0.25">
      <c r="A7" s="42">
        <v>42480.638935185183</v>
      </c>
      <c r="B7" s="41" t="s">
        <v>158</v>
      </c>
      <c r="C7" s="41" t="s">
        <v>159</v>
      </c>
      <c r="D7" s="41" t="s">
        <v>107</v>
      </c>
      <c r="E7" s="41" t="s">
        <v>202</v>
      </c>
      <c r="F7" s="41">
        <v>0</v>
      </c>
      <c r="G7" s="41">
        <v>66</v>
      </c>
      <c r="H7" s="41">
        <v>109376</v>
      </c>
      <c r="I7" s="41" t="s">
        <v>201</v>
      </c>
      <c r="J7" s="41">
        <v>109135</v>
      </c>
      <c r="K7" s="40" t="s">
        <v>117</v>
      </c>
      <c r="L7" s="39" t="s">
        <v>103</v>
      </c>
      <c r="M7" s="38" t="s">
        <v>200</v>
      </c>
    </row>
    <row r="8" spans="1:13" s="37" customFormat="1" x14ac:dyDescent="0.25">
      <c r="A8" s="42">
        <v>42480.694074074076</v>
      </c>
      <c r="B8" s="41" t="s">
        <v>115</v>
      </c>
      <c r="C8" s="41" t="s">
        <v>114</v>
      </c>
      <c r="D8" s="41" t="s">
        <v>107</v>
      </c>
      <c r="E8" s="41" t="s">
        <v>202</v>
      </c>
      <c r="F8" s="41">
        <v>0</v>
      </c>
      <c r="G8" s="41">
        <v>42</v>
      </c>
      <c r="H8" s="41">
        <v>33038</v>
      </c>
      <c r="I8" s="41" t="s">
        <v>201</v>
      </c>
      <c r="J8" s="41">
        <v>33136</v>
      </c>
      <c r="K8" s="40" t="s">
        <v>104</v>
      </c>
      <c r="L8" s="39" t="s">
        <v>103</v>
      </c>
      <c r="M8" s="38" t="s">
        <v>200</v>
      </c>
    </row>
    <row r="9" spans="1:13" s="37" customFormat="1" x14ac:dyDescent="0.25">
      <c r="A9" s="42">
        <v>42480.783009259256</v>
      </c>
      <c r="B9" s="41" t="s">
        <v>158</v>
      </c>
      <c r="C9" s="41" t="s">
        <v>157</v>
      </c>
      <c r="D9" s="41" t="s">
        <v>107</v>
      </c>
      <c r="E9" s="41" t="s">
        <v>202</v>
      </c>
      <c r="F9" s="41">
        <v>0</v>
      </c>
      <c r="G9" s="41">
        <v>25</v>
      </c>
      <c r="H9" s="41">
        <v>33355</v>
      </c>
      <c r="I9" s="41" t="s">
        <v>201</v>
      </c>
      <c r="J9" s="41">
        <v>33257</v>
      </c>
      <c r="K9" s="40" t="s">
        <v>117</v>
      </c>
      <c r="L9" s="39" t="s">
        <v>103</v>
      </c>
      <c r="M9" s="38" t="s">
        <v>200</v>
      </c>
    </row>
    <row r="10" spans="1:13" s="37" customFormat="1" x14ac:dyDescent="0.25">
      <c r="A10" s="42">
        <v>42480.219328703701</v>
      </c>
      <c r="B10" s="41" t="s">
        <v>119</v>
      </c>
      <c r="C10" s="41" t="s">
        <v>142</v>
      </c>
      <c r="D10" s="41" t="s">
        <v>107</v>
      </c>
      <c r="E10" s="41" t="s">
        <v>189</v>
      </c>
      <c r="F10" s="41">
        <v>450</v>
      </c>
      <c r="G10" s="41">
        <v>423</v>
      </c>
      <c r="H10" s="41">
        <v>17650</v>
      </c>
      <c r="I10" s="41" t="s">
        <v>188</v>
      </c>
      <c r="J10" s="41">
        <v>15167</v>
      </c>
      <c r="K10" s="40" t="s">
        <v>117</v>
      </c>
      <c r="L10" s="39" t="s">
        <v>103</v>
      </c>
      <c r="M10" s="38" t="s">
        <v>187</v>
      </c>
    </row>
    <row r="11" spans="1:13" s="37" customFormat="1" x14ac:dyDescent="0.25">
      <c r="A11" s="42">
        <v>42480.270474537036</v>
      </c>
      <c r="B11" s="41" t="s">
        <v>133</v>
      </c>
      <c r="C11" s="41" t="s">
        <v>199</v>
      </c>
      <c r="D11" s="41" t="s">
        <v>149</v>
      </c>
      <c r="E11" s="41" t="s">
        <v>189</v>
      </c>
      <c r="F11" s="41">
        <v>350</v>
      </c>
      <c r="G11" s="41">
        <v>401</v>
      </c>
      <c r="H11" s="41">
        <v>225182</v>
      </c>
      <c r="I11" s="41" t="s">
        <v>188</v>
      </c>
      <c r="J11" s="41">
        <v>228668</v>
      </c>
      <c r="K11" s="40" t="s">
        <v>117</v>
      </c>
      <c r="L11" s="39" t="s">
        <v>103</v>
      </c>
      <c r="M11" s="38" t="s">
        <v>187</v>
      </c>
    </row>
    <row r="12" spans="1:13" s="37" customFormat="1" x14ac:dyDescent="0.25">
      <c r="A12" s="42">
        <v>42480.292800925927</v>
      </c>
      <c r="B12" s="41" t="s">
        <v>137</v>
      </c>
      <c r="C12" s="41" t="s">
        <v>139</v>
      </c>
      <c r="D12" s="41" t="s">
        <v>149</v>
      </c>
      <c r="E12" s="41" t="s">
        <v>189</v>
      </c>
      <c r="F12" s="41">
        <v>150</v>
      </c>
      <c r="G12" s="41">
        <v>200</v>
      </c>
      <c r="H12" s="41">
        <v>3407</v>
      </c>
      <c r="I12" s="41" t="s">
        <v>188</v>
      </c>
      <c r="J12" s="41">
        <v>0</v>
      </c>
      <c r="K12" s="40" t="s">
        <v>104</v>
      </c>
      <c r="L12" s="39" t="s">
        <v>103</v>
      </c>
      <c r="M12" s="38" t="s">
        <v>187</v>
      </c>
    </row>
    <row r="13" spans="1:13" s="37" customFormat="1" x14ac:dyDescent="0.25">
      <c r="A13" s="42">
        <v>42480.298946759256</v>
      </c>
      <c r="B13" s="41" t="s">
        <v>119</v>
      </c>
      <c r="C13" s="41" t="s">
        <v>140</v>
      </c>
      <c r="D13" s="41" t="s">
        <v>107</v>
      </c>
      <c r="E13" s="41" t="s">
        <v>189</v>
      </c>
      <c r="F13" s="41">
        <v>200</v>
      </c>
      <c r="G13" s="41">
        <v>315</v>
      </c>
      <c r="H13" s="41">
        <v>32340</v>
      </c>
      <c r="I13" s="41" t="s">
        <v>188</v>
      </c>
      <c r="J13" s="41">
        <v>30562</v>
      </c>
      <c r="K13" s="40" t="s">
        <v>117</v>
      </c>
      <c r="L13" s="39" t="s">
        <v>103</v>
      </c>
      <c r="M13" s="38" t="s">
        <v>187</v>
      </c>
    </row>
    <row r="14" spans="1:13" s="37" customFormat="1" x14ac:dyDescent="0.25">
      <c r="A14" s="42">
        <v>42480.305601851855</v>
      </c>
      <c r="B14" s="41" t="s">
        <v>111</v>
      </c>
      <c r="C14" s="41" t="s">
        <v>175</v>
      </c>
      <c r="D14" s="41" t="s">
        <v>107</v>
      </c>
      <c r="E14" s="41" t="s">
        <v>189</v>
      </c>
      <c r="F14" s="41">
        <v>400</v>
      </c>
      <c r="G14" s="41">
        <v>589</v>
      </c>
      <c r="H14" s="41">
        <v>14186</v>
      </c>
      <c r="I14" s="41" t="s">
        <v>188</v>
      </c>
      <c r="J14" s="41">
        <v>17867</v>
      </c>
      <c r="K14" s="40" t="s">
        <v>104</v>
      </c>
      <c r="L14" s="39" t="s">
        <v>103</v>
      </c>
      <c r="M14" s="38" t="s">
        <v>187</v>
      </c>
    </row>
    <row r="15" spans="1:13" s="37" customFormat="1" x14ac:dyDescent="0.25">
      <c r="A15" s="42">
        <v>42480.361527777779</v>
      </c>
      <c r="B15" s="41" t="s">
        <v>144</v>
      </c>
      <c r="C15" s="41" t="s">
        <v>198</v>
      </c>
      <c r="D15" s="41" t="s">
        <v>107</v>
      </c>
      <c r="E15" s="41" t="s">
        <v>189</v>
      </c>
      <c r="F15" s="41">
        <v>200</v>
      </c>
      <c r="G15" s="41">
        <v>235</v>
      </c>
      <c r="H15" s="41">
        <v>26819</v>
      </c>
      <c r="I15" s="41" t="s">
        <v>188</v>
      </c>
      <c r="J15" s="41">
        <v>27333</v>
      </c>
      <c r="K15" s="40" t="s">
        <v>104</v>
      </c>
      <c r="L15" s="39" t="s">
        <v>103</v>
      </c>
      <c r="M15" s="38" t="s">
        <v>187</v>
      </c>
    </row>
    <row r="16" spans="1:13" s="37" customFormat="1" x14ac:dyDescent="0.25">
      <c r="A16" s="42">
        <v>42480.363298611112</v>
      </c>
      <c r="B16" s="41" t="s">
        <v>119</v>
      </c>
      <c r="C16" s="41" t="s">
        <v>197</v>
      </c>
      <c r="D16" s="41" t="s">
        <v>107</v>
      </c>
      <c r="E16" s="41" t="s">
        <v>189</v>
      </c>
      <c r="F16" s="41">
        <v>450</v>
      </c>
      <c r="G16" s="41">
        <v>475</v>
      </c>
      <c r="H16" s="41">
        <v>110935</v>
      </c>
      <c r="I16" s="41" t="s">
        <v>188</v>
      </c>
      <c r="J16" s="41">
        <v>110617</v>
      </c>
      <c r="K16" s="40" t="s">
        <v>117</v>
      </c>
      <c r="L16" s="39" t="s">
        <v>103</v>
      </c>
      <c r="M16" s="38" t="s">
        <v>187</v>
      </c>
    </row>
    <row r="17" spans="1:13" s="37" customFormat="1" x14ac:dyDescent="0.25">
      <c r="A17" s="42">
        <v>42480.40042824074</v>
      </c>
      <c r="B17" s="41" t="s">
        <v>111</v>
      </c>
      <c r="C17" s="41" t="s">
        <v>169</v>
      </c>
      <c r="D17" s="41" t="s">
        <v>107</v>
      </c>
      <c r="E17" s="41" t="s">
        <v>189</v>
      </c>
      <c r="F17" s="41">
        <v>550</v>
      </c>
      <c r="G17" s="41">
        <v>789</v>
      </c>
      <c r="H17" s="41">
        <v>218338</v>
      </c>
      <c r="I17" s="41" t="s">
        <v>188</v>
      </c>
      <c r="J17" s="41">
        <v>222090</v>
      </c>
      <c r="K17" s="40" t="s">
        <v>104</v>
      </c>
      <c r="L17" s="39" t="s">
        <v>103</v>
      </c>
      <c r="M17" s="38" t="s">
        <v>187</v>
      </c>
    </row>
    <row r="18" spans="1:13" s="37" customFormat="1" x14ac:dyDescent="0.25">
      <c r="A18" s="42">
        <v>42480.41878472222</v>
      </c>
      <c r="B18" s="41" t="s">
        <v>133</v>
      </c>
      <c r="C18" s="41" t="s">
        <v>132</v>
      </c>
      <c r="D18" s="41" t="s">
        <v>149</v>
      </c>
      <c r="E18" s="41" t="s">
        <v>189</v>
      </c>
      <c r="F18" s="41">
        <v>600</v>
      </c>
      <c r="G18" s="41">
        <v>653</v>
      </c>
      <c r="H18" s="41">
        <v>184302</v>
      </c>
      <c r="I18" s="41" t="s">
        <v>188</v>
      </c>
      <c r="J18" s="41">
        <v>190834</v>
      </c>
      <c r="K18" s="40" t="s">
        <v>117</v>
      </c>
      <c r="L18" s="39" t="s">
        <v>103</v>
      </c>
      <c r="M18" s="38" t="s">
        <v>187</v>
      </c>
    </row>
    <row r="19" spans="1:13" s="37" customFormat="1" x14ac:dyDescent="0.25">
      <c r="A19" s="42">
        <v>42480.439895833333</v>
      </c>
      <c r="B19" s="41" t="s">
        <v>133</v>
      </c>
      <c r="C19" s="41" t="s">
        <v>132</v>
      </c>
      <c r="D19" s="41" t="s">
        <v>107</v>
      </c>
      <c r="E19" s="41" t="s">
        <v>189</v>
      </c>
      <c r="F19" s="41">
        <v>450</v>
      </c>
      <c r="G19" s="41">
        <v>438</v>
      </c>
      <c r="H19" s="41">
        <v>17646</v>
      </c>
      <c r="I19" s="41" t="s">
        <v>188</v>
      </c>
      <c r="J19" s="41">
        <v>15167</v>
      </c>
      <c r="K19" s="40" t="s">
        <v>117</v>
      </c>
      <c r="L19" s="39" t="s">
        <v>103</v>
      </c>
      <c r="M19" s="38" t="s">
        <v>187</v>
      </c>
    </row>
    <row r="20" spans="1:13" s="37" customFormat="1" x14ac:dyDescent="0.25">
      <c r="A20" s="42">
        <v>42480.442094907405</v>
      </c>
      <c r="B20" s="41" t="s">
        <v>133</v>
      </c>
      <c r="C20" s="41" t="s">
        <v>132</v>
      </c>
      <c r="D20" s="41" t="s">
        <v>107</v>
      </c>
      <c r="E20" s="41" t="s">
        <v>189</v>
      </c>
      <c r="F20" s="41">
        <v>150</v>
      </c>
      <c r="G20" s="41">
        <v>189</v>
      </c>
      <c r="H20" s="41">
        <v>5178</v>
      </c>
      <c r="I20" s="41" t="s">
        <v>188</v>
      </c>
      <c r="J20" s="41">
        <v>4677</v>
      </c>
      <c r="K20" s="40" t="s">
        <v>117</v>
      </c>
      <c r="L20" s="39" t="s">
        <v>103</v>
      </c>
      <c r="M20" s="38" t="s">
        <v>187</v>
      </c>
    </row>
    <row r="21" spans="1:13" s="37" customFormat="1" x14ac:dyDescent="0.25">
      <c r="A21" s="42">
        <v>42480.492106481484</v>
      </c>
      <c r="B21" s="41" t="s">
        <v>133</v>
      </c>
      <c r="C21" s="41" t="s">
        <v>196</v>
      </c>
      <c r="D21" s="41" t="s">
        <v>149</v>
      </c>
      <c r="E21" s="41" t="s">
        <v>189</v>
      </c>
      <c r="F21" s="41">
        <v>600</v>
      </c>
      <c r="G21" s="41">
        <v>652</v>
      </c>
      <c r="H21" s="41">
        <v>184135</v>
      </c>
      <c r="I21" s="41" t="s">
        <v>188</v>
      </c>
      <c r="J21" s="41">
        <v>190834</v>
      </c>
      <c r="K21" s="40" t="s">
        <v>117</v>
      </c>
      <c r="L21" s="39" t="s">
        <v>103</v>
      </c>
      <c r="M21" s="38" t="s">
        <v>187</v>
      </c>
    </row>
    <row r="22" spans="1:13" s="37" customFormat="1" x14ac:dyDescent="0.25">
      <c r="A22" s="42">
        <v>42480.500648148147</v>
      </c>
      <c r="B22" s="41" t="s">
        <v>113</v>
      </c>
      <c r="C22" s="41" t="s">
        <v>195</v>
      </c>
      <c r="D22" s="41" t="s">
        <v>107</v>
      </c>
      <c r="E22" s="41" t="s">
        <v>189</v>
      </c>
      <c r="F22" s="41">
        <v>150</v>
      </c>
      <c r="G22" s="41">
        <v>139</v>
      </c>
      <c r="H22" s="41">
        <v>231588</v>
      </c>
      <c r="I22" s="41" t="s">
        <v>188</v>
      </c>
      <c r="J22" s="41">
        <v>232107</v>
      </c>
      <c r="K22" s="40" t="s">
        <v>104</v>
      </c>
      <c r="L22" s="39" t="s">
        <v>103</v>
      </c>
      <c r="M22" s="38" t="s">
        <v>187</v>
      </c>
    </row>
    <row r="23" spans="1:13" s="37" customFormat="1" x14ac:dyDescent="0.25">
      <c r="A23" s="42">
        <v>42480.52065972222</v>
      </c>
      <c r="B23" s="41" t="s">
        <v>137</v>
      </c>
      <c r="C23" s="41" t="s">
        <v>194</v>
      </c>
      <c r="D23" s="41" t="s">
        <v>107</v>
      </c>
      <c r="E23" s="41" t="s">
        <v>189</v>
      </c>
      <c r="F23" s="41">
        <v>300</v>
      </c>
      <c r="G23" s="41">
        <v>247</v>
      </c>
      <c r="H23" s="41">
        <v>19735</v>
      </c>
      <c r="I23" s="41" t="s">
        <v>188</v>
      </c>
      <c r="J23" s="41">
        <v>20338</v>
      </c>
      <c r="K23" s="40" t="s">
        <v>104</v>
      </c>
      <c r="L23" s="39" t="s">
        <v>103</v>
      </c>
      <c r="M23" s="38" t="s">
        <v>187</v>
      </c>
    </row>
    <row r="24" spans="1:13" s="37" customFormat="1" x14ac:dyDescent="0.25">
      <c r="A24" s="42">
        <v>42480.604872685188</v>
      </c>
      <c r="B24" s="41" t="s">
        <v>119</v>
      </c>
      <c r="C24" s="41" t="s">
        <v>118</v>
      </c>
      <c r="D24" s="41" t="s">
        <v>107</v>
      </c>
      <c r="E24" s="41" t="s">
        <v>189</v>
      </c>
      <c r="F24" s="41">
        <v>450</v>
      </c>
      <c r="G24" s="41">
        <v>457</v>
      </c>
      <c r="H24" s="41">
        <v>111867</v>
      </c>
      <c r="I24" s="41" t="s">
        <v>188</v>
      </c>
      <c r="J24" s="41">
        <v>110617</v>
      </c>
      <c r="K24" s="40" t="s">
        <v>117</v>
      </c>
      <c r="L24" s="39" t="s">
        <v>103</v>
      </c>
      <c r="M24" s="38" t="s">
        <v>187</v>
      </c>
    </row>
    <row r="25" spans="1:13" s="37" customFormat="1" x14ac:dyDescent="0.25">
      <c r="A25" s="42">
        <v>42480.65</v>
      </c>
      <c r="B25" s="41" t="s">
        <v>158</v>
      </c>
      <c r="C25" s="41" t="s">
        <v>159</v>
      </c>
      <c r="D25" s="41" t="s">
        <v>107</v>
      </c>
      <c r="E25" s="41" t="s">
        <v>189</v>
      </c>
      <c r="F25" s="41">
        <v>200</v>
      </c>
      <c r="G25" s="41">
        <v>138</v>
      </c>
      <c r="H25" s="41">
        <v>30887</v>
      </c>
      <c r="I25" s="41" t="s">
        <v>188</v>
      </c>
      <c r="J25" s="41">
        <v>30562</v>
      </c>
      <c r="K25" s="40" t="s">
        <v>117</v>
      </c>
      <c r="L25" s="39" t="s">
        <v>103</v>
      </c>
      <c r="M25" s="38" t="s">
        <v>187</v>
      </c>
    </row>
    <row r="26" spans="1:13" s="37" customFormat="1" x14ac:dyDescent="0.25">
      <c r="A26" s="42">
        <v>42480.706666666665</v>
      </c>
      <c r="B26" s="41" t="s">
        <v>119</v>
      </c>
      <c r="C26" s="41" t="s">
        <v>193</v>
      </c>
      <c r="D26" s="41" t="s">
        <v>107</v>
      </c>
      <c r="E26" s="41" t="s">
        <v>189</v>
      </c>
      <c r="F26" s="41">
        <v>150</v>
      </c>
      <c r="G26" s="41">
        <v>200</v>
      </c>
      <c r="H26" s="41">
        <v>229381</v>
      </c>
      <c r="I26" s="41" t="s">
        <v>188</v>
      </c>
      <c r="J26" s="41">
        <v>229055</v>
      </c>
      <c r="K26" s="40" t="s">
        <v>117</v>
      </c>
      <c r="L26" s="39" t="s">
        <v>103</v>
      </c>
      <c r="M26" s="38" t="s">
        <v>187</v>
      </c>
    </row>
    <row r="27" spans="1:13" s="37" customFormat="1" x14ac:dyDescent="0.25">
      <c r="A27" s="42">
        <v>42480.732442129629</v>
      </c>
      <c r="B27" s="41" t="s">
        <v>123</v>
      </c>
      <c r="C27" s="41" t="s">
        <v>192</v>
      </c>
      <c r="D27" s="41" t="s">
        <v>149</v>
      </c>
      <c r="E27" s="41" t="s">
        <v>189</v>
      </c>
      <c r="F27" s="41">
        <v>600</v>
      </c>
      <c r="G27" s="41">
        <v>650</v>
      </c>
      <c r="H27" s="41">
        <v>184465</v>
      </c>
      <c r="I27" s="41" t="s">
        <v>188</v>
      </c>
      <c r="J27" s="41">
        <v>190834</v>
      </c>
      <c r="K27" s="40" t="s">
        <v>117</v>
      </c>
      <c r="L27" s="39" t="s">
        <v>103</v>
      </c>
      <c r="M27" s="38" t="s">
        <v>187</v>
      </c>
    </row>
    <row r="28" spans="1:13" s="37" customFormat="1" x14ac:dyDescent="0.25">
      <c r="A28" s="42">
        <v>42480.782337962963</v>
      </c>
      <c r="B28" s="41" t="s">
        <v>191</v>
      </c>
      <c r="C28" s="41" t="s">
        <v>190</v>
      </c>
      <c r="D28" s="41" t="s">
        <v>149</v>
      </c>
      <c r="E28" s="41" t="s">
        <v>189</v>
      </c>
      <c r="F28" s="41">
        <v>350</v>
      </c>
      <c r="G28" s="41">
        <v>407</v>
      </c>
      <c r="H28" s="41">
        <v>224832</v>
      </c>
      <c r="I28" s="41" t="s">
        <v>188</v>
      </c>
      <c r="J28" s="41">
        <v>232107</v>
      </c>
      <c r="K28" s="40" t="s">
        <v>117</v>
      </c>
      <c r="L28" s="39" t="s">
        <v>103</v>
      </c>
      <c r="M28" s="38" t="s">
        <v>187</v>
      </c>
    </row>
    <row r="29" spans="1:13" s="37" customFormat="1" x14ac:dyDescent="0.25">
      <c r="A29" s="42">
        <v>42480.174050925925</v>
      </c>
      <c r="B29" s="41" t="s">
        <v>111</v>
      </c>
      <c r="C29" s="41" t="s">
        <v>186</v>
      </c>
      <c r="D29" s="41" t="s">
        <v>107</v>
      </c>
      <c r="E29" s="41" t="s">
        <v>153</v>
      </c>
      <c r="F29" s="41">
        <v>0</v>
      </c>
      <c r="G29" s="41">
        <v>786</v>
      </c>
      <c r="H29" s="41">
        <v>142611</v>
      </c>
      <c r="I29" s="41" t="s">
        <v>152</v>
      </c>
      <c r="J29" s="41">
        <v>144300</v>
      </c>
      <c r="K29" s="40" t="s">
        <v>104</v>
      </c>
      <c r="L29" s="39" t="s">
        <v>146</v>
      </c>
      <c r="M29" s="38" t="s">
        <v>160</v>
      </c>
    </row>
    <row r="30" spans="1:13" s="37" customFormat="1" x14ac:dyDescent="0.25">
      <c r="A30" s="42">
        <v>42480.207268518519</v>
      </c>
      <c r="B30" s="41" t="s">
        <v>172</v>
      </c>
      <c r="C30" s="41" t="s">
        <v>185</v>
      </c>
      <c r="D30" s="41" t="s">
        <v>107</v>
      </c>
      <c r="E30" s="41" t="s">
        <v>153</v>
      </c>
      <c r="F30" s="41">
        <v>0</v>
      </c>
      <c r="G30" s="41">
        <v>786</v>
      </c>
      <c r="H30" s="41">
        <v>144035</v>
      </c>
      <c r="I30" s="41" t="s">
        <v>152</v>
      </c>
      <c r="J30" s="41">
        <v>149694</v>
      </c>
      <c r="K30" s="40" t="s">
        <v>104</v>
      </c>
      <c r="L30" s="39" t="s">
        <v>146</v>
      </c>
      <c r="M30" s="38" t="s">
        <v>160</v>
      </c>
    </row>
    <row r="31" spans="1:13" s="37" customFormat="1" x14ac:dyDescent="0.25">
      <c r="A31" s="42">
        <v>42480.224999999999</v>
      </c>
      <c r="B31" s="41" t="s">
        <v>155</v>
      </c>
      <c r="C31" s="41" t="s">
        <v>184</v>
      </c>
      <c r="D31" s="41" t="s">
        <v>107</v>
      </c>
      <c r="E31" s="41" t="s">
        <v>153</v>
      </c>
      <c r="F31" s="41">
        <v>0</v>
      </c>
      <c r="G31" s="41">
        <v>579</v>
      </c>
      <c r="H31" s="41">
        <v>135369</v>
      </c>
      <c r="I31" s="41" t="s">
        <v>152</v>
      </c>
      <c r="J31" s="41">
        <v>133166</v>
      </c>
      <c r="K31" s="40" t="s">
        <v>117</v>
      </c>
      <c r="L31" s="39" t="s">
        <v>146</v>
      </c>
      <c r="M31" s="38" t="s">
        <v>160</v>
      </c>
    </row>
    <row r="32" spans="1:13" s="37" customFormat="1" x14ac:dyDescent="0.25">
      <c r="A32" s="42">
        <v>42480.226539351854</v>
      </c>
      <c r="B32" s="41" t="s">
        <v>144</v>
      </c>
      <c r="C32" s="41" t="s">
        <v>183</v>
      </c>
      <c r="D32" s="41" t="s">
        <v>107</v>
      </c>
      <c r="E32" s="41" t="s">
        <v>153</v>
      </c>
      <c r="F32" s="41">
        <v>0</v>
      </c>
      <c r="G32" s="41">
        <v>801</v>
      </c>
      <c r="H32" s="41">
        <v>142874</v>
      </c>
      <c r="I32" s="41" t="s">
        <v>152</v>
      </c>
      <c r="J32" s="41">
        <v>144300</v>
      </c>
      <c r="K32" s="40" t="s">
        <v>104</v>
      </c>
      <c r="L32" s="39" t="s">
        <v>146</v>
      </c>
      <c r="M32" s="38" t="s">
        <v>160</v>
      </c>
    </row>
    <row r="33" spans="1:13" s="37" customFormat="1" x14ac:dyDescent="0.25">
      <c r="A33" s="42">
        <v>42480.230011574073</v>
      </c>
      <c r="B33" s="41" t="s">
        <v>144</v>
      </c>
      <c r="C33" s="41" t="s">
        <v>183</v>
      </c>
      <c r="D33" s="41" t="s">
        <v>107</v>
      </c>
      <c r="E33" s="41" t="s">
        <v>153</v>
      </c>
      <c r="F33" s="41">
        <v>0</v>
      </c>
      <c r="G33" s="41">
        <v>703</v>
      </c>
      <c r="H33" s="41">
        <v>170418</v>
      </c>
      <c r="I33" s="41" t="s">
        <v>152</v>
      </c>
      <c r="J33" s="41">
        <v>175383</v>
      </c>
      <c r="K33" s="40" t="s">
        <v>104</v>
      </c>
      <c r="L33" s="39" t="s">
        <v>146</v>
      </c>
      <c r="M33" s="43" t="s">
        <v>182</v>
      </c>
    </row>
    <row r="34" spans="1:13" s="37" customFormat="1" x14ac:dyDescent="0.25">
      <c r="A34" s="42">
        <v>42480.236805555556</v>
      </c>
      <c r="B34" s="41" t="s">
        <v>137</v>
      </c>
      <c r="C34" s="41" t="s">
        <v>181</v>
      </c>
      <c r="D34" s="41" t="s">
        <v>107</v>
      </c>
      <c r="E34" s="41" t="s">
        <v>153</v>
      </c>
      <c r="F34" s="41">
        <v>0</v>
      </c>
      <c r="G34" s="41">
        <v>787</v>
      </c>
      <c r="H34" s="41">
        <v>143521</v>
      </c>
      <c r="I34" s="41" t="s">
        <v>152</v>
      </c>
      <c r="J34" s="41">
        <v>144300</v>
      </c>
      <c r="K34" s="40" t="s">
        <v>104</v>
      </c>
      <c r="L34" s="39" t="s">
        <v>146</v>
      </c>
      <c r="M34" s="38" t="s">
        <v>160</v>
      </c>
    </row>
    <row r="35" spans="1:13" s="37" customFormat="1" x14ac:dyDescent="0.25">
      <c r="A35" s="42">
        <v>42480.256689814814</v>
      </c>
      <c r="B35" s="41" t="s">
        <v>129</v>
      </c>
      <c r="C35" s="41" t="s">
        <v>180</v>
      </c>
      <c r="D35" s="41" t="s">
        <v>107</v>
      </c>
      <c r="E35" s="41" t="s">
        <v>153</v>
      </c>
      <c r="F35" s="41">
        <v>0</v>
      </c>
      <c r="G35" s="41">
        <v>774</v>
      </c>
      <c r="H35" s="41">
        <v>143369</v>
      </c>
      <c r="I35" s="41" t="s">
        <v>152</v>
      </c>
      <c r="J35" s="41">
        <v>144300</v>
      </c>
      <c r="K35" s="40" t="s">
        <v>104</v>
      </c>
      <c r="L35" s="39" t="s">
        <v>146</v>
      </c>
      <c r="M35" s="38" t="s">
        <v>160</v>
      </c>
    </row>
    <row r="36" spans="1:13" s="37" customFormat="1" x14ac:dyDescent="0.25">
      <c r="A36" s="42">
        <v>42480.267685185187</v>
      </c>
      <c r="B36" s="41" t="s">
        <v>113</v>
      </c>
      <c r="C36" s="41" t="s">
        <v>179</v>
      </c>
      <c r="D36" s="41" t="s">
        <v>107</v>
      </c>
      <c r="E36" s="41" t="s">
        <v>153</v>
      </c>
      <c r="F36" s="41">
        <v>0</v>
      </c>
      <c r="G36" s="41">
        <v>792</v>
      </c>
      <c r="H36" s="41">
        <v>140158</v>
      </c>
      <c r="I36" s="41" t="s">
        <v>152</v>
      </c>
      <c r="J36" s="41">
        <v>144300</v>
      </c>
      <c r="K36" s="40" t="s">
        <v>104</v>
      </c>
      <c r="L36" s="39" t="s">
        <v>146</v>
      </c>
      <c r="M36" s="38" t="s">
        <v>160</v>
      </c>
    </row>
    <row r="37" spans="1:13" s="37" customFormat="1" x14ac:dyDescent="0.25">
      <c r="A37" s="42">
        <v>42480.278171296297</v>
      </c>
      <c r="B37" s="41" t="s">
        <v>172</v>
      </c>
      <c r="C37" s="41" t="s">
        <v>178</v>
      </c>
      <c r="D37" s="41" t="s">
        <v>107</v>
      </c>
      <c r="E37" s="41" t="s">
        <v>153</v>
      </c>
      <c r="F37" s="41">
        <v>0</v>
      </c>
      <c r="G37" s="41">
        <v>738</v>
      </c>
      <c r="H37" s="41">
        <v>144810</v>
      </c>
      <c r="I37" s="41" t="s">
        <v>152</v>
      </c>
      <c r="J37" s="41">
        <v>149694</v>
      </c>
      <c r="K37" s="40" t="s">
        <v>104</v>
      </c>
      <c r="L37" s="39" t="s">
        <v>146</v>
      </c>
      <c r="M37" s="38" t="s">
        <v>160</v>
      </c>
    </row>
    <row r="38" spans="1:13" s="37" customFormat="1" x14ac:dyDescent="0.25">
      <c r="A38" s="42">
        <v>42480.29791666667</v>
      </c>
      <c r="B38" s="41" t="s">
        <v>166</v>
      </c>
      <c r="C38" s="41" t="s">
        <v>177</v>
      </c>
      <c r="D38" s="41" t="s">
        <v>107</v>
      </c>
      <c r="E38" s="41" t="s">
        <v>153</v>
      </c>
      <c r="F38" s="41">
        <v>0</v>
      </c>
      <c r="G38" s="41">
        <v>745</v>
      </c>
      <c r="H38" s="41">
        <v>138973</v>
      </c>
      <c r="I38" s="41" t="s">
        <v>152</v>
      </c>
      <c r="J38" s="41">
        <v>133166</v>
      </c>
      <c r="K38" s="40" t="s">
        <v>117</v>
      </c>
      <c r="L38" s="39" t="s">
        <v>146</v>
      </c>
      <c r="M38" s="38" t="s">
        <v>160</v>
      </c>
    </row>
    <row r="39" spans="1:13" s="37" customFormat="1" x14ac:dyDescent="0.25">
      <c r="A39" s="42">
        <v>42480.299108796295</v>
      </c>
      <c r="B39" s="41" t="s">
        <v>144</v>
      </c>
      <c r="C39" s="41" t="s">
        <v>176</v>
      </c>
      <c r="D39" s="41" t="s">
        <v>107</v>
      </c>
      <c r="E39" s="41" t="s">
        <v>153</v>
      </c>
      <c r="F39" s="41">
        <v>0</v>
      </c>
      <c r="G39" s="41">
        <v>792</v>
      </c>
      <c r="H39" s="41">
        <v>142755</v>
      </c>
      <c r="I39" s="41" t="s">
        <v>152</v>
      </c>
      <c r="J39" s="41">
        <v>144300</v>
      </c>
      <c r="K39" s="40" t="s">
        <v>104</v>
      </c>
      <c r="L39" s="39" t="s">
        <v>146</v>
      </c>
      <c r="M39" s="38" t="s">
        <v>160</v>
      </c>
    </row>
    <row r="40" spans="1:13" s="37" customFormat="1" x14ac:dyDescent="0.25">
      <c r="A40" s="42">
        <v>42480.308703703704</v>
      </c>
      <c r="B40" s="41" t="s">
        <v>137</v>
      </c>
      <c r="C40" s="41" t="s">
        <v>139</v>
      </c>
      <c r="D40" s="41" t="s">
        <v>107</v>
      </c>
      <c r="E40" s="41" t="s">
        <v>153</v>
      </c>
      <c r="F40" s="41">
        <v>0</v>
      </c>
      <c r="G40" s="41">
        <v>774</v>
      </c>
      <c r="H40" s="41">
        <v>141820</v>
      </c>
      <c r="I40" s="41" t="s">
        <v>152</v>
      </c>
      <c r="J40" s="41">
        <v>144300</v>
      </c>
      <c r="K40" s="40" t="s">
        <v>104</v>
      </c>
      <c r="L40" s="39" t="s">
        <v>146</v>
      </c>
      <c r="M40" s="38" t="s">
        <v>160</v>
      </c>
    </row>
    <row r="41" spans="1:13" s="37" customFormat="1" x14ac:dyDescent="0.25">
      <c r="A41" s="42">
        <v>42480.320185185185</v>
      </c>
      <c r="B41" s="41" t="s">
        <v>111</v>
      </c>
      <c r="C41" s="41" t="s">
        <v>175</v>
      </c>
      <c r="D41" s="41" t="s">
        <v>107</v>
      </c>
      <c r="E41" s="41" t="s">
        <v>153</v>
      </c>
      <c r="F41" s="41">
        <v>0</v>
      </c>
      <c r="G41" s="41">
        <v>791</v>
      </c>
      <c r="H41" s="41">
        <v>142372</v>
      </c>
      <c r="I41" s="41" t="s">
        <v>152</v>
      </c>
      <c r="J41" s="41">
        <v>144300</v>
      </c>
      <c r="K41" s="40" t="s">
        <v>104</v>
      </c>
      <c r="L41" s="39" t="s">
        <v>146</v>
      </c>
      <c r="M41" s="38" t="s">
        <v>160</v>
      </c>
    </row>
    <row r="42" spans="1:13" s="37" customFormat="1" x14ac:dyDescent="0.25">
      <c r="A42" s="42">
        <v>42480.33</v>
      </c>
      <c r="B42" s="41" t="s">
        <v>129</v>
      </c>
      <c r="C42" s="41" t="s">
        <v>174</v>
      </c>
      <c r="D42" s="41" t="s">
        <v>107</v>
      </c>
      <c r="E42" s="41" t="s">
        <v>153</v>
      </c>
      <c r="F42" s="41">
        <v>0</v>
      </c>
      <c r="G42" s="41">
        <v>780</v>
      </c>
      <c r="H42" s="41">
        <v>145608</v>
      </c>
      <c r="I42" s="41" t="s">
        <v>152</v>
      </c>
      <c r="J42" s="41">
        <v>149694</v>
      </c>
      <c r="K42" s="40" t="s">
        <v>104</v>
      </c>
      <c r="L42" s="39" t="s">
        <v>146</v>
      </c>
      <c r="M42" s="38" t="s">
        <v>160</v>
      </c>
    </row>
    <row r="43" spans="1:13" s="37" customFormat="1" x14ac:dyDescent="0.25">
      <c r="A43" s="42">
        <v>42480.339895833335</v>
      </c>
      <c r="B43" s="41" t="s">
        <v>113</v>
      </c>
      <c r="C43" s="41" t="s">
        <v>173</v>
      </c>
      <c r="D43" s="41" t="s">
        <v>107</v>
      </c>
      <c r="E43" s="41" t="s">
        <v>153</v>
      </c>
      <c r="F43" s="41">
        <v>0</v>
      </c>
      <c r="G43" s="41">
        <v>788</v>
      </c>
      <c r="H43" s="41">
        <v>140673</v>
      </c>
      <c r="I43" s="41" t="s">
        <v>152</v>
      </c>
      <c r="J43" s="41">
        <v>144300</v>
      </c>
      <c r="K43" s="40" t="s">
        <v>104</v>
      </c>
      <c r="L43" s="39" t="s">
        <v>146</v>
      </c>
      <c r="M43" s="38" t="s">
        <v>160</v>
      </c>
    </row>
    <row r="44" spans="1:13" s="37" customFormat="1" x14ac:dyDescent="0.25">
      <c r="A44" s="42">
        <v>42480.350138888891</v>
      </c>
      <c r="B44" s="41" t="s">
        <v>172</v>
      </c>
      <c r="C44" s="41" t="s">
        <v>171</v>
      </c>
      <c r="D44" s="41" t="s">
        <v>107</v>
      </c>
      <c r="E44" s="41" t="s">
        <v>153</v>
      </c>
      <c r="F44" s="41">
        <v>0</v>
      </c>
      <c r="G44" s="41">
        <v>784</v>
      </c>
      <c r="H44" s="41">
        <v>141358</v>
      </c>
      <c r="I44" s="41" t="s">
        <v>152</v>
      </c>
      <c r="J44" s="41">
        <v>144300</v>
      </c>
      <c r="K44" s="41" t="s">
        <v>104</v>
      </c>
      <c r="L44" s="39" t="s">
        <v>146</v>
      </c>
      <c r="M44" s="38" t="s">
        <v>160</v>
      </c>
    </row>
    <row r="45" spans="1:13" s="37" customFormat="1" x14ac:dyDescent="0.25">
      <c r="A45" s="42">
        <v>42480.371076388888</v>
      </c>
      <c r="B45" s="41" t="s">
        <v>166</v>
      </c>
      <c r="C45" s="41" t="s">
        <v>170</v>
      </c>
      <c r="D45" s="41" t="s">
        <v>107</v>
      </c>
      <c r="E45" s="41" t="s">
        <v>153</v>
      </c>
      <c r="F45" s="41">
        <v>0</v>
      </c>
      <c r="G45" s="41">
        <v>570</v>
      </c>
      <c r="H45" s="41">
        <v>132082</v>
      </c>
      <c r="I45" s="41" t="s">
        <v>152</v>
      </c>
      <c r="J45" s="41">
        <v>127587</v>
      </c>
      <c r="K45" s="40" t="s">
        <v>117</v>
      </c>
      <c r="L45" s="39" t="s">
        <v>146</v>
      </c>
      <c r="M45" s="38" t="s">
        <v>160</v>
      </c>
    </row>
    <row r="46" spans="1:13" s="37" customFormat="1" x14ac:dyDescent="0.25">
      <c r="A46" s="42">
        <v>42480.382777777777</v>
      </c>
      <c r="B46" s="41" t="s">
        <v>137</v>
      </c>
      <c r="C46" s="41" t="s">
        <v>136</v>
      </c>
      <c r="D46" s="41" t="s">
        <v>107</v>
      </c>
      <c r="E46" s="41" t="s">
        <v>153</v>
      </c>
      <c r="F46" s="41">
        <v>0</v>
      </c>
      <c r="G46" s="41">
        <v>792</v>
      </c>
      <c r="H46" s="41">
        <v>142592</v>
      </c>
      <c r="I46" s="41" t="s">
        <v>152</v>
      </c>
      <c r="J46" s="41">
        <v>144300</v>
      </c>
      <c r="K46" s="40" t="s">
        <v>104</v>
      </c>
      <c r="L46" s="39" t="s">
        <v>146</v>
      </c>
      <c r="M46" s="38" t="s">
        <v>160</v>
      </c>
    </row>
    <row r="47" spans="1:13" s="37" customFormat="1" x14ac:dyDescent="0.25">
      <c r="A47" s="42">
        <v>42480.393125000002</v>
      </c>
      <c r="B47" s="41" t="s">
        <v>111</v>
      </c>
      <c r="C47" s="41" t="s">
        <v>169</v>
      </c>
      <c r="D47" s="41" t="s">
        <v>107</v>
      </c>
      <c r="E47" s="41" t="s">
        <v>153</v>
      </c>
      <c r="F47" s="41">
        <v>0</v>
      </c>
      <c r="G47" s="41">
        <v>754</v>
      </c>
      <c r="H47" s="41">
        <v>143302</v>
      </c>
      <c r="I47" s="41" t="s">
        <v>152</v>
      </c>
      <c r="J47" s="41">
        <v>144300</v>
      </c>
      <c r="K47" s="40" t="s">
        <v>104</v>
      </c>
      <c r="L47" s="39" t="s">
        <v>146</v>
      </c>
      <c r="M47" s="38" t="s">
        <v>160</v>
      </c>
    </row>
    <row r="48" spans="1:13" s="37" customFormat="1" x14ac:dyDescent="0.25">
      <c r="A48" s="42">
        <v>42480.394305555557</v>
      </c>
      <c r="B48" s="41" t="s">
        <v>111</v>
      </c>
      <c r="C48" s="41" t="s">
        <v>169</v>
      </c>
      <c r="D48" s="41" t="s">
        <v>149</v>
      </c>
      <c r="E48" s="41" t="s">
        <v>153</v>
      </c>
      <c r="F48" s="41">
        <v>200</v>
      </c>
      <c r="G48" s="41">
        <v>256</v>
      </c>
      <c r="H48" s="41">
        <v>149028</v>
      </c>
      <c r="I48" s="41" t="s">
        <v>152</v>
      </c>
      <c r="J48" s="41">
        <v>144300</v>
      </c>
      <c r="K48" s="40" t="s">
        <v>104</v>
      </c>
      <c r="L48" s="39" t="s">
        <v>146</v>
      </c>
      <c r="M48" s="38" t="s">
        <v>160</v>
      </c>
    </row>
    <row r="49" spans="1:13" s="37" customFormat="1" x14ac:dyDescent="0.25">
      <c r="A49" s="42">
        <v>42480.40289351852</v>
      </c>
      <c r="B49" s="41" t="s">
        <v>129</v>
      </c>
      <c r="C49" s="41" t="s">
        <v>168</v>
      </c>
      <c r="D49" s="41" t="s">
        <v>107</v>
      </c>
      <c r="E49" s="41" t="s">
        <v>153</v>
      </c>
      <c r="F49" s="41">
        <v>0</v>
      </c>
      <c r="G49" s="41">
        <v>788</v>
      </c>
      <c r="H49" s="41">
        <v>142871</v>
      </c>
      <c r="I49" s="41" t="s">
        <v>152</v>
      </c>
      <c r="J49" s="41">
        <v>149694</v>
      </c>
      <c r="K49" s="40" t="s">
        <v>104</v>
      </c>
      <c r="L49" s="39" t="s">
        <v>146</v>
      </c>
      <c r="M49" s="38" t="s">
        <v>160</v>
      </c>
    </row>
    <row r="50" spans="1:13" s="37" customFormat="1" x14ac:dyDescent="0.25">
      <c r="A50" s="42">
        <v>42480.403622685182</v>
      </c>
      <c r="B50" s="41" t="s">
        <v>129</v>
      </c>
      <c r="C50" s="41" t="s">
        <v>168</v>
      </c>
      <c r="D50" s="41" t="s">
        <v>149</v>
      </c>
      <c r="E50" s="41" t="s">
        <v>153</v>
      </c>
      <c r="F50" s="41">
        <v>200</v>
      </c>
      <c r="G50" s="41">
        <v>255</v>
      </c>
      <c r="H50" s="41">
        <v>147723</v>
      </c>
      <c r="I50" s="41" t="s">
        <v>152</v>
      </c>
      <c r="J50" s="41">
        <v>144300</v>
      </c>
      <c r="K50" s="40" t="s">
        <v>104</v>
      </c>
      <c r="L50" s="39" t="s">
        <v>146</v>
      </c>
      <c r="M50" s="38" t="s">
        <v>160</v>
      </c>
    </row>
    <row r="51" spans="1:13" s="37" customFormat="1" x14ac:dyDescent="0.25">
      <c r="A51" s="42">
        <v>42480.423611111109</v>
      </c>
      <c r="B51" s="41" t="s">
        <v>133</v>
      </c>
      <c r="C51" s="41" t="s">
        <v>132</v>
      </c>
      <c r="D51" s="41" t="s">
        <v>107</v>
      </c>
      <c r="E51" s="41" t="s">
        <v>153</v>
      </c>
      <c r="F51" s="41">
        <v>0</v>
      </c>
      <c r="G51" s="41">
        <v>596</v>
      </c>
      <c r="H51" s="41">
        <v>135147</v>
      </c>
      <c r="I51" s="41" t="s">
        <v>152</v>
      </c>
      <c r="J51" s="41">
        <v>133166</v>
      </c>
      <c r="K51" s="40" t="s">
        <v>117</v>
      </c>
      <c r="L51" s="39" t="s">
        <v>146</v>
      </c>
      <c r="M51" s="38" t="s">
        <v>160</v>
      </c>
    </row>
    <row r="52" spans="1:13" s="37" customFormat="1" x14ac:dyDescent="0.25">
      <c r="A52" s="42">
        <v>42480.433587962965</v>
      </c>
      <c r="B52" s="41" t="s">
        <v>135</v>
      </c>
      <c r="C52" s="41" t="s">
        <v>134</v>
      </c>
      <c r="D52" s="41" t="s">
        <v>107</v>
      </c>
      <c r="E52" s="41" t="s">
        <v>153</v>
      </c>
      <c r="F52" s="41">
        <v>0</v>
      </c>
      <c r="G52" s="41">
        <v>795</v>
      </c>
      <c r="H52" s="41">
        <v>142205</v>
      </c>
      <c r="I52" s="41" t="s">
        <v>152</v>
      </c>
      <c r="J52" s="41">
        <v>144300</v>
      </c>
      <c r="K52" s="40" t="s">
        <v>104</v>
      </c>
      <c r="L52" s="39" t="s">
        <v>146</v>
      </c>
      <c r="M52" s="38" t="s">
        <v>160</v>
      </c>
    </row>
    <row r="53" spans="1:13" s="37" customFormat="1" x14ac:dyDescent="0.25">
      <c r="A53" s="42">
        <v>42480.433680555558</v>
      </c>
      <c r="B53" s="41" t="s">
        <v>119</v>
      </c>
      <c r="C53" s="41" t="s">
        <v>167</v>
      </c>
      <c r="D53" s="41" t="s">
        <v>107</v>
      </c>
      <c r="E53" s="41" t="s">
        <v>153</v>
      </c>
      <c r="F53" s="41">
        <v>0</v>
      </c>
      <c r="G53" s="41">
        <v>745</v>
      </c>
      <c r="H53" s="41">
        <v>134890</v>
      </c>
      <c r="I53" s="41" t="s">
        <v>152</v>
      </c>
      <c r="J53" s="41">
        <v>133166</v>
      </c>
      <c r="K53" s="40" t="s">
        <v>117</v>
      </c>
      <c r="L53" s="39" t="s">
        <v>146</v>
      </c>
      <c r="M53" s="38" t="s">
        <v>160</v>
      </c>
    </row>
    <row r="54" spans="1:13" s="37" customFormat="1" x14ac:dyDescent="0.25">
      <c r="A54" s="42">
        <v>42480.443761574075</v>
      </c>
      <c r="B54" s="41" t="s">
        <v>166</v>
      </c>
      <c r="C54" s="41" t="s">
        <v>165</v>
      </c>
      <c r="D54" s="41" t="s">
        <v>107</v>
      </c>
      <c r="E54" s="41" t="s">
        <v>153</v>
      </c>
      <c r="F54" s="41">
        <v>0</v>
      </c>
      <c r="G54" s="41">
        <v>715</v>
      </c>
      <c r="H54" s="41">
        <v>134035</v>
      </c>
      <c r="I54" s="41" t="s">
        <v>152</v>
      </c>
      <c r="J54" s="41">
        <v>133166</v>
      </c>
      <c r="K54" s="40" t="s">
        <v>117</v>
      </c>
      <c r="L54" s="39" t="s">
        <v>146</v>
      </c>
      <c r="M54" s="38" t="s">
        <v>160</v>
      </c>
    </row>
    <row r="55" spans="1:13" s="37" customFormat="1" x14ac:dyDescent="0.25">
      <c r="A55" s="42">
        <v>42480.461909722224</v>
      </c>
      <c r="B55" s="41" t="s">
        <v>137</v>
      </c>
      <c r="C55" s="41" t="s">
        <v>164</v>
      </c>
      <c r="D55" s="41" t="s">
        <v>107</v>
      </c>
      <c r="E55" s="41" t="s">
        <v>153</v>
      </c>
      <c r="F55" s="41">
        <v>0</v>
      </c>
      <c r="G55" s="41">
        <v>793</v>
      </c>
      <c r="H55" s="41">
        <v>144292</v>
      </c>
      <c r="I55" s="41" t="s">
        <v>152</v>
      </c>
      <c r="J55" s="41">
        <v>144300</v>
      </c>
      <c r="K55" s="40" t="s">
        <v>104</v>
      </c>
      <c r="L55" s="39" t="s">
        <v>146</v>
      </c>
      <c r="M55" s="38" t="s">
        <v>160</v>
      </c>
    </row>
    <row r="56" spans="1:13" s="37" customFormat="1" x14ac:dyDescent="0.25">
      <c r="A56" s="42">
        <v>42480.528483796297</v>
      </c>
      <c r="B56" s="41" t="s">
        <v>144</v>
      </c>
      <c r="C56" s="41" t="s">
        <v>163</v>
      </c>
      <c r="D56" s="41" t="s">
        <v>107</v>
      </c>
      <c r="E56" s="41" t="s">
        <v>153</v>
      </c>
      <c r="F56" s="41">
        <v>0</v>
      </c>
      <c r="G56" s="41">
        <v>771</v>
      </c>
      <c r="H56" s="41">
        <v>142370</v>
      </c>
      <c r="I56" s="41" t="s">
        <v>152</v>
      </c>
      <c r="J56" s="41">
        <v>144300</v>
      </c>
      <c r="K56" s="40" t="s">
        <v>104</v>
      </c>
      <c r="L56" s="39" t="s">
        <v>146</v>
      </c>
      <c r="M56" s="38" t="s">
        <v>160</v>
      </c>
    </row>
    <row r="57" spans="1:13" s="37" customFormat="1" x14ac:dyDescent="0.25">
      <c r="A57" s="42">
        <v>42480.591400462959</v>
      </c>
      <c r="B57" s="41" t="s">
        <v>135</v>
      </c>
      <c r="C57" s="41" t="s">
        <v>162</v>
      </c>
      <c r="D57" s="41" t="s">
        <v>107</v>
      </c>
      <c r="E57" s="41" t="s">
        <v>153</v>
      </c>
      <c r="F57" s="41">
        <v>0</v>
      </c>
      <c r="G57" s="41">
        <v>556</v>
      </c>
      <c r="H57" s="41">
        <v>147264</v>
      </c>
      <c r="I57" s="41" t="s">
        <v>152</v>
      </c>
      <c r="J57" s="41">
        <v>149694</v>
      </c>
      <c r="K57" s="40" t="s">
        <v>104</v>
      </c>
      <c r="L57" s="39" t="s">
        <v>146</v>
      </c>
      <c r="M57" s="38" t="s">
        <v>160</v>
      </c>
    </row>
    <row r="58" spans="1:13" s="37" customFormat="1" x14ac:dyDescent="0.25">
      <c r="A58" s="42">
        <v>42480.652569444443</v>
      </c>
      <c r="B58" s="41" t="s">
        <v>109</v>
      </c>
      <c r="C58" s="41" t="s">
        <v>161</v>
      </c>
      <c r="D58" s="41" t="s">
        <v>107</v>
      </c>
      <c r="E58" s="41" t="s">
        <v>153</v>
      </c>
      <c r="F58" s="41">
        <v>0</v>
      </c>
      <c r="G58" s="41">
        <v>790</v>
      </c>
      <c r="H58" s="41">
        <v>142374</v>
      </c>
      <c r="I58" s="41" t="s">
        <v>152</v>
      </c>
      <c r="J58" s="41">
        <v>144300</v>
      </c>
      <c r="K58" s="40" t="s">
        <v>104</v>
      </c>
      <c r="L58" s="39" t="s">
        <v>146</v>
      </c>
      <c r="M58" s="38" t="s">
        <v>160</v>
      </c>
    </row>
    <row r="59" spans="1:13" s="37" customFormat="1" x14ac:dyDescent="0.25">
      <c r="A59" s="42">
        <v>42480.653078703705</v>
      </c>
      <c r="B59" s="41" t="s">
        <v>158</v>
      </c>
      <c r="C59" s="41" t="s">
        <v>159</v>
      </c>
      <c r="D59" s="41" t="s">
        <v>107</v>
      </c>
      <c r="E59" s="41" t="s">
        <v>153</v>
      </c>
      <c r="F59" s="41">
        <v>0</v>
      </c>
      <c r="G59" s="41">
        <v>71</v>
      </c>
      <c r="H59" s="41">
        <v>20840</v>
      </c>
      <c r="I59" s="41" t="s">
        <v>152</v>
      </c>
      <c r="J59" s="41">
        <v>20632</v>
      </c>
      <c r="K59" s="40" t="s">
        <v>117</v>
      </c>
      <c r="L59" s="39" t="s">
        <v>146</v>
      </c>
      <c r="M59" s="38" t="s">
        <v>156</v>
      </c>
    </row>
    <row r="60" spans="1:13" s="37" customFormat="1" x14ac:dyDescent="0.25">
      <c r="A60" s="42">
        <v>42480.786238425928</v>
      </c>
      <c r="B60" s="41" t="s">
        <v>158</v>
      </c>
      <c r="C60" s="41" t="s">
        <v>157</v>
      </c>
      <c r="D60" s="41" t="s">
        <v>107</v>
      </c>
      <c r="E60" s="41" t="s">
        <v>153</v>
      </c>
      <c r="F60" s="41">
        <v>0</v>
      </c>
      <c r="G60" s="41">
        <v>86</v>
      </c>
      <c r="H60" s="41">
        <v>20905</v>
      </c>
      <c r="I60" s="41" t="s">
        <v>152</v>
      </c>
      <c r="J60" s="41">
        <v>20632</v>
      </c>
      <c r="K60" s="40" t="s">
        <v>117</v>
      </c>
      <c r="L60" s="39" t="s">
        <v>146</v>
      </c>
      <c r="M60" s="38" t="s">
        <v>156</v>
      </c>
    </row>
    <row r="61" spans="1:13" s="37" customFormat="1" x14ac:dyDescent="0.25">
      <c r="A61" s="42">
        <v>42480.902118055557</v>
      </c>
      <c r="B61" s="41" t="s">
        <v>155</v>
      </c>
      <c r="C61" s="41" t="s">
        <v>154</v>
      </c>
      <c r="D61" s="41" t="s">
        <v>107</v>
      </c>
      <c r="E61" s="41" t="s">
        <v>153</v>
      </c>
      <c r="F61" s="41">
        <v>0</v>
      </c>
      <c r="G61" s="41">
        <v>573</v>
      </c>
      <c r="H61" s="41">
        <v>130970</v>
      </c>
      <c r="I61" s="41" t="s">
        <v>152</v>
      </c>
      <c r="J61" s="41">
        <v>127587</v>
      </c>
      <c r="K61" s="40" t="s">
        <v>117</v>
      </c>
      <c r="L61" s="39" t="s">
        <v>103</v>
      </c>
      <c r="M61" s="38" t="s">
        <v>151</v>
      </c>
    </row>
    <row r="62" spans="1:13" s="37" customFormat="1" x14ac:dyDescent="0.25">
      <c r="A62" s="42">
        <v>42480.559108796297</v>
      </c>
      <c r="B62" s="41" t="s">
        <v>115</v>
      </c>
      <c r="C62" s="41" t="s">
        <v>150</v>
      </c>
      <c r="D62" s="41" t="s">
        <v>149</v>
      </c>
      <c r="E62" s="41" t="s">
        <v>148</v>
      </c>
      <c r="F62" s="41">
        <v>0</v>
      </c>
      <c r="G62" s="41">
        <v>4</v>
      </c>
      <c r="H62" s="41">
        <v>3262</v>
      </c>
      <c r="I62" s="41" t="s">
        <v>147</v>
      </c>
      <c r="J62" s="41">
        <v>2789</v>
      </c>
      <c r="K62" s="40" t="s">
        <v>104</v>
      </c>
      <c r="L62" s="39" t="s">
        <v>146</v>
      </c>
      <c r="M62" s="38" t="s">
        <v>145</v>
      </c>
    </row>
    <row r="63" spans="1:13" s="37" customFormat="1" x14ac:dyDescent="0.25">
      <c r="A63" s="42">
        <v>42480.160810185182</v>
      </c>
      <c r="B63" s="41" t="s">
        <v>144</v>
      </c>
      <c r="C63" s="41" t="s">
        <v>143</v>
      </c>
      <c r="D63" s="41" t="s">
        <v>107</v>
      </c>
      <c r="E63" s="41" t="s">
        <v>106</v>
      </c>
      <c r="F63" s="41">
        <v>0</v>
      </c>
      <c r="G63" s="41">
        <v>7</v>
      </c>
      <c r="H63" s="41">
        <v>233342</v>
      </c>
      <c r="I63" s="41" t="s">
        <v>105</v>
      </c>
      <c r="J63" s="41">
        <v>233491</v>
      </c>
      <c r="K63" s="40" t="s">
        <v>104</v>
      </c>
      <c r="L63" s="39" t="s">
        <v>103</v>
      </c>
      <c r="M63" s="38" t="s">
        <v>102</v>
      </c>
    </row>
    <row r="64" spans="1:13" s="37" customFormat="1" x14ac:dyDescent="0.25">
      <c r="A64" s="42">
        <v>42480.223043981481</v>
      </c>
      <c r="B64" s="41" t="s">
        <v>119</v>
      </c>
      <c r="C64" s="41" t="s">
        <v>142</v>
      </c>
      <c r="D64" s="41" t="s">
        <v>107</v>
      </c>
      <c r="E64" s="41" t="s">
        <v>106</v>
      </c>
      <c r="F64" s="41">
        <v>0</v>
      </c>
      <c r="G64" s="41">
        <v>9</v>
      </c>
      <c r="H64" s="41">
        <v>119</v>
      </c>
      <c r="I64" s="41" t="s">
        <v>105</v>
      </c>
      <c r="J64" s="41">
        <v>1</v>
      </c>
      <c r="K64" s="40" t="s">
        <v>117</v>
      </c>
      <c r="L64" s="39" t="s">
        <v>103</v>
      </c>
      <c r="M64" s="38" t="s">
        <v>102</v>
      </c>
    </row>
    <row r="65" spans="1:13" s="37" customFormat="1" x14ac:dyDescent="0.25">
      <c r="A65" s="42">
        <v>42480.256284722222</v>
      </c>
      <c r="B65" s="41" t="s">
        <v>125</v>
      </c>
      <c r="C65" s="41" t="s">
        <v>141</v>
      </c>
      <c r="D65" s="41" t="s">
        <v>107</v>
      </c>
      <c r="E65" s="41" t="s">
        <v>106</v>
      </c>
      <c r="F65" s="41">
        <v>0</v>
      </c>
      <c r="G65" s="41">
        <v>45</v>
      </c>
      <c r="H65" s="41">
        <v>161</v>
      </c>
      <c r="I65" s="41" t="s">
        <v>105</v>
      </c>
      <c r="J65" s="41">
        <v>1</v>
      </c>
      <c r="K65" s="40" t="s">
        <v>117</v>
      </c>
      <c r="L65" s="39" t="s">
        <v>103</v>
      </c>
      <c r="M65" s="38" t="s">
        <v>102</v>
      </c>
    </row>
    <row r="66" spans="1:13" s="37" customFormat="1" x14ac:dyDescent="0.25">
      <c r="A66" s="42">
        <v>42480.305185185185</v>
      </c>
      <c r="B66" s="41" t="s">
        <v>119</v>
      </c>
      <c r="C66" s="41" t="s">
        <v>140</v>
      </c>
      <c r="D66" s="41" t="s">
        <v>107</v>
      </c>
      <c r="E66" s="41" t="s">
        <v>106</v>
      </c>
      <c r="F66" s="41">
        <v>0</v>
      </c>
      <c r="G66" s="41">
        <v>7</v>
      </c>
      <c r="H66" s="41">
        <v>212</v>
      </c>
      <c r="I66" s="41" t="s">
        <v>105</v>
      </c>
      <c r="J66" s="41">
        <v>1</v>
      </c>
      <c r="K66" s="40" t="s">
        <v>117</v>
      </c>
      <c r="L66" s="39" t="s">
        <v>103</v>
      </c>
      <c r="M66" s="38" t="s">
        <v>102</v>
      </c>
    </row>
    <row r="67" spans="1:13" s="37" customFormat="1" x14ac:dyDescent="0.25">
      <c r="A67" s="42">
        <v>42480.318229166667</v>
      </c>
      <c r="B67" s="41" t="s">
        <v>137</v>
      </c>
      <c r="C67" s="41" t="s">
        <v>139</v>
      </c>
      <c r="D67" s="41" t="s">
        <v>107</v>
      </c>
      <c r="E67" s="41" t="s">
        <v>106</v>
      </c>
      <c r="F67" s="41">
        <v>0</v>
      </c>
      <c r="G67" s="41">
        <v>7</v>
      </c>
      <c r="H67" s="41">
        <v>233346</v>
      </c>
      <c r="I67" s="41" t="s">
        <v>105</v>
      </c>
      <c r="J67" s="41">
        <v>233491</v>
      </c>
      <c r="K67" s="40" t="s">
        <v>104</v>
      </c>
      <c r="L67" s="39" t="s">
        <v>103</v>
      </c>
      <c r="M67" s="38" t="s">
        <v>102</v>
      </c>
    </row>
    <row r="68" spans="1:13" s="37" customFormat="1" x14ac:dyDescent="0.25">
      <c r="A68" s="42">
        <v>42480.368298611109</v>
      </c>
      <c r="B68" s="41" t="s">
        <v>135</v>
      </c>
      <c r="C68" s="41" t="s">
        <v>138</v>
      </c>
      <c r="D68" s="41" t="s">
        <v>107</v>
      </c>
      <c r="E68" s="41" t="s">
        <v>106</v>
      </c>
      <c r="F68" s="41">
        <v>0</v>
      </c>
      <c r="G68" s="41">
        <v>67</v>
      </c>
      <c r="H68" s="41">
        <v>233284</v>
      </c>
      <c r="I68" s="41" t="s">
        <v>105</v>
      </c>
      <c r="J68" s="41">
        <v>233491</v>
      </c>
      <c r="K68" s="40" t="s">
        <v>104</v>
      </c>
      <c r="L68" s="39" t="s">
        <v>103</v>
      </c>
      <c r="M68" s="38" t="s">
        <v>102</v>
      </c>
    </row>
    <row r="69" spans="1:13" s="37" customFormat="1" x14ac:dyDescent="0.25">
      <c r="A69" s="42">
        <v>42480.391643518517</v>
      </c>
      <c r="B69" s="41" t="s">
        <v>137</v>
      </c>
      <c r="C69" s="41" t="s">
        <v>136</v>
      </c>
      <c r="D69" s="41" t="s">
        <v>107</v>
      </c>
      <c r="E69" s="41" t="s">
        <v>106</v>
      </c>
      <c r="F69" s="41">
        <v>0</v>
      </c>
      <c r="G69" s="41">
        <v>8</v>
      </c>
      <c r="H69" s="41">
        <v>233332</v>
      </c>
      <c r="I69" s="41" t="s">
        <v>105</v>
      </c>
      <c r="J69" s="41">
        <v>233491</v>
      </c>
      <c r="K69" s="40" t="s">
        <v>104</v>
      </c>
      <c r="L69" s="39" t="s">
        <v>103</v>
      </c>
      <c r="M69" s="38" t="s">
        <v>102</v>
      </c>
    </row>
    <row r="70" spans="1:13" s="37" customFormat="1" x14ac:dyDescent="0.25">
      <c r="A70" s="42">
        <v>42480.442187499997</v>
      </c>
      <c r="B70" s="41" t="s">
        <v>135</v>
      </c>
      <c r="C70" s="41" t="s">
        <v>134</v>
      </c>
      <c r="D70" s="41" t="s">
        <v>107</v>
      </c>
      <c r="E70" s="41" t="s">
        <v>106</v>
      </c>
      <c r="F70" s="41">
        <v>0</v>
      </c>
      <c r="G70" s="41">
        <v>44</v>
      </c>
      <c r="H70" s="41">
        <v>233329</v>
      </c>
      <c r="I70" s="41" t="s">
        <v>105</v>
      </c>
      <c r="J70" s="41">
        <v>233491</v>
      </c>
      <c r="K70" s="40" t="s">
        <v>104</v>
      </c>
      <c r="L70" s="39" t="s">
        <v>103</v>
      </c>
      <c r="M70" s="38" t="s">
        <v>102</v>
      </c>
    </row>
    <row r="71" spans="1:13" s="37" customFormat="1" x14ac:dyDescent="0.25">
      <c r="A71" s="42">
        <v>42480.444432870368</v>
      </c>
      <c r="B71" s="41" t="s">
        <v>133</v>
      </c>
      <c r="C71" s="41" t="s">
        <v>132</v>
      </c>
      <c r="D71" s="41" t="s">
        <v>107</v>
      </c>
      <c r="E71" s="41" t="s">
        <v>106</v>
      </c>
      <c r="F71" s="41">
        <v>0</v>
      </c>
      <c r="G71" s="41">
        <v>9</v>
      </c>
      <c r="H71" s="41">
        <v>123</v>
      </c>
      <c r="I71" s="41" t="s">
        <v>105</v>
      </c>
      <c r="J71" s="41">
        <v>1</v>
      </c>
      <c r="K71" s="40" t="s">
        <v>117</v>
      </c>
      <c r="L71" s="39" t="s">
        <v>103</v>
      </c>
      <c r="M71" s="38" t="s">
        <v>102</v>
      </c>
    </row>
    <row r="72" spans="1:13" s="37" customFormat="1" x14ac:dyDescent="0.25">
      <c r="A72" s="42">
        <v>42480.47855324074</v>
      </c>
      <c r="B72" s="41" t="s">
        <v>111</v>
      </c>
      <c r="C72" s="41" t="s">
        <v>131</v>
      </c>
      <c r="D72" s="41" t="s">
        <v>107</v>
      </c>
      <c r="E72" s="41" t="s">
        <v>106</v>
      </c>
      <c r="F72" s="41">
        <v>0</v>
      </c>
      <c r="G72" s="41">
        <v>8</v>
      </c>
      <c r="H72" s="41">
        <v>233359</v>
      </c>
      <c r="I72" s="41" t="s">
        <v>105</v>
      </c>
      <c r="J72" s="41">
        <v>233491</v>
      </c>
      <c r="K72" s="40" t="s">
        <v>104</v>
      </c>
      <c r="L72" s="39" t="s">
        <v>103</v>
      </c>
      <c r="M72" s="38" t="s">
        <v>102</v>
      </c>
    </row>
    <row r="73" spans="1:13" s="37" customFormat="1" x14ac:dyDescent="0.25">
      <c r="A73" s="42">
        <v>42480.486446759256</v>
      </c>
      <c r="B73" s="41" t="s">
        <v>123</v>
      </c>
      <c r="C73" s="41" t="s">
        <v>130</v>
      </c>
      <c r="D73" s="41" t="s">
        <v>107</v>
      </c>
      <c r="E73" s="41" t="s">
        <v>106</v>
      </c>
      <c r="F73" s="41">
        <v>0</v>
      </c>
      <c r="G73" s="41">
        <v>54</v>
      </c>
      <c r="H73" s="41">
        <v>147</v>
      </c>
      <c r="I73" s="41" t="s">
        <v>105</v>
      </c>
      <c r="J73" s="41">
        <v>1</v>
      </c>
      <c r="K73" s="40" t="s">
        <v>117</v>
      </c>
      <c r="L73" s="39" t="s">
        <v>103</v>
      </c>
      <c r="M73" s="38" t="s">
        <v>102</v>
      </c>
    </row>
    <row r="74" spans="1:13" s="37" customFormat="1" x14ac:dyDescent="0.25">
      <c r="A74" s="42">
        <v>42480.486527777779</v>
      </c>
      <c r="B74" s="41" t="s">
        <v>129</v>
      </c>
      <c r="C74" s="41" t="s">
        <v>128</v>
      </c>
      <c r="D74" s="41" t="s">
        <v>107</v>
      </c>
      <c r="E74" s="41" t="s">
        <v>106</v>
      </c>
      <c r="F74" s="41">
        <v>0</v>
      </c>
      <c r="G74" s="41">
        <v>4</v>
      </c>
      <c r="H74" s="41">
        <v>233332</v>
      </c>
      <c r="I74" s="41" t="s">
        <v>105</v>
      </c>
      <c r="J74" s="41">
        <v>233491</v>
      </c>
      <c r="K74" s="40" t="s">
        <v>104</v>
      </c>
      <c r="L74" s="39" t="s">
        <v>103</v>
      </c>
      <c r="M74" s="38" t="s">
        <v>102</v>
      </c>
    </row>
    <row r="75" spans="1:13" s="37" customFormat="1" x14ac:dyDescent="0.25">
      <c r="A75" s="42">
        <v>42480.508969907409</v>
      </c>
      <c r="B75" s="41" t="s">
        <v>127</v>
      </c>
      <c r="C75" s="41" t="s">
        <v>126</v>
      </c>
      <c r="D75" s="41" t="s">
        <v>107</v>
      </c>
      <c r="E75" s="41" t="s">
        <v>106</v>
      </c>
      <c r="F75" s="41">
        <v>0</v>
      </c>
      <c r="G75" s="41">
        <v>91</v>
      </c>
      <c r="H75" s="41">
        <v>360</v>
      </c>
      <c r="I75" s="41" t="s">
        <v>105</v>
      </c>
      <c r="J75" s="41">
        <v>1</v>
      </c>
      <c r="K75" s="40" t="s">
        <v>117</v>
      </c>
      <c r="L75" s="39" t="s">
        <v>103</v>
      </c>
      <c r="M75" s="38" t="s">
        <v>102</v>
      </c>
    </row>
    <row r="76" spans="1:13" s="37" customFormat="1" x14ac:dyDescent="0.25">
      <c r="A76" s="42">
        <v>42480.547881944447</v>
      </c>
      <c r="B76" s="41" t="s">
        <v>125</v>
      </c>
      <c r="C76" s="41" t="s">
        <v>124</v>
      </c>
      <c r="D76" s="41" t="s">
        <v>107</v>
      </c>
      <c r="E76" s="41" t="s">
        <v>106</v>
      </c>
      <c r="F76" s="41">
        <v>0</v>
      </c>
      <c r="G76" s="41">
        <v>33</v>
      </c>
      <c r="H76" s="41">
        <v>129</v>
      </c>
      <c r="I76" s="41" t="s">
        <v>105</v>
      </c>
      <c r="J76" s="41">
        <v>1</v>
      </c>
      <c r="K76" s="40" t="s">
        <v>117</v>
      </c>
      <c r="L76" s="39" t="s">
        <v>103</v>
      </c>
      <c r="M76" s="38" t="s">
        <v>102</v>
      </c>
    </row>
    <row r="77" spans="1:13" s="37" customFormat="1" x14ac:dyDescent="0.25">
      <c r="A77" s="42">
        <v>42480.556793981479</v>
      </c>
      <c r="B77" s="41" t="s">
        <v>123</v>
      </c>
      <c r="C77" s="41" t="s">
        <v>122</v>
      </c>
      <c r="D77" s="41" t="s">
        <v>107</v>
      </c>
      <c r="E77" s="41" t="s">
        <v>106</v>
      </c>
      <c r="F77" s="41">
        <v>0</v>
      </c>
      <c r="G77" s="41">
        <v>83</v>
      </c>
      <c r="H77" s="41">
        <v>260</v>
      </c>
      <c r="I77" s="41" t="s">
        <v>105</v>
      </c>
      <c r="J77" s="41">
        <v>1</v>
      </c>
      <c r="K77" s="40" t="s">
        <v>117</v>
      </c>
      <c r="L77" s="39" t="s">
        <v>103</v>
      </c>
      <c r="M77" s="38" t="s">
        <v>102</v>
      </c>
    </row>
    <row r="78" spans="1:13" s="37" customFormat="1" x14ac:dyDescent="0.25">
      <c r="A78" s="42">
        <v>42480.599953703706</v>
      </c>
      <c r="B78" s="41" t="s">
        <v>121</v>
      </c>
      <c r="C78" s="41" t="s">
        <v>120</v>
      </c>
      <c r="D78" s="41" t="s">
        <v>107</v>
      </c>
      <c r="E78" s="41" t="s">
        <v>106</v>
      </c>
      <c r="F78" s="41">
        <v>0</v>
      </c>
      <c r="G78" s="41">
        <v>6</v>
      </c>
      <c r="H78" s="41">
        <v>416</v>
      </c>
      <c r="I78" s="41" t="s">
        <v>105</v>
      </c>
      <c r="J78" s="41">
        <v>1</v>
      </c>
      <c r="K78" s="40" t="s">
        <v>117</v>
      </c>
      <c r="L78" s="39" t="s">
        <v>103</v>
      </c>
      <c r="M78" s="38" t="s">
        <v>102</v>
      </c>
    </row>
    <row r="79" spans="1:13" s="37" customFormat="1" x14ac:dyDescent="0.25">
      <c r="A79" s="42">
        <v>42480.646469907406</v>
      </c>
      <c r="B79" s="41" t="s">
        <v>119</v>
      </c>
      <c r="C79" s="41" t="s">
        <v>118</v>
      </c>
      <c r="D79" s="41" t="s">
        <v>107</v>
      </c>
      <c r="E79" s="41" t="s">
        <v>106</v>
      </c>
      <c r="F79" s="41">
        <v>0</v>
      </c>
      <c r="G79" s="41">
        <v>9</v>
      </c>
      <c r="H79" s="41">
        <v>136</v>
      </c>
      <c r="I79" s="41" t="s">
        <v>105</v>
      </c>
      <c r="J79" s="41">
        <v>1</v>
      </c>
      <c r="K79" s="40" t="s">
        <v>117</v>
      </c>
      <c r="L79" s="39" t="s">
        <v>103</v>
      </c>
      <c r="M79" s="38" t="s">
        <v>102</v>
      </c>
    </row>
    <row r="80" spans="1:13" s="37" customFormat="1" x14ac:dyDescent="0.25">
      <c r="A80" s="42">
        <v>42480.668657407405</v>
      </c>
      <c r="B80" s="41" t="s">
        <v>111</v>
      </c>
      <c r="C80" s="41" t="s">
        <v>116</v>
      </c>
      <c r="D80" s="41" t="s">
        <v>107</v>
      </c>
      <c r="E80" s="41" t="s">
        <v>106</v>
      </c>
      <c r="F80" s="41">
        <v>0</v>
      </c>
      <c r="G80" s="41">
        <v>7</v>
      </c>
      <c r="H80" s="41">
        <v>233327</v>
      </c>
      <c r="I80" s="41" t="s">
        <v>105</v>
      </c>
      <c r="J80" s="41">
        <v>233491</v>
      </c>
      <c r="K80" s="40" t="s">
        <v>104</v>
      </c>
      <c r="L80" s="39" t="s">
        <v>103</v>
      </c>
      <c r="M80" s="38" t="s">
        <v>102</v>
      </c>
    </row>
    <row r="81" spans="1:13" s="37" customFormat="1" x14ac:dyDescent="0.25">
      <c r="A81" s="42">
        <v>42480.720520833333</v>
      </c>
      <c r="B81" s="41" t="s">
        <v>115</v>
      </c>
      <c r="C81" s="41" t="s">
        <v>114</v>
      </c>
      <c r="D81" s="41" t="s">
        <v>107</v>
      </c>
      <c r="E81" s="41" t="s">
        <v>106</v>
      </c>
      <c r="F81" s="41">
        <v>0</v>
      </c>
      <c r="G81" s="41">
        <v>6</v>
      </c>
      <c r="H81" s="41">
        <v>233398</v>
      </c>
      <c r="I81" s="41" t="s">
        <v>105</v>
      </c>
      <c r="J81" s="41">
        <v>233491</v>
      </c>
      <c r="K81" s="40" t="s">
        <v>104</v>
      </c>
      <c r="L81" s="39" t="s">
        <v>103</v>
      </c>
      <c r="M81" s="38" t="s">
        <v>102</v>
      </c>
    </row>
    <row r="82" spans="1:13" s="37" customFormat="1" x14ac:dyDescent="0.25">
      <c r="A82" s="42">
        <v>42480.819097222222</v>
      </c>
      <c r="B82" s="41" t="s">
        <v>113</v>
      </c>
      <c r="C82" s="41" t="s">
        <v>112</v>
      </c>
      <c r="D82" s="41" t="s">
        <v>107</v>
      </c>
      <c r="E82" s="41" t="s">
        <v>106</v>
      </c>
      <c r="F82" s="41">
        <v>0</v>
      </c>
      <c r="G82" s="41">
        <v>50</v>
      </c>
      <c r="H82" s="41">
        <v>233278</v>
      </c>
      <c r="I82" s="41" t="s">
        <v>105</v>
      </c>
      <c r="J82" s="41">
        <v>233491</v>
      </c>
      <c r="K82" s="40" t="s">
        <v>104</v>
      </c>
      <c r="L82" s="39" t="s">
        <v>103</v>
      </c>
      <c r="M82" s="38" t="s">
        <v>102</v>
      </c>
    </row>
    <row r="83" spans="1:13" s="37" customFormat="1" x14ac:dyDescent="0.25">
      <c r="A83" s="42">
        <v>42480.9218287037</v>
      </c>
      <c r="B83" s="41" t="s">
        <v>111</v>
      </c>
      <c r="C83" s="41" t="s">
        <v>110</v>
      </c>
      <c r="D83" s="41" t="s">
        <v>107</v>
      </c>
      <c r="E83" s="41" t="s">
        <v>106</v>
      </c>
      <c r="F83" s="41">
        <v>0</v>
      </c>
      <c r="G83" s="41">
        <v>6</v>
      </c>
      <c r="H83" s="41">
        <v>233342</v>
      </c>
      <c r="I83" s="41" t="s">
        <v>105</v>
      </c>
      <c r="J83" s="41">
        <v>233491</v>
      </c>
      <c r="K83" s="40" t="s">
        <v>104</v>
      </c>
      <c r="L83" s="39" t="s">
        <v>103</v>
      </c>
      <c r="M83" s="38" t="s">
        <v>102</v>
      </c>
    </row>
    <row r="84" spans="1:13" s="37" customFormat="1" x14ac:dyDescent="0.25">
      <c r="A84" s="42">
        <v>42481.028993055559</v>
      </c>
      <c r="B84" s="41" t="s">
        <v>109</v>
      </c>
      <c r="C84" s="41" t="s">
        <v>108</v>
      </c>
      <c r="D84" s="41" t="s">
        <v>107</v>
      </c>
      <c r="E84" s="41" t="s">
        <v>106</v>
      </c>
      <c r="F84" s="41">
        <v>0</v>
      </c>
      <c r="G84" s="41">
        <v>4</v>
      </c>
      <c r="H84" s="41">
        <v>233302</v>
      </c>
      <c r="I84" s="41" t="s">
        <v>105</v>
      </c>
      <c r="J84" s="41">
        <v>233491</v>
      </c>
      <c r="K84" s="40" t="s">
        <v>104</v>
      </c>
      <c r="L84" s="39" t="s">
        <v>103</v>
      </c>
      <c r="M84" s="38" t="s">
        <v>102</v>
      </c>
    </row>
    <row r="85" spans="1:13" ht="15.75" thickBot="1" x14ac:dyDescent="0.3"/>
    <row r="86" spans="1:13" x14ac:dyDescent="0.25">
      <c r="K86" s="36" t="s">
        <v>101</v>
      </c>
      <c r="L86" s="35">
        <f>COUNTIF(L3:L84,"=Y")</f>
        <v>34</v>
      </c>
    </row>
    <row r="87" spans="1:13" ht="15.75" thickBot="1" x14ac:dyDescent="0.3">
      <c r="K87" s="34" t="s">
        <v>100</v>
      </c>
      <c r="L87" s="33">
        <f>COUNTA(L3:L84)-L86</f>
        <v>48</v>
      </c>
    </row>
  </sheetData>
  <autoFilter ref="A2:L2">
    <sortState ref="A3:L84">
      <sortCondition ref="E2"/>
    </sortState>
  </autoFilter>
  <mergeCells count="1">
    <mergeCell ref="A1:L1"/>
  </mergeCells>
  <conditionalFormatting sqref="L2:L1048576">
    <cfRule type="cellIs" dxfId="1" priority="2" operator="equal">
      <formula>"Y"</formula>
    </cfRule>
  </conditionalFormatting>
  <conditionalFormatting sqref="B3:L84 M3">
    <cfRule type="expression" dxfId="0" priority="1">
      <formula>$L3="Y"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Train Runs</vt:lpstr>
      <vt:lpstr>Enforcements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2016-04-21T20:40:04Z</dcterms:modified>
</cp:coreProperties>
</file>