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</sheets>
  <definedNames>
    <definedName name="_xlnm._FilterDatabase" localSheetId="1" hidden="1">Enforcements!$A$2:$M$2</definedName>
    <definedName name="_xlnm._FilterDatabase" localSheetId="0" hidden="1">'Train Runs'!$A$2:$X$2</definedName>
    <definedName name="Denver_Train_Runs_04122016" localSheetId="0">'Train Runs'!$A$2:$J$134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1" l="1"/>
  <c r="L101" i="1"/>
  <c r="O101" i="1" s="1"/>
  <c r="K63" i="1"/>
  <c r="L63" i="1"/>
  <c r="K62" i="1"/>
  <c r="L62" i="1"/>
  <c r="K3" i="1"/>
  <c r="L3" i="1"/>
  <c r="M3" i="1" s="1"/>
  <c r="K111" i="1"/>
  <c r="L111" i="1"/>
  <c r="M111" i="1"/>
  <c r="K81" i="1"/>
  <c r="L81" i="1"/>
  <c r="M81" i="1" s="1"/>
  <c r="K82" i="1"/>
  <c r="L82" i="1"/>
  <c r="M82" i="1" s="1"/>
  <c r="K21" i="1"/>
  <c r="L21" i="1"/>
  <c r="M21" i="1" s="1"/>
  <c r="K22" i="1"/>
  <c r="L22" i="1"/>
  <c r="M22" i="1" s="1"/>
  <c r="K42" i="1"/>
  <c r="L42" i="1"/>
  <c r="M42" i="1"/>
  <c r="K43" i="1"/>
  <c r="L43" i="1"/>
  <c r="M43" i="1" s="1"/>
  <c r="K102" i="1"/>
  <c r="L102" i="1"/>
  <c r="M102" i="1" s="1"/>
  <c r="K64" i="1"/>
  <c r="L64" i="1"/>
  <c r="M64" i="1" s="1"/>
  <c r="K65" i="1"/>
  <c r="L65" i="1"/>
  <c r="M65" i="1" s="1"/>
  <c r="K4" i="1"/>
  <c r="L4" i="1"/>
  <c r="M4" i="1" s="1"/>
  <c r="K112" i="1"/>
  <c r="L112" i="1"/>
  <c r="M112" i="1"/>
  <c r="K113" i="1"/>
  <c r="L113" i="1"/>
  <c r="M113" i="1" s="1"/>
  <c r="K83" i="1"/>
  <c r="L83" i="1"/>
  <c r="M83" i="1" s="1"/>
  <c r="K84" i="1"/>
  <c r="L84" i="1"/>
  <c r="M84" i="1" s="1"/>
  <c r="K23" i="1"/>
  <c r="L23" i="1"/>
  <c r="M23" i="1" s="1"/>
  <c r="K24" i="1"/>
  <c r="L24" i="1"/>
  <c r="M24" i="1"/>
  <c r="K44" i="1"/>
  <c r="L44" i="1"/>
  <c r="M44" i="1" s="1"/>
  <c r="K45" i="1"/>
  <c r="L45" i="1"/>
  <c r="M45" i="1" s="1"/>
  <c r="K47" i="1"/>
  <c r="L47" i="1"/>
  <c r="M47" i="1" s="1"/>
  <c r="K103" i="1"/>
  <c r="L103" i="1"/>
  <c r="M103" i="1" s="1"/>
  <c r="K66" i="1"/>
  <c r="L66" i="1"/>
  <c r="M66" i="1"/>
  <c r="K67" i="1"/>
  <c r="L67" i="1"/>
  <c r="M67" i="1" s="1"/>
  <c r="K5" i="1"/>
  <c r="L5" i="1"/>
  <c r="M5" i="1" s="1"/>
  <c r="K6" i="1"/>
  <c r="L6" i="1"/>
  <c r="M6" i="1" s="1"/>
  <c r="K114" i="1"/>
  <c r="L114" i="1"/>
  <c r="M114" i="1" s="1"/>
  <c r="K115" i="1"/>
  <c r="L115" i="1"/>
  <c r="M115" i="1" s="1"/>
  <c r="K85" i="1"/>
  <c r="L85" i="1"/>
  <c r="M85" i="1"/>
  <c r="K86" i="1"/>
  <c r="L86" i="1"/>
  <c r="M86" i="1" s="1"/>
  <c r="K25" i="1"/>
  <c r="L25" i="1"/>
  <c r="M25" i="1" s="1"/>
  <c r="K26" i="1"/>
  <c r="L26" i="1"/>
  <c r="M26" i="1" s="1"/>
  <c r="K46" i="1"/>
  <c r="L46" i="1"/>
  <c r="M46" i="1" s="1"/>
  <c r="K104" i="1"/>
  <c r="L104" i="1"/>
  <c r="M104" i="1"/>
  <c r="K68" i="1"/>
  <c r="L68" i="1"/>
  <c r="M68" i="1" s="1"/>
  <c r="K69" i="1"/>
  <c r="L69" i="1"/>
  <c r="M69" i="1" s="1"/>
  <c r="K7" i="1"/>
  <c r="L7" i="1"/>
  <c r="M7" i="1" s="1"/>
  <c r="K8" i="1"/>
  <c r="L8" i="1"/>
  <c r="M8" i="1" s="1"/>
  <c r="K116" i="1"/>
  <c r="L116" i="1"/>
  <c r="M116" i="1"/>
  <c r="K117" i="1"/>
  <c r="L117" i="1"/>
  <c r="M117" i="1" s="1"/>
  <c r="K87" i="1"/>
  <c r="L87" i="1"/>
  <c r="M87" i="1" s="1"/>
  <c r="K88" i="1"/>
  <c r="L88" i="1"/>
  <c r="M88" i="1" s="1"/>
  <c r="K27" i="1"/>
  <c r="L27" i="1"/>
  <c r="M27" i="1" s="1"/>
  <c r="K28" i="1"/>
  <c r="L28" i="1"/>
  <c r="M28" i="1" s="1"/>
  <c r="K48" i="1"/>
  <c r="L48" i="1"/>
  <c r="M48" i="1" s="1"/>
  <c r="K49" i="1"/>
  <c r="L49" i="1"/>
  <c r="M49" i="1" s="1"/>
  <c r="K70" i="1"/>
  <c r="L70" i="1"/>
  <c r="M70" i="1" s="1"/>
  <c r="K9" i="1"/>
  <c r="L9" i="1"/>
  <c r="M9" i="1" s="1"/>
  <c r="K10" i="1"/>
  <c r="L10" i="1"/>
  <c r="M10" i="1"/>
  <c r="K118" i="1"/>
  <c r="L118" i="1"/>
  <c r="M118" i="1" s="1"/>
  <c r="K119" i="1"/>
  <c r="L119" i="1"/>
  <c r="M119" i="1" s="1"/>
  <c r="K89" i="1"/>
  <c r="L89" i="1"/>
  <c r="M89" i="1" s="1"/>
  <c r="K90" i="1"/>
  <c r="L90" i="1"/>
  <c r="M90" i="1" s="1"/>
  <c r="K29" i="1"/>
  <c r="L29" i="1"/>
  <c r="M29" i="1" s="1"/>
  <c r="K30" i="1"/>
  <c r="L30" i="1"/>
  <c r="M30" i="1" s="1"/>
  <c r="K50" i="1"/>
  <c r="L50" i="1"/>
  <c r="M50" i="1" s="1"/>
  <c r="K51" i="1"/>
  <c r="L51" i="1"/>
  <c r="M51" i="1" s="1"/>
  <c r="K105" i="1"/>
  <c r="L105" i="1"/>
  <c r="M105" i="1"/>
  <c r="K71" i="1"/>
  <c r="L71" i="1"/>
  <c r="M71" i="1"/>
  <c r="K72" i="1"/>
  <c r="L72" i="1"/>
  <c r="M72" i="1" s="1"/>
  <c r="K11" i="1"/>
  <c r="L11" i="1"/>
  <c r="M11" i="1"/>
  <c r="K12" i="1"/>
  <c r="L12" i="1"/>
  <c r="M12" i="1"/>
  <c r="K121" i="1"/>
  <c r="L121" i="1"/>
  <c r="K120" i="1"/>
  <c r="L120" i="1"/>
  <c r="K122" i="1"/>
  <c r="L122" i="1"/>
  <c r="M122" i="1" s="1"/>
  <c r="K91" i="1"/>
  <c r="L91" i="1"/>
  <c r="M91" i="1" s="1"/>
  <c r="K92" i="1"/>
  <c r="L92" i="1"/>
  <c r="M92" i="1" s="1"/>
  <c r="K31" i="1"/>
  <c r="L31" i="1"/>
  <c r="M31" i="1" s="1"/>
  <c r="K32" i="1"/>
  <c r="L32" i="1"/>
  <c r="M32" i="1" s="1"/>
  <c r="K52" i="1"/>
  <c r="L52" i="1"/>
  <c r="M52" i="1" s="1"/>
  <c r="K53" i="1"/>
  <c r="L53" i="1"/>
  <c r="M53" i="1" s="1"/>
  <c r="K106" i="1"/>
  <c r="L106" i="1"/>
  <c r="M106" i="1" s="1"/>
  <c r="K73" i="1"/>
  <c r="L73" i="1"/>
  <c r="M73" i="1" s="1"/>
  <c r="K74" i="1"/>
  <c r="L74" i="1"/>
  <c r="M74" i="1" s="1"/>
  <c r="K13" i="1"/>
  <c r="L13" i="1"/>
  <c r="M13" i="1" s="1"/>
  <c r="K14" i="1"/>
  <c r="L14" i="1"/>
  <c r="O14" i="1" s="1"/>
  <c r="K123" i="1"/>
  <c r="L123" i="1"/>
  <c r="M123" i="1" s="1"/>
  <c r="K124" i="1"/>
  <c r="L124" i="1"/>
  <c r="M124" i="1"/>
  <c r="K93" i="1"/>
  <c r="L93" i="1"/>
  <c r="M93" i="1" s="1"/>
  <c r="K94" i="1"/>
  <c r="L94" i="1"/>
  <c r="M94" i="1" s="1"/>
  <c r="K33" i="1"/>
  <c r="L33" i="1"/>
  <c r="M33" i="1"/>
  <c r="K34" i="1"/>
  <c r="L34" i="1"/>
  <c r="M34" i="1" s="1"/>
  <c r="K54" i="1"/>
  <c r="L54" i="1"/>
  <c r="M54" i="1" s="1"/>
  <c r="K55" i="1"/>
  <c r="L55" i="1"/>
  <c r="M55" i="1"/>
  <c r="K107" i="1"/>
  <c r="L107" i="1"/>
  <c r="M107" i="1" s="1"/>
  <c r="K75" i="1"/>
  <c r="L75" i="1"/>
  <c r="M75" i="1"/>
  <c r="K76" i="1"/>
  <c r="L76" i="1"/>
  <c r="M76" i="1" s="1"/>
  <c r="K15" i="1"/>
  <c r="L15" i="1"/>
  <c r="M15" i="1" s="1"/>
  <c r="K16" i="1"/>
  <c r="L16" i="1"/>
  <c r="M16" i="1"/>
  <c r="K125" i="1"/>
  <c r="L125" i="1"/>
  <c r="M125" i="1" s="1"/>
  <c r="K126" i="1"/>
  <c r="L126" i="1"/>
  <c r="M126" i="1" s="1"/>
  <c r="K95" i="1"/>
  <c r="L95" i="1"/>
  <c r="M95" i="1" s="1"/>
  <c r="K96" i="1"/>
  <c r="L96" i="1"/>
  <c r="M96" i="1" s="1"/>
  <c r="K35" i="1"/>
  <c r="L35" i="1"/>
  <c r="M35" i="1"/>
  <c r="K36" i="1"/>
  <c r="L36" i="1"/>
  <c r="M36" i="1" s="1"/>
  <c r="K56" i="1"/>
  <c r="L56" i="1"/>
  <c r="M56" i="1" s="1"/>
  <c r="K57" i="1"/>
  <c r="L57" i="1"/>
  <c r="M57" i="1" s="1"/>
  <c r="K108" i="1"/>
  <c r="L108" i="1"/>
  <c r="M108" i="1" s="1"/>
  <c r="K109" i="1"/>
  <c r="L109" i="1"/>
  <c r="O109" i="1" s="1"/>
  <c r="K77" i="1"/>
  <c r="L77" i="1"/>
  <c r="M77" i="1" s="1"/>
  <c r="K78" i="1"/>
  <c r="L78" i="1"/>
  <c r="M78" i="1" s="1"/>
  <c r="K17" i="1"/>
  <c r="L17" i="1"/>
  <c r="M17" i="1" s="1"/>
  <c r="K18" i="1"/>
  <c r="L18" i="1"/>
  <c r="M18" i="1" s="1"/>
  <c r="K127" i="1"/>
  <c r="L127" i="1"/>
  <c r="M127" i="1" s="1"/>
  <c r="K128" i="1"/>
  <c r="L128" i="1"/>
  <c r="M128" i="1" s="1"/>
  <c r="K97" i="1"/>
  <c r="L97" i="1"/>
  <c r="M97" i="1"/>
  <c r="K98" i="1"/>
  <c r="L98" i="1"/>
  <c r="M98" i="1" s="1"/>
  <c r="K37" i="1"/>
  <c r="L37" i="1"/>
  <c r="M37" i="1" s="1"/>
  <c r="K38" i="1"/>
  <c r="L38" i="1"/>
  <c r="M38" i="1"/>
  <c r="K58" i="1"/>
  <c r="L58" i="1"/>
  <c r="M58" i="1" s="1"/>
  <c r="K59" i="1"/>
  <c r="L59" i="1"/>
  <c r="M59" i="1" s="1"/>
  <c r="K110" i="1"/>
  <c r="L110" i="1"/>
  <c r="M110" i="1"/>
  <c r="K79" i="1"/>
  <c r="L79" i="1"/>
  <c r="M79" i="1" s="1"/>
  <c r="K80" i="1"/>
  <c r="L80" i="1"/>
  <c r="M80" i="1" s="1"/>
  <c r="K19" i="1"/>
  <c r="L19" i="1"/>
  <c r="M19" i="1" s="1"/>
  <c r="K20" i="1"/>
  <c r="L20" i="1"/>
  <c r="M20" i="1" s="1"/>
  <c r="K129" i="1"/>
  <c r="L129" i="1"/>
  <c r="M129" i="1" s="1"/>
  <c r="K130" i="1"/>
  <c r="L130" i="1"/>
  <c r="M130" i="1" s="1"/>
  <c r="K99" i="1"/>
  <c r="L99" i="1"/>
  <c r="M99" i="1" s="1"/>
  <c r="K100" i="1"/>
  <c r="L100" i="1"/>
  <c r="M100" i="1" s="1"/>
  <c r="K39" i="1"/>
  <c r="L39" i="1"/>
  <c r="M39" i="1" s="1"/>
  <c r="K40" i="1"/>
  <c r="L40" i="1"/>
  <c r="M40" i="1" s="1"/>
  <c r="K60" i="1"/>
  <c r="L60" i="1"/>
  <c r="M60" i="1" s="1"/>
  <c r="K61" i="1"/>
  <c r="L61" i="1"/>
  <c r="M61" i="1" s="1"/>
  <c r="K41" i="1"/>
  <c r="N121" i="1" l="1"/>
  <c r="O62" i="1"/>
  <c r="W101" i="1"/>
  <c r="X101" i="1"/>
  <c r="W63" i="1"/>
  <c r="X63" i="1"/>
  <c r="W62" i="1"/>
  <c r="X62" i="1"/>
  <c r="W3" i="1"/>
  <c r="X3" i="1"/>
  <c r="W111" i="1"/>
  <c r="X111" i="1"/>
  <c r="W81" i="1"/>
  <c r="X81" i="1"/>
  <c r="W82" i="1"/>
  <c r="X82" i="1"/>
  <c r="W21" i="1"/>
  <c r="X21" i="1"/>
  <c r="W22" i="1"/>
  <c r="X22" i="1"/>
  <c r="W42" i="1"/>
  <c r="X42" i="1"/>
  <c r="W43" i="1"/>
  <c r="X43" i="1"/>
  <c r="W102" i="1"/>
  <c r="X102" i="1"/>
  <c r="W64" i="1"/>
  <c r="X64" i="1"/>
  <c r="W65" i="1"/>
  <c r="X65" i="1"/>
  <c r="W4" i="1"/>
  <c r="X4" i="1"/>
  <c r="W112" i="1"/>
  <c r="X112" i="1"/>
  <c r="W113" i="1"/>
  <c r="X113" i="1"/>
  <c r="W83" i="1"/>
  <c r="X83" i="1"/>
  <c r="W84" i="1"/>
  <c r="X84" i="1"/>
  <c r="W23" i="1"/>
  <c r="X23" i="1"/>
  <c r="W24" i="1"/>
  <c r="X24" i="1"/>
  <c r="W44" i="1"/>
  <c r="X44" i="1"/>
  <c r="W45" i="1"/>
  <c r="X45" i="1"/>
  <c r="W47" i="1"/>
  <c r="X47" i="1"/>
  <c r="W103" i="1"/>
  <c r="X103" i="1"/>
  <c r="W66" i="1"/>
  <c r="X66" i="1"/>
  <c r="W67" i="1"/>
  <c r="X67" i="1"/>
  <c r="W5" i="1"/>
  <c r="X5" i="1"/>
  <c r="W6" i="1"/>
  <c r="X6" i="1"/>
  <c r="W114" i="1"/>
  <c r="X114" i="1"/>
  <c r="W115" i="1"/>
  <c r="X115" i="1"/>
  <c r="W85" i="1"/>
  <c r="X85" i="1"/>
  <c r="W86" i="1"/>
  <c r="X86" i="1"/>
  <c r="W25" i="1"/>
  <c r="X25" i="1"/>
  <c r="W26" i="1"/>
  <c r="X26" i="1"/>
  <c r="W46" i="1"/>
  <c r="X46" i="1"/>
  <c r="W104" i="1"/>
  <c r="X104" i="1"/>
  <c r="W68" i="1"/>
  <c r="X68" i="1"/>
  <c r="W69" i="1"/>
  <c r="X69" i="1"/>
  <c r="W7" i="1"/>
  <c r="X7" i="1"/>
  <c r="W8" i="1"/>
  <c r="X8" i="1"/>
  <c r="W116" i="1"/>
  <c r="X116" i="1"/>
  <c r="W117" i="1"/>
  <c r="X117" i="1"/>
  <c r="W87" i="1"/>
  <c r="X87" i="1"/>
  <c r="W88" i="1"/>
  <c r="X88" i="1"/>
  <c r="W27" i="1"/>
  <c r="X27" i="1"/>
  <c r="W28" i="1"/>
  <c r="X28" i="1"/>
  <c r="W48" i="1"/>
  <c r="X48" i="1"/>
  <c r="W49" i="1"/>
  <c r="X49" i="1"/>
  <c r="W70" i="1"/>
  <c r="X70" i="1"/>
  <c r="W9" i="1"/>
  <c r="X9" i="1"/>
  <c r="W10" i="1"/>
  <c r="X10" i="1"/>
  <c r="W118" i="1"/>
  <c r="X118" i="1"/>
  <c r="W119" i="1"/>
  <c r="X119" i="1"/>
  <c r="W89" i="1"/>
  <c r="X89" i="1"/>
  <c r="W90" i="1"/>
  <c r="X90" i="1"/>
  <c r="W29" i="1"/>
  <c r="X29" i="1"/>
  <c r="W30" i="1"/>
  <c r="X30" i="1"/>
  <c r="W50" i="1"/>
  <c r="X50" i="1"/>
  <c r="W51" i="1"/>
  <c r="X51" i="1"/>
  <c r="W105" i="1"/>
  <c r="X105" i="1"/>
  <c r="W71" i="1"/>
  <c r="X71" i="1"/>
  <c r="W72" i="1"/>
  <c r="X72" i="1"/>
  <c r="W11" i="1"/>
  <c r="X11" i="1"/>
  <c r="W12" i="1"/>
  <c r="X12" i="1"/>
  <c r="W121" i="1"/>
  <c r="X121" i="1"/>
  <c r="W120" i="1"/>
  <c r="X120" i="1"/>
  <c r="W122" i="1"/>
  <c r="X122" i="1"/>
  <c r="W91" i="1"/>
  <c r="X91" i="1"/>
  <c r="W92" i="1"/>
  <c r="X92" i="1"/>
  <c r="W31" i="1"/>
  <c r="X31" i="1"/>
  <c r="W32" i="1"/>
  <c r="X32" i="1"/>
  <c r="W52" i="1"/>
  <c r="X52" i="1"/>
  <c r="W53" i="1"/>
  <c r="X53" i="1"/>
  <c r="W106" i="1"/>
  <c r="X106" i="1"/>
  <c r="W73" i="1"/>
  <c r="X73" i="1"/>
  <c r="W74" i="1"/>
  <c r="X74" i="1"/>
  <c r="W13" i="1"/>
  <c r="X13" i="1"/>
  <c r="W14" i="1"/>
  <c r="X14" i="1"/>
  <c r="W123" i="1"/>
  <c r="X123" i="1"/>
  <c r="W124" i="1"/>
  <c r="X124" i="1"/>
  <c r="W93" i="1"/>
  <c r="X93" i="1"/>
  <c r="W94" i="1"/>
  <c r="X94" i="1"/>
  <c r="W33" i="1"/>
  <c r="X33" i="1"/>
  <c r="W34" i="1"/>
  <c r="X34" i="1"/>
  <c r="W54" i="1"/>
  <c r="X54" i="1"/>
  <c r="W55" i="1"/>
  <c r="X55" i="1"/>
  <c r="W107" i="1"/>
  <c r="X107" i="1"/>
  <c r="W75" i="1"/>
  <c r="X75" i="1"/>
  <c r="W76" i="1"/>
  <c r="X76" i="1"/>
  <c r="W15" i="1"/>
  <c r="X15" i="1"/>
  <c r="W16" i="1"/>
  <c r="X16" i="1"/>
  <c r="W125" i="1"/>
  <c r="X125" i="1"/>
  <c r="W126" i="1"/>
  <c r="X126" i="1"/>
  <c r="W95" i="1"/>
  <c r="X95" i="1"/>
  <c r="W96" i="1"/>
  <c r="X96" i="1"/>
  <c r="W35" i="1"/>
  <c r="X35" i="1"/>
  <c r="W36" i="1"/>
  <c r="X36" i="1"/>
  <c r="W56" i="1"/>
  <c r="X56" i="1"/>
  <c r="W57" i="1"/>
  <c r="X57" i="1"/>
  <c r="W108" i="1"/>
  <c r="X108" i="1"/>
  <c r="W109" i="1"/>
  <c r="X109" i="1"/>
  <c r="W77" i="1"/>
  <c r="X77" i="1"/>
  <c r="W78" i="1"/>
  <c r="X78" i="1"/>
  <c r="W17" i="1"/>
  <c r="X17" i="1"/>
  <c r="W18" i="1"/>
  <c r="X18" i="1"/>
  <c r="W127" i="1"/>
  <c r="X127" i="1"/>
  <c r="W128" i="1"/>
  <c r="X128" i="1"/>
  <c r="W97" i="1"/>
  <c r="X97" i="1"/>
  <c r="W98" i="1"/>
  <c r="X98" i="1"/>
  <c r="W37" i="1"/>
  <c r="X37" i="1"/>
  <c r="W38" i="1"/>
  <c r="X38" i="1"/>
  <c r="W58" i="1"/>
  <c r="X58" i="1"/>
  <c r="W59" i="1"/>
  <c r="X59" i="1"/>
  <c r="W110" i="1"/>
  <c r="X110" i="1"/>
  <c r="W79" i="1"/>
  <c r="X79" i="1"/>
  <c r="W80" i="1"/>
  <c r="X80" i="1"/>
  <c r="W19" i="1"/>
  <c r="X19" i="1"/>
  <c r="W20" i="1"/>
  <c r="X20" i="1"/>
  <c r="W129" i="1"/>
  <c r="X129" i="1"/>
  <c r="W130" i="1"/>
  <c r="X130" i="1"/>
  <c r="W99" i="1"/>
  <c r="X99" i="1"/>
  <c r="W100" i="1"/>
  <c r="X100" i="1"/>
  <c r="W39" i="1"/>
  <c r="X39" i="1"/>
  <c r="W40" i="1"/>
  <c r="X40" i="1"/>
  <c r="W60" i="1"/>
  <c r="X60" i="1"/>
  <c r="W61" i="1"/>
  <c r="X61" i="1"/>
  <c r="X41" i="1"/>
  <c r="W41" i="1"/>
  <c r="R22" i="1"/>
  <c r="T22" i="1"/>
  <c r="U22" i="1"/>
  <c r="R42" i="1"/>
  <c r="T42" i="1"/>
  <c r="U42" i="1"/>
  <c r="R43" i="1"/>
  <c r="T43" i="1"/>
  <c r="U43" i="1"/>
  <c r="R102" i="1"/>
  <c r="T102" i="1"/>
  <c r="U102" i="1"/>
  <c r="R64" i="1"/>
  <c r="T64" i="1"/>
  <c r="U64" i="1"/>
  <c r="R65" i="1"/>
  <c r="T65" i="1"/>
  <c r="U65" i="1"/>
  <c r="R4" i="1"/>
  <c r="T4" i="1"/>
  <c r="U4" i="1"/>
  <c r="R112" i="1"/>
  <c r="T112" i="1"/>
  <c r="U112" i="1"/>
  <c r="R113" i="1"/>
  <c r="T113" i="1"/>
  <c r="U113" i="1"/>
  <c r="R83" i="1"/>
  <c r="T83" i="1"/>
  <c r="U83" i="1"/>
  <c r="R84" i="1"/>
  <c r="T84" i="1"/>
  <c r="U84" i="1"/>
  <c r="I131" i="1"/>
  <c r="V113" i="1" l="1"/>
  <c r="S113" i="1" s="1"/>
  <c r="V83" i="1"/>
  <c r="S83" i="1" s="1"/>
  <c r="V4" i="1"/>
  <c r="S4" i="1" s="1"/>
  <c r="V65" i="1"/>
  <c r="S65" i="1" s="1"/>
  <c r="V42" i="1"/>
  <c r="S42" i="1" s="1"/>
  <c r="V84" i="1"/>
  <c r="S84" i="1" s="1"/>
  <c r="V43" i="1"/>
  <c r="S43" i="1" s="1"/>
  <c r="V64" i="1"/>
  <c r="S64" i="1" s="1"/>
  <c r="V102" i="1"/>
  <c r="S102" i="1" s="1"/>
  <c r="V112" i="1"/>
  <c r="S112" i="1" s="1"/>
  <c r="V22" i="1"/>
  <c r="S22" i="1" s="1"/>
  <c r="R101" i="1"/>
  <c r="R63" i="1"/>
  <c r="R62" i="1"/>
  <c r="R3" i="1"/>
  <c r="R111" i="1"/>
  <c r="R81" i="1"/>
  <c r="R82" i="1"/>
  <c r="R21" i="1"/>
  <c r="R23" i="1"/>
  <c r="R24" i="1"/>
  <c r="R44" i="1"/>
  <c r="R45" i="1"/>
  <c r="R47" i="1"/>
  <c r="R103" i="1"/>
  <c r="R66" i="1"/>
  <c r="R67" i="1"/>
  <c r="R5" i="1"/>
  <c r="R6" i="1"/>
  <c r="R114" i="1"/>
  <c r="R115" i="1"/>
  <c r="R85" i="1"/>
  <c r="R86" i="1"/>
  <c r="R25" i="1"/>
  <c r="R26" i="1"/>
  <c r="R46" i="1"/>
  <c r="R104" i="1"/>
  <c r="R68" i="1"/>
  <c r="R69" i="1"/>
  <c r="R7" i="1"/>
  <c r="R8" i="1"/>
  <c r="R116" i="1"/>
  <c r="R117" i="1"/>
  <c r="R87" i="1"/>
  <c r="R88" i="1"/>
  <c r="R27" i="1"/>
  <c r="R28" i="1"/>
  <c r="R48" i="1"/>
  <c r="R49" i="1"/>
  <c r="R70" i="1"/>
  <c r="R9" i="1"/>
  <c r="R10" i="1"/>
  <c r="R118" i="1"/>
  <c r="R119" i="1"/>
  <c r="R89" i="1"/>
  <c r="R90" i="1"/>
  <c r="R29" i="1"/>
  <c r="R30" i="1"/>
  <c r="R50" i="1"/>
  <c r="R51" i="1"/>
  <c r="R105" i="1"/>
  <c r="R71" i="1"/>
  <c r="R72" i="1"/>
  <c r="R11" i="1"/>
  <c r="R12" i="1"/>
  <c r="R121" i="1"/>
  <c r="R120" i="1"/>
  <c r="R122" i="1"/>
  <c r="R91" i="1"/>
  <c r="R92" i="1"/>
  <c r="R31" i="1"/>
  <c r="R32" i="1"/>
  <c r="R52" i="1"/>
  <c r="R53" i="1"/>
  <c r="R106" i="1"/>
  <c r="R73" i="1"/>
  <c r="R74" i="1"/>
  <c r="R13" i="1"/>
  <c r="R14" i="1"/>
  <c r="R123" i="1"/>
  <c r="R124" i="1"/>
  <c r="R93" i="1"/>
  <c r="R94" i="1"/>
  <c r="R33" i="1"/>
  <c r="R34" i="1"/>
  <c r="R54" i="1"/>
  <c r="R55" i="1"/>
  <c r="R107" i="1"/>
  <c r="R75" i="1"/>
  <c r="R76" i="1"/>
  <c r="R15" i="1"/>
  <c r="R16" i="1"/>
  <c r="R125" i="1"/>
  <c r="R126" i="1"/>
  <c r="R95" i="1"/>
  <c r="R96" i="1"/>
  <c r="R35" i="1"/>
  <c r="R36" i="1"/>
  <c r="R56" i="1"/>
  <c r="R57" i="1"/>
  <c r="R108" i="1"/>
  <c r="R109" i="1"/>
  <c r="R77" i="1"/>
  <c r="R78" i="1"/>
  <c r="R17" i="1"/>
  <c r="R18" i="1"/>
  <c r="R127" i="1"/>
  <c r="R128" i="1"/>
  <c r="R97" i="1"/>
  <c r="R98" i="1"/>
  <c r="R37" i="1"/>
  <c r="R38" i="1"/>
  <c r="R58" i="1"/>
  <c r="R59" i="1"/>
  <c r="R110" i="1"/>
  <c r="R79" i="1"/>
  <c r="R80" i="1"/>
  <c r="R19" i="1"/>
  <c r="R20" i="1"/>
  <c r="R129" i="1"/>
  <c r="R130" i="1"/>
  <c r="R99" i="1"/>
  <c r="R100" i="1"/>
  <c r="R39" i="1"/>
  <c r="R40" i="1"/>
  <c r="R60" i="1"/>
  <c r="R61" i="1"/>
  <c r="R41" i="1"/>
  <c r="L77" i="3"/>
  <c r="L78" i="3" s="1"/>
  <c r="A1" i="1" l="1"/>
  <c r="L41" i="1" l="1"/>
  <c r="M41" i="1" s="1"/>
  <c r="J133" i="1" l="1"/>
  <c r="T101" i="1"/>
  <c r="U101" i="1"/>
  <c r="T63" i="1"/>
  <c r="U63" i="1"/>
  <c r="T62" i="1"/>
  <c r="U62" i="1"/>
  <c r="T3" i="1"/>
  <c r="U3" i="1"/>
  <c r="T111" i="1"/>
  <c r="U111" i="1"/>
  <c r="T81" i="1"/>
  <c r="U81" i="1"/>
  <c r="T82" i="1"/>
  <c r="U82" i="1"/>
  <c r="T21" i="1"/>
  <c r="U21" i="1"/>
  <c r="T23" i="1"/>
  <c r="U23" i="1"/>
  <c r="T24" i="1"/>
  <c r="U24" i="1"/>
  <c r="T44" i="1"/>
  <c r="U44" i="1"/>
  <c r="T45" i="1"/>
  <c r="U45" i="1"/>
  <c r="T47" i="1"/>
  <c r="U47" i="1"/>
  <c r="T103" i="1"/>
  <c r="U103" i="1"/>
  <c r="T66" i="1"/>
  <c r="U66" i="1"/>
  <c r="T67" i="1"/>
  <c r="U67" i="1"/>
  <c r="T5" i="1"/>
  <c r="U5" i="1"/>
  <c r="T6" i="1"/>
  <c r="U6" i="1"/>
  <c r="T114" i="1"/>
  <c r="U114" i="1"/>
  <c r="T115" i="1"/>
  <c r="U115" i="1"/>
  <c r="T85" i="1"/>
  <c r="U85" i="1"/>
  <c r="T86" i="1"/>
  <c r="U86" i="1"/>
  <c r="T25" i="1"/>
  <c r="U25" i="1"/>
  <c r="T26" i="1"/>
  <c r="U26" i="1"/>
  <c r="T46" i="1"/>
  <c r="U46" i="1"/>
  <c r="T104" i="1"/>
  <c r="U104" i="1"/>
  <c r="T68" i="1"/>
  <c r="U68" i="1"/>
  <c r="T69" i="1"/>
  <c r="U69" i="1"/>
  <c r="T7" i="1"/>
  <c r="U7" i="1"/>
  <c r="T8" i="1"/>
  <c r="U8" i="1"/>
  <c r="T116" i="1"/>
  <c r="U116" i="1"/>
  <c r="T117" i="1"/>
  <c r="U117" i="1"/>
  <c r="T87" i="1"/>
  <c r="U87" i="1"/>
  <c r="T88" i="1"/>
  <c r="U88" i="1"/>
  <c r="T27" i="1"/>
  <c r="U27" i="1"/>
  <c r="T28" i="1"/>
  <c r="U28" i="1"/>
  <c r="T48" i="1"/>
  <c r="U48" i="1"/>
  <c r="T49" i="1"/>
  <c r="U49" i="1"/>
  <c r="T70" i="1"/>
  <c r="U70" i="1"/>
  <c r="T9" i="1"/>
  <c r="U9" i="1"/>
  <c r="T10" i="1"/>
  <c r="U10" i="1"/>
  <c r="T118" i="1"/>
  <c r="U118" i="1"/>
  <c r="T119" i="1"/>
  <c r="U119" i="1"/>
  <c r="T89" i="1"/>
  <c r="U89" i="1"/>
  <c r="T90" i="1"/>
  <c r="U90" i="1"/>
  <c r="T29" i="1"/>
  <c r="U29" i="1"/>
  <c r="T30" i="1"/>
  <c r="U30" i="1"/>
  <c r="T50" i="1"/>
  <c r="U50" i="1"/>
  <c r="T51" i="1"/>
  <c r="U51" i="1"/>
  <c r="T105" i="1"/>
  <c r="U105" i="1"/>
  <c r="T71" i="1"/>
  <c r="U71" i="1"/>
  <c r="T72" i="1"/>
  <c r="U72" i="1"/>
  <c r="T11" i="1"/>
  <c r="U11" i="1"/>
  <c r="T12" i="1"/>
  <c r="U12" i="1"/>
  <c r="T121" i="1"/>
  <c r="U121" i="1"/>
  <c r="T120" i="1"/>
  <c r="U120" i="1"/>
  <c r="T122" i="1"/>
  <c r="U122" i="1"/>
  <c r="T91" i="1"/>
  <c r="U91" i="1"/>
  <c r="T92" i="1"/>
  <c r="U92" i="1"/>
  <c r="T31" i="1"/>
  <c r="U31" i="1"/>
  <c r="T32" i="1"/>
  <c r="U32" i="1"/>
  <c r="T52" i="1"/>
  <c r="U52" i="1"/>
  <c r="T53" i="1"/>
  <c r="U53" i="1"/>
  <c r="T106" i="1"/>
  <c r="U106" i="1"/>
  <c r="T73" i="1"/>
  <c r="U73" i="1"/>
  <c r="T74" i="1"/>
  <c r="U74" i="1"/>
  <c r="T13" i="1"/>
  <c r="U13" i="1"/>
  <c r="T14" i="1"/>
  <c r="U14" i="1"/>
  <c r="T123" i="1"/>
  <c r="U123" i="1"/>
  <c r="T124" i="1"/>
  <c r="U124" i="1"/>
  <c r="T93" i="1"/>
  <c r="U93" i="1"/>
  <c r="T94" i="1"/>
  <c r="U94" i="1"/>
  <c r="T33" i="1"/>
  <c r="U33" i="1"/>
  <c r="T34" i="1"/>
  <c r="U34" i="1"/>
  <c r="T54" i="1"/>
  <c r="U54" i="1"/>
  <c r="T55" i="1"/>
  <c r="U55" i="1"/>
  <c r="T107" i="1"/>
  <c r="U107" i="1"/>
  <c r="T75" i="1"/>
  <c r="U75" i="1"/>
  <c r="T76" i="1"/>
  <c r="U76" i="1"/>
  <c r="T15" i="1"/>
  <c r="U15" i="1"/>
  <c r="T16" i="1"/>
  <c r="U16" i="1"/>
  <c r="T125" i="1"/>
  <c r="U125" i="1"/>
  <c r="T126" i="1"/>
  <c r="U126" i="1"/>
  <c r="T95" i="1"/>
  <c r="U95" i="1"/>
  <c r="T96" i="1"/>
  <c r="U96" i="1"/>
  <c r="T35" i="1"/>
  <c r="U35" i="1"/>
  <c r="T36" i="1"/>
  <c r="U36" i="1"/>
  <c r="T56" i="1"/>
  <c r="U56" i="1"/>
  <c r="T57" i="1"/>
  <c r="U57" i="1"/>
  <c r="T108" i="1"/>
  <c r="U108" i="1"/>
  <c r="T109" i="1"/>
  <c r="U109" i="1"/>
  <c r="T77" i="1"/>
  <c r="U77" i="1"/>
  <c r="T78" i="1"/>
  <c r="U78" i="1"/>
  <c r="T17" i="1"/>
  <c r="U17" i="1"/>
  <c r="T18" i="1"/>
  <c r="U18" i="1"/>
  <c r="T127" i="1"/>
  <c r="U127" i="1"/>
  <c r="T128" i="1"/>
  <c r="U128" i="1"/>
  <c r="T97" i="1"/>
  <c r="U97" i="1"/>
  <c r="T98" i="1"/>
  <c r="U98" i="1"/>
  <c r="T37" i="1"/>
  <c r="U37" i="1"/>
  <c r="T38" i="1"/>
  <c r="U38" i="1"/>
  <c r="T58" i="1"/>
  <c r="U58" i="1"/>
  <c r="T59" i="1"/>
  <c r="U59" i="1"/>
  <c r="T110" i="1"/>
  <c r="U110" i="1"/>
  <c r="T79" i="1"/>
  <c r="U79" i="1"/>
  <c r="T80" i="1"/>
  <c r="U80" i="1"/>
  <c r="T19" i="1"/>
  <c r="U19" i="1"/>
  <c r="T20" i="1"/>
  <c r="U20" i="1"/>
  <c r="T129" i="1"/>
  <c r="U129" i="1"/>
  <c r="T130" i="1"/>
  <c r="U130" i="1"/>
  <c r="T99" i="1"/>
  <c r="U99" i="1"/>
  <c r="T100" i="1"/>
  <c r="U100" i="1"/>
  <c r="T39" i="1"/>
  <c r="U39" i="1"/>
  <c r="T40" i="1"/>
  <c r="U40" i="1"/>
  <c r="T60" i="1"/>
  <c r="U60" i="1"/>
  <c r="T61" i="1"/>
  <c r="U61" i="1"/>
  <c r="T41" i="1"/>
  <c r="U41" i="1"/>
  <c r="V78" i="1" l="1"/>
  <c r="S78" i="1" s="1"/>
  <c r="V57" i="1"/>
  <c r="S57" i="1" s="1"/>
  <c r="V96" i="1"/>
  <c r="S96" i="1" s="1"/>
  <c r="V16" i="1"/>
  <c r="S16" i="1" s="1"/>
  <c r="V85" i="1"/>
  <c r="S85" i="1" s="1"/>
  <c r="V5" i="1"/>
  <c r="S5" i="1" s="1"/>
  <c r="V34" i="1"/>
  <c r="S34" i="1" s="1"/>
  <c r="V61" i="1"/>
  <c r="S61" i="1" s="1"/>
  <c r="V100" i="1"/>
  <c r="S100" i="1" s="1"/>
  <c r="V20" i="1"/>
  <c r="S20" i="1" s="1"/>
  <c r="V37" i="1"/>
  <c r="S37" i="1" s="1"/>
  <c r="V35" i="1"/>
  <c r="S35" i="1" s="1"/>
  <c r="V95" i="1"/>
  <c r="S95" i="1" s="1"/>
  <c r="V55" i="1"/>
  <c r="S55" i="1" s="1"/>
  <c r="V118" i="1"/>
  <c r="S118" i="1" s="1"/>
  <c r="V86" i="1"/>
  <c r="S86" i="1" s="1"/>
  <c r="V115" i="1"/>
  <c r="S115" i="1" s="1"/>
  <c r="V67" i="1"/>
  <c r="S67" i="1" s="1"/>
  <c r="V47" i="1"/>
  <c r="S47" i="1" s="1"/>
  <c r="V97" i="1"/>
  <c r="S97" i="1" s="1"/>
  <c r="V17" i="1"/>
  <c r="S17" i="1" s="1"/>
  <c r="V129" i="1"/>
  <c r="S129" i="1" s="1"/>
  <c r="V79" i="1"/>
  <c r="S79" i="1" s="1"/>
  <c r="V74" i="1"/>
  <c r="S74" i="1" s="1"/>
  <c r="V106" i="1"/>
  <c r="S106" i="1" s="1"/>
  <c r="V89" i="1"/>
  <c r="S89" i="1" s="1"/>
  <c r="V127" i="1"/>
  <c r="S127" i="1" s="1"/>
  <c r="V123" i="1"/>
  <c r="S123" i="1" s="1"/>
  <c r="V90" i="1"/>
  <c r="S90" i="1" s="1"/>
  <c r="V88" i="1"/>
  <c r="S88" i="1" s="1"/>
  <c r="V82" i="1"/>
  <c r="S82" i="1" s="1"/>
  <c r="V111" i="1"/>
  <c r="S111" i="1" s="1"/>
  <c r="V38" i="1"/>
  <c r="S38" i="1" s="1"/>
  <c r="V7" i="1"/>
  <c r="S7" i="1" s="1"/>
  <c r="V52" i="1"/>
  <c r="S52" i="1" s="1"/>
  <c r="V12" i="1"/>
  <c r="S12" i="1" s="1"/>
  <c r="V105" i="1"/>
  <c r="S105" i="1" s="1"/>
  <c r="V29" i="1"/>
  <c r="S29" i="1" s="1"/>
  <c r="V41" i="1"/>
  <c r="S41" i="1" s="1"/>
  <c r="V63" i="1"/>
  <c r="S63" i="1" s="1"/>
  <c r="V94" i="1"/>
  <c r="S94" i="1" s="1"/>
  <c r="V32" i="1"/>
  <c r="S32" i="1" s="1"/>
  <c r="V122" i="1"/>
  <c r="S122" i="1" s="1"/>
  <c r="V11" i="1"/>
  <c r="S11" i="1" s="1"/>
  <c r="V51" i="1"/>
  <c r="S51" i="1" s="1"/>
  <c r="V9" i="1"/>
  <c r="S9" i="1" s="1"/>
  <c r="V28" i="1"/>
  <c r="S28" i="1" s="1"/>
  <c r="V8" i="1"/>
  <c r="S8" i="1" s="1"/>
  <c r="V104" i="1"/>
  <c r="S104" i="1" s="1"/>
  <c r="V26" i="1"/>
  <c r="S26" i="1" s="1"/>
  <c r="V23" i="1"/>
  <c r="S23" i="1" s="1"/>
  <c r="V62" i="1"/>
  <c r="S62" i="1" s="1"/>
  <c r="V15" i="1"/>
  <c r="S15" i="1" s="1"/>
  <c r="V80" i="1"/>
  <c r="S80" i="1" s="1"/>
  <c r="V58" i="1"/>
  <c r="S58" i="1" s="1"/>
  <c r="V107" i="1"/>
  <c r="S107" i="1" s="1"/>
  <c r="V33" i="1"/>
  <c r="S33" i="1" s="1"/>
  <c r="V91" i="1"/>
  <c r="S91" i="1" s="1"/>
  <c r="V120" i="1"/>
  <c r="S120" i="1" s="1"/>
  <c r="V48" i="1"/>
  <c r="S48" i="1" s="1"/>
  <c r="V24" i="1"/>
  <c r="S24" i="1" s="1"/>
  <c r="V125" i="1"/>
  <c r="S125" i="1" s="1"/>
  <c r="V75" i="1"/>
  <c r="S75" i="1" s="1"/>
  <c r="V3" i="1"/>
  <c r="S3" i="1" s="1"/>
  <c r="V40" i="1"/>
  <c r="S40" i="1" s="1"/>
  <c r="V130" i="1"/>
  <c r="S130" i="1" s="1"/>
  <c r="V49" i="1"/>
  <c r="S49" i="1" s="1"/>
  <c r="V116" i="1"/>
  <c r="S116" i="1" s="1"/>
  <c r="V39" i="1"/>
  <c r="S39" i="1" s="1"/>
  <c r="V110" i="1"/>
  <c r="S110" i="1" s="1"/>
  <c r="V108" i="1"/>
  <c r="S108" i="1" s="1"/>
  <c r="V56" i="1"/>
  <c r="S56" i="1" s="1"/>
  <c r="V124" i="1"/>
  <c r="S124" i="1" s="1"/>
  <c r="V14" i="1"/>
  <c r="S14" i="1" s="1"/>
  <c r="V53" i="1"/>
  <c r="S53" i="1" s="1"/>
  <c r="V72" i="1"/>
  <c r="S72" i="1" s="1"/>
  <c r="V50" i="1"/>
  <c r="S50" i="1" s="1"/>
  <c r="V10" i="1"/>
  <c r="S10" i="1" s="1"/>
  <c r="V117" i="1"/>
  <c r="S117" i="1" s="1"/>
  <c r="V46" i="1"/>
  <c r="S46" i="1" s="1"/>
  <c r="V6" i="1"/>
  <c r="S6" i="1" s="1"/>
  <c r="V103" i="1"/>
  <c r="S103" i="1" s="1"/>
  <c r="V45" i="1"/>
  <c r="S45" i="1" s="1"/>
  <c r="V59" i="1"/>
  <c r="S59" i="1" s="1"/>
  <c r="V93" i="1"/>
  <c r="S93" i="1" s="1"/>
  <c r="V70" i="1"/>
  <c r="S70" i="1" s="1"/>
  <c r="V99" i="1"/>
  <c r="S99" i="1" s="1"/>
  <c r="V76" i="1"/>
  <c r="S76" i="1" s="1"/>
  <c r="V30" i="1"/>
  <c r="S30" i="1" s="1"/>
  <c r="V66" i="1"/>
  <c r="S66" i="1" s="1"/>
  <c r="V128" i="1"/>
  <c r="S128" i="1" s="1"/>
  <c r="V77" i="1"/>
  <c r="S77" i="1" s="1"/>
  <c r="V36" i="1"/>
  <c r="S36" i="1" s="1"/>
  <c r="V73" i="1"/>
  <c r="S73" i="1" s="1"/>
  <c r="V31" i="1"/>
  <c r="S31" i="1" s="1"/>
  <c r="V121" i="1"/>
  <c r="S121" i="1" s="1"/>
  <c r="V87" i="1"/>
  <c r="S87" i="1" s="1"/>
  <c r="V69" i="1"/>
  <c r="S69" i="1" s="1"/>
  <c r="V25" i="1"/>
  <c r="S25" i="1" s="1"/>
  <c r="V81" i="1"/>
  <c r="S81" i="1" s="1"/>
  <c r="V101" i="1"/>
  <c r="S101" i="1" s="1"/>
  <c r="V60" i="1"/>
  <c r="S60" i="1" s="1"/>
  <c r="V19" i="1"/>
  <c r="S19" i="1" s="1"/>
  <c r="V98" i="1"/>
  <c r="S98" i="1" s="1"/>
  <c r="V109" i="1"/>
  <c r="S109" i="1" s="1"/>
  <c r="V126" i="1"/>
  <c r="S126" i="1" s="1"/>
  <c r="V54" i="1"/>
  <c r="S54" i="1" s="1"/>
  <c r="V13" i="1"/>
  <c r="S13" i="1" s="1"/>
  <c r="V92" i="1"/>
  <c r="S92" i="1" s="1"/>
  <c r="V71" i="1"/>
  <c r="S71" i="1" s="1"/>
  <c r="V119" i="1"/>
  <c r="S119" i="1" s="1"/>
  <c r="V27" i="1"/>
  <c r="S27" i="1" s="1"/>
  <c r="V68" i="1"/>
  <c r="S68" i="1" s="1"/>
  <c r="V114" i="1"/>
  <c r="S114" i="1" s="1"/>
  <c r="V44" i="1"/>
  <c r="S44" i="1" s="1"/>
  <c r="V21" i="1"/>
  <c r="S21" i="1" s="1"/>
  <c r="V18" i="1"/>
  <c r="S18" i="1" s="1"/>
  <c r="N135" i="1"/>
  <c r="M135" i="1"/>
  <c r="L135" i="1"/>
  <c r="J136" i="1"/>
  <c r="J135" i="1"/>
  <c r="M137" i="1" l="1"/>
  <c r="M134" i="1"/>
  <c r="J134" i="1"/>
  <c r="N137" i="1"/>
  <c r="L137" i="1"/>
  <c r="L134" i="1"/>
  <c r="J137" i="1"/>
  <c r="N134" i="1"/>
  <c r="J138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<sst xmlns="http://schemas.openxmlformats.org/spreadsheetml/2006/main" count="1169" uniqueCount="380">
  <si>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</si>
  <si>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</si>
  <si>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</si>
  <si>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</si>
  <si>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</si>
  <si>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</si>
  <si>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</si>
  <si>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</si>
  <si>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204:149</t>
  </si>
  <si>
    <t>204:143</t>
  </si>
  <si>
    <t>204:233304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</si>
  <si>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</si>
  <si>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</si>
  <si>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</si>
  <si>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</si>
  <si>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</si>
  <si>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</si>
  <si>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</si>
  <si>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</si>
  <si>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</si>
  <si>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</si>
  <si>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</si>
  <si>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204:462</t>
  </si>
  <si>
    <t>204:233308</t>
  </si>
  <si>
    <t>204:471</t>
  </si>
  <si>
    <t>204:147</t>
  </si>
  <si>
    <t>204:158</t>
  </si>
  <si>
    <t>Total Completed PTC runs (%)</t>
  </si>
  <si>
    <t>204:232994</t>
  </si>
  <si>
    <t>204:139</t>
  </si>
  <si>
    <t>204:150</t>
  </si>
  <si>
    <t>204:444</t>
  </si>
  <si>
    <t>204:233314</t>
  </si>
  <si>
    <t>204:152</t>
  </si>
  <si>
    <t>204:154</t>
  </si>
  <si>
    <t>204:233293</t>
  </si>
  <si>
    <t>204:464</t>
  </si>
  <si>
    <t>204:458</t>
  </si>
  <si>
    <t>204:156</t>
  </si>
  <si>
    <t>204:145</t>
  </si>
  <si>
    <t>204:451</t>
  </si>
  <si>
    <t>204:233288</t>
  </si>
  <si>
    <t>204:469</t>
  </si>
  <si>
    <t>204:232987</t>
  </si>
  <si>
    <t>204:232989</t>
  </si>
  <si>
    <t>204:136</t>
  </si>
  <si>
    <t>204:457</t>
  </si>
  <si>
    <t>204:233302</t>
  </si>
  <si>
    <t>204:232985</t>
  </si>
  <si>
    <t>204:232978</t>
  </si>
  <si>
    <t>204:232982</t>
  </si>
  <si>
    <t>204:232980</t>
  </si>
  <si>
    <t>204:233303</t>
  </si>
  <si>
    <t>Color Legend</t>
  </si>
  <si>
    <t>204:233310</t>
  </si>
  <si>
    <t>204:160</t>
  </si>
  <si>
    <t>204:232991</t>
  </si>
  <si>
    <t>204:232990</t>
  </si>
  <si>
    <t>204:489</t>
  </si>
  <si>
    <t>204:233289</t>
  </si>
  <si>
    <t>204:233300</t>
  </si>
  <si>
    <t>204:233307</t>
  </si>
  <si>
    <t>204:466</t>
  </si>
  <si>
    <t>204:232988</t>
  </si>
  <si>
    <t>204:460</t>
  </si>
  <si>
    <t>204:480</t>
  </si>
  <si>
    <t>204:449</t>
  </si>
  <si>
    <t>204:138</t>
  </si>
  <si>
    <t>204:473</t>
  </si>
  <si>
    <t>204:233295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</si>
  <si>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</si>
  <si>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</si>
  <si>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</si>
  <si>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</si>
  <si>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</si>
  <si>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</si>
  <si>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</si>
  <si>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</si>
  <si>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</si>
  <si>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</si>
  <si>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</si>
  <si>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</si>
  <si>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</si>
  <si>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</si>
  <si>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</si>
  <si>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</si>
  <si>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</si>
  <si>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rtdc.l.rtdc.4040:itc</t>
  </si>
  <si>
    <t>rtdc.l.rtdc.4018:itc</t>
  </si>
  <si>
    <t>Decreasing Mileposts (2)</t>
  </si>
  <si>
    <t>rtdc.l.rtdc.4026:itc</t>
  </si>
  <si>
    <t>rtdc.l.rtdc.4043:itc</t>
  </si>
  <si>
    <t>rtdc.l.rtdc.4017:itc</t>
  </si>
  <si>
    <t>rtdc.l.rtdc.4044:itc</t>
  </si>
  <si>
    <t>rtdc.l.rtdc.4025:itc</t>
  </si>
  <si>
    <t>Y</t>
  </si>
  <si>
    <t>Track device (7)</t>
  </si>
  <si>
    <t>Reactive Enforcement (3)</t>
  </si>
  <si>
    <t>Signal based authority (5)</t>
  </si>
  <si>
    <t>SIGNAL</t>
  </si>
  <si>
    <t>Speed (6)</t>
  </si>
  <si>
    <t>PERMANENT SPEED RESTRICTION</t>
  </si>
  <si>
    <t>rtdc.l.rtdc.4039:itc</t>
  </si>
  <si>
    <t>Bulletin (2)</t>
  </si>
  <si>
    <t>GRADE CROSSING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</si>
  <si>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</si>
  <si>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</si>
  <si>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</si>
  <si>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</si>
  <si>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</si>
  <si>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</si>
  <si>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</si>
  <si>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</si>
  <si>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</si>
  <si>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</si>
  <si>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</si>
  <si>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</si>
  <si>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Eagle P3 Braking Events - 2016-04-20</t>
  </si>
  <si>
    <t>DE.1.0.6.0</t>
  </si>
  <si>
    <t>204:161</t>
  </si>
  <si>
    <t>204:232983</t>
  </si>
  <si>
    <t>204:232973</t>
  </si>
  <si>
    <t>204:232977</t>
  </si>
  <si>
    <t>204:233306</t>
  </si>
  <si>
    <t>204:427</t>
  </si>
  <si>
    <t>204:232967</t>
  </si>
  <si>
    <t>204:233334</t>
  </si>
  <si>
    <t>204:455</t>
  </si>
  <si>
    <t>204:130</t>
  </si>
  <si>
    <t>204:447</t>
  </si>
  <si>
    <t>204:233297</t>
  </si>
  <si>
    <t>204:232981</t>
  </si>
  <si>
    <t>204:169</t>
  </si>
  <si>
    <t>204:233332</t>
  </si>
  <si>
    <t>204:233053</t>
  </si>
  <si>
    <t>204:232976</t>
  </si>
  <si>
    <t>204:233274</t>
  </si>
  <si>
    <t>204:768</t>
  </si>
  <si>
    <t>204:232964</t>
  </si>
  <si>
    <t>204:232996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</si>
  <si>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</si>
  <si>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</si>
  <si>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</si>
  <si>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</si>
  <si>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</si>
  <si>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</si>
  <si>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</si>
  <si>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103-21</t>
  </si>
  <si>
    <t>SWITCH UNKNOWN</t>
  </si>
  <si>
    <t>rtdc.l.rtdc.4020:itc</t>
  </si>
  <si>
    <t>111-21</t>
  </si>
  <si>
    <t>106-21</t>
  </si>
  <si>
    <t>115-21</t>
  </si>
  <si>
    <t>119-21</t>
  </si>
  <si>
    <t>108-21</t>
  </si>
  <si>
    <t>123-21</t>
  </si>
  <si>
    <t>125-21</t>
  </si>
  <si>
    <t>116-21</t>
  </si>
  <si>
    <t>129-21</t>
  </si>
  <si>
    <t>rtdc.l.rtdc.4010:itc</t>
  </si>
  <si>
    <t>118-21</t>
  </si>
  <si>
    <t>133-21</t>
  </si>
  <si>
    <t>rtdc.l.rtdc.4009:itc</t>
  </si>
  <si>
    <t>131-21</t>
  </si>
  <si>
    <t>124-21</t>
  </si>
  <si>
    <t>130-21</t>
  </si>
  <si>
    <t>139-21</t>
  </si>
  <si>
    <t>132-21</t>
  </si>
  <si>
    <t>143-21</t>
  </si>
  <si>
    <t>146-21</t>
  </si>
  <si>
    <t>148-21</t>
  </si>
  <si>
    <t>150-21</t>
  </si>
  <si>
    <t>152-21</t>
  </si>
  <si>
    <t>159-21</t>
  </si>
  <si>
    <t>162-21</t>
  </si>
  <si>
    <t>167-21</t>
  </si>
  <si>
    <t>164-21</t>
  </si>
  <si>
    <t>rtdc.l.rtdc.4019:itc</t>
  </si>
  <si>
    <t>168-21</t>
  </si>
  <si>
    <t>166-21</t>
  </si>
  <si>
    <t>177-21</t>
  </si>
  <si>
    <t>175-21</t>
  </si>
  <si>
    <t>179-21</t>
  </si>
  <si>
    <t>172-21</t>
  </si>
  <si>
    <t>176-21</t>
  </si>
  <si>
    <t>rtdc.l.rtdc.4042:itc</t>
  </si>
  <si>
    <t>183-21</t>
  </si>
  <si>
    <t>178-21</t>
  </si>
  <si>
    <t>186-21</t>
  </si>
  <si>
    <t>191-21</t>
  </si>
  <si>
    <t>193-21</t>
  </si>
  <si>
    <t>199-21</t>
  </si>
  <si>
    <t>197-21</t>
  </si>
  <si>
    <t>210-21</t>
  </si>
  <si>
    <t>206-21</t>
  </si>
  <si>
    <t>208-21</t>
  </si>
  <si>
    <t>215-21</t>
  </si>
  <si>
    <t>217-21</t>
  </si>
  <si>
    <t>212-21</t>
  </si>
  <si>
    <t>221-21</t>
  </si>
  <si>
    <t>223-21</t>
  </si>
  <si>
    <t>229-21</t>
  </si>
  <si>
    <t>230-21</t>
  </si>
  <si>
    <t>237-21</t>
  </si>
  <si>
    <t>226-21</t>
  </si>
  <si>
    <t>238-21</t>
  </si>
  <si>
    <t>Training - Monaco Form C</t>
  </si>
  <si>
    <t>Training - Early Arrival</t>
  </si>
  <si>
    <t>Training - Speed Restrictions</t>
  </si>
  <si>
    <t>Training - Track Warrant at ends of EC</t>
  </si>
  <si>
    <t>101-21</t>
  </si>
  <si>
    <t>204:693</t>
  </si>
  <si>
    <t>102-21</t>
  </si>
  <si>
    <t>204:232675</t>
  </si>
  <si>
    <t>204:232673</t>
  </si>
  <si>
    <t>204:20959</t>
  </si>
  <si>
    <t>204:37254</t>
  </si>
  <si>
    <t>204:2094</t>
  </si>
  <si>
    <t>105-21</t>
  </si>
  <si>
    <t>204:719</t>
  </si>
  <si>
    <t>204:232192</t>
  </si>
  <si>
    <t>204:232813</t>
  </si>
  <si>
    <t>204:252</t>
  </si>
  <si>
    <t>107-21</t>
  </si>
  <si>
    <t>204:233301</t>
  </si>
  <si>
    <t>204:232975</t>
  </si>
  <si>
    <t>109-21</t>
  </si>
  <si>
    <t>204:446</t>
  </si>
  <si>
    <t>110-21</t>
  </si>
  <si>
    <t>204:790</t>
  </si>
  <si>
    <t>112-21</t>
  </si>
  <si>
    <t>204:232953</t>
  </si>
  <si>
    <t>113-21</t>
  </si>
  <si>
    <t>204:763</t>
  </si>
  <si>
    <t>204:227</t>
  </si>
  <si>
    <t>204:546</t>
  </si>
  <si>
    <t>120-21</t>
  </si>
  <si>
    <t>121-21</t>
  </si>
  <si>
    <t>204:491</t>
  </si>
  <si>
    <t>122-21</t>
  </si>
  <si>
    <t>204:232979</t>
  </si>
  <si>
    <t>126-21</t>
  </si>
  <si>
    <t>127-21</t>
  </si>
  <si>
    <t>204:442</t>
  </si>
  <si>
    <t>204:232992</t>
  </si>
  <si>
    <t>204:189</t>
  </si>
  <si>
    <t>204:453</t>
  </si>
  <si>
    <t>204:233315</t>
  </si>
  <si>
    <t>134-21</t>
  </si>
  <si>
    <t>135-21</t>
  </si>
  <si>
    <t>136-21</t>
  </si>
  <si>
    <t>204:123</t>
  </si>
  <si>
    <t>137-21</t>
  </si>
  <si>
    <t>204:484</t>
  </si>
  <si>
    <t>138-21</t>
  </si>
  <si>
    <t>141-21</t>
  </si>
  <si>
    <t>144-21</t>
  </si>
  <si>
    <t>145-21</t>
  </si>
  <si>
    <t>204:502</t>
  </si>
  <si>
    <t>204:192</t>
  </si>
  <si>
    <t>147-21</t>
  </si>
  <si>
    <t>204:233305</t>
  </si>
  <si>
    <t>204:896</t>
  </si>
  <si>
    <t>149-21</t>
  </si>
  <si>
    <t>151-21</t>
  </si>
  <si>
    <t>204:947</t>
  </si>
  <si>
    <t>153-21</t>
  </si>
  <si>
    <t>154-21</t>
  </si>
  <si>
    <t>204:165</t>
  </si>
  <si>
    <t>158-21</t>
  </si>
  <si>
    <t>204:488</t>
  </si>
  <si>
    <t>160-21</t>
  </si>
  <si>
    <t>204:232972</t>
  </si>
  <si>
    <t>161-21</t>
  </si>
  <si>
    <t>204:1213</t>
  </si>
  <si>
    <t>163-21</t>
  </si>
  <si>
    <t>204:233423</t>
  </si>
  <si>
    <t>204:233128</t>
  </si>
  <si>
    <t>165-21</t>
  </si>
  <si>
    <t>204:1271</t>
  </si>
  <si>
    <t>204:233009</t>
  </si>
  <si>
    <t>204:482</t>
  </si>
  <si>
    <t>204:170</t>
  </si>
  <si>
    <t>169-21</t>
  </si>
  <si>
    <t>204:1302</t>
  </si>
  <si>
    <t>171-21</t>
  </si>
  <si>
    <t>173-21</t>
  </si>
  <si>
    <t>174-21</t>
  </si>
  <si>
    <t>204:128268</t>
  </si>
  <si>
    <t>204:124202</t>
  </si>
  <si>
    <t>204:233383</t>
  </si>
  <si>
    <t>204:233071</t>
  </si>
  <si>
    <t>204:198</t>
  </si>
  <si>
    <t>204:233406</t>
  </si>
  <si>
    <t>180-21</t>
  </si>
  <si>
    <t>204:233051</t>
  </si>
  <si>
    <t>181-21</t>
  </si>
  <si>
    <t>182-21</t>
  </si>
  <si>
    <t>204:232946</t>
  </si>
  <si>
    <t>204:435</t>
  </si>
  <si>
    <t>204:233057</t>
  </si>
  <si>
    <t>185-21</t>
  </si>
  <si>
    <t>204:233215</t>
  </si>
  <si>
    <t>204:232894</t>
  </si>
  <si>
    <t>187-21</t>
  </si>
  <si>
    <t>188-21</t>
  </si>
  <si>
    <t>204:64172</t>
  </si>
  <si>
    <t>189-21</t>
  </si>
  <si>
    <t>190-21</t>
  </si>
  <si>
    <t>204:495</t>
  </si>
  <si>
    <t>192-21</t>
  </si>
  <si>
    <t>204:134</t>
  </si>
  <si>
    <t>204:233247</t>
  </si>
  <si>
    <t>194-21</t>
  </si>
  <si>
    <t>204:232915</t>
  </si>
  <si>
    <t>195-21</t>
  </si>
  <si>
    <t>204:233281</t>
  </si>
  <si>
    <t>196-21</t>
  </si>
  <si>
    <t>204:232968</t>
  </si>
  <si>
    <t>204:231063</t>
  </si>
  <si>
    <t>200-21</t>
  </si>
  <si>
    <t>201-21</t>
  </si>
  <si>
    <t>204:233323</t>
  </si>
  <si>
    <t>204-21</t>
  </si>
  <si>
    <t>205-21</t>
  </si>
  <si>
    <t>207-21</t>
  </si>
  <si>
    <t>204:233319</t>
  </si>
  <si>
    <t>204:233004</t>
  </si>
  <si>
    <t>209-21</t>
  </si>
  <si>
    <t>204:233353</t>
  </si>
  <si>
    <t>204:233038</t>
  </si>
  <si>
    <t>211-21</t>
  </si>
  <si>
    <t>204:233391</t>
  </si>
  <si>
    <t>204:233079</t>
  </si>
  <si>
    <t>213-21</t>
  </si>
  <si>
    <t>204:233282</t>
  </si>
  <si>
    <t>214-21</t>
  </si>
  <si>
    <t>204:233283</t>
  </si>
  <si>
    <t>216-21</t>
  </si>
  <si>
    <t>218-21</t>
  </si>
  <si>
    <t>219-21</t>
  </si>
  <si>
    <t>220-21</t>
  </si>
  <si>
    <t>222-21</t>
  </si>
  <si>
    <t>224-21</t>
  </si>
  <si>
    <t>225-21</t>
  </si>
  <si>
    <t>204:233364</t>
  </si>
  <si>
    <t>227-21</t>
  </si>
  <si>
    <t>204:478</t>
  </si>
  <si>
    <t>204:233255</t>
  </si>
  <si>
    <t>204:232930</t>
  </si>
  <si>
    <t>231-21</t>
  </si>
  <si>
    <t>232-21</t>
  </si>
  <si>
    <t>233-21</t>
  </si>
  <si>
    <t>204:233309</t>
  </si>
  <si>
    <t>234-21</t>
  </si>
  <si>
    <t>235-21</t>
  </si>
  <si>
    <t>236-21</t>
  </si>
  <si>
    <t>239-21</t>
  </si>
  <si>
    <t>204:233347</t>
  </si>
  <si>
    <t>240-21</t>
  </si>
  <si>
    <t>204:233032</t>
  </si>
  <si>
    <t>Threshold for Pink Highlight (Slow Run) (mins)</t>
  </si>
  <si>
    <t>Training - Did not soft cut out at end of run!</t>
  </si>
  <si>
    <t>Routing @ 40th, driver warned for &gt; 1 min</t>
  </si>
  <si>
    <t>Routing @ 40th, driver warned for 40 sec</t>
  </si>
  <si>
    <t>Routing @ 78th, driver warned for 51 sec</t>
  </si>
  <si>
    <t>Routing @ 61st, driver warned for 31 sec</t>
  </si>
  <si>
    <t>Routing @ Pena, driver warned for 50 sec</t>
  </si>
  <si>
    <t>Routing @ Pena, driver warned for &gt; 1 min</t>
  </si>
  <si>
    <t>Routing @ Quebec, driver heeded warning but still got enforced</t>
  </si>
  <si>
    <t>Comparator issue caused Comm Issue</t>
  </si>
  <si>
    <t>GPS issues at DIA</t>
  </si>
  <si>
    <t>Wi-MAX outage for this train as it left DUS</t>
  </si>
  <si>
    <t>Signaling issue - EC1186RH 111-1T 1N, premature downgrade from 270 to 0</t>
  </si>
  <si>
    <t>Training - after 1 hr of analysis, didn't find anything wrong. Maybe driver was confused by Form C @ Monaco?</t>
  </si>
  <si>
    <t>Train stopped for Early Arrival @ Ulster, Routing @ Quebec</t>
  </si>
  <si>
    <t>Stopped at Peoria Station for a while (probably traffic ahead)</t>
  </si>
  <si>
    <t>Married Pair</t>
  </si>
  <si>
    <t>Routing @ 40th &amp; Airport</t>
  </si>
  <si>
    <t>Routing @ 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</si>
</sst>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left" vertical="center" wrapText="1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38"/>
  <sheetViews>
    <sheetView showGridLines="0" tabSelected="1" topLeftCell="A127" zoomScale="85" zoomScaleNormal="85" workbookViewId="0">
      <selection activeCell="P14" sqref="P1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18.85546875" style="32" customWidth="1"/>
    <col min="7" max="7" width="18.42578125" style="73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10" bestFit="1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29.28515625" customWidth="1"/>
    <col min="17" max="17" width="4.28515625" customWidth="1"/>
    <col min="19" max="19" width="10.140625" customWidth="1"/>
    <col min="23" max="23" width="9.140625" style="46"/>
    <col min="24" max="24" width="17.85546875" style="46" customWidth="1"/>
    <col min="26" max="26" width="12.42578125" customWidth="1"/>
    <col min="27" max="27" width="58.85546875" customWidth="1"/>
    <col min="28" max="28" width="15.85546875" customWidth="1"/>
  </cols>
  <sheetData>
    <row r="1" spans="1:89" ht="57.75" customHeight="1" thickBot="1" x14ac:dyDescent="0.35">
      <c r="A1" s="66" t="str">
        <f>"Eagle P3 System Performance - "&amp;TEXT(Z2,"yyyy-mm-dd")</f>
        <v>Eagle P3 System Performance - 2016-04-21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Z1" s="50" t="s">
        <v>75</v>
      </c>
      <c r="AB1" s="68" t="s">
        <v>361</v>
      </c>
    </row>
    <row r="2" spans="1:89" s="12" customFormat="1" ht="69" customHeight="1" thickBot="1" x14ac:dyDescent="0.3">
      <c r="A2" s="26" t="s">
        <v>0</v>
      </c>
      <c r="B2" s="27" t="s">
        <v>145</v>
      </c>
      <c r="C2" s="27" t="s">
        <v>79</v>
      </c>
      <c r="D2" s="27" t="s">
        <v>1</v>
      </c>
      <c r="E2" s="52" t="s">
        <v>2</v>
      </c>
      <c r="F2" s="52" t="s">
        <v>3</v>
      </c>
      <c r="G2" s="70" t="s">
        <v>4</v>
      </c>
      <c r="H2" s="52" t="s">
        <v>5</v>
      </c>
      <c r="I2" s="52" t="s">
        <v>6</v>
      </c>
      <c r="J2" s="27" t="s">
        <v>7</v>
      </c>
      <c r="K2" s="27" t="s">
        <v>377</v>
      </c>
      <c r="L2" s="28" t="s">
        <v>11</v>
      </c>
      <c r="M2" s="27" t="s">
        <v>142</v>
      </c>
      <c r="N2" s="29" t="s">
        <v>143</v>
      </c>
      <c r="O2" s="30" t="s">
        <v>21</v>
      </c>
      <c r="P2" s="31" t="s">
        <v>74</v>
      </c>
      <c r="Q2" s="11"/>
      <c r="R2" s="15" t="s">
        <v>146</v>
      </c>
      <c r="S2" s="15" t="s">
        <v>73</v>
      </c>
      <c r="T2" s="15" t="s">
        <v>70</v>
      </c>
      <c r="U2" s="15" t="s">
        <v>71</v>
      </c>
      <c r="V2" s="15" t="s">
        <v>72</v>
      </c>
      <c r="W2" s="48" t="s">
        <v>140</v>
      </c>
      <c r="X2" s="48" t="s">
        <v>141</v>
      </c>
      <c r="Y2" s="11"/>
      <c r="Z2" s="51">
        <v>42481</v>
      </c>
      <c r="AA2" s="11"/>
      <c r="AB2" s="69">
        <v>50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8" t="s">
        <v>218</v>
      </c>
      <c r="B3" s="19">
        <v>4002</v>
      </c>
      <c r="C3" s="19" t="s">
        <v>118</v>
      </c>
      <c r="D3" s="19" t="s">
        <v>219</v>
      </c>
      <c r="E3" s="53">
        <v>42481.1716087963</v>
      </c>
      <c r="F3" s="53">
        <v>42481.172569444447</v>
      </c>
      <c r="G3" s="71">
        <v>1</v>
      </c>
      <c r="H3" s="53" t="s">
        <v>220</v>
      </c>
      <c r="I3" s="53">
        <v>42481.204004629632</v>
      </c>
      <c r="J3" s="19">
        <v>0</v>
      </c>
      <c r="K3" s="19" t="str">
        <f>IF(ISEVEN(B3),(B3-1)&amp;"/"&amp;B3,B3&amp;"/"&amp;(B3+1))</f>
        <v>4001/4002</v>
      </c>
      <c r="L3" s="20">
        <f>I3-F3</f>
        <v>3.1435185184818693E-2</v>
      </c>
      <c r="M3" s="21">
        <f>$L3*24*60</f>
        <v>45.266666666138917</v>
      </c>
      <c r="N3" s="21"/>
      <c r="O3" s="22"/>
      <c r="P3" s="17"/>
      <c r="R3" s="16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https://search-rtdc-monitor-bjffxe2xuh6vdkpspy63sjmuny.us-east-1.es.amazonaws.com/_plugin/kibana/#/discover/Steve-Slow-Train-Analysis-(2080s-and-2083s)?_g=(refreshInterval:(display:Off,section:0,value:0),time:(from:'2016-04-21 04:06:07-0600',mode:absolute,to:'2016-04-21 04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S3" s="16" t="str">
        <f>IF(V3&lt;23,"Y","N")</f>
        <v>N</v>
      </c>
      <c r="T3" s="16">
        <f>RIGHT(D3,LEN(D3)-4)/10000</f>
        <v>7.1900000000000006E-2</v>
      </c>
      <c r="U3" s="16">
        <f>RIGHT(H3,LEN(H3)-4)/10000</f>
        <v>23.219200000000001</v>
      </c>
      <c r="V3" s="16">
        <f>ABS(U3-T3)</f>
        <v>23.147300000000001</v>
      </c>
      <c r="W3" s="49" t="e">
        <f>VLOOKUP(A3,Enforcements!$C$3:$J$40,8,0)</f>
        <v>#N/A</v>
      </c>
      <c r="X3" s="49" t="e">
        <f>VLOOKUP(A3,Enforcements!$C$3:$J$40,3,0)</f>
        <v>#N/A</v>
      </c>
    </row>
    <row r="4" spans="1:89" s="2" customFormat="1" x14ac:dyDescent="0.25">
      <c r="A4" s="18" t="s">
        <v>160</v>
      </c>
      <c r="B4" s="19">
        <v>4010</v>
      </c>
      <c r="C4" s="19" t="s">
        <v>118</v>
      </c>
      <c r="D4" s="19" t="s">
        <v>122</v>
      </c>
      <c r="E4" s="53">
        <v>42481.275983796295</v>
      </c>
      <c r="F4" s="53">
        <v>42481.278020833335</v>
      </c>
      <c r="G4" s="71">
        <v>2</v>
      </c>
      <c r="H4" s="53" t="s">
        <v>234</v>
      </c>
      <c r="I4" s="53">
        <v>42481.309120370373</v>
      </c>
      <c r="J4" s="19">
        <v>2</v>
      </c>
      <c r="K4" s="19" t="str">
        <f>IF(ISEVEN(B4),(B4-1)&amp;"/"&amp;B4,B4&amp;"/"&amp;(B4+1))</f>
        <v>4009/4010</v>
      </c>
      <c r="L4" s="20">
        <f>I4-F4</f>
        <v>3.1099537038244307E-2</v>
      </c>
      <c r="M4" s="21">
        <f>$L4*24*60</f>
        <v>44.783333335071802</v>
      </c>
      <c r="N4" s="21"/>
      <c r="O4" s="22"/>
      <c r="P4" s="17"/>
      <c r="R4" s="16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https://search-rtdc-monitor-bjffxe2xuh6vdkpspy63sjmuny.us-east-1.es.amazonaws.com/_plugin/kibana/#/discover/Steve-Slow-Train-Analysis-(2080s-and-2083s)?_g=(refreshInterval:(display:Off,section:0,value:0),time:(from:'2016-04-21 06:36:25-0600',mode:absolute,to:'2016-04-21 07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4" s="16" t="str">
        <f>IF(V4&lt;23,"Y","N")</f>
        <v>N</v>
      </c>
      <c r="T4" s="16">
        <f>RIGHT(D4,LEN(D4)-4)/10000</f>
        <v>23.297699999999999</v>
      </c>
      <c r="U4" s="16">
        <f>RIGHT(H4,LEN(H4)-4)/10000</f>
        <v>2.2700000000000001E-2</v>
      </c>
      <c r="V4" s="16">
        <f>ABS(U4-T4)</f>
        <v>23.274999999999999</v>
      </c>
      <c r="W4" s="49" t="e">
        <f>VLOOKUP(A4,Enforcements!$C$3:$J$40,8,0)</f>
        <v>#N/A</v>
      </c>
      <c r="X4" s="49" t="e">
        <f>VLOOKUP(A4,Enforcements!$C$3:$J$40,3,0)</f>
        <v>#N/A</v>
      </c>
    </row>
    <row r="5" spans="1:89" s="2" customFormat="1" x14ac:dyDescent="0.25">
      <c r="A5" s="18" t="s">
        <v>163</v>
      </c>
      <c r="B5" s="19">
        <v>4009</v>
      </c>
      <c r="C5" s="19" t="s">
        <v>118</v>
      </c>
      <c r="D5" s="19" t="s">
        <v>238</v>
      </c>
      <c r="E5" s="53">
        <v>42481.312025462961</v>
      </c>
      <c r="F5" s="53">
        <v>42481.312893518516</v>
      </c>
      <c r="G5" s="71">
        <v>1</v>
      </c>
      <c r="H5" s="53" t="s">
        <v>69</v>
      </c>
      <c r="I5" s="53">
        <v>42481.34097222222</v>
      </c>
      <c r="J5" s="19">
        <v>2</v>
      </c>
      <c r="K5" s="19" t="str">
        <f>IF(ISEVEN(B5),(B5-1)&amp;"/"&amp;B5,B5&amp;"/"&amp;(B5+1))</f>
        <v>4009/4010</v>
      </c>
      <c r="L5" s="20">
        <f>I5-F5</f>
        <v>2.8078703704522923E-2</v>
      </c>
      <c r="M5" s="21">
        <f>$L5*24*60</f>
        <v>40.433333334513009</v>
      </c>
      <c r="N5" s="21"/>
      <c r="O5" s="22"/>
      <c r="P5" s="17"/>
      <c r="R5" s="16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https://search-rtdc-monitor-bjffxe2xuh6vdkpspy63sjmuny.us-east-1.es.amazonaws.com/_plugin/kibana/#/discover/Steve-Slow-Train-Analysis-(2080s-and-2083s)?_g=(refreshInterval:(display:Off,section:0,value:0),time:(from:'2016-04-21 07:28:19-0600',mode:absolute,to:'2016-04-21 08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5" s="16" t="str">
        <f>IF(V5&lt;23,"Y","N")</f>
        <v>N</v>
      </c>
      <c r="T5" s="16">
        <f>RIGHT(D5,LEN(D5)-4)/10000</f>
        <v>4.9099999999999998E-2</v>
      </c>
      <c r="U5" s="16">
        <f>RIGHT(H5,LEN(H5)-4)/10000</f>
        <v>23.329499999999999</v>
      </c>
      <c r="V5" s="16">
        <f>ABS(U5-T5)</f>
        <v>23.2804</v>
      </c>
      <c r="W5" s="49">
        <f>VLOOKUP(A5,Enforcements!$C$3:$J$40,8,0)</f>
        <v>217106</v>
      </c>
      <c r="X5" s="49" t="str">
        <f>VLOOKUP(A5,Enforcements!$C$3:$J$40,3,0)</f>
        <v>SIGNAL</v>
      </c>
      <c r="Z5" s="25" t="s">
        <v>53</v>
      </c>
      <c r="AA5" s="13"/>
    </row>
    <row r="6" spans="1:89" s="2" customFormat="1" x14ac:dyDescent="0.25">
      <c r="A6" s="18" t="s">
        <v>167</v>
      </c>
      <c r="B6" s="19">
        <v>4010</v>
      </c>
      <c r="C6" s="19" t="s">
        <v>118</v>
      </c>
      <c r="D6" s="19" t="s">
        <v>244</v>
      </c>
      <c r="E6" s="53">
        <v>42481.350439814814</v>
      </c>
      <c r="F6" s="53">
        <v>42481.351400462961</v>
      </c>
      <c r="G6" s="71">
        <v>1</v>
      </c>
      <c r="H6" s="53" t="s">
        <v>245</v>
      </c>
      <c r="I6" s="53">
        <v>42481.383020833331</v>
      </c>
      <c r="J6" s="19">
        <v>1</v>
      </c>
      <c r="K6" s="19" t="str">
        <f>IF(ISEVEN(B6),(B6-1)&amp;"/"&amp;B6,B6&amp;"/"&amp;(B6+1))</f>
        <v>4009/4010</v>
      </c>
      <c r="L6" s="20">
        <f>I6-F6</f>
        <v>3.1620370369637385E-2</v>
      </c>
      <c r="M6" s="21">
        <f>$L6*24*60</f>
        <v>45.533333332277834</v>
      </c>
      <c r="N6" s="21"/>
      <c r="O6" s="22"/>
      <c r="P6" s="17"/>
      <c r="R6" s="16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https://search-rtdc-monitor-bjffxe2xuh6vdkpspy63sjmuny.us-east-1.es.amazonaws.com/_plugin/kibana/#/discover/Steve-Slow-Train-Analysis-(2080s-and-2083s)?_g=(refreshInterval:(display:Off,section:0,value:0),time:(from:'2016-04-21 08:23:38-0600',mode:absolute,to:'2016-04-21 09:12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6" s="16" t="str">
        <f>IF(V6&lt;23,"Y","N")</f>
        <v>N</v>
      </c>
      <c r="T6" s="16">
        <f>RIGHT(D6,LEN(D6)-4)/10000</f>
        <v>23.299199999999999</v>
      </c>
      <c r="U6" s="16">
        <f>RIGHT(H6,LEN(H6)-4)/10000</f>
        <v>1.89E-2</v>
      </c>
      <c r="V6" s="16">
        <f>ABS(U6-T6)</f>
        <v>23.2803</v>
      </c>
      <c r="W6" s="49" t="e">
        <f>VLOOKUP(A6,Enforcements!$C$3:$J$40,8,0)</f>
        <v>#N/A</v>
      </c>
      <c r="X6" s="49" t="e">
        <f>VLOOKUP(A6,Enforcements!$C$3:$J$40,3,0)</f>
        <v>#N/A</v>
      </c>
      <c r="Z6" s="23"/>
      <c r="AA6" s="13" t="s">
        <v>76</v>
      </c>
    </row>
    <row r="7" spans="1:89" s="2" customFormat="1" x14ac:dyDescent="0.25">
      <c r="A7" s="18" t="s">
        <v>257</v>
      </c>
      <c r="B7" s="19">
        <v>4009</v>
      </c>
      <c r="C7" s="19" t="s">
        <v>118</v>
      </c>
      <c r="D7" s="19" t="s">
        <v>258</v>
      </c>
      <c r="E7" s="53">
        <v>42481.387025462966</v>
      </c>
      <c r="F7" s="53">
        <v>42481.387881944444</v>
      </c>
      <c r="G7" s="71">
        <v>1</v>
      </c>
      <c r="H7" s="53" t="s">
        <v>23</v>
      </c>
      <c r="I7" s="53">
        <v>42481.412604166668</v>
      </c>
      <c r="J7" s="19">
        <v>0</v>
      </c>
      <c r="K7" s="19" t="str">
        <f>IF(ISEVEN(B7),(B7-1)&amp;"/"&amp;B7,B7&amp;"/"&amp;(B7+1))</f>
        <v>4009/4010</v>
      </c>
      <c r="L7" s="20">
        <f>I7-F7</f>
        <v>2.4722222224227153E-2</v>
      </c>
      <c r="M7" s="21">
        <f>$L7*24*60</f>
        <v>35.6000000028871</v>
      </c>
      <c r="N7" s="21"/>
      <c r="O7" s="22"/>
      <c r="P7" s="17"/>
      <c r="R7" s="16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https://search-rtdc-monitor-bjffxe2xuh6vdkpspy63sjmuny.us-east-1.es.amazonaws.com/_plugin/kibana/#/discover/Steve-Slow-Train-Analysis-(2080s-and-2083s)?_g=(refreshInterval:(display:Off,section:0,value:0),time:(from:'2016-04-21 09:16:19-0600',mode:absolute,to:'2016-04-21 09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7" s="16" t="str">
        <f>IF(V7&lt;23,"Y","N")</f>
        <v>N</v>
      </c>
      <c r="T7" s="16">
        <f>RIGHT(D7,LEN(D7)-4)/10000</f>
        <v>5.0200000000000002E-2</v>
      </c>
      <c r="U7" s="16">
        <f>RIGHT(H7,LEN(H7)-4)/10000</f>
        <v>23.3308</v>
      </c>
      <c r="V7" s="16">
        <f>ABS(U7-T7)</f>
        <v>23.2806</v>
      </c>
      <c r="W7" s="49" t="e">
        <f>VLOOKUP(A7,Enforcements!$C$3:$J$40,8,0)</f>
        <v>#N/A</v>
      </c>
      <c r="X7" s="49" t="e">
        <f>VLOOKUP(A7,Enforcements!$C$3:$J$40,3,0)</f>
        <v>#N/A</v>
      </c>
      <c r="Z7" s="24"/>
      <c r="AA7" s="13" t="s">
        <v>77</v>
      </c>
    </row>
    <row r="8" spans="1:89" s="2" customFormat="1" x14ac:dyDescent="0.25">
      <c r="A8" s="18" t="s">
        <v>169</v>
      </c>
      <c r="B8" s="19">
        <v>4010</v>
      </c>
      <c r="C8" s="19" t="s">
        <v>118</v>
      </c>
      <c r="D8" s="19" t="s">
        <v>48</v>
      </c>
      <c r="E8" s="53">
        <v>42481.421736111108</v>
      </c>
      <c r="F8" s="53">
        <v>42481.422939814816</v>
      </c>
      <c r="G8" s="71">
        <v>1</v>
      </c>
      <c r="H8" s="53" t="s">
        <v>259</v>
      </c>
      <c r="I8" s="53">
        <v>42481.456828703704</v>
      </c>
      <c r="J8" s="19">
        <v>3</v>
      </c>
      <c r="K8" s="19" t="str">
        <f>IF(ISEVEN(B8),(B8-1)&amp;"/"&amp;B8,B8&amp;"/"&amp;(B8+1))</f>
        <v>4009/4010</v>
      </c>
      <c r="L8" s="20">
        <f>I8-F8</f>
        <v>3.3888888887304347E-2</v>
      </c>
      <c r="M8" s="21">
        <f>$L8*24*60</f>
        <v>48.79999999771826</v>
      </c>
      <c r="N8" s="21"/>
      <c r="O8" s="22"/>
      <c r="P8" s="17"/>
      <c r="R8" s="16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https://search-rtdc-monitor-bjffxe2xuh6vdkpspy63sjmuny.us-east-1.es.amazonaws.com/_plugin/kibana/#/discover/Steve-Slow-Train-Analysis-(2080s-and-2083s)?_g=(refreshInterval:(display:Off,section:0,value:0),time:(from:'2016-04-21 10:06:18-0600',mode:absolute,to:'2016-04-21 10:58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8" s="16" t="str">
        <f>IF(V8&lt;23,"Y","N")</f>
        <v>N</v>
      </c>
      <c r="T8" s="16">
        <f>RIGHT(D8,LEN(D8)-4)/10000</f>
        <v>23.298500000000001</v>
      </c>
      <c r="U8" s="16">
        <f>RIGHT(H8,LEN(H8)-4)/10000</f>
        <v>1.9199999999999998E-2</v>
      </c>
      <c r="V8" s="16">
        <f>ABS(U8-T8)</f>
        <v>23.279299999999999</v>
      </c>
      <c r="W8" s="49">
        <f>VLOOKUP(A8,Enforcements!$C$3:$J$40,8,0)</f>
        <v>127587</v>
      </c>
      <c r="X8" s="49" t="str">
        <f>VLOOKUP(A8,Enforcements!$C$3:$J$40,3,0)</f>
        <v>SIGNAL</v>
      </c>
      <c r="Z8" s="14"/>
      <c r="AA8" s="13" t="s">
        <v>78</v>
      </c>
    </row>
    <row r="9" spans="1:89" s="2" customFormat="1" x14ac:dyDescent="0.25">
      <c r="A9" s="18" t="s">
        <v>173</v>
      </c>
      <c r="B9" s="19">
        <v>4009</v>
      </c>
      <c r="C9" s="19" t="s">
        <v>118</v>
      </c>
      <c r="D9" s="19" t="s">
        <v>270</v>
      </c>
      <c r="E9" s="53">
        <v>42481.462511574071</v>
      </c>
      <c r="F9" s="53">
        <v>42481.463506944441</v>
      </c>
      <c r="G9" s="71">
        <v>1</v>
      </c>
      <c r="H9" s="53" t="s">
        <v>59</v>
      </c>
      <c r="I9" s="53">
        <v>42481.491261574076</v>
      </c>
      <c r="J9" s="19">
        <v>1</v>
      </c>
      <c r="K9" s="19" t="str">
        <f>IF(ISEVEN(B9),(B9-1)&amp;"/"&amp;B9,B9&amp;"/"&amp;(B9+1))</f>
        <v>4009/4010</v>
      </c>
      <c r="L9" s="20">
        <f>I9-F9</f>
        <v>2.775462963472819E-2</v>
      </c>
      <c r="M9" s="21">
        <f>$L9*24*60</f>
        <v>39.966666674008593</v>
      </c>
      <c r="N9" s="21"/>
      <c r="O9" s="22"/>
      <c r="P9" s="17"/>
      <c r="R9" s="16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https://search-rtdc-monitor-bjffxe2xuh6vdkpspy63sjmuny.us-east-1.es.amazonaws.com/_plugin/kibana/#/discover/Steve-Slow-Train-Analysis-(2080s-and-2083s)?_g=(refreshInterval:(display:Off,section:0,value:0),time:(from:'2016-04-21 11:05:01-0600',mode:absolute,to:'2016-04-21 11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9" s="16" t="str">
        <f>IF(V9&lt;23,"Y","N")</f>
        <v>N</v>
      </c>
      <c r="T9" s="16">
        <f>RIGHT(D9,LEN(D9)-4)/10000</f>
        <v>4.8800000000000003E-2</v>
      </c>
      <c r="U9" s="16">
        <f>RIGHT(H9,LEN(H9)-4)/10000</f>
        <v>23.328900000000001</v>
      </c>
      <c r="V9" s="16">
        <f>ABS(U9-T9)</f>
        <v>23.280100000000001</v>
      </c>
      <c r="W9" s="49" t="e">
        <f>VLOOKUP(A9,Enforcements!$C$3:$J$40,8,0)</f>
        <v>#N/A</v>
      </c>
      <c r="X9" s="49" t="e">
        <f>VLOOKUP(A9,Enforcements!$C$3:$J$40,3,0)</f>
        <v>#N/A</v>
      </c>
    </row>
    <row r="10" spans="1:89" s="2" customFormat="1" x14ac:dyDescent="0.25">
      <c r="A10" s="18" t="s">
        <v>271</v>
      </c>
      <c r="B10" s="19">
        <v>4010</v>
      </c>
      <c r="C10" s="19" t="s">
        <v>118</v>
      </c>
      <c r="D10" s="19" t="s">
        <v>272</v>
      </c>
      <c r="E10" s="53">
        <v>42481.494618055556</v>
      </c>
      <c r="F10" s="53">
        <v>42481.49554398148</v>
      </c>
      <c r="G10" s="71">
        <v>1</v>
      </c>
      <c r="H10" s="53" t="s">
        <v>67</v>
      </c>
      <c r="I10" s="53">
        <v>42481.52511574074</v>
      </c>
      <c r="J10" s="19">
        <v>0</v>
      </c>
      <c r="K10" s="19" t="str">
        <f>IF(ISEVEN(B10),(B10-1)&amp;"/"&amp;B10,B10&amp;"/"&amp;(B10+1))</f>
        <v>4009/4010</v>
      </c>
      <c r="L10" s="20">
        <f>I10-F10</f>
        <v>2.9571759259852115E-2</v>
      </c>
      <c r="M10" s="21">
        <f>$L10*24*60</f>
        <v>42.583333334187046</v>
      </c>
      <c r="N10" s="21"/>
      <c r="O10" s="22"/>
      <c r="P10" s="17"/>
      <c r="R10" s="16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https://search-rtdc-monitor-bjffxe2xuh6vdkpspy63sjmuny.us-east-1.es.amazonaws.com/_plugin/kibana/#/discover/Steve-Slow-Train-Analysis-(2080s-and-2083s)?_g=(refreshInterval:(display:Off,section:0,value:0),time:(from:'2016-04-21 11:51:15-0600',mode:absolute,to:'2016-04-21 12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0" s="16" t="str">
        <f>IF(V10&lt;23,"Y","N")</f>
        <v>N</v>
      </c>
      <c r="T10" s="16">
        <f>RIGHT(D10,LEN(D10)-4)/10000</f>
        <v>23.2972</v>
      </c>
      <c r="U10" s="16">
        <f>RIGHT(H10,LEN(H10)-4)/10000</f>
        <v>1.38E-2</v>
      </c>
      <c r="V10" s="16">
        <f>ABS(U10-T10)</f>
        <v>23.2834</v>
      </c>
      <c r="W10" s="49" t="e">
        <f>VLOOKUP(A10,Enforcements!$C$3:$J$40,8,0)</f>
        <v>#N/A</v>
      </c>
      <c r="X10" s="49" t="e">
        <f>VLOOKUP(A10,Enforcements!$C$3:$J$40,3,0)</f>
        <v>#N/A</v>
      </c>
    </row>
    <row r="11" spans="1:89" s="2" customFormat="1" x14ac:dyDescent="0.25">
      <c r="A11" s="18" t="s">
        <v>286</v>
      </c>
      <c r="B11" s="19">
        <v>4009</v>
      </c>
      <c r="C11" s="19" t="s">
        <v>118</v>
      </c>
      <c r="D11" s="19" t="s">
        <v>42</v>
      </c>
      <c r="E11" s="53">
        <v>42481.528379629628</v>
      </c>
      <c r="F11" s="53">
        <v>42481.530405092592</v>
      </c>
      <c r="G11" s="71">
        <v>2</v>
      </c>
      <c r="H11" s="53" t="s">
        <v>61</v>
      </c>
      <c r="I11" s="53">
        <v>42481.556041666663</v>
      </c>
      <c r="J11" s="19">
        <v>0</v>
      </c>
      <c r="K11" s="19" t="str">
        <f>IF(ISEVEN(B11),(B11-1)&amp;"/"&amp;B11,B11&amp;"/"&amp;(B11+1))</f>
        <v>4009/4010</v>
      </c>
      <c r="L11" s="20">
        <f>I11-F11</f>
        <v>2.5636574071540963E-2</v>
      </c>
      <c r="M11" s="21">
        <f>$L11*24*60</f>
        <v>36.916666663018987</v>
      </c>
      <c r="N11" s="21"/>
      <c r="O11" s="22"/>
      <c r="P11" s="17"/>
      <c r="R11" s="16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https://search-rtdc-monitor-bjffxe2xuh6vdkpspy63sjmuny.us-east-1.es.amazonaws.com/_plugin/kibana/#/discover/Steve-Slow-Train-Analysis-(2080s-and-2083s)?_g=(refreshInterval:(display:Off,section:0,value:0),time:(from:'2016-04-21 12:39:52-0600',mode:absolute,to:'2016-04-21 13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1" s="16" t="str">
        <f>IF(V11&lt;23,"Y","N")</f>
        <v>N</v>
      </c>
      <c r="T11" s="16">
        <f>RIGHT(D11,LEN(D11)-4)/10000</f>
        <v>4.6899999999999997E-2</v>
      </c>
      <c r="U11" s="16">
        <f>RIGHT(H11,LEN(H11)-4)/10000</f>
        <v>23.3307</v>
      </c>
      <c r="V11" s="16">
        <f>ABS(U11-T11)</f>
        <v>23.283799999999999</v>
      </c>
      <c r="W11" s="49" t="e">
        <f>VLOOKUP(A11,Enforcements!$C$3:$J$40,8,0)</f>
        <v>#N/A</v>
      </c>
      <c r="X11" s="49" t="e">
        <f>VLOOKUP(A11,Enforcements!$C$3:$J$40,3,0)</f>
        <v>#N/A</v>
      </c>
    </row>
    <row r="12" spans="1:89" s="2" customFormat="1" x14ac:dyDescent="0.25">
      <c r="A12" s="18" t="s">
        <v>287</v>
      </c>
      <c r="B12" s="19">
        <v>4010</v>
      </c>
      <c r="C12" s="19" t="s">
        <v>118</v>
      </c>
      <c r="D12" s="19" t="s">
        <v>244</v>
      </c>
      <c r="E12" s="53">
        <v>42481.561145833337</v>
      </c>
      <c r="F12" s="53">
        <v>42481.5703587963</v>
      </c>
      <c r="G12" s="71">
        <v>2</v>
      </c>
      <c r="H12" s="53" t="s">
        <v>55</v>
      </c>
      <c r="I12" s="53">
        <v>42481.600891203707</v>
      </c>
      <c r="J12" s="19">
        <v>0</v>
      </c>
      <c r="K12" s="19" t="str">
        <f>IF(ISEVEN(B12),(B12-1)&amp;"/"&amp;B12,B12&amp;"/"&amp;(B12+1))</f>
        <v>4009/4010</v>
      </c>
      <c r="L12" s="20">
        <f>I12-F12</f>
        <v>3.0532407407008577E-2</v>
      </c>
      <c r="M12" s="21">
        <f>$L12*24*60</f>
        <v>43.966666666092351</v>
      </c>
      <c r="N12" s="21"/>
      <c r="O12" s="22"/>
      <c r="P12" s="17"/>
      <c r="R12" s="16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https://search-rtdc-monitor-bjffxe2xuh6vdkpspy63sjmuny.us-east-1.es.amazonaws.com/_plugin/kibana/#/discover/Steve-Slow-Train-Analysis-(2080s-and-2083s)?_g=(refreshInterval:(display:Off,section:0,value:0),time:(from:'2016-04-21 13:27:03-0600',mode:absolute,to:'2016-04-21 14:26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2" s="16" t="str">
        <f>IF(V12&lt;23,"Y","N")</f>
        <v>N</v>
      </c>
      <c r="T12" s="16">
        <f>RIGHT(D12,LEN(D12)-4)/10000</f>
        <v>23.299199999999999</v>
      </c>
      <c r="U12" s="16">
        <f>RIGHT(H12,LEN(H12)-4)/10000</f>
        <v>1.6E-2</v>
      </c>
      <c r="V12" s="16">
        <f>ABS(U12-T12)</f>
        <v>23.283200000000001</v>
      </c>
      <c r="W12" s="49" t="e">
        <f>VLOOKUP(A12,Enforcements!$C$3:$J$40,8,0)</f>
        <v>#N/A</v>
      </c>
      <c r="X12" s="49" t="e">
        <f>VLOOKUP(A12,Enforcements!$C$3:$J$40,3,0)</f>
        <v>#N/A</v>
      </c>
    </row>
    <row r="13" spans="1:89" s="2" customFormat="1" x14ac:dyDescent="0.25">
      <c r="A13" s="18" t="s">
        <v>304</v>
      </c>
      <c r="B13" s="19">
        <v>4009</v>
      </c>
      <c r="C13" s="19" t="s">
        <v>118</v>
      </c>
      <c r="D13" s="19" t="s">
        <v>24</v>
      </c>
      <c r="E13" s="53">
        <v>42481.602384259262</v>
      </c>
      <c r="F13" s="53">
        <v>42481.603854166664</v>
      </c>
      <c r="G13" s="71">
        <v>2</v>
      </c>
      <c r="H13" s="53" t="s">
        <v>123</v>
      </c>
      <c r="I13" s="53">
        <v>42481.62945601852</v>
      </c>
      <c r="J13" s="19">
        <v>0</v>
      </c>
      <c r="K13" s="19" t="str">
        <f>IF(ISEVEN(B13),(B13-1)&amp;"/"&amp;B13,B13&amp;"/"&amp;(B13+1))</f>
        <v>4009/4010</v>
      </c>
      <c r="L13" s="20">
        <f>I13-F13</f>
        <v>2.5601851855753921E-2</v>
      </c>
      <c r="M13" s="21">
        <f>$L13*24*60</f>
        <v>36.866666672285646</v>
      </c>
      <c r="N13" s="21"/>
      <c r="O13" s="22"/>
      <c r="P13" s="17"/>
      <c r="R13" s="1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https://search-rtdc-monitor-bjffxe2xuh6vdkpspy63sjmuny.us-east-1.es.amazonaws.com/_plugin/kibana/#/discover/Steve-Slow-Train-Analysis-(2080s-and-2083s)?_g=(refreshInterval:(display:Off,section:0,value:0),time:(from:'2016-04-21 14:26:26-0600',mode:absolute,to:'2016-04-21 15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3" s="16" t="str">
        <f>IF(V13&lt;23,"Y","N")</f>
        <v>N</v>
      </c>
      <c r="T13" s="16">
        <f>RIGHT(D13,LEN(D13)-4)/10000</f>
        <v>4.7100000000000003E-2</v>
      </c>
      <c r="U13" s="16">
        <f>RIGHT(H13,LEN(H13)-4)/10000</f>
        <v>23.3306</v>
      </c>
      <c r="V13" s="16">
        <f>ABS(U13-T13)</f>
        <v>23.2835</v>
      </c>
      <c r="W13" s="49" t="e">
        <f>VLOOKUP(A13,Enforcements!$C$3:$J$40,8,0)</f>
        <v>#N/A</v>
      </c>
      <c r="X13" s="49" t="e">
        <f>VLOOKUP(A13,Enforcements!$C$3:$J$40,3,0)</f>
        <v>#N/A</v>
      </c>
    </row>
    <row r="14" spans="1:89" s="2" customFormat="1" x14ac:dyDescent="0.25">
      <c r="A14" s="18" t="s">
        <v>305</v>
      </c>
      <c r="B14" s="19">
        <v>4010</v>
      </c>
      <c r="C14" s="19" t="s">
        <v>118</v>
      </c>
      <c r="D14" s="19" t="s">
        <v>44</v>
      </c>
      <c r="E14" s="53">
        <v>42481.636724537035</v>
      </c>
      <c r="F14" s="53">
        <v>42481.638032407405</v>
      </c>
      <c r="G14" s="71">
        <v>1</v>
      </c>
      <c r="H14" s="53" t="s">
        <v>306</v>
      </c>
      <c r="I14" s="53">
        <v>42481.668310185189</v>
      </c>
      <c r="J14" s="19">
        <v>0</v>
      </c>
      <c r="K14" s="19" t="str">
        <f>IF(ISEVEN(B14),(B14-1)&amp;"/"&amp;B14,B14&amp;"/"&amp;(B14+1))</f>
        <v>4009/4010</v>
      </c>
      <c r="L14" s="20">
        <f>I14-F14</f>
        <v>3.0277777783339843E-2</v>
      </c>
      <c r="M14" s="21"/>
      <c r="N14" s="21"/>
      <c r="O14" s="22">
        <f>$L14*24*60</f>
        <v>43.600000008009374</v>
      </c>
      <c r="P14" s="17" t="s">
        <v>374</v>
      </c>
      <c r="R14" s="1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https://search-rtdc-monitor-bjffxe2xuh6vdkpspy63sjmuny.us-east-1.es.amazonaws.com/_plugin/kibana/#/discover/Steve-Slow-Train-Analysis-(2080s-and-2083s)?_g=(refreshInterval:(display:Off,section:0,value:0),time:(from:'2016-04-21 15:15:53-0600',mode:absolute,to:'2016-04-21 16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4" s="16" t="str">
        <f>IF(V14&lt;23,"Y","N")</f>
        <v>Y</v>
      </c>
      <c r="T14" s="16">
        <f>RIGHT(D14,LEN(D14)-4)/10000</f>
        <v>23.2989</v>
      </c>
      <c r="U14" s="16">
        <f>RIGHT(H14,LEN(H14)-4)/10000</f>
        <v>6.4172000000000002</v>
      </c>
      <c r="V14" s="16">
        <f>ABS(U14-T14)</f>
        <v>16.881699999999999</v>
      </c>
      <c r="W14" s="49" t="e">
        <f>VLOOKUP(A14,Enforcements!$C$3:$J$40,8,0)</f>
        <v>#N/A</v>
      </c>
      <c r="X14" s="49" t="e">
        <f>VLOOKUP(A14,Enforcements!$C$3:$J$40,3,0)</f>
        <v>#N/A</v>
      </c>
    </row>
    <row r="15" spans="1:89" s="2" customFormat="1" x14ac:dyDescent="0.25">
      <c r="A15" s="18" t="s">
        <v>321</v>
      </c>
      <c r="B15" s="19">
        <v>4009</v>
      </c>
      <c r="C15" s="19" t="s">
        <v>118</v>
      </c>
      <c r="D15" s="19" t="s">
        <v>37</v>
      </c>
      <c r="E15" s="53">
        <v>42481.686099537037</v>
      </c>
      <c r="F15" s="53">
        <v>42481.687106481484</v>
      </c>
      <c r="G15" s="71">
        <v>1</v>
      </c>
      <c r="H15" s="53" t="s">
        <v>322</v>
      </c>
      <c r="I15" s="53">
        <v>42481.721145833333</v>
      </c>
      <c r="J15" s="19">
        <v>0</v>
      </c>
      <c r="K15" s="19" t="str">
        <f>IF(ISEVEN(B15),(B15-1)&amp;"/"&amp;B15,B15&amp;"/"&amp;(B15+1))</f>
        <v>4009/4010</v>
      </c>
      <c r="L15" s="20">
        <f>I15-F15</f>
        <v>3.403935184906004E-2</v>
      </c>
      <c r="M15" s="21">
        <f>$L15*24*60</f>
        <v>49.016666662646458</v>
      </c>
      <c r="N15" s="21"/>
      <c r="O15" s="22"/>
      <c r="P15" s="17"/>
      <c r="R15" s="16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https://search-rtdc-monitor-bjffxe2xuh6vdkpspy63sjmuny.us-east-1.es.amazonaws.com/_plugin/kibana/#/discover/Steve-Slow-Train-Analysis-(2080s-and-2083s)?_g=(refreshInterval:(display:Off,section:0,value:0),time:(from:'2016-04-21 16:26:59-0600',mode:absolute,to:'2016-04-21 17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5" s="16" t="str">
        <f>IF(V15&lt;23,"Y","N")</f>
        <v>N</v>
      </c>
      <c r="T15" s="16">
        <f>RIGHT(D15,LEN(D15)-4)/10000</f>
        <v>4.58E-2</v>
      </c>
      <c r="U15" s="16">
        <f>RIGHT(H15,LEN(H15)-4)/10000</f>
        <v>23.3323</v>
      </c>
      <c r="V15" s="16">
        <f>ABS(U15-T15)</f>
        <v>23.2865</v>
      </c>
      <c r="W15" s="49" t="e">
        <f>VLOOKUP(A15,Enforcements!$C$3:$J$40,8,0)</f>
        <v>#N/A</v>
      </c>
      <c r="X15" s="49" t="e">
        <f>VLOOKUP(A15,Enforcements!$C$3:$J$40,3,0)</f>
        <v>#N/A</v>
      </c>
    </row>
    <row r="16" spans="1:89" s="2" customFormat="1" x14ac:dyDescent="0.25">
      <c r="A16" s="18" t="s">
        <v>323</v>
      </c>
      <c r="B16" s="19">
        <v>4010</v>
      </c>
      <c r="C16" s="19" t="s">
        <v>118</v>
      </c>
      <c r="D16" s="19" t="s">
        <v>131</v>
      </c>
      <c r="E16" s="53">
        <v>42481.72347222222</v>
      </c>
      <c r="F16" s="53">
        <v>42481.72446759259</v>
      </c>
      <c r="G16" s="71">
        <v>1</v>
      </c>
      <c r="H16" s="53" t="s">
        <v>26</v>
      </c>
      <c r="I16" s="53">
        <v>42481.752638888887</v>
      </c>
      <c r="J16" s="19">
        <v>0</v>
      </c>
      <c r="K16" s="19" t="str">
        <f>IF(ISEVEN(B16),(B16-1)&amp;"/"&amp;B16,B16&amp;"/"&amp;(B16+1))</f>
        <v>4009/4010</v>
      </c>
      <c r="L16" s="20">
        <f>I16-F16</f>
        <v>2.8171296296932269E-2</v>
      </c>
      <c r="M16" s="21">
        <f>$L16*24*60</f>
        <v>40.566666667582467</v>
      </c>
      <c r="N16" s="21"/>
      <c r="O16" s="22"/>
      <c r="P16" s="17"/>
      <c r="R16" s="16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https://search-rtdc-monitor-bjffxe2xuh6vdkpspy63sjmuny.us-east-1.es.amazonaws.com/_plugin/kibana/#/discover/Steve-Slow-Train-Analysis-(2080s-and-2083s)?_g=(refreshInterval:(display:Off,section:0,value:0),time:(from:'2016-04-21 17:20:48-0600',mode:absolute,to:'2016-04-21 18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6" s="16" t="str">
        <f>IF(V16&lt;23,"Y","N")</f>
        <v>N</v>
      </c>
      <c r="T16" s="16">
        <f>RIGHT(D16,LEN(D16)-4)/10000</f>
        <v>23.298100000000002</v>
      </c>
      <c r="U16" s="16">
        <f>RIGHT(H16,LEN(H16)-4)/10000</f>
        <v>1.5800000000000002E-2</v>
      </c>
      <c r="V16" s="16">
        <f>ABS(U16-T16)</f>
        <v>23.282300000000003</v>
      </c>
      <c r="W16" s="49" t="e">
        <f>VLOOKUP(A16,Enforcements!$C$3:$J$40,8,0)</f>
        <v>#N/A</v>
      </c>
      <c r="X16" s="49" t="e">
        <f>VLOOKUP(A16,Enforcements!$C$3:$J$40,3,0)</f>
        <v>#N/A</v>
      </c>
    </row>
    <row r="17" spans="1:24" s="2" customFormat="1" x14ac:dyDescent="0.25">
      <c r="A17" s="18" t="s">
        <v>197</v>
      </c>
      <c r="B17" s="19">
        <v>4009</v>
      </c>
      <c r="C17" s="19" t="s">
        <v>118</v>
      </c>
      <c r="D17" s="19" t="s">
        <v>68</v>
      </c>
      <c r="E17" s="53">
        <v>42481.760810185187</v>
      </c>
      <c r="F17" s="53">
        <v>42481.762615740743</v>
      </c>
      <c r="G17" s="71">
        <v>2</v>
      </c>
      <c r="H17" s="53" t="s">
        <v>136</v>
      </c>
      <c r="I17" s="53">
        <v>42481.787418981483</v>
      </c>
      <c r="J17" s="19">
        <v>1</v>
      </c>
      <c r="K17" s="19" t="str">
        <f>IF(ISEVEN(B17),(B17-1)&amp;"/"&amp;B17,B17&amp;"/"&amp;(B17+1))</f>
        <v>4009/4010</v>
      </c>
      <c r="L17" s="20">
        <f>I17-F17</f>
        <v>2.4803240739856847E-2</v>
      </c>
      <c r="M17" s="21">
        <f>$L17*24*60</f>
        <v>35.716666665393859</v>
      </c>
      <c r="N17" s="21"/>
      <c r="O17" s="22"/>
      <c r="P17" s="17"/>
      <c r="R17" s="16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https://search-rtdc-monitor-bjffxe2xuh6vdkpspy63sjmuny.us-east-1.es.amazonaws.com/_plugin/kibana/#/discover/Steve-Slow-Train-Analysis-(2080s-and-2083s)?_g=(refreshInterval:(display:Off,section:0,value:0),time:(from:'2016-04-21 18:14:34-0600',mode:absolute,to:'2016-04-21 18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7" s="16" t="str">
        <f>IF(V17&lt;23,"Y","N")</f>
        <v>N</v>
      </c>
      <c r="T17" s="16">
        <f>RIGHT(D17,LEN(D17)-4)/10000</f>
        <v>4.7300000000000002E-2</v>
      </c>
      <c r="U17" s="16">
        <f>RIGHT(H17,LEN(H17)-4)/10000</f>
        <v>23.327400000000001</v>
      </c>
      <c r="V17" s="16">
        <f>ABS(U17-T17)</f>
        <v>23.280100000000001</v>
      </c>
      <c r="W17" s="49" t="e">
        <f>VLOOKUP(A17,Enforcements!$C$3:$J$40,8,0)</f>
        <v>#N/A</v>
      </c>
      <c r="X17" s="49" t="e">
        <f>VLOOKUP(A17,Enforcements!$C$3:$J$40,3,0)</f>
        <v>#N/A</v>
      </c>
    </row>
    <row r="18" spans="1:24" s="2" customFormat="1" x14ac:dyDescent="0.25">
      <c r="A18" s="18" t="s">
        <v>339</v>
      </c>
      <c r="B18" s="19">
        <v>4010</v>
      </c>
      <c r="C18" s="19" t="s">
        <v>118</v>
      </c>
      <c r="D18" s="19" t="s">
        <v>225</v>
      </c>
      <c r="E18" s="53">
        <v>42481.792766203704</v>
      </c>
      <c r="F18" s="53">
        <v>42481.799513888887</v>
      </c>
      <c r="G18" s="71">
        <v>1</v>
      </c>
      <c r="H18" s="53" t="s">
        <v>29</v>
      </c>
      <c r="I18" s="53">
        <v>42481.828599537039</v>
      </c>
      <c r="J18" s="19">
        <v>0</v>
      </c>
      <c r="K18" s="19" t="str">
        <f>IF(ISEVEN(B18),(B18-1)&amp;"/"&amp;B18,B18&amp;"/"&amp;(B18+1))</f>
        <v>4009/4010</v>
      </c>
      <c r="L18" s="20">
        <f>I18-F18</f>
        <v>2.9085648151522037E-2</v>
      </c>
      <c r="M18" s="21">
        <f>$L18*24*60</f>
        <v>41.883333338191733</v>
      </c>
      <c r="N18" s="21"/>
      <c r="O18" s="22"/>
      <c r="P18" s="17"/>
      <c r="R18" s="16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https://search-rtdc-monitor-bjffxe2xuh6vdkpspy63sjmuny.us-east-1.es.amazonaws.com/_plugin/kibana/#/discover/Steve-Slow-Train-Analysis-(2080s-and-2083s)?_g=(refreshInterval:(display:Off,section:0,value:0),time:(from:'2016-04-21 19:00:35-0600',mode:absolute,to:'2016-04-21 19:54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18" s="16" t="str">
        <f>IF(V18&lt;23,"Y","N")</f>
        <v>N</v>
      </c>
      <c r="T18" s="16">
        <f>RIGHT(D18,LEN(D18)-4)/10000</f>
        <v>23.297499999999999</v>
      </c>
      <c r="U18" s="16">
        <f>RIGHT(H18,LEN(H18)-4)/10000</f>
        <v>1.3899999999999999E-2</v>
      </c>
      <c r="V18" s="16">
        <f>ABS(U18-T18)</f>
        <v>23.2836</v>
      </c>
      <c r="W18" s="49" t="e">
        <f>VLOOKUP(A18,Enforcements!$C$3:$J$40,8,0)</f>
        <v>#N/A</v>
      </c>
      <c r="X18" s="49" t="e">
        <f>VLOOKUP(A18,Enforcements!$C$3:$J$40,3,0)</f>
        <v>#N/A</v>
      </c>
    </row>
    <row r="19" spans="1:24" s="2" customFormat="1" x14ac:dyDescent="0.25">
      <c r="A19" s="18" t="s">
        <v>350</v>
      </c>
      <c r="B19" s="19">
        <v>4009</v>
      </c>
      <c r="C19" s="19" t="s">
        <v>118</v>
      </c>
      <c r="D19" s="19" t="s">
        <v>129</v>
      </c>
      <c r="E19" s="53">
        <v>42481.831261574072</v>
      </c>
      <c r="F19" s="53">
        <v>42481.832696759258</v>
      </c>
      <c r="G19" s="71">
        <v>2</v>
      </c>
      <c r="H19" s="53" t="s">
        <v>247</v>
      </c>
      <c r="I19" s="53">
        <v>42481.858842592592</v>
      </c>
      <c r="J19" s="19">
        <v>0</v>
      </c>
      <c r="K19" s="19" t="str">
        <f>IF(ISEVEN(B19),(B19-1)&amp;"/"&amp;B19,B19&amp;"/"&amp;(B19+1))</f>
        <v>4009/4010</v>
      </c>
      <c r="L19" s="20">
        <f>I19-F19</f>
        <v>2.6145833333430346E-2</v>
      </c>
      <c r="M19" s="21">
        <f>$L19*24*60</f>
        <v>37.650000000139698</v>
      </c>
      <c r="N19" s="21"/>
      <c r="O19" s="22"/>
      <c r="P19" s="17"/>
      <c r="R19" s="16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https://search-rtdc-monitor-bjffxe2xuh6vdkpspy63sjmuny.us-east-1.es.amazonaws.com/_plugin/kibana/#/discover/Steve-Slow-Train-Analysis-(2080s-and-2083s)?_g=(refreshInterval:(display:Off,section:0,value:0),time:(from:'2016-04-21 19:56:01-0600',mode:absolute,to:'2016-04-21 20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9" s="16" t="str">
        <f>IF(V19&lt;23,"Y","N")</f>
        <v>N</v>
      </c>
      <c r="T19" s="16">
        <f>RIGHT(D19,LEN(D19)-4)/10000</f>
        <v>4.4699999999999997E-2</v>
      </c>
      <c r="U19" s="16">
        <f>RIGHT(H19,LEN(H19)-4)/10000</f>
        <v>23.331499999999998</v>
      </c>
      <c r="V19" s="16">
        <f>ABS(U19-T19)</f>
        <v>23.286799999999999</v>
      </c>
      <c r="W19" s="49" t="e">
        <f>VLOOKUP(A19,Enforcements!$C$3:$J$40,8,0)</f>
        <v>#N/A</v>
      </c>
      <c r="X19" s="49" t="e">
        <f>VLOOKUP(A19,Enforcements!$C$3:$J$40,3,0)</f>
        <v>#N/A</v>
      </c>
    </row>
    <row r="20" spans="1:24" s="2" customFormat="1" x14ac:dyDescent="0.25">
      <c r="A20" s="18" t="s">
        <v>351</v>
      </c>
      <c r="B20" s="19">
        <v>4010</v>
      </c>
      <c r="C20" s="19" t="s">
        <v>118</v>
      </c>
      <c r="D20" s="19" t="s">
        <v>139</v>
      </c>
      <c r="E20" s="53">
        <v>42481.861990740741</v>
      </c>
      <c r="F20" s="53">
        <v>42481.872789351852</v>
      </c>
      <c r="G20" s="71">
        <v>1</v>
      </c>
      <c r="H20" s="53" t="s">
        <v>25</v>
      </c>
      <c r="I20" s="53">
        <v>42481.902025462965</v>
      </c>
      <c r="J20" s="19">
        <v>0</v>
      </c>
      <c r="K20" s="19" t="str">
        <f>IF(ISEVEN(B20),(B20-1)&amp;"/"&amp;B20,B20&amp;"/"&amp;(B20+1))</f>
        <v>4009/4010</v>
      </c>
      <c r="L20" s="20">
        <f>I20-F20</f>
        <v>2.923611111327773E-2</v>
      </c>
      <c r="M20" s="21">
        <f>$L20*24*60</f>
        <v>42.100000003119931</v>
      </c>
      <c r="N20" s="21"/>
      <c r="O20" s="22"/>
      <c r="P20" s="17"/>
      <c r="R20" s="16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https://search-rtdc-monitor-bjffxe2xuh6vdkpspy63sjmuny.us-east-1.es.amazonaws.com/_plugin/kibana/#/discover/Steve-Slow-Train-Analysis-(2080s-and-2083s)?_g=(refreshInterval:(display:Off,section:0,value:0),time:(from:'2016-04-21 20:40:16-0600',mode:absolute,to:'2016-04-21 21:39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S20" s="16" t="str">
        <f>IF(V20&lt;23,"Y","N")</f>
        <v>N</v>
      </c>
      <c r="T20" s="16">
        <f>RIGHT(D20,LEN(D20)-4)/10000</f>
        <v>23.299600000000002</v>
      </c>
      <c r="U20" s="16">
        <f>RIGHT(H20,LEN(H20)-4)/10000</f>
        <v>1.47E-2</v>
      </c>
      <c r="V20" s="16">
        <f>ABS(U20-T20)</f>
        <v>23.2849</v>
      </c>
      <c r="W20" s="49" t="e">
        <f>VLOOKUP(A20,Enforcements!$C$3:$J$40,8,0)</f>
        <v>#N/A</v>
      </c>
      <c r="X20" s="49" t="e">
        <f>VLOOKUP(A20,Enforcements!$C$3:$J$40,3,0)</f>
        <v>#N/A</v>
      </c>
    </row>
    <row r="21" spans="1:24" s="2" customFormat="1" x14ac:dyDescent="0.25">
      <c r="A21" s="18" t="s">
        <v>226</v>
      </c>
      <c r="B21" s="19">
        <v>4018</v>
      </c>
      <c r="C21" s="19" t="s">
        <v>118</v>
      </c>
      <c r="D21" s="19" t="s">
        <v>227</v>
      </c>
      <c r="E21" s="53">
        <v>42481.194201388891</v>
      </c>
      <c r="F21" s="53">
        <v>42481.198125000003</v>
      </c>
      <c r="G21" s="71">
        <v>5</v>
      </c>
      <c r="H21" s="53" t="s">
        <v>123</v>
      </c>
      <c r="I21" s="53">
        <v>42481.223993055559</v>
      </c>
      <c r="J21" s="19">
        <v>0</v>
      </c>
      <c r="K21" s="19" t="str">
        <f>IF(ISEVEN(B21),(B21-1)&amp;"/"&amp;B21,B21&amp;"/"&amp;(B21+1))</f>
        <v>4017/4018</v>
      </c>
      <c r="L21" s="20">
        <f>I21-F21</f>
        <v>2.5868055556202307E-2</v>
      </c>
      <c r="M21" s="21">
        <f>$L21*24*60</f>
        <v>37.250000000931323</v>
      </c>
      <c r="N21" s="21"/>
      <c r="O21" s="22"/>
      <c r="P21" s="17"/>
      <c r="R21" s="16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https://search-rtdc-monitor-bjffxe2xuh6vdkpspy63sjmuny.us-east-1.es.amazonaws.com/_plugin/kibana/#/discover/Steve-Slow-Train-Analysis-(2080s-and-2083s)?_g=(refreshInterval:(display:Off,section:0,value:0),time:(from:'2016-04-21 04:38:39-0600',mode:absolute,to:'2016-04-21 05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21" s="16" t="str">
        <f>IF(V21&lt;23,"Y","N")</f>
        <v>N</v>
      </c>
      <c r="T21" s="16">
        <f>RIGHT(D21,LEN(D21)-4)/10000</f>
        <v>4.4600000000000001E-2</v>
      </c>
      <c r="U21" s="16">
        <f>RIGHT(H21,LEN(H21)-4)/10000</f>
        <v>23.3306</v>
      </c>
      <c r="V21" s="16">
        <f>ABS(U21-T21)</f>
        <v>23.286000000000001</v>
      </c>
      <c r="W21" s="49" t="e">
        <f>VLOOKUP(A21,Enforcements!$C$3:$J$40,8,0)</f>
        <v>#N/A</v>
      </c>
      <c r="X21" s="49" t="e">
        <f>VLOOKUP(A21,Enforcements!$C$3:$J$40,3,0)</f>
        <v>#N/A</v>
      </c>
    </row>
    <row r="22" spans="1:24" s="2" customFormat="1" x14ac:dyDescent="0.25">
      <c r="A22" s="18" t="s">
        <v>228</v>
      </c>
      <c r="B22" s="19">
        <v>4017</v>
      </c>
      <c r="C22" s="19" t="s">
        <v>118</v>
      </c>
      <c r="D22" s="19" t="s">
        <v>120</v>
      </c>
      <c r="E22" s="53">
        <v>42481.230706018519</v>
      </c>
      <c r="F22" s="53">
        <v>42481.232175925928</v>
      </c>
      <c r="G22" s="71">
        <v>2</v>
      </c>
      <c r="H22" s="53" t="s">
        <v>33</v>
      </c>
      <c r="I22" s="53">
        <v>42481.265902777777</v>
      </c>
      <c r="J22" s="19">
        <v>0</v>
      </c>
      <c r="K22" s="19" t="str">
        <f>IF(ISEVEN(B22),(B22-1)&amp;"/"&amp;B22,B22&amp;"/"&amp;(B22+1))</f>
        <v>4017/4018</v>
      </c>
      <c r="L22" s="20">
        <f>I22-F22</f>
        <v>3.3726851848769002E-2</v>
      </c>
      <c r="M22" s="21">
        <f>$L22*24*60</f>
        <v>48.566666662227362</v>
      </c>
      <c r="N22" s="21"/>
      <c r="O22" s="22"/>
      <c r="P22" s="17"/>
      <c r="R22" s="16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https://search-rtdc-monitor-bjffxe2xuh6vdkpspy63sjmuny.us-east-1.es.amazonaws.com/_plugin/kibana/#/discover/Steve-Slow-Train-Analysis-(2080s-and-2083s)?_g=(refreshInterval:(display:Off,section:0,value:0),time:(from:'2016-04-21 05:31:13-0600',mode:absolute,to:'2016-04-21 06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22" s="16" t="str">
        <f>IF(V22&lt;23,"Y","N")</f>
        <v>N</v>
      </c>
      <c r="T22" s="16">
        <f>RIGHT(D22,LEN(D22)-4)/10000</f>
        <v>23.298300000000001</v>
      </c>
      <c r="U22" s="16">
        <f>RIGHT(H22,LEN(H22)-4)/10000</f>
        <v>1.52E-2</v>
      </c>
      <c r="V22" s="16">
        <f>ABS(U22-T22)</f>
        <v>23.283100000000001</v>
      </c>
      <c r="W22" s="49" t="e">
        <f>VLOOKUP(A22,Enforcements!$C$3:$J$40,8,0)</f>
        <v>#N/A</v>
      </c>
      <c r="X22" s="49" t="e">
        <f>VLOOKUP(A22,Enforcements!$C$3:$J$40,3,0)</f>
        <v>#N/A</v>
      </c>
    </row>
    <row r="23" spans="1:24" s="2" customFormat="1" x14ac:dyDescent="0.25">
      <c r="A23" s="18" t="s">
        <v>155</v>
      </c>
      <c r="B23" s="19">
        <v>4018</v>
      </c>
      <c r="C23" s="19" t="s">
        <v>118</v>
      </c>
      <c r="D23" s="19" t="s">
        <v>58</v>
      </c>
      <c r="E23" s="53">
        <v>42481.267754629633</v>
      </c>
      <c r="F23" s="53">
        <v>42481.270972222221</v>
      </c>
      <c r="G23" s="71">
        <v>4</v>
      </c>
      <c r="H23" s="53" t="s">
        <v>35</v>
      </c>
      <c r="I23" s="53">
        <v>42481.296331018515</v>
      </c>
      <c r="J23" s="19">
        <v>2</v>
      </c>
      <c r="K23" s="19" t="str">
        <f>IF(ISEVEN(B23),(B23-1)&amp;"/"&amp;B23,B23&amp;"/"&amp;(B23+1))</f>
        <v>4017/4018</v>
      </c>
      <c r="L23" s="20">
        <f>I23-F23</f>
        <v>2.5358796294312924E-2</v>
      </c>
      <c r="M23" s="21">
        <f>$L23*24*60</f>
        <v>36.516666663810611</v>
      </c>
      <c r="N23" s="21"/>
      <c r="O23" s="22"/>
      <c r="P23" s="17"/>
      <c r="R23" s="16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https://search-rtdc-monitor-bjffxe2xuh6vdkpspy63sjmuny.us-east-1.es.amazonaws.com/_plugin/kibana/#/discover/Steve-Slow-Train-Analysis-(2080s-and-2083s)?_g=(refreshInterval:(display:Off,section:0,value:0),time:(from:'2016-04-21 06:24:34-0600',mode:absolute,to:'2016-04-21 07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23" s="16" t="str">
        <f>IF(V23&lt;23,"Y","N")</f>
        <v>N</v>
      </c>
      <c r="T23" s="16">
        <f>RIGHT(D23,LEN(D23)-4)/10000</f>
        <v>4.8899999999999999E-2</v>
      </c>
      <c r="U23" s="16">
        <f>RIGHT(H23,LEN(H23)-4)/10000</f>
        <v>23.3293</v>
      </c>
      <c r="V23" s="16">
        <f>ABS(U23-T23)</f>
        <v>23.2804</v>
      </c>
      <c r="W23" s="49">
        <f>VLOOKUP(A23,Enforcements!$C$3:$J$40,8,0)</f>
        <v>155600</v>
      </c>
      <c r="X23" s="49" t="str">
        <f>VLOOKUP(A23,Enforcements!$C$3:$J$40,3,0)</f>
        <v>SIGNAL</v>
      </c>
    </row>
    <row r="24" spans="1:24" s="2" customFormat="1" x14ac:dyDescent="0.25">
      <c r="A24" s="18" t="s">
        <v>164</v>
      </c>
      <c r="B24" s="19">
        <v>4017</v>
      </c>
      <c r="C24" s="19" t="s">
        <v>118</v>
      </c>
      <c r="D24" s="19" t="s">
        <v>125</v>
      </c>
      <c r="E24" s="53">
        <v>42481.301793981482</v>
      </c>
      <c r="F24" s="53">
        <v>42481.309907407405</v>
      </c>
      <c r="G24" s="71">
        <v>1</v>
      </c>
      <c r="H24" s="53" t="s">
        <v>25</v>
      </c>
      <c r="I24" s="53">
        <v>42481.33902777778</v>
      </c>
      <c r="J24" s="19">
        <v>1</v>
      </c>
      <c r="K24" s="19" t="str">
        <f>IF(ISEVEN(B24),(B24-1)&amp;"/"&amp;B24,B24&amp;"/"&amp;(B24+1))</f>
        <v>4017/4018</v>
      </c>
      <c r="L24" s="20">
        <f>I24-F24</f>
        <v>2.9120370374585036E-2</v>
      </c>
      <c r="M24" s="21">
        <f>$L24*24*60</f>
        <v>41.933333339402452</v>
      </c>
      <c r="N24" s="21"/>
      <c r="O24" s="22"/>
      <c r="P24" s="17"/>
      <c r="R24" s="16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https://search-rtdc-monitor-bjffxe2xuh6vdkpspy63sjmuny.us-east-1.es.amazonaws.com/_plugin/kibana/#/discover/Steve-Slow-Train-Analysis-(2080s-and-2083s)?_g=(refreshInterval:(display:Off,section:0,value:0),time:(from:'2016-04-21 07:13:35-0600',mode:absolute,to:'2016-04-21 08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24" s="16" t="str">
        <f>IF(V24&lt;23,"Y","N")</f>
        <v>N</v>
      </c>
      <c r="T24" s="16">
        <f>RIGHT(D24,LEN(D24)-4)/10000</f>
        <v>23.296700000000001</v>
      </c>
      <c r="U24" s="16">
        <f>RIGHT(H24,LEN(H24)-4)/10000</f>
        <v>1.47E-2</v>
      </c>
      <c r="V24" s="16">
        <f>ABS(U24-T24)</f>
        <v>23.282</v>
      </c>
      <c r="W24" s="49" t="e">
        <f>VLOOKUP(A24,Enforcements!$C$3:$J$40,8,0)</f>
        <v>#N/A</v>
      </c>
      <c r="X24" s="49" t="e">
        <f>VLOOKUP(A24,Enforcements!$C$3:$J$40,3,0)</f>
        <v>#N/A</v>
      </c>
    </row>
    <row r="25" spans="1:24" s="2" customFormat="1" x14ac:dyDescent="0.25">
      <c r="A25" s="18" t="s">
        <v>252</v>
      </c>
      <c r="B25" s="19">
        <v>4018</v>
      </c>
      <c r="C25" s="19" t="s">
        <v>118</v>
      </c>
      <c r="D25" s="19" t="s">
        <v>253</v>
      </c>
      <c r="E25" s="53">
        <v>42481.342407407406</v>
      </c>
      <c r="F25" s="53">
        <v>42481.343923611108</v>
      </c>
      <c r="G25" s="71">
        <v>2</v>
      </c>
      <c r="H25" s="53" t="s">
        <v>130</v>
      </c>
      <c r="I25" s="53">
        <v>42481.371423611112</v>
      </c>
      <c r="J25" s="19">
        <v>0</v>
      </c>
      <c r="K25" s="19" t="str">
        <f>IF(ISEVEN(B25),(B25-1)&amp;"/"&amp;B25,B25&amp;"/"&amp;(B25+1))</f>
        <v>4017/4018</v>
      </c>
      <c r="L25" s="20">
        <f>I25-F25</f>
        <v>2.7500000003783498E-2</v>
      </c>
      <c r="M25" s="21">
        <f>$L25*24*60</f>
        <v>39.600000005448237</v>
      </c>
      <c r="N25" s="21"/>
      <c r="O25" s="22"/>
      <c r="P25" s="17"/>
      <c r="R25" s="16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https://search-rtdc-monitor-bjffxe2xuh6vdkpspy63sjmuny.us-east-1.es.amazonaws.com/_plugin/kibana/#/discover/Steve-Slow-Train-Analysis-(2080s-and-2083s)?_g=(refreshInterval:(display:Off,section:0,value:0),time:(from:'2016-04-21 08:12:04-0600',mode:absolute,to:'2016-04-21 08:55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25" s="16" t="str">
        <f>IF(V25&lt;23,"Y","N")</f>
        <v>N</v>
      </c>
      <c r="T25" s="16">
        <f>RIGHT(D25,LEN(D25)-4)/10000</f>
        <v>4.8399999999999999E-2</v>
      </c>
      <c r="U25" s="16">
        <f>RIGHT(H25,LEN(H25)-4)/10000</f>
        <v>23.329699999999999</v>
      </c>
      <c r="V25" s="16">
        <f>ABS(U25-T25)</f>
        <v>23.281299999999998</v>
      </c>
      <c r="W25" s="49" t="e">
        <f>VLOOKUP(A25,Enforcements!$C$3:$J$40,8,0)</f>
        <v>#N/A</v>
      </c>
      <c r="X25" s="49" t="e">
        <f>VLOOKUP(A25,Enforcements!$C$3:$J$40,3,0)</f>
        <v>#N/A</v>
      </c>
    </row>
    <row r="26" spans="1:24" s="2" customFormat="1" x14ac:dyDescent="0.25">
      <c r="A26" s="18" t="s">
        <v>254</v>
      </c>
      <c r="B26" s="19">
        <v>4017</v>
      </c>
      <c r="C26" s="19" t="s">
        <v>118</v>
      </c>
      <c r="D26" s="19" t="s">
        <v>28</v>
      </c>
      <c r="E26" s="53">
        <v>42481.375277777777</v>
      </c>
      <c r="F26" s="53">
        <v>42481.376238425924</v>
      </c>
      <c r="G26" s="71">
        <v>1</v>
      </c>
      <c r="H26" s="53" t="s">
        <v>30</v>
      </c>
      <c r="I26" s="53">
        <v>42481.409548611111</v>
      </c>
      <c r="J26" s="19">
        <v>0</v>
      </c>
      <c r="K26" s="19" t="str">
        <f>IF(ISEVEN(B26),(B26-1)&amp;"/"&amp;B26,B26&amp;"/"&amp;(B26+1))</f>
        <v>4017/4018</v>
      </c>
      <c r="L26" s="20">
        <f>I26-F26</f>
        <v>3.3310185186564922E-2</v>
      </c>
      <c r="M26" s="21">
        <f>$L26*24*60</f>
        <v>47.966666668653488</v>
      </c>
      <c r="N26" s="21"/>
      <c r="O26" s="22"/>
      <c r="P26" s="17"/>
      <c r="R26" s="16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https://search-rtdc-monitor-bjffxe2xuh6vdkpspy63sjmuny.us-east-1.es.amazonaws.com/_plugin/kibana/#/discover/Steve-Slow-Train-Analysis-(2080s-and-2083s)?_g=(refreshInterval:(display:Off,section:0,value:0),time:(from:'2016-04-21 08:59:24-0600',mode:absolute,to:'2016-04-21 09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26" s="16" t="str">
        <f>IF(V26&lt;23,"Y","N")</f>
        <v>N</v>
      </c>
      <c r="T26" s="16">
        <f>RIGHT(D26,LEN(D26)-4)/10000</f>
        <v>23.299399999999999</v>
      </c>
      <c r="U26" s="16">
        <f>RIGHT(H26,LEN(H26)-4)/10000</f>
        <v>1.4999999999999999E-2</v>
      </c>
      <c r="V26" s="16">
        <f>ABS(U26-T26)</f>
        <v>23.284399999999998</v>
      </c>
      <c r="W26" s="49" t="e">
        <f>VLOOKUP(A26,Enforcements!$C$3:$J$40,8,0)</f>
        <v>#N/A</v>
      </c>
      <c r="X26" s="49" t="e">
        <f>VLOOKUP(A26,Enforcements!$C$3:$J$40,3,0)</f>
        <v>#N/A</v>
      </c>
    </row>
    <row r="27" spans="1:24" s="2" customFormat="1" x14ac:dyDescent="0.25">
      <c r="A27" s="18" t="s">
        <v>264</v>
      </c>
      <c r="B27" s="19">
        <v>4018</v>
      </c>
      <c r="C27" s="19" t="s">
        <v>118</v>
      </c>
      <c r="D27" s="19" t="s">
        <v>37</v>
      </c>
      <c r="E27" s="53">
        <v>42481.411863425928</v>
      </c>
      <c r="F27" s="53">
        <v>42481.412835648145</v>
      </c>
      <c r="G27" s="71">
        <v>1</v>
      </c>
      <c r="H27" s="53" t="s">
        <v>61</v>
      </c>
      <c r="I27" s="53">
        <v>42481.441620370373</v>
      </c>
      <c r="J27" s="19">
        <v>0</v>
      </c>
      <c r="K27" s="19" t="str">
        <f>IF(ISEVEN(B27),(B27-1)&amp;"/"&amp;B27,B27&amp;"/"&amp;(B27+1))</f>
        <v>4017/4018</v>
      </c>
      <c r="L27" s="20">
        <f>I27-F27</f>
        <v>2.8784722228010651E-2</v>
      </c>
      <c r="M27" s="21">
        <f>$L27*24*60</f>
        <v>41.450000008335337</v>
      </c>
      <c r="N27" s="21"/>
      <c r="O27" s="22"/>
      <c r="P27" s="17"/>
      <c r="R27" s="16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https://search-rtdc-monitor-bjffxe2xuh6vdkpspy63sjmuny.us-east-1.es.amazonaws.com/_plugin/kibana/#/discover/Steve-Slow-Train-Analysis-(2080s-and-2083s)?_g=(refreshInterval:(display:Off,section:0,value:0),time:(from:'2016-04-21 09:52:05-0600',mode:absolute,to:'2016-04-21 10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27" s="16" t="str">
        <f>IF(V27&lt;23,"Y","N")</f>
        <v>N</v>
      </c>
      <c r="T27" s="16">
        <f>RIGHT(D27,LEN(D27)-4)/10000</f>
        <v>4.58E-2</v>
      </c>
      <c r="U27" s="16">
        <f>RIGHT(H27,LEN(H27)-4)/10000</f>
        <v>23.3307</v>
      </c>
      <c r="V27" s="16">
        <f>ABS(U27-T27)</f>
        <v>23.2849</v>
      </c>
      <c r="W27" s="49" t="e">
        <f>VLOOKUP(A27,Enforcements!$C$3:$J$40,8,0)</f>
        <v>#N/A</v>
      </c>
      <c r="X27" s="49" t="e">
        <f>VLOOKUP(A27,Enforcements!$C$3:$J$40,3,0)</f>
        <v>#N/A</v>
      </c>
    </row>
    <row r="28" spans="1:24" s="2" customFormat="1" x14ac:dyDescent="0.25">
      <c r="A28" s="18" t="s">
        <v>172</v>
      </c>
      <c r="B28" s="19">
        <v>4017</v>
      </c>
      <c r="C28" s="19" t="s">
        <v>118</v>
      </c>
      <c r="D28" s="19" t="s">
        <v>225</v>
      </c>
      <c r="E28" s="53">
        <v>42481.447256944448</v>
      </c>
      <c r="F28" s="53">
        <v>42481.449594907404</v>
      </c>
      <c r="G28" s="71">
        <v>3</v>
      </c>
      <c r="H28" s="53" t="s">
        <v>265</v>
      </c>
      <c r="I28" s="53">
        <v>42481.481076388889</v>
      </c>
      <c r="J28" s="19">
        <v>1</v>
      </c>
      <c r="K28" s="19" t="str">
        <f>IF(ISEVEN(B28),(B28-1)&amp;"/"&amp;B28,B28&amp;"/"&amp;(B28+1))</f>
        <v>4017/4018</v>
      </c>
      <c r="L28" s="20">
        <f>I28-F28</f>
        <v>3.1481481484661344E-2</v>
      </c>
      <c r="M28" s="21">
        <f>$L28*24*60</f>
        <v>45.333333337912336</v>
      </c>
      <c r="N28" s="21"/>
      <c r="O28" s="22"/>
      <c r="P28" s="17"/>
      <c r="R28" s="16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https://search-rtdc-monitor-bjffxe2xuh6vdkpspy63sjmuny.us-east-1.es.amazonaws.com/_plugin/kibana/#/discover/Steve-Slow-Train-Analysis-(2080s-and-2083s)?_g=(refreshInterval:(display:Off,section:0,value:0),time:(from:'2016-04-21 10:43:03-0600',mode:absolute,to:'2016-04-21 11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28" s="16" t="str">
        <f>IF(V28&lt;23,"Y","N")</f>
        <v>N</v>
      </c>
      <c r="T28" s="16">
        <f>RIGHT(D28,LEN(D28)-4)/10000</f>
        <v>23.297499999999999</v>
      </c>
      <c r="U28" s="16">
        <f>RIGHT(H28,LEN(H28)-4)/10000</f>
        <v>9.4700000000000006E-2</v>
      </c>
      <c r="V28" s="16">
        <f>ABS(U28-T28)</f>
        <v>23.2028</v>
      </c>
      <c r="W28" s="49" t="e">
        <f>VLOOKUP(A28,Enforcements!$C$3:$J$40,8,0)</f>
        <v>#N/A</v>
      </c>
      <c r="X28" s="49" t="e">
        <f>VLOOKUP(A28,Enforcements!$C$3:$J$40,3,0)</f>
        <v>#N/A</v>
      </c>
    </row>
    <row r="29" spans="1:24" s="2" customFormat="1" x14ac:dyDescent="0.25">
      <c r="A29" s="18" t="s">
        <v>278</v>
      </c>
      <c r="B29" s="19">
        <v>4018</v>
      </c>
      <c r="C29" s="19" t="s">
        <v>118</v>
      </c>
      <c r="D29" s="19" t="s">
        <v>279</v>
      </c>
      <c r="E29" s="53">
        <v>42481.489976851852</v>
      </c>
      <c r="F29" s="53">
        <v>42481.491018518522</v>
      </c>
      <c r="G29" s="71">
        <v>1</v>
      </c>
      <c r="H29" s="53" t="s">
        <v>133</v>
      </c>
      <c r="I29" s="53">
        <v>42481.516388888886</v>
      </c>
      <c r="J29" s="19">
        <v>0</v>
      </c>
      <c r="K29" s="19" t="str">
        <f>IF(ISEVEN(B29),(B29-1)&amp;"/"&amp;B29,B29&amp;"/"&amp;(B29+1))</f>
        <v>4017/4018</v>
      </c>
      <c r="L29" s="20">
        <f>I29-F29</f>
        <v>2.5370370363816619E-2</v>
      </c>
      <c r="M29" s="21">
        <f>$L29*24*60</f>
        <v>36.533333323895931</v>
      </c>
      <c r="N29" s="21"/>
      <c r="O29" s="22"/>
      <c r="P29" s="17"/>
      <c r="R29" s="16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https://search-rtdc-monitor-bjffxe2xuh6vdkpspy63sjmuny.us-east-1.es.amazonaws.com/_plugin/kibana/#/discover/Steve-Slow-Train-Analysis-(2080s-and-2083s)?_g=(refreshInterval:(display:Off,section:0,value:0),time:(from:'2016-04-21 11:44:34-0600',mode:absolute,to:'2016-04-21 12:24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29" s="16" t="str">
        <f>IF(V29&lt;23,"Y","N")</f>
        <v>N</v>
      </c>
      <c r="T29" s="16">
        <f>RIGHT(D29,LEN(D29)-4)/10000</f>
        <v>0.12709999999999999</v>
      </c>
      <c r="U29" s="16">
        <f>RIGHT(H29,LEN(H29)-4)/10000</f>
        <v>23.333200000000001</v>
      </c>
      <c r="V29" s="16">
        <f>ABS(U29-T29)</f>
        <v>23.206100000000003</v>
      </c>
      <c r="W29" s="49" t="e">
        <f>VLOOKUP(A29,Enforcements!$C$3:$J$40,8,0)</f>
        <v>#N/A</v>
      </c>
      <c r="X29" s="49" t="e">
        <f>VLOOKUP(A29,Enforcements!$C$3:$J$40,3,0)</f>
        <v>#N/A</v>
      </c>
    </row>
    <row r="30" spans="1:24" s="2" customFormat="1" x14ac:dyDescent="0.25">
      <c r="A30" s="18" t="s">
        <v>179</v>
      </c>
      <c r="B30" s="19">
        <v>4017</v>
      </c>
      <c r="C30" s="19" t="s">
        <v>118</v>
      </c>
      <c r="D30" s="19" t="s">
        <v>280</v>
      </c>
      <c r="E30" s="53">
        <v>42481.526018518518</v>
      </c>
      <c r="F30" s="53">
        <v>42481.527488425927</v>
      </c>
      <c r="G30" s="71">
        <v>2</v>
      </c>
      <c r="H30" s="53" t="s">
        <v>33</v>
      </c>
      <c r="I30" s="53">
        <v>42481.554849537039</v>
      </c>
      <c r="J30" s="19">
        <v>1</v>
      </c>
      <c r="K30" s="19" t="str">
        <f>IF(ISEVEN(B30),(B30-1)&amp;"/"&amp;B30,B30&amp;"/"&amp;(B30+1))</f>
        <v>4017/4018</v>
      </c>
      <c r="L30" s="20">
        <f>I30-F30</f>
        <v>2.73611111115315E-2</v>
      </c>
      <c r="M30" s="21">
        <f>$L30*24*60</f>
        <v>39.40000000060536</v>
      </c>
      <c r="N30" s="21"/>
      <c r="O30" s="22"/>
      <c r="P30" s="17"/>
      <c r="R30" s="16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https://search-rtdc-monitor-bjffxe2xuh6vdkpspy63sjmuny.us-east-1.es.amazonaws.com/_plugin/kibana/#/discover/Steve-Slow-Train-Analysis-(2080s-and-2083s)?_g=(refreshInterval:(display:Off,section:0,value:0),time:(from:'2016-04-21 12:36:28-0600',mode:absolute,to:'2016-04-21 13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30" s="16" t="str">
        <f>IF(V30&lt;23,"Y","N")</f>
        <v>N</v>
      </c>
      <c r="T30" s="16">
        <f>RIGHT(D30,LEN(D30)-4)/10000</f>
        <v>23.300899999999999</v>
      </c>
      <c r="U30" s="16">
        <f>RIGHT(H30,LEN(H30)-4)/10000</f>
        <v>1.52E-2</v>
      </c>
      <c r="V30" s="16">
        <f>ABS(U30-T30)</f>
        <v>23.285699999999999</v>
      </c>
      <c r="W30" s="49">
        <f>VLOOKUP(A30,Enforcements!$C$3:$J$40,8,0)</f>
        <v>15167</v>
      </c>
      <c r="X30" s="49" t="str">
        <f>VLOOKUP(A30,Enforcements!$C$3:$J$40,3,0)</f>
        <v>PERMANENT SPEED RESTRICTION</v>
      </c>
    </row>
    <row r="31" spans="1:24" s="2" customFormat="1" x14ac:dyDescent="0.25">
      <c r="A31" s="18" t="s">
        <v>182</v>
      </c>
      <c r="B31" s="19">
        <v>4018</v>
      </c>
      <c r="C31" s="19" t="s">
        <v>118</v>
      </c>
      <c r="D31" s="19" t="s">
        <v>227</v>
      </c>
      <c r="E31" s="53">
        <v>42481.559351851851</v>
      </c>
      <c r="F31" s="53">
        <v>42481.562881944446</v>
      </c>
      <c r="G31" s="71">
        <v>1</v>
      </c>
      <c r="H31" s="53" t="s">
        <v>293</v>
      </c>
      <c r="I31" s="53">
        <v>42481.595983796295</v>
      </c>
      <c r="J31" s="19">
        <v>1</v>
      </c>
      <c r="K31" s="19" t="str">
        <f>IF(ISEVEN(B31),(B31-1)&amp;"/"&amp;B31,B31&amp;"/"&amp;(B31+1))</f>
        <v>4017/4018</v>
      </c>
      <c r="L31" s="20">
        <f>I31-F31</f>
        <v>3.3101851848186925E-2</v>
      </c>
      <c r="M31" s="21">
        <f>$L31*24*60</f>
        <v>47.666666661389172</v>
      </c>
      <c r="N31" s="21"/>
      <c r="O31" s="22"/>
      <c r="P31" s="17"/>
      <c r="R31" s="16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https://search-rtdc-monitor-bjffxe2xuh6vdkpspy63sjmuny.us-east-1.es.amazonaws.com/_plugin/kibana/#/discover/Steve-Slow-Train-Analysis-(2080s-and-2083s)?_g=(refreshInterval:(display:Off,section:0,value:0),time:(from:'2016-04-21 13:24:28-0600',mode:absolute,to:'2016-04-21 14:19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1" s="16" t="str">
        <f>IF(V31&lt;23,"Y","N")</f>
        <v>N</v>
      </c>
      <c r="T31" s="16">
        <f>RIGHT(D31,LEN(D31)-4)/10000</f>
        <v>4.4600000000000001E-2</v>
      </c>
      <c r="U31" s="16">
        <f>RIGHT(H31,LEN(H31)-4)/10000</f>
        <v>23.340599999999998</v>
      </c>
      <c r="V31" s="16">
        <f>ABS(U31-T31)</f>
        <v>23.295999999999999</v>
      </c>
      <c r="W31" s="49">
        <f>VLOOKUP(A31,Enforcements!$C$3:$J$40,8,0)</f>
        <v>53155</v>
      </c>
      <c r="X31" s="49" t="str">
        <f>VLOOKUP(A31,Enforcements!$C$3:$J$40,3,0)</f>
        <v>GRADE CROSSING</v>
      </c>
    </row>
    <row r="32" spans="1:24" s="2" customFormat="1" x14ac:dyDescent="0.25">
      <c r="A32" s="18" t="s">
        <v>294</v>
      </c>
      <c r="B32" s="19">
        <v>4017</v>
      </c>
      <c r="C32" s="19" t="s">
        <v>118</v>
      </c>
      <c r="D32" s="19" t="s">
        <v>295</v>
      </c>
      <c r="E32" s="53">
        <v>42481.602349537039</v>
      </c>
      <c r="F32" s="53">
        <v>42481.603159722225</v>
      </c>
      <c r="G32" s="71">
        <v>1</v>
      </c>
      <c r="H32" s="53" t="s">
        <v>29</v>
      </c>
      <c r="I32" s="53">
        <v>42481.63077546296</v>
      </c>
      <c r="J32" s="19">
        <v>0</v>
      </c>
      <c r="K32" s="19" t="str">
        <f>IF(ISEVEN(B32),(B32-1)&amp;"/"&amp;B32,B32&amp;"/"&amp;(B32+1))</f>
        <v>4017/4018</v>
      </c>
      <c r="L32" s="20">
        <f>I32-F32</f>
        <v>2.7615740735200234E-2</v>
      </c>
      <c r="M32" s="21">
        <f>$L32*24*60</f>
        <v>39.766666658688337</v>
      </c>
      <c r="N32" s="21"/>
      <c r="O32" s="22"/>
      <c r="P32" s="17"/>
      <c r="R32" s="16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https://search-rtdc-monitor-bjffxe2xuh6vdkpspy63sjmuny.us-east-1.es.amazonaws.com/_plugin/kibana/#/discover/Steve-Slow-Train-Analysis-(2080s-and-2083s)?_g=(refreshInterval:(display:Off,section:0,value:0),time:(from:'2016-04-21 14:26:23-0600',mode:absolute,to:'2016-04-21 15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32" s="16" t="str">
        <f>IF(V32&lt;23,"Y","N")</f>
        <v>N</v>
      </c>
      <c r="T32" s="16">
        <f>RIGHT(D32,LEN(D32)-4)/10000</f>
        <v>23.305099999999999</v>
      </c>
      <c r="U32" s="16">
        <f>RIGHT(H32,LEN(H32)-4)/10000</f>
        <v>1.3899999999999999E-2</v>
      </c>
      <c r="V32" s="16">
        <f>ABS(U32-T32)</f>
        <v>23.2912</v>
      </c>
      <c r="W32" s="49" t="e">
        <f>VLOOKUP(A32,Enforcements!$C$3:$J$40,8,0)</f>
        <v>#N/A</v>
      </c>
      <c r="X32" s="49" t="e">
        <f>VLOOKUP(A32,Enforcements!$C$3:$J$40,3,0)</f>
        <v>#N/A</v>
      </c>
    </row>
    <row r="33" spans="1:24" s="2" customFormat="1" x14ac:dyDescent="0.25">
      <c r="A33" s="18" t="s">
        <v>190</v>
      </c>
      <c r="B33" s="19">
        <v>4018</v>
      </c>
      <c r="C33" s="19" t="s">
        <v>118</v>
      </c>
      <c r="D33" s="19" t="s">
        <v>127</v>
      </c>
      <c r="E33" s="53">
        <v>42481.632013888891</v>
      </c>
      <c r="F33" s="53">
        <v>42481.633020833331</v>
      </c>
      <c r="G33" s="71">
        <v>1</v>
      </c>
      <c r="H33" s="53" t="s">
        <v>312</v>
      </c>
      <c r="I33" s="53">
        <v>42481.661446759259</v>
      </c>
      <c r="J33" s="19">
        <v>1</v>
      </c>
      <c r="K33" s="19" t="str">
        <f>IF(ISEVEN(B33),(B33-1)&amp;"/"&amp;B33,B33&amp;"/"&amp;(B33+1))</f>
        <v>4017/4018</v>
      </c>
      <c r="L33" s="20">
        <f>I33-F33</f>
        <v>2.842592592787696E-2</v>
      </c>
      <c r="M33" s="21">
        <f>$L33*24*60</f>
        <v>40.933333336142823</v>
      </c>
      <c r="N33" s="21"/>
      <c r="O33" s="22"/>
      <c r="P33" s="17"/>
      <c r="R33" s="16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https://search-rtdc-monitor-bjffxe2xuh6vdkpspy63sjmuny.us-east-1.es.amazonaws.com/_plugin/kibana/#/discover/Steve-Slow-Train-Analysis-(2080s-and-2083s)?_g=(refreshInterval:(display:Off,section:0,value:0),time:(from:'2016-04-21 15:09:06-0600',mode:absolute,to:'2016-04-21 15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3" s="16" t="str">
        <f>IF(V33&lt;23,"Y","N")</f>
        <v>N</v>
      </c>
      <c r="T33" s="16">
        <f>RIGHT(D33,LEN(D33)-4)/10000</f>
        <v>4.5499999999999999E-2</v>
      </c>
      <c r="U33" s="16">
        <f>RIGHT(H33,LEN(H33)-4)/10000</f>
        <v>23.3247</v>
      </c>
      <c r="V33" s="16">
        <f>ABS(U33-T33)</f>
        <v>23.279199999999999</v>
      </c>
      <c r="W33" s="49" t="e">
        <f>VLOOKUP(A33,Enforcements!$C$3:$J$40,8,0)</f>
        <v>#N/A</v>
      </c>
      <c r="X33" s="49" t="e">
        <f>VLOOKUP(A33,Enforcements!$C$3:$J$40,3,0)</f>
        <v>#N/A</v>
      </c>
    </row>
    <row r="34" spans="1:24" s="2" customFormat="1" x14ac:dyDescent="0.25">
      <c r="A34" s="18" t="s">
        <v>313</v>
      </c>
      <c r="B34" s="19">
        <v>4017</v>
      </c>
      <c r="C34" s="19" t="s">
        <v>118</v>
      </c>
      <c r="D34" s="19" t="s">
        <v>314</v>
      </c>
      <c r="E34" s="53">
        <v>42481.671724537038</v>
      </c>
      <c r="F34" s="53">
        <v>42481.672743055555</v>
      </c>
      <c r="G34" s="71">
        <v>1</v>
      </c>
      <c r="H34" s="53" t="s">
        <v>25</v>
      </c>
      <c r="I34" s="53">
        <v>42481.709305555552</v>
      </c>
      <c r="J34" s="19">
        <v>0</v>
      </c>
      <c r="K34" s="19" t="str">
        <f>IF(ISEVEN(B34),(B34-1)&amp;"/"&amp;B34,B34&amp;"/"&amp;(B34+1))</f>
        <v>4017/4018</v>
      </c>
      <c r="L34" s="20">
        <f>I34-F34</f>
        <v>3.6562499997671694E-2</v>
      </c>
      <c r="M34" s="21">
        <f>$L34*24*60</f>
        <v>52.649999996647239</v>
      </c>
      <c r="N34" s="21"/>
      <c r="O34" s="22"/>
      <c r="P34" s="17" t="s">
        <v>378</v>
      </c>
      <c r="R34" s="16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https://search-rtdc-monitor-bjffxe2xuh6vdkpspy63sjmuny.us-east-1.es.amazonaws.com/_plugin/kibana/#/discover/Steve-Slow-Train-Analysis-(2080s-and-2083s)?_g=(refreshInterval:(display:Off,section:0,value:0),time:(from:'2016-04-21 16:06:17-0600',mode:absolute,to:'2016-04-21 17:02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34" s="16" t="str">
        <f>IF(V34&lt;23,"Y","N")</f>
        <v>N</v>
      </c>
      <c r="T34" s="16">
        <f>RIGHT(D34,LEN(D34)-4)/10000</f>
        <v>23.291499999999999</v>
      </c>
      <c r="U34" s="16">
        <f>RIGHT(H34,LEN(H34)-4)/10000</f>
        <v>1.47E-2</v>
      </c>
      <c r="V34" s="16">
        <f>ABS(U34-T34)</f>
        <v>23.276799999999998</v>
      </c>
      <c r="W34" s="49" t="e">
        <f>VLOOKUP(A34,Enforcements!$C$3:$J$40,8,0)</f>
        <v>#N/A</v>
      </c>
      <c r="X34" s="49" t="e">
        <f>VLOOKUP(A34,Enforcements!$C$3:$J$40,3,0)</f>
        <v>#N/A</v>
      </c>
    </row>
    <row r="35" spans="1:24" s="2" customFormat="1" x14ac:dyDescent="0.25">
      <c r="A35" s="18" t="s">
        <v>328</v>
      </c>
      <c r="B35" s="19">
        <v>4018</v>
      </c>
      <c r="C35" s="19" t="s">
        <v>118</v>
      </c>
      <c r="D35" s="19" t="s">
        <v>62</v>
      </c>
      <c r="E35" s="53">
        <v>42481.714571759258</v>
      </c>
      <c r="F35" s="53">
        <v>42481.716192129628</v>
      </c>
      <c r="G35" s="71">
        <v>2</v>
      </c>
      <c r="H35" s="53" t="s">
        <v>329</v>
      </c>
      <c r="I35" s="53">
        <v>42481.743402777778</v>
      </c>
      <c r="J35" s="19">
        <v>0</v>
      </c>
      <c r="K35" s="19" t="str">
        <f>IF(ISEVEN(B35),(B35-1)&amp;"/"&amp;B35,B35&amp;"/"&amp;(B35+1))</f>
        <v>4017/4018</v>
      </c>
      <c r="L35" s="20">
        <f>I35-F35</f>
        <v>2.7210648149775807E-2</v>
      </c>
      <c r="M35" s="21">
        <f>$L35*24*60</f>
        <v>39.183333335677162</v>
      </c>
      <c r="N35" s="21"/>
      <c r="O35" s="22"/>
      <c r="P35" s="17"/>
      <c r="R35" s="16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https://search-rtdc-monitor-bjffxe2xuh6vdkpspy63sjmuny.us-east-1.es.amazonaws.com/_plugin/kibana/#/discover/Steve-Slow-Train-Analysis-(2080s-and-2083s)?_g=(refreshInterval:(display:Off,section:0,value:0),time:(from:'2016-04-21 17:07:59-0600',mode:absolute,to:'2016-04-21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5" s="16" t="str">
        <f>IF(V35&lt;23,"Y","N")</f>
        <v>N</v>
      </c>
      <c r="T35" s="16">
        <f>RIGHT(D35,LEN(D35)-4)/10000</f>
        <v>4.6600000000000003E-2</v>
      </c>
      <c r="U35" s="16">
        <f>RIGHT(H35,LEN(H35)-4)/10000</f>
        <v>23.3353</v>
      </c>
      <c r="V35" s="16">
        <f>ABS(U35-T35)</f>
        <v>23.288699999999999</v>
      </c>
      <c r="W35" s="49" t="e">
        <f>VLOOKUP(A35,Enforcements!$C$3:$J$40,8,0)</f>
        <v>#N/A</v>
      </c>
      <c r="X35" s="49" t="e">
        <f>VLOOKUP(A35,Enforcements!$C$3:$J$40,3,0)</f>
        <v>#N/A</v>
      </c>
    </row>
    <row r="36" spans="1:24" s="2" customFormat="1" x14ac:dyDescent="0.25">
      <c r="A36" s="18" t="s">
        <v>193</v>
      </c>
      <c r="B36" s="19">
        <v>4017</v>
      </c>
      <c r="C36" s="19" t="s">
        <v>118</v>
      </c>
      <c r="D36" s="19" t="s">
        <v>330</v>
      </c>
      <c r="E36" s="53">
        <v>42481.754282407404</v>
      </c>
      <c r="F36" s="53">
        <v>42481.75508101852</v>
      </c>
      <c r="G36" s="71">
        <v>1</v>
      </c>
      <c r="H36" s="53" t="s">
        <v>8</v>
      </c>
      <c r="I36" s="53">
        <v>42481.785150462965</v>
      </c>
      <c r="J36" s="19">
        <v>1</v>
      </c>
      <c r="K36" s="19" t="str">
        <f>IF(ISEVEN(B36),(B36-1)&amp;"/"&amp;B36,B36&amp;"/"&amp;(B36+1))</f>
        <v>4017/4018</v>
      </c>
      <c r="L36" s="20">
        <f>I36-F36</f>
        <v>3.0069444444961846E-2</v>
      </c>
      <c r="M36" s="21">
        <f>$L36*24*60</f>
        <v>43.300000000745058</v>
      </c>
      <c r="N36" s="21"/>
      <c r="O36" s="22"/>
      <c r="P36" s="17"/>
      <c r="R36" s="16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https://search-rtdc-monitor-bjffxe2xuh6vdkpspy63sjmuny.us-east-1.es.amazonaws.com/_plugin/kibana/#/discover/Steve-Slow-Train-Analysis-(2080s-and-2083s)?_g=(refreshInterval:(display:Off,section:0,value:0),time:(from:'2016-04-21 18:05:10-0600',mode:absolute,to:'2016-04-21 18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36" s="16" t="str">
        <f>IF(V36&lt;23,"Y","N")</f>
        <v>N</v>
      </c>
      <c r="T36" s="16">
        <f>RIGHT(D36,LEN(D36)-4)/10000</f>
        <v>23.303799999999999</v>
      </c>
      <c r="U36" s="16">
        <f>RIGHT(H36,LEN(H36)-4)/10000</f>
        <v>1.49E-2</v>
      </c>
      <c r="V36" s="16">
        <f>ABS(U36-T36)</f>
        <v>23.288899999999998</v>
      </c>
      <c r="W36" s="49">
        <f>VLOOKUP(A36,Enforcements!$C$3:$J$40,8,0)</f>
        <v>190834</v>
      </c>
      <c r="X36" s="49" t="str">
        <f>VLOOKUP(A36,Enforcements!$C$3:$J$40,3,0)</f>
        <v>PERMANENT SPEED RESTRICTION</v>
      </c>
    </row>
    <row r="37" spans="1:24" s="2" customFormat="1" x14ac:dyDescent="0.25">
      <c r="A37" s="18" t="s">
        <v>200</v>
      </c>
      <c r="B37" s="19">
        <v>4018</v>
      </c>
      <c r="C37" s="19" t="s">
        <v>118</v>
      </c>
      <c r="D37" s="19" t="s">
        <v>66</v>
      </c>
      <c r="E37" s="53">
        <v>42481.788530092592</v>
      </c>
      <c r="F37" s="53">
        <v>42481.789560185185</v>
      </c>
      <c r="G37" s="71">
        <v>1</v>
      </c>
      <c r="H37" s="53" t="s">
        <v>32</v>
      </c>
      <c r="I37" s="53">
        <v>42481.817071759258</v>
      </c>
      <c r="J37" s="19">
        <v>1</v>
      </c>
      <c r="K37" s="19" t="str">
        <f>IF(ISEVEN(B37),(B37-1)&amp;"/"&amp;B37,B37&amp;"/"&amp;(B37+1))</f>
        <v>4017/4018</v>
      </c>
      <c r="L37" s="20">
        <f>I37-F37</f>
        <v>2.7511574073287193E-2</v>
      </c>
      <c r="M37" s="21">
        <f>$L37*24*60</f>
        <v>39.616666665533558</v>
      </c>
      <c r="N37" s="21"/>
      <c r="O37" s="22"/>
      <c r="P37" s="17"/>
      <c r="R37" s="16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https://search-rtdc-monitor-bjffxe2xuh6vdkpspy63sjmuny.us-east-1.es.amazonaws.com/_plugin/kibana/#/discover/Steve-Slow-Train-Analysis-(2080s-and-2083s)?_g=(refreshInterval:(display:Off,section:0,value:0),time:(from:'2016-04-21 18:54:29-0600',mode:absolute,to:'2016-04-21 19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7" s="16" t="str">
        <f>IF(V37&lt;23,"Y","N")</f>
        <v>N</v>
      </c>
      <c r="T37" s="16">
        <f>RIGHT(D37,LEN(D37)-4)/10000</f>
        <v>4.4900000000000002E-2</v>
      </c>
      <c r="U37" s="16">
        <f>RIGHT(H37,LEN(H37)-4)/10000</f>
        <v>23.331399999999999</v>
      </c>
      <c r="V37" s="16">
        <f>ABS(U37-T37)</f>
        <v>23.2865</v>
      </c>
      <c r="W37" s="49">
        <f>VLOOKUP(A37,Enforcements!$C$3:$J$40,8,0)</f>
        <v>230436</v>
      </c>
      <c r="X37" s="49" t="str">
        <f>VLOOKUP(A37,Enforcements!$C$3:$J$40,3,0)</f>
        <v>PERMANENT SPEED RESTRICTION</v>
      </c>
    </row>
    <row r="38" spans="1:24" s="2" customFormat="1" x14ac:dyDescent="0.25">
      <c r="A38" s="18" t="s">
        <v>343</v>
      </c>
      <c r="B38" s="19">
        <v>4017</v>
      </c>
      <c r="C38" s="19" t="s">
        <v>118</v>
      </c>
      <c r="D38" s="19" t="s">
        <v>44</v>
      </c>
      <c r="E38" s="53">
        <v>42481.824247685188</v>
      </c>
      <c r="F38" s="53">
        <v>42481.831041666665</v>
      </c>
      <c r="G38" s="71">
        <v>1</v>
      </c>
      <c r="H38" s="53" t="s">
        <v>26</v>
      </c>
      <c r="I38" s="53">
        <v>42481.860289351855</v>
      </c>
      <c r="J38" s="19">
        <v>0</v>
      </c>
      <c r="K38" s="19" t="str">
        <f>IF(ISEVEN(B38),(B38-1)&amp;"/"&amp;B38,B38&amp;"/"&amp;(B38+1))</f>
        <v>4017/4018</v>
      </c>
      <c r="L38" s="20">
        <f>I38-F38</f>
        <v>2.9247685190057382E-2</v>
      </c>
      <c r="M38" s="21">
        <f>$L38*24*60</f>
        <v>42.11666667368263</v>
      </c>
      <c r="N38" s="21"/>
      <c r="O38" s="22"/>
      <c r="P38" s="17"/>
      <c r="R38" s="16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https://search-rtdc-monitor-bjffxe2xuh6vdkpspy63sjmuny.us-east-1.es.amazonaws.com/_plugin/kibana/#/discover/Steve-Slow-Train-Analysis-(2080s-and-2083s)?_g=(refreshInterval:(display:Off,section:0,value:0),time:(from:'2016-04-21 19:45:55-0600',mode:absolute,to:'2016-04-21 20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38" s="16" t="str">
        <f>IF(V38&lt;23,"Y","N")</f>
        <v>N</v>
      </c>
      <c r="T38" s="16">
        <f>RIGHT(D38,LEN(D38)-4)/10000</f>
        <v>23.2989</v>
      </c>
      <c r="U38" s="16">
        <f>RIGHT(H38,LEN(H38)-4)/10000</f>
        <v>1.5800000000000002E-2</v>
      </c>
      <c r="V38" s="16">
        <f>ABS(U38-T38)</f>
        <v>23.283100000000001</v>
      </c>
      <c r="W38" s="49" t="e">
        <f>VLOOKUP(A38,Enforcements!$C$3:$J$40,8,0)</f>
        <v>#N/A</v>
      </c>
      <c r="X38" s="49" t="e">
        <f>VLOOKUP(A38,Enforcements!$C$3:$J$40,3,0)</f>
        <v>#N/A</v>
      </c>
    </row>
    <row r="39" spans="1:24" s="2" customFormat="1" x14ac:dyDescent="0.25">
      <c r="A39" s="18" t="s">
        <v>203</v>
      </c>
      <c r="B39" s="19">
        <v>4018</v>
      </c>
      <c r="C39" s="19" t="s">
        <v>118</v>
      </c>
      <c r="D39" s="19" t="s">
        <v>243</v>
      </c>
      <c r="E39" s="53">
        <v>42481.863055555557</v>
      </c>
      <c r="F39" s="53">
        <v>42481.863993055558</v>
      </c>
      <c r="G39" s="71">
        <v>1</v>
      </c>
      <c r="H39" s="53" t="s">
        <v>52</v>
      </c>
      <c r="I39" s="53">
        <v>42481.889710648145</v>
      </c>
      <c r="J39" s="19">
        <v>2</v>
      </c>
      <c r="K39" s="19" t="str">
        <f>IF(ISEVEN(B39),(B39-1)&amp;"/"&amp;B39,B39&amp;"/"&amp;(B39+1))</f>
        <v>4017/4018</v>
      </c>
      <c r="L39" s="20">
        <f>I39-F39</f>
        <v>2.5717592587170657E-2</v>
      </c>
      <c r="M39" s="21">
        <f>$L39*24*60</f>
        <v>37.033333325525746</v>
      </c>
      <c r="N39" s="21"/>
      <c r="O39" s="22"/>
      <c r="P39" s="17"/>
      <c r="R39" s="16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https://search-rtdc-monitor-bjffxe2xuh6vdkpspy63sjmuny.us-east-1.es.amazonaws.com/_plugin/kibana/#/discover/Steve-Slow-Train-Analysis-(2080s-and-2083s)?_g=(refreshInterval:(display:Off,section:0,value:0),time:(from:'2016-04-21 20:41:48-0600',mode:absolute,to:'2016-04-21 21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S39" s="16" t="str">
        <f>IF(V39&lt;23,"Y","N")</f>
        <v>N</v>
      </c>
      <c r="T39" s="16">
        <f>RIGHT(D39,LEN(D39)-4)/10000</f>
        <v>4.4200000000000003E-2</v>
      </c>
      <c r="U39" s="16">
        <f>RIGHT(H39,LEN(H39)-4)/10000</f>
        <v>23.330300000000001</v>
      </c>
      <c r="V39" s="16">
        <f>ABS(U39-T39)</f>
        <v>23.286100000000001</v>
      </c>
      <c r="W39" s="49">
        <f>VLOOKUP(A39,Enforcements!$C$3:$J$40,8,0)</f>
        <v>20338</v>
      </c>
      <c r="X39" s="49" t="str">
        <f>VLOOKUP(A39,Enforcements!$C$3:$J$40,3,0)</f>
        <v>PERMANENT SPEED RESTRICTION</v>
      </c>
    </row>
    <row r="40" spans="1:24" s="2" customFormat="1" x14ac:dyDescent="0.25">
      <c r="A40" s="18" t="s">
        <v>205</v>
      </c>
      <c r="B40" s="19">
        <v>4017</v>
      </c>
      <c r="C40" s="19" t="s">
        <v>118</v>
      </c>
      <c r="D40" s="19" t="s">
        <v>63</v>
      </c>
      <c r="E40" s="53">
        <v>42481.898900462962</v>
      </c>
      <c r="F40" s="53">
        <v>42481.899664351855</v>
      </c>
      <c r="G40" s="71">
        <v>1</v>
      </c>
      <c r="H40" s="53" t="s">
        <v>39</v>
      </c>
      <c r="I40" s="53">
        <v>42481.929583333331</v>
      </c>
      <c r="J40" s="19">
        <v>1</v>
      </c>
      <c r="K40" s="19" t="str">
        <f>IF(ISEVEN(B40),(B40-1)&amp;"/"&amp;B40,B40&amp;"/"&amp;(B40+1))</f>
        <v>4017/4018</v>
      </c>
      <c r="L40" s="20">
        <f>I40-F40</f>
        <v>2.9918981475930195E-2</v>
      </c>
      <c r="M40" s="21">
        <f>$L40*24*60</f>
        <v>43.083333325339481</v>
      </c>
      <c r="N40" s="21"/>
      <c r="O40" s="22"/>
      <c r="P40" s="17"/>
      <c r="R40" s="16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https://search-rtdc-monitor-bjffxe2xuh6vdkpspy63sjmuny.us-east-1.es.amazonaws.com/_plugin/kibana/#/discover/Steve-Slow-Train-Analysis-(2080s-and-2083s)?_g=(refreshInterval:(display:Off,section:0,value:0),time:(from:'2016-04-21 21:33:25-0600',mode:absolute,to:'2016-04-21 22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40" s="16" t="str">
        <f>IF(V40&lt;23,"Y","N")</f>
        <v>N</v>
      </c>
      <c r="T40" s="16">
        <f>RIGHT(D40,LEN(D40)-4)/10000</f>
        <v>23.2988</v>
      </c>
      <c r="U40" s="16">
        <f>RIGHT(H40,LEN(H40)-4)/10000</f>
        <v>1.4500000000000001E-2</v>
      </c>
      <c r="V40" s="16">
        <f>ABS(U40-T40)</f>
        <v>23.284299999999998</v>
      </c>
      <c r="W40" s="49">
        <f>VLOOKUP(A40,Enforcements!$C$3:$J$40,8,0)</f>
        <v>15167</v>
      </c>
      <c r="X40" s="49" t="str">
        <f>VLOOKUP(A40,Enforcements!$C$3:$J$40,3,0)</f>
        <v>PERMANENT SPEED RESTRICTION</v>
      </c>
    </row>
    <row r="41" spans="1:24" s="2" customFormat="1" x14ac:dyDescent="0.25">
      <c r="A41" s="18" t="s">
        <v>210</v>
      </c>
      <c r="B41" s="19">
        <v>4020</v>
      </c>
      <c r="C41" s="19" t="s">
        <v>118</v>
      </c>
      <c r="D41" s="19" t="s">
        <v>211</v>
      </c>
      <c r="E41" s="53">
        <v>42481.128101851849</v>
      </c>
      <c r="F41" s="53">
        <v>42481.129247685189</v>
      </c>
      <c r="G41" s="71">
        <v>1</v>
      </c>
      <c r="H41" s="53" t="s">
        <v>130</v>
      </c>
      <c r="I41" s="53">
        <v>42481.162210648145</v>
      </c>
      <c r="J41" s="19">
        <v>0</v>
      </c>
      <c r="K41" s="19" t="str">
        <f>IF(ISEVEN(B41),(B41-1)&amp;"/"&amp;B41,B41&amp;"/"&amp;(B41+1))</f>
        <v>4019/4020</v>
      </c>
      <c r="L41" s="20">
        <f>I41-F41</f>
        <v>3.2962962955934927E-2</v>
      </c>
      <c r="M41" s="21">
        <f>$L41*24*60</f>
        <v>47.466666656546295</v>
      </c>
      <c r="N41" s="21"/>
      <c r="O41" s="22"/>
      <c r="P41" s="17"/>
      <c r="R41" s="16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https://search-rtdc-monitor-bjffxe2xuh6vdkpspy63sjmuny.us-east-1.es.amazonaws.com/_plugin/kibana/#/discover/Steve-Slow-Train-Analysis-(2080s-and-2083s)?_g=(refreshInterval:(display:Off,section:0,value:0),time:(from:'2016-04-21 03:03:28-0600',mode:absolute,to:'2016-04-21 03:54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41" s="16" t="str">
        <f>IF(V41&lt;23,"Y","N")</f>
        <v>N</v>
      </c>
      <c r="T41" s="16">
        <f>RIGHT(D41,LEN(D41)-4)/10000</f>
        <v>6.93E-2</v>
      </c>
      <c r="U41" s="16">
        <f>RIGHT(H41,LEN(H41)-4)/10000</f>
        <v>23.329699999999999</v>
      </c>
      <c r="V41" s="16">
        <f>ABS(U41-T41)</f>
        <v>23.260400000000001</v>
      </c>
      <c r="W41" s="49" t="e">
        <f>VLOOKUP(A41,Enforcements!$C$3:$J$40,8,0)</f>
        <v>#N/A</v>
      </c>
      <c r="X41" s="49" t="e">
        <f>VLOOKUP(A41,Enforcements!$C$3:$J$40,3,0)</f>
        <v>#N/A</v>
      </c>
    </row>
    <row r="42" spans="1:24" s="2" customFormat="1" x14ac:dyDescent="0.25">
      <c r="A42" s="18" t="s">
        <v>150</v>
      </c>
      <c r="B42" s="19">
        <v>4020</v>
      </c>
      <c r="C42" s="19" t="s">
        <v>118</v>
      </c>
      <c r="D42" s="19" t="s">
        <v>229</v>
      </c>
      <c r="E42" s="53">
        <v>42481.207835648151</v>
      </c>
      <c r="F42" s="53">
        <v>42481.209409722222</v>
      </c>
      <c r="G42" s="71">
        <v>2</v>
      </c>
      <c r="H42" s="53" t="s">
        <v>136</v>
      </c>
      <c r="I42" s="53">
        <v>42481.233344907407</v>
      </c>
      <c r="J42" s="19">
        <v>1</v>
      </c>
      <c r="K42" s="19" t="str">
        <f>IF(ISEVEN(B42),(B42-1)&amp;"/"&amp;B42,B42&amp;"/"&amp;(B42+1))</f>
        <v>4019/4020</v>
      </c>
      <c r="L42" s="20">
        <f>I42-F42</f>
        <v>2.3935185185109731E-2</v>
      </c>
      <c r="M42" s="21">
        <f>$L42*24*60</f>
        <v>34.466666666558012</v>
      </c>
      <c r="N42" s="21"/>
      <c r="O42" s="22"/>
      <c r="P42" s="17"/>
      <c r="R42" s="16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https://search-rtdc-monitor-bjffxe2xuh6vdkpspy63sjmuny.us-east-1.es.amazonaws.com/_plugin/kibana/#/discover/Steve-Slow-Train-Analysis-(2080s-and-2083s)?_g=(refreshInterval:(display:Off,section:0,value:0),time:(from:'2016-04-21 04:58:17-0600',mode:absolute,to:'2016-04-21 05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42" s="16" t="str">
        <f>IF(V42&lt;23,"Y","N")</f>
        <v>N</v>
      </c>
      <c r="T42" s="16">
        <f>RIGHT(D42,LEN(D42)-4)/10000</f>
        <v>7.9000000000000001E-2</v>
      </c>
      <c r="U42" s="16">
        <f>RIGHT(H42,LEN(H42)-4)/10000</f>
        <v>23.327400000000001</v>
      </c>
      <c r="V42" s="16">
        <f>ABS(U42-T42)</f>
        <v>23.2484</v>
      </c>
      <c r="W42" s="49" t="e">
        <f>VLOOKUP(A42,Enforcements!$C$3:$J$40,8,0)</f>
        <v>#N/A</v>
      </c>
      <c r="X42" s="49" t="e">
        <f>VLOOKUP(A42,Enforcements!$C$3:$J$40,3,0)</f>
        <v>#N/A</v>
      </c>
    </row>
    <row r="43" spans="1:24" s="2" customFormat="1" x14ac:dyDescent="0.25">
      <c r="A43" s="18" t="s">
        <v>230</v>
      </c>
      <c r="B43" s="19">
        <v>4019</v>
      </c>
      <c r="C43" s="19" t="s">
        <v>118</v>
      </c>
      <c r="D43" s="19" t="s">
        <v>231</v>
      </c>
      <c r="E43" s="53">
        <v>42481.243784722225</v>
      </c>
      <c r="F43" s="53">
        <v>42481.24490740741</v>
      </c>
      <c r="G43" s="71">
        <v>1</v>
      </c>
      <c r="H43" s="53" t="s">
        <v>26</v>
      </c>
      <c r="I43" s="53">
        <v>42481.275937500002</v>
      </c>
      <c r="J43" s="19">
        <v>0</v>
      </c>
      <c r="K43" s="19" t="str">
        <f>IF(ISEVEN(B43),(B43-1)&amp;"/"&amp;B43,B43&amp;"/"&amp;(B43+1))</f>
        <v>4019/4020</v>
      </c>
      <c r="L43" s="20">
        <f>I43-F43</f>
        <v>3.1030092592118308E-2</v>
      </c>
      <c r="M43" s="21">
        <f>$L43*24*60</f>
        <v>44.683333332650363</v>
      </c>
      <c r="N43" s="21"/>
      <c r="O43" s="22"/>
      <c r="P43" s="17"/>
      <c r="R43" s="16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https://search-rtdc-monitor-bjffxe2xuh6vdkpspy63sjmuny.us-east-1.es.amazonaws.com/_plugin/kibana/#/discover/Steve-Slow-Train-Analysis-(2080s-and-2083s)?_g=(refreshInterval:(display:Off,section:0,value:0),time:(from:'2016-04-21 05:50:03-0600',mode:absolute,to:'2016-04-21 06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43" s="16" t="str">
        <f>IF(V43&lt;23,"Y","N")</f>
        <v>N</v>
      </c>
      <c r="T43" s="16">
        <f>RIGHT(D43,LEN(D43)-4)/10000</f>
        <v>23.295300000000001</v>
      </c>
      <c r="U43" s="16">
        <f>RIGHT(H43,LEN(H43)-4)/10000</f>
        <v>1.5800000000000002E-2</v>
      </c>
      <c r="V43" s="16">
        <f>ABS(U43-T43)</f>
        <v>23.279500000000002</v>
      </c>
      <c r="W43" s="49" t="e">
        <f>VLOOKUP(A43,Enforcements!$C$3:$J$40,8,0)</f>
        <v>#N/A</v>
      </c>
      <c r="X43" s="49" t="e">
        <f>VLOOKUP(A43,Enforcements!$C$3:$J$40,3,0)</f>
        <v>#N/A</v>
      </c>
    </row>
    <row r="44" spans="1:24" s="2" customFormat="1" x14ac:dyDescent="0.25">
      <c r="A44" s="18" t="s">
        <v>156</v>
      </c>
      <c r="B44" s="19">
        <v>4020</v>
      </c>
      <c r="C44" s="19" t="s">
        <v>118</v>
      </c>
      <c r="D44" s="19" t="s">
        <v>124</v>
      </c>
      <c r="E44" s="53">
        <v>42481.277592592596</v>
      </c>
      <c r="F44" s="53">
        <v>42481.278761574074</v>
      </c>
      <c r="G44" s="71">
        <v>1</v>
      </c>
      <c r="H44" s="53" t="s">
        <v>47</v>
      </c>
      <c r="I44" s="53">
        <v>42481.306585648148</v>
      </c>
      <c r="J44" s="19">
        <v>1</v>
      </c>
      <c r="K44" s="19" t="str">
        <f>IF(ISEVEN(B44),(B44-1)&amp;"/"&amp;B44,B44&amp;"/"&amp;(B44+1))</f>
        <v>4019/4020</v>
      </c>
      <c r="L44" s="20">
        <f>I44-F44</f>
        <v>2.7824074073578231E-2</v>
      </c>
      <c r="M44" s="21">
        <f>$L44*24*60</f>
        <v>40.066666665952653</v>
      </c>
      <c r="N44" s="21"/>
      <c r="O44" s="22"/>
      <c r="P44" s="17"/>
      <c r="R44" s="16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https://search-rtdc-monitor-bjffxe2xuh6vdkpspy63sjmuny.us-east-1.es.amazonaws.com/_plugin/kibana/#/discover/Steve-Slow-Train-Analysis-(2080s-and-2083s)?_g=(refreshInterval:(display:Off,section:0,value:0),time:(from:'2016-04-21 06:38:44-0600',mode:absolute,to:'2016-04-21 07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44" s="16" t="str">
        <f>IF(V44&lt;23,"Y","N")</f>
        <v>N</v>
      </c>
      <c r="T44" s="16">
        <f>RIGHT(D44,LEN(D44)-4)/10000</f>
        <v>4.2700000000000002E-2</v>
      </c>
      <c r="U44" s="16">
        <f>RIGHT(H44,LEN(H44)-4)/10000</f>
        <v>23.330200000000001</v>
      </c>
      <c r="V44" s="16">
        <f>ABS(U44-T44)</f>
        <v>23.287500000000001</v>
      </c>
      <c r="W44" s="49">
        <f>VLOOKUP(A44,Enforcements!$C$3:$J$40,8,0)</f>
        <v>230436</v>
      </c>
      <c r="X44" s="49" t="str">
        <f>VLOOKUP(A44,Enforcements!$C$3:$J$40,3,0)</f>
        <v>PERMANENT SPEED RESTRICTION</v>
      </c>
    </row>
    <row r="45" spans="1:24" s="2" customFormat="1" x14ac:dyDescent="0.25">
      <c r="A45" s="18" t="s">
        <v>241</v>
      </c>
      <c r="B45" s="19">
        <v>4019</v>
      </c>
      <c r="C45" s="19" t="s">
        <v>118</v>
      </c>
      <c r="D45" s="19" t="s">
        <v>43</v>
      </c>
      <c r="E45" s="53">
        <v>42481.316550925927</v>
      </c>
      <c r="F45" s="53">
        <v>42481.317627314813</v>
      </c>
      <c r="G45" s="71">
        <v>1</v>
      </c>
      <c r="H45" s="53" t="s">
        <v>29</v>
      </c>
      <c r="I45" s="53">
        <v>42481.349583333336</v>
      </c>
      <c r="J45" s="19">
        <v>0</v>
      </c>
      <c r="K45" s="19" t="str">
        <f>IF(ISEVEN(B45),(B45-1)&amp;"/"&amp;B45,B45&amp;"/"&amp;(B45+1))</f>
        <v>4019/4020</v>
      </c>
      <c r="L45" s="20">
        <f>I45-F45</f>
        <v>3.1956018523487728E-2</v>
      </c>
      <c r="M45" s="21">
        <f>$L45*24*60</f>
        <v>46.016666673822328</v>
      </c>
      <c r="N45" s="21"/>
      <c r="O45" s="22"/>
      <c r="P45" s="17"/>
      <c r="R45" s="16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https://search-rtdc-monitor-bjffxe2xuh6vdkpspy63sjmuny.us-east-1.es.amazonaws.com/_plugin/kibana/#/discover/Steve-Slow-Train-Analysis-(2080s-and-2083s)?_g=(refreshInterval:(display:Off,section:0,value:0),time:(from:'2016-04-21 07:34:50-0600',mode:absolute,to:'2016-04-21 08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45" s="16" t="str">
        <f>IF(V45&lt;23,"Y","N")</f>
        <v>N</v>
      </c>
      <c r="T45" s="16">
        <f>RIGHT(D45,LEN(D45)-4)/10000</f>
        <v>23.2987</v>
      </c>
      <c r="U45" s="16">
        <f>RIGHT(H45,LEN(H45)-4)/10000</f>
        <v>1.3899999999999999E-2</v>
      </c>
      <c r="V45" s="16">
        <f>ABS(U45-T45)</f>
        <v>23.284800000000001</v>
      </c>
      <c r="W45" s="49" t="e">
        <f>VLOOKUP(A45,Enforcements!$C$3:$J$40,8,0)</f>
        <v>#N/A</v>
      </c>
      <c r="X45" s="49" t="e">
        <f>VLOOKUP(A45,Enforcements!$C$3:$J$40,3,0)</f>
        <v>#N/A</v>
      </c>
    </row>
    <row r="46" spans="1:24" s="2" customFormat="1" x14ac:dyDescent="0.25">
      <c r="A46" s="18" t="s">
        <v>166</v>
      </c>
      <c r="B46" s="19">
        <v>4020</v>
      </c>
      <c r="C46" s="19" t="s">
        <v>118</v>
      </c>
      <c r="D46" s="19" t="s">
        <v>246</v>
      </c>
      <c r="E46" s="53">
        <v>42481.351041666669</v>
      </c>
      <c r="F46" s="53">
        <v>42481.352002314816</v>
      </c>
      <c r="G46" s="71">
        <v>1</v>
      </c>
      <c r="H46" s="53" t="s">
        <v>35</v>
      </c>
      <c r="I46" s="53">
        <v>42481.380324074074</v>
      </c>
      <c r="J46" s="19">
        <v>1</v>
      </c>
      <c r="K46" s="19" t="str">
        <f>IF(ISEVEN(B46),(B46-1)&amp;"/"&amp;B46,B46&amp;"/"&amp;(B46+1))</f>
        <v>4019/4020</v>
      </c>
      <c r="L46" s="20">
        <f>I46-F46</f>
        <v>2.8321759258687962E-2</v>
      </c>
      <c r="M46" s="21">
        <f>$L46*24*60</f>
        <v>40.783333332510665</v>
      </c>
      <c r="N46" s="21"/>
      <c r="O46" s="22"/>
      <c r="P46" s="17"/>
      <c r="R46" s="16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https://search-rtdc-monitor-bjffxe2xuh6vdkpspy63sjmuny.us-east-1.es.amazonaws.com/_plugin/kibana/#/discover/Steve-Slow-Train-Analysis-(2080s-and-2083s)?_g=(refreshInterval:(display:Off,section:0,value:0),time:(from:'2016-04-21 08:24:30-0600',mode:absolute,to:'2016-04-21 09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46" s="16" t="str">
        <f>IF(V46&lt;23,"Y","N")</f>
        <v>N</v>
      </c>
      <c r="T46" s="16">
        <f>RIGHT(D46,LEN(D46)-4)/10000</f>
        <v>4.53E-2</v>
      </c>
      <c r="U46" s="16">
        <f>RIGHT(H46,LEN(H46)-4)/10000</f>
        <v>23.3293</v>
      </c>
      <c r="V46" s="16">
        <f>ABS(U46-T46)</f>
        <v>23.283999999999999</v>
      </c>
      <c r="W46" s="49">
        <f>VLOOKUP(A46,Enforcements!$C$3:$J$40,8,0)</f>
        <v>86214</v>
      </c>
      <c r="X46" s="49" t="str">
        <f>VLOOKUP(A46,Enforcements!$C$3:$J$40,3,0)</f>
        <v>GRADE CROSSING</v>
      </c>
    </row>
    <row r="47" spans="1:24" s="2" customFormat="1" x14ac:dyDescent="0.25">
      <c r="A47" s="18" t="s">
        <v>241</v>
      </c>
      <c r="B47" s="19">
        <v>4019</v>
      </c>
      <c r="C47" s="19" t="s">
        <v>118</v>
      </c>
      <c r="D47" s="19" t="s">
        <v>63</v>
      </c>
      <c r="E47" s="53">
        <v>42481.387974537036</v>
      </c>
      <c r="F47" s="53">
        <v>42481.388564814813</v>
      </c>
      <c r="G47" s="71">
        <v>0</v>
      </c>
      <c r="H47" s="53" t="s">
        <v>29</v>
      </c>
      <c r="I47" s="53">
        <v>42481.421631944446</v>
      </c>
      <c r="J47" s="19">
        <v>0</v>
      </c>
      <c r="K47" s="19" t="str">
        <f>IF(ISEVEN(B47),(B47-1)&amp;"/"&amp;B47,B47&amp;"/"&amp;(B47+1))</f>
        <v>4019/4020</v>
      </c>
      <c r="L47" s="20">
        <f>I47-F47</f>
        <v>3.3067129632399883E-2</v>
      </c>
      <c r="M47" s="21">
        <f>$L47*24*60</f>
        <v>47.616666670655832</v>
      </c>
      <c r="N47" s="21"/>
      <c r="O47" s="22"/>
      <c r="P47" s="17"/>
      <c r="R47" s="16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https://search-rtdc-monitor-bjffxe2xuh6vdkpspy63sjmuny.us-east-1.es.amazonaws.com/_plugin/kibana/#/discover/Steve-Slow-Train-Analysis-(2080s-and-2083s)?_g=(refreshInterval:(display:Off,section:0,value:0),time:(from:'2016-04-21 09:17:41-0600',mode:absolute,to:'2016-04-21 10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47" s="16" t="str">
        <f>IF(V47&lt;23,"Y","N")</f>
        <v>N</v>
      </c>
      <c r="T47" s="16">
        <f>RIGHT(D47,LEN(D47)-4)/10000</f>
        <v>23.2988</v>
      </c>
      <c r="U47" s="16">
        <f>RIGHT(H47,LEN(H47)-4)/10000</f>
        <v>1.3899999999999999E-2</v>
      </c>
      <c r="V47" s="16">
        <f>ABS(U47-T47)</f>
        <v>23.2849</v>
      </c>
      <c r="W47" s="49" t="e">
        <f>VLOOKUP(A47,Enforcements!$C$3:$J$40,8,0)</f>
        <v>#N/A</v>
      </c>
      <c r="X47" s="49" t="e">
        <f>VLOOKUP(A47,Enforcements!$C$3:$J$40,3,0)</f>
        <v>#N/A</v>
      </c>
    </row>
    <row r="48" spans="1:24" s="2" customFormat="1" x14ac:dyDescent="0.25">
      <c r="A48" s="18" t="s">
        <v>266</v>
      </c>
      <c r="B48" s="19">
        <v>4020</v>
      </c>
      <c r="C48" s="19" t="s">
        <v>118</v>
      </c>
      <c r="D48" s="19" t="s">
        <v>227</v>
      </c>
      <c r="E48" s="53">
        <v>42481.428796296299</v>
      </c>
      <c r="F48" s="53">
        <v>42481.429583333331</v>
      </c>
      <c r="G48" s="71">
        <v>1</v>
      </c>
      <c r="H48" s="53" t="s">
        <v>35</v>
      </c>
      <c r="I48" s="53">
        <v>42481.459722222222</v>
      </c>
      <c r="J48" s="19">
        <v>0</v>
      </c>
      <c r="K48" s="19" t="str">
        <f>IF(ISEVEN(B48),(B48-1)&amp;"/"&amp;B48,B48&amp;"/"&amp;(B48+1))</f>
        <v>4019/4020</v>
      </c>
      <c r="L48" s="20">
        <f>I48-F48</f>
        <v>3.0138888891087845E-2</v>
      </c>
      <c r="M48" s="21">
        <f>$L48*24*60</f>
        <v>43.400000003166497</v>
      </c>
      <c r="N48" s="21"/>
      <c r="O48" s="22"/>
      <c r="P48" s="17"/>
      <c r="R48" s="16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https://search-rtdc-monitor-bjffxe2xuh6vdkpspy63sjmuny.us-east-1.es.amazonaws.com/_plugin/kibana/#/discover/Steve-Slow-Train-Analysis-(2080s-and-2083s)?_g=(refreshInterval:(display:Off,section:0,value:0),time:(from:'2016-04-21 10:16:28-0600',mode:absolute,to:'2016-04-21 11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48" s="16" t="str">
        <f>IF(V48&lt;23,"Y","N")</f>
        <v>N</v>
      </c>
      <c r="T48" s="16">
        <f>RIGHT(D48,LEN(D48)-4)/10000</f>
        <v>4.4600000000000001E-2</v>
      </c>
      <c r="U48" s="16">
        <f>RIGHT(H48,LEN(H48)-4)/10000</f>
        <v>23.3293</v>
      </c>
      <c r="V48" s="16">
        <f>ABS(U48-T48)</f>
        <v>23.284700000000001</v>
      </c>
      <c r="W48" s="49" t="e">
        <f>VLOOKUP(A48,Enforcements!$C$3:$J$40,8,0)</f>
        <v>#N/A</v>
      </c>
      <c r="X48" s="49" t="e">
        <f>VLOOKUP(A48,Enforcements!$C$3:$J$40,3,0)</f>
        <v>#N/A</v>
      </c>
    </row>
    <row r="49" spans="1:24" s="2" customFormat="1" x14ac:dyDescent="0.25">
      <c r="A49" s="18" t="s">
        <v>267</v>
      </c>
      <c r="B49" s="19">
        <v>4019</v>
      </c>
      <c r="C49" s="19" t="s">
        <v>118</v>
      </c>
      <c r="D49" s="19" t="s">
        <v>240</v>
      </c>
      <c r="E49" s="53">
        <v>42481.464791666665</v>
      </c>
      <c r="F49" s="53">
        <v>42481.465763888889</v>
      </c>
      <c r="G49" s="71">
        <v>1</v>
      </c>
      <c r="H49" s="53" t="s">
        <v>268</v>
      </c>
      <c r="I49" s="53">
        <v>42481.497164351851</v>
      </c>
      <c r="J49" s="19">
        <v>0</v>
      </c>
      <c r="K49" s="19" t="str">
        <f>IF(ISEVEN(B49),(B49-1)&amp;"/"&amp;B49,B49&amp;"/"&amp;(B49+1))</f>
        <v>4019/4020</v>
      </c>
      <c r="L49" s="20">
        <f>I49-F49</f>
        <v>3.1400462961755693E-2</v>
      </c>
      <c r="M49" s="21">
        <f>$L49*24*60</f>
        <v>45.216666664928198</v>
      </c>
      <c r="N49" s="21"/>
      <c r="O49" s="22"/>
      <c r="P49" s="17"/>
      <c r="R49" s="16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https://search-rtdc-monitor-bjffxe2xuh6vdkpspy63sjmuny.us-east-1.es.amazonaws.com/_plugin/kibana/#/discover/Steve-Slow-Train-Analysis-(2080s-and-2083s)?_g=(refreshInterval:(display:Off,section:0,value:0),time:(from:'2016-04-21 11:08:18-0600',mode:absolute,to:'2016-04-21 11:56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49" s="16" t="str">
        <f>IF(V49&lt;23,"Y","N")</f>
        <v>N</v>
      </c>
      <c r="T49" s="16">
        <f>RIGHT(D49,LEN(D49)-4)/10000</f>
        <v>23.297899999999998</v>
      </c>
      <c r="U49" s="16">
        <f>RIGHT(H49,LEN(H49)-4)/10000</f>
        <v>1.6500000000000001E-2</v>
      </c>
      <c r="V49" s="16">
        <f>ABS(U49-T49)</f>
        <v>23.281399999999998</v>
      </c>
      <c r="W49" s="49" t="e">
        <f>VLOOKUP(A49,Enforcements!$C$3:$J$40,8,0)</f>
        <v>#N/A</v>
      </c>
      <c r="X49" s="49" t="e">
        <f>VLOOKUP(A49,Enforcements!$C$3:$J$40,3,0)</f>
        <v>#N/A</v>
      </c>
    </row>
    <row r="50" spans="1:24" s="2" customFormat="1" x14ac:dyDescent="0.25">
      <c r="A50" s="18" t="s">
        <v>175</v>
      </c>
      <c r="B50" s="19">
        <v>4020</v>
      </c>
      <c r="C50" s="19" t="s">
        <v>118</v>
      </c>
      <c r="D50" s="19" t="s">
        <v>281</v>
      </c>
      <c r="E50" s="53">
        <v>42481.498969907407</v>
      </c>
      <c r="F50" s="53">
        <v>42481.500011574077</v>
      </c>
      <c r="G50" s="71">
        <v>1</v>
      </c>
      <c r="H50" s="53" t="s">
        <v>130</v>
      </c>
      <c r="I50" s="53">
        <v>42481.527453703704</v>
      </c>
      <c r="J50" s="19">
        <v>2</v>
      </c>
      <c r="K50" s="19" t="str">
        <f>IF(ISEVEN(B50),(B50-1)&amp;"/"&amp;B50,B50&amp;"/"&amp;(B50+1))</f>
        <v>4019/4020</v>
      </c>
      <c r="L50" s="20">
        <f>I50-F50</f>
        <v>2.7442129627161194E-2</v>
      </c>
      <c r="M50" s="21">
        <f>$L50*24*60</f>
        <v>39.516666663112119</v>
      </c>
      <c r="N50" s="21"/>
      <c r="O50" s="22"/>
      <c r="P50" s="17"/>
      <c r="R50" s="16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https://search-rtdc-monitor-bjffxe2xuh6vdkpspy63sjmuny.us-east-1.es.amazonaws.com/_plugin/kibana/#/discover/Steve-Slow-Train-Analysis-(2080s-and-2083s)?_g=(refreshInterval:(display:Off,section:0,value:0),time:(from:'2016-04-21 11:57:31-0600',mode:absolute,to:'2016-04-21 12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0" s="16" t="str">
        <f>IF(V50&lt;23,"Y","N")</f>
        <v>N</v>
      </c>
      <c r="T50" s="16">
        <f>RIGHT(D50,LEN(D50)-4)/10000</f>
        <v>4.82E-2</v>
      </c>
      <c r="U50" s="16">
        <f>RIGHT(H50,LEN(H50)-4)/10000</f>
        <v>23.329699999999999</v>
      </c>
      <c r="V50" s="16">
        <f>ABS(U50-T50)</f>
        <v>23.281499999999998</v>
      </c>
      <c r="W50" s="49">
        <f>VLOOKUP(A50,Enforcements!$C$3:$J$40,8,0)</f>
        <v>230436</v>
      </c>
      <c r="X50" s="49" t="str">
        <f>VLOOKUP(A50,Enforcements!$C$3:$J$40,3,0)</f>
        <v>PERMANENT SPEED RESTRICTION</v>
      </c>
    </row>
    <row r="51" spans="1:24" s="2" customFormat="1" x14ac:dyDescent="0.25">
      <c r="A51" s="18" t="s">
        <v>178</v>
      </c>
      <c r="B51" s="19">
        <v>4019</v>
      </c>
      <c r="C51" s="19" t="s">
        <v>118</v>
      </c>
      <c r="D51" s="19" t="s">
        <v>135</v>
      </c>
      <c r="E51" s="53">
        <v>42481.53570601852</v>
      </c>
      <c r="F51" s="53">
        <v>42481.537118055552</v>
      </c>
      <c r="G51" s="71">
        <v>2</v>
      </c>
      <c r="H51" s="53" t="s">
        <v>282</v>
      </c>
      <c r="I51" s="53">
        <v>42481.565949074073</v>
      </c>
      <c r="J51" s="19">
        <v>2</v>
      </c>
      <c r="K51" s="19" t="str">
        <f>IF(ISEVEN(B51),(B51-1)&amp;"/"&amp;B51,B51&amp;"/"&amp;(B51+1))</f>
        <v>4019/4020</v>
      </c>
      <c r="L51" s="20">
        <f>I51-F51</f>
        <v>2.8831018520577345E-2</v>
      </c>
      <c r="M51" s="21">
        <f>$L51*24*60</f>
        <v>41.516666669631377</v>
      </c>
      <c r="N51" s="21"/>
      <c r="O51" s="22"/>
      <c r="P51" s="17"/>
      <c r="R51" s="16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https://search-rtdc-monitor-bjffxe2xuh6vdkpspy63sjmuny.us-east-1.es.amazonaws.com/_plugin/kibana/#/discover/Steve-Slow-Train-Analysis-(2080s-and-2083s)?_g=(refreshInterval:(display:Off,section:0,value:0),time:(from:'2016-04-21 12:50:25-0600',mode:absolute,to:'2016-04-21 13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51" s="16" t="str">
        <f>IF(V51&lt;23,"Y","N")</f>
        <v>N</v>
      </c>
      <c r="T51" s="16">
        <f>RIGHT(D51,LEN(D51)-4)/10000</f>
        <v>23.297599999999999</v>
      </c>
      <c r="U51" s="16">
        <f>RIGHT(H51,LEN(H51)-4)/10000</f>
        <v>1.7000000000000001E-2</v>
      </c>
      <c r="V51" s="16">
        <f>ABS(U51-T51)</f>
        <v>23.2806</v>
      </c>
      <c r="W51" s="49">
        <f>VLOOKUP(A51,Enforcements!$C$3:$J$40,8,0)</f>
        <v>191723</v>
      </c>
      <c r="X51" s="49" t="str">
        <f>VLOOKUP(A51,Enforcements!$C$3:$J$40,3,0)</f>
        <v>SIGNAL</v>
      </c>
    </row>
    <row r="52" spans="1:24" s="2" customFormat="1" x14ac:dyDescent="0.25">
      <c r="A52" s="18" t="s">
        <v>296</v>
      </c>
      <c r="B52" s="19">
        <v>4020</v>
      </c>
      <c r="C52" s="19" t="s">
        <v>118</v>
      </c>
      <c r="D52" s="19" t="s">
        <v>258</v>
      </c>
      <c r="E52" s="53">
        <v>42481.568831018521</v>
      </c>
      <c r="F52" s="53">
        <v>42481.569675925923</v>
      </c>
      <c r="G52" s="71">
        <v>1</v>
      </c>
      <c r="H52" s="53" t="s">
        <v>136</v>
      </c>
      <c r="I52" s="53">
        <v>42481.603935185187</v>
      </c>
      <c r="J52" s="19">
        <v>0</v>
      </c>
      <c r="K52" s="19" t="str">
        <f>IF(ISEVEN(B52),(B52-1)&amp;"/"&amp;B52,B52&amp;"/"&amp;(B52+1))</f>
        <v>4019/4020</v>
      </c>
      <c r="L52" s="20">
        <f>I52-F52</f>
        <v>3.425925926421769E-2</v>
      </c>
      <c r="M52" s="21">
        <f>$L52*24*60</f>
        <v>49.333333340473473</v>
      </c>
      <c r="N52" s="21"/>
      <c r="O52" s="22"/>
      <c r="P52" s="17"/>
      <c r="R52" s="16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https://search-rtdc-monitor-bjffxe2xuh6vdkpspy63sjmuny.us-east-1.es.amazonaws.com/_plugin/kibana/#/discover/Steve-Slow-Train-Analysis-(2080s-and-2083s)?_g=(refreshInterval:(display:Off,section:0,value:0),time:(from:'2016-04-21 13:38:07-0600',mode:absolute,to:'2016-04-21 14:30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2" s="16" t="str">
        <f>IF(V52&lt;23,"Y","N")</f>
        <v>N</v>
      </c>
      <c r="T52" s="16">
        <f>RIGHT(D52,LEN(D52)-4)/10000</f>
        <v>5.0200000000000002E-2</v>
      </c>
      <c r="U52" s="16">
        <f>RIGHT(H52,LEN(H52)-4)/10000</f>
        <v>23.327400000000001</v>
      </c>
      <c r="V52" s="16">
        <f>ABS(U52-T52)</f>
        <v>23.277200000000001</v>
      </c>
      <c r="W52" s="49" t="e">
        <f>VLOOKUP(A52,Enforcements!$C$3:$J$40,8,0)</f>
        <v>#N/A</v>
      </c>
      <c r="X52" s="49" t="e">
        <f>VLOOKUP(A52,Enforcements!$C$3:$J$40,3,0)</f>
        <v>#N/A</v>
      </c>
    </row>
    <row r="53" spans="1:24" s="2" customFormat="1" x14ac:dyDescent="0.25">
      <c r="A53" s="18" t="s">
        <v>297</v>
      </c>
      <c r="B53" s="19">
        <v>4019</v>
      </c>
      <c r="C53" s="19" t="s">
        <v>118</v>
      </c>
      <c r="D53" s="19" t="s">
        <v>298</v>
      </c>
      <c r="E53" s="53">
        <v>42481.607175925928</v>
      </c>
      <c r="F53" s="53">
        <v>42481.608726851853</v>
      </c>
      <c r="G53" s="71">
        <v>2</v>
      </c>
      <c r="H53" s="53" t="s">
        <v>268</v>
      </c>
      <c r="I53" s="53">
        <v>42481.642511574071</v>
      </c>
      <c r="J53" s="19">
        <v>0</v>
      </c>
      <c r="K53" s="19" t="str">
        <f>IF(ISEVEN(B53),(B53-1)&amp;"/"&amp;B53,B53&amp;"/"&amp;(B53+1))</f>
        <v>4019/4020</v>
      </c>
      <c r="L53" s="20">
        <f>I53-F53</f>
        <v>3.3784722218115348E-2</v>
      </c>
      <c r="M53" s="21">
        <f>$L53*24*60</f>
        <v>48.649999994086102</v>
      </c>
      <c r="N53" s="21"/>
      <c r="O53" s="22"/>
      <c r="P53" s="17"/>
      <c r="R53" s="16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https://search-rtdc-monitor-bjffxe2xuh6vdkpspy63sjmuny.us-east-1.es.amazonaws.com/_plugin/kibana/#/discover/Steve-Slow-Train-Analysis-(2080s-and-2083s)?_g=(refreshInterval:(display:Off,section:0,value:0),time:(from:'2016-04-21 14:33:20-0600',mode:absolute,to:'2016-04-21 15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53" s="16" t="str">
        <f>IF(V53&lt;23,"Y","N")</f>
        <v>N</v>
      </c>
      <c r="T53" s="16">
        <f>RIGHT(D53,LEN(D53)-4)/10000</f>
        <v>23.294599999999999</v>
      </c>
      <c r="U53" s="16">
        <f>RIGHT(H53,LEN(H53)-4)/10000</f>
        <v>1.6500000000000001E-2</v>
      </c>
      <c r="V53" s="16">
        <f>ABS(U53-T53)</f>
        <v>23.278099999999998</v>
      </c>
      <c r="W53" s="49" t="e">
        <f>VLOOKUP(A53,Enforcements!$C$3:$J$40,8,0)</f>
        <v>#N/A</v>
      </c>
      <c r="X53" s="49" t="e">
        <f>VLOOKUP(A53,Enforcements!$C$3:$J$40,3,0)</f>
        <v>#N/A</v>
      </c>
    </row>
    <row r="54" spans="1:24" s="2" customFormat="1" x14ac:dyDescent="0.25">
      <c r="A54" s="18" t="s">
        <v>315</v>
      </c>
      <c r="B54" s="19">
        <v>4020</v>
      </c>
      <c r="C54" s="19" t="s">
        <v>118</v>
      </c>
      <c r="D54" s="19" t="s">
        <v>36</v>
      </c>
      <c r="E54" s="53">
        <v>42481.644756944443</v>
      </c>
      <c r="F54" s="53">
        <v>42481.647604166668</v>
      </c>
      <c r="G54" s="71">
        <v>4</v>
      </c>
      <c r="H54" s="53" t="s">
        <v>316</v>
      </c>
      <c r="I54" s="53">
        <v>42481.673344907409</v>
      </c>
      <c r="J54" s="19">
        <v>0</v>
      </c>
      <c r="K54" s="19" t="str">
        <f>IF(ISEVEN(B54),(B54-1)&amp;"/"&amp;B54,B54&amp;"/"&amp;(B54+1))</f>
        <v>4019/4020</v>
      </c>
      <c r="L54" s="20">
        <f>I54-F54</f>
        <v>2.5740740740729962E-2</v>
      </c>
      <c r="M54" s="21">
        <f>$L54*24*60</f>
        <v>37.066666666651145</v>
      </c>
      <c r="N54" s="21"/>
      <c r="O54" s="22"/>
      <c r="P54" s="17"/>
      <c r="R54" s="16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https://search-rtdc-monitor-bjffxe2xuh6vdkpspy63sjmuny.us-east-1.es.amazonaws.com/_plugin/kibana/#/discover/Steve-Slow-Train-Analysis-(2080s-and-2083s)?_g=(refreshInterval:(display:Off,section:0,value:0),time:(from:'2016-04-21 15:27:27-0600',mode:absolute,to:'2016-04-21 16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4" s="16" t="str">
        <f>IF(V54&lt;23,"Y","N")</f>
        <v>N</v>
      </c>
      <c r="T54" s="16">
        <f>RIGHT(D54,LEN(D54)-4)/10000</f>
        <v>4.6399999999999997E-2</v>
      </c>
      <c r="U54" s="16">
        <f>RIGHT(H54,LEN(H54)-4)/10000</f>
        <v>23.328099999999999</v>
      </c>
      <c r="V54" s="16">
        <f>ABS(U54-T54)</f>
        <v>23.281700000000001</v>
      </c>
      <c r="W54" s="49" t="e">
        <f>VLOOKUP(A54,Enforcements!$C$3:$J$40,8,0)</f>
        <v>#N/A</v>
      </c>
      <c r="X54" s="49" t="e">
        <f>VLOOKUP(A54,Enforcements!$C$3:$J$40,3,0)</f>
        <v>#N/A</v>
      </c>
    </row>
    <row r="55" spans="1:24" s="2" customFormat="1" x14ac:dyDescent="0.25">
      <c r="A55" s="18" t="s">
        <v>317</v>
      </c>
      <c r="B55" s="19">
        <v>4019</v>
      </c>
      <c r="C55" s="19" t="s">
        <v>118</v>
      </c>
      <c r="D55" s="19" t="s">
        <v>318</v>
      </c>
      <c r="E55" s="53">
        <v>42481.678148148145</v>
      </c>
      <c r="F55" s="53">
        <v>42481.685034722221</v>
      </c>
      <c r="G55" s="71">
        <v>1</v>
      </c>
      <c r="H55" s="53" t="s">
        <v>8</v>
      </c>
      <c r="I55" s="53">
        <v>42481.715208333335</v>
      </c>
      <c r="J55" s="19">
        <v>0</v>
      </c>
      <c r="K55" s="19" t="str">
        <f>IF(ISEVEN(B55),(B55-1)&amp;"/"&amp;B55,B55&amp;"/"&amp;(B55+1))</f>
        <v>4019/4020</v>
      </c>
      <c r="L55" s="20">
        <f>I55-F55</f>
        <v>3.0173611114150845E-2</v>
      </c>
      <c r="M55" s="21">
        <f>$L55*24*60</f>
        <v>43.450000004377216</v>
      </c>
      <c r="N55" s="21"/>
      <c r="O55" s="22"/>
      <c r="P55" s="17"/>
      <c r="R55" s="16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https://search-rtdc-monitor-bjffxe2xuh6vdkpspy63sjmuny.us-east-1.es.amazonaws.com/_plugin/kibana/#/discover/Steve-Slow-Train-Analysis-(2080s-and-2083s)?_g=(refreshInterval:(display:Off,section:0,value:0),time:(from:'2016-04-21 16:15:32-0600',mode:absolute,to:'2016-04-21 17:10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55" s="16" t="str">
        <f>IF(V55&lt;23,"Y","N")</f>
        <v>N</v>
      </c>
      <c r="T55" s="16">
        <f>RIGHT(D55,LEN(D55)-4)/10000</f>
        <v>23.296800000000001</v>
      </c>
      <c r="U55" s="16">
        <f>RIGHT(H55,LEN(H55)-4)/10000</f>
        <v>1.49E-2</v>
      </c>
      <c r="V55" s="16">
        <f>ABS(U55-T55)</f>
        <v>23.2819</v>
      </c>
      <c r="W55" s="49" t="e">
        <f>VLOOKUP(A55,Enforcements!$C$3:$J$40,8,0)</f>
        <v>#N/A</v>
      </c>
      <c r="X55" s="49" t="e">
        <f>VLOOKUP(A55,Enforcements!$C$3:$J$40,3,0)</f>
        <v>#N/A</v>
      </c>
    </row>
    <row r="56" spans="1:24" s="2" customFormat="1" x14ac:dyDescent="0.25">
      <c r="A56" s="18" t="s">
        <v>331</v>
      </c>
      <c r="B56" s="19">
        <v>4020</v>
      </c>
      <c r="C56" s="19" t="s">
        <v>118</v>
      </c>
      <c r="D56" s="19" t="s">
        <v>62</v>
      </c>
      <c r="E56" s="53">
        <v>42481.719467592593</v>
      </c>
      <c r="F56" s="53">
        <v>42481.722071759257</v>
      </c>
      <c r="G56" s="71">
        <v>3</v>
      </c>
      <c r="H56" s="53" t="s">
        <v>332</v>
      </c>
      <c r="I56" s="53">
        <v>42481.754259259258</v>
      </c>
      <c r="J56" s="19">
        <v>0</v>
      </c>
      <c r="K56" s="19" t="str">
        <f>IF(ISEVEN(B56),(B56-1)&amp;"/"&amp;B56,B56&amp;"/"&amp;(B56+1))</f>
        <v>4019/4020</v>
      </c>
      <c r="L56" s="20">
        <f>I56-F56</f>
        <v>3.2187500000873115E-2</v>
      </c>
      <c r="M56" s="21">
        <f>$L56*24*60</f>
        <v>46.350000001257285</v>
      </c>
      <c r="N56" s="21"/>
      <c r="O56" s="22"/>
      <c r="P56" s="17"/>
      <c r="R56" s="16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https://search-rtdc-monitor-bjffxe2xuh6vdkpspy63sjmuny.us-east-1.es.amazonaws.com/_plugin/kibana/#/discover/Steve-Slow-Train-Analysis-(2080s-and-2083s)?_g=(refreshInterval:(display:Off,section:0,value:0),time:(from:'2016-04-21 17:15:02-0600',mode:absolute,to:'2016-04-21 18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6" s="16" t="str">
        <f>IF(V56&lt;23,"Y","N")</f>
        <v>N</v>
      </c>
      <c r="T56" s="16">
        <f>RIGHT(D56,LEN(D56)-4)/10000</f>
        <v>4.6600000000000003E-2</v>
      </c>
      <c r="U56" s="16">
        <f>RIGHT(H56,LEN(H56)-4)/10000</f>
        <v>23.339099999999998</v>
      </c>
      <c r="V56" s="16">
        <f>ABS(U56-T56)</f>
        <v>23.292499999999997</v>
      </c>
      <c r="W56" s="49" t="e">
        <f>VLOOKUP(A56,Enforcements!$C$3:$J$40,8,0)</f>
        <v>#N/A</v>
      </c>
      <c r="X56" s="49" t="e">
        <f>VLOOKUP(A56,Enforcements!$C$3:$J$40,3,0)</f>
        <v>#N/A</v>
      </c>
    </row>
    <row r="57" spans="1:24" s="2" customFormat="1" x14ac:dyDescent="0.25">
      <c r="A57" s="18" t="s">
        <v>198</v>
      </c>
      <c r="B57" s="19">
        <v>4019</v>
      </c>
      <c r="C57" s="19" t="s">
        <v>118</v>
      </c>
      <c r="D57" s="19" t="s">
        <v>333</v>
      </c>
      <c r="E57" s="53">
        <v>42481.756782407407</v>
      </c>
      <c r="F57" s="53">
        <v>42481.768287037034</v>
      </c>
      <c r="G57" s="71">
        <v>2</v>
      </c>
      <c r="H57" s="53" t="s">
        <v>119</v>
      </c>
      <c r="I57" s="53">
        <v>42481.797627314816</v>
      </c>
      <c r="J57" s="19">
        <v>1</v>
      </c>
      <c r="K57" s="19" t="str">
        <f>IF(ISEVEN(B57),(B57-1)&amp;"/"&amp;B57,B57&amp;"/"&amp;(B57+1))</f>
        <v>4019/4020</v>
      </c>
      <c r="L57" s="20">
        <f>I57-F57</f>
        <v>2.9340277782466728E-2</v>
      </c>
      <c r="M57" s="21">
        <f>$L57*24*60</f>
        <v>42.250000006752089</v>
      </c>
      <c r="N57" s="21"/>
      <c r="O57" s="22"/>
      <c r="P57" s="17"/>
      <c r="R57" s="16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https://search-rtdc-monitor-bjffxe2xuh6vdkpspy63sjmuny.us-east-1.es.amazonaws.com/_plugin/kibana/#/discover/Steve-Slow-Train-Analysis-(2080s-and-2083s)?_g=(refreshInterval:(display:Off,section:0,value:0),time:(from:'2016-04-21 18:08:46-0600',mode:absolute,to:'2016-04-21 19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57" s="16" t="str">
        <f>IF(V57&lt;23,"Y","N")</f>
        <v>N</v>
      </c>
      <c r="T57" s="16">
        <f>RIGHT(D57,LEN(D57)-4)/10000</f>
        <v>23.3079</v>
      </c>
      <c r="U57" s="16">
        <f>RIGHT(H57,LEN(H57)-4)/10000</f>
        <v>1.61E-2</v>
      </c>
      <c r="V57" s="16">
        <f>ABS(U57-T57)</f>
        <v>23.291799999999999</v>
      </c>
      <c r="W57" s="49" t="e">
        <f>VLOOKUP(A57,Enforcements!$C$3:$J$40,8,0)</f>
        <v>#N/A</v>
      </c>
      <c r="X57" s="49" t="e">
        <f>VLOOKUP(A57,Enforcements!$C$3:$J$40,3,0)</f>
        <v>#N/A</v>
      </c>
    </row>
    <row r="58" spans="1:24" s="2" customFormat="1" x14ac:dyDescent="0.25">
      <c r="A58" s="18" t="s">
        <v>344</v>
      </c>
      <c r="B58" s="19">
        <v>4020</v>
      </c>
      <c r="C58" s="19" t="s">
        <v>118</v>
      </c>
      <c r="D58" s="19" t="s">
        <v>58</v>
      </c>
      <c r="E58" s="53">
        <v>42481.79954861111</v>
      </c>
      <c r="F58" s="53">
        <v>42481.800879629627</v>
      </c>
      <c r="G58" s="71">
        <v>1</v>
      </c>
      <c r="H58" s="53" t="s">
        <v>345</v>
      </c>
      <c r="I58" s="53">
        <v>42481.829687500001</v>
      </c>
      <c r="J58" s="19">
        <v>0</v>
      </c>
      <c r="K58" s="19" t="str">
        <f>IF(ISEVEN(B58),(B58-1)&amp;"/"&amp;B58,B58&amp;"/"&amp;(B58+1))</f>
        <v>4019/4020</v>
      </c>
      <c r="L58" s="20">
        <f>I58-F58</f>
        <v>2.8807870374293998E-2</v>
      </c>
      <c r="M58" s="21">
        <f>$L58*24*60</f>
        <v>41.483333338983357</v>
      </c>
      <c r="N58" s="21"/>
      <c r="O58" s="22"/>
      <c r="P58" s="17"/>
      <c r="R58" s="16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https://search-rtdc-monitor-bjffxe2xuh6vdkpspy63sjmuny.us-east-1.es.amazonaws.com/_plugin/kibana/#/discover/Steve-Slow-Train-Analysis-(2080s-and-2083s)?_g=(refreshInterval:(display:Off,section:0,value:0),time:(from:'2016-04-21 19:10:21-0600',mode:absolute,to:'2016-04-21 19:55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8" s="16" t="str">
        <f>IF(V58&lt;23,"Y","N")</f>
        <v>N</v>
      </c>
      <c r="T58" s="16">
        <f>RIGHT(D58,LEN(D58)-4)/10000</f>
        <v>4.8899999999999999E-2</v>
      </c>
      <c r="U58" s="16">
        <f>RIGHT(H58,LEN(H58)-4)/10000</f>
        <v>23.336400000000001</v>
      </c>
      <c r="V58" s="16">
        <f>ABS(U58-T58)</f>
        <v>23.287500000000001</v>
      </c>
      <c r="W58" s="49" t="e">
        <f>VLOOKUP(A58,Enforcements!$C$3:$J$40,8,0)</f>
        <v>#N/A</v>
      </c>
      <c r="X58" s="49" t="e">
        <f>VLOOKUP(A58,Enforcements!$C$3:$J$40,3,0)</f>
        <v>#N/A</v>
      </c>
    </row>
    <row r="59" spans="1:24" s="2" customFormat="1" x14ac:dyDescent="0.25">
      <c r="A59" s="18" t="s">
        <v>204</v>
      </c>
      <c r="B59" s="19">
        <v>4019</v>
      </c>
      <c r="C59" s="19" t="s">
        <v>118</v>
      </c>
      <c r="D59" s="19" t="s">
        <v>295</v>
      </c>
      <c r="E59" s="53">
        <v>42481.83284722222</v>
      </c>
      <c r="F59" s="53">
        <v>42481.835474537038</v>
      </c>
      <c r="G59" s="71">
        <v>3</v>
      </c>
      <c r="H59" s="53" t="s">
        <v>34</v>
      </c>
      <c r="I59" s="53">
        <v>42481.869837962964</v>
      </c>
      <c r="J59" s="19">
        <v>1</v>
      </c>
      <c r="K59" s="19" t="str">
        <f>IF(ISEVEN(B59),(B59-1)&amp;"/"&amp;B59,B59&amp;"/"&amp;(B59+1))</f>
        <v>4019/4020</v>
      </c>
      <c r="L59" s="20">
        <f>I59-F59</f>
        <v>3.4363425926130731E-2</v>
      </c>
      <c r="M59" s="21">
        <f>$L59*24*60</f>
        <v>49.483333333628252</v>
      </c>
      <c r="N59" s="21"/>
      <c r="O59" s="22"/>
      <c r="P59" s="17"/>
      <c r="R59" s="16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https://search-rtdc-monitor-bjffxe2xuh6vdkpspy63sjmuny.us-east-1.es.amazonaws.com/_plugin/kibana/#/discover/Steve-Slow-Train-Analysis-(2080s-and-2083s)?_g=(refreshInterval:(display:Off,section:0,value:0),time:(from:'2016-04-21 19:58:18-0600',mode:absolute,to:'2016-04-21 20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59" s="16" t="str">
        <f>IF(V59&lt;23,"Y","N")</f>
        <v>N</v>
      </c>
      <c r="T59" s="16">
        <f>RIGHT(D59,LEN(D59)-4)/10000</f>
        <v>23.305099999999999</v>
      </c>
      <c r="U59" s="16">
        <f>RIGHT(H59,LEN(H59)-4)/10000</f>
        <v>1.54E-2</v>
      </c>
      <c r="V59" s="16">
        <f>ABS(U59-T59)</f>
        <v>23.2897</v>
      </c>
      <c r="W59" s="49" t="e">
        <f>VLOOKUP(A59,Enforcements!$C$3:$J$40,8,0)</f>
        <v>#N/A</v>
      </c>
      <c r="X59" s="49" t="e">
        <f>VLOOKUP(A59,Enforcements!$C$3:$J$40,3,0)</f>
        <v>#N/A</v>
      </c>
    </row>
    <row r="60" spans="1:24" s="2" customFormat="1" x14ac:dyDescent="0.25">
      <c r="A60" s="18" t="s">
        <v>357</v>
      </c>
      <c r="B60" s="19">
        <v>4020</v>
      </c>
      <c r="C60" s="19" t="s">
        <v>118</v>
      </c>
      <c r="D60" s="19" t="s">
        <v>22</v>
      </c>
      <c r="E60" s="53">
        <v>42481.872800925928</v>
      </c>
      <c r="F60" s="53">
        <v>42481.874351851853</v>
      </c>
      <c r="G60" s="71">
        <v>2</v>
      </c>
      <c r="H60" s="53" t="s">
        <v>358</v>
      </c>
      <c r="I60" s="53">
        <v>42481.901504629626</v>
      </c>
      <c r="J60" s="19">
        <v>0</v>
      </c>
      <c r="K60" s="19" t="str">
        <f>IF(ISEVEN(B60),(B60-1)&amp;"/"&amp;B60,B60&amp;"/"&amp;(B60+1))</f>
        <v>4019/4020</v>
      </c>
      <c r="L60" s="20">
        <f>I60-F60</f>
        <v>2.7152777773153502E-2</v>
      </c>
      <c r="M60" s="21">
        <f>$L60*24*60</f>
        <v>39.099999993341044</v>
      </c>
      <c r="N60" s="21"/>
      <c r="O60" s="22"/>
      <c r="P60" s="17"/>
      <c r="R60" s="16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https://search-rtdc-monitor-bjffxe2xuh6vdkpspy63sjmuny.us-east-1.es.amazonaws.com/_plugin/kibana/#/discover/Steve-Slow-Train-Analysis-(2080s-and-2083s)?_g=(refreshInterval:(display:Off,section:0,value:0),time:(from:'2016-04-21 20:55:50-0600',mode:absolute,to:'2016-04-21 21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60" s="16" t="str">
        <f>IF(V60&lt;23,"Y","N")</f>
        <v>N</v>
      </c>
      <c r="T60" s="16">
        <f>RIGHT(D60,LEN(D60)-4)/10000</f>
        <v>4.6199999999999998E-2</v>
      </c>
      <c r="U60" s="16">
        <f>RIGHT(H60,LEN(H60)-4)/10000</f>
        <v>23.334700000000002</v>
      </c>
      <c r="V60" s="16">
        <f>ABS(U60-T60)</f>
        <v>23.288500000000003</v>
      </c>
      <c r="W60" s="49" t="e">
        <f>VLOOKUP(A60,Enforcements!$C$3:$J$40,8,0)</f>
        <v>#N/A</v>
      </c>
      <c r="X60" s="49" t="e">
        <f>VLOOKUP(A60,Enforcements!$C$3:$J$40,3,0)</f>
        <v>#N/A</v>
      </c>
    </row>
    <row r="61" spans="1:24" s="2" customFormat="1" x14ac:dyDescent="0.25">
      <c r="A61" s="18" t="s">
        <v>359</v>
      </c>
      <c r="B61" s="19">
        <v>4019</v>
      </c>
      <c r="C61" s="19" t="s">
        <v>118</v>
      </c>
      <c r="D61" s="19" t="s">
        <v>360</v>
      </c>
      <c r="E61" s="53">
        <v>42481.903599537036</v>
      </c>
      <c r="F61" s="53">
        <v>42481.916979166665</v>
      </c>
      <c r="G61" s="71">
        <v>1</v>
      </c>
      <c r="H61" s="53" t="s">
        <v>30</v>
      </c>
      <c r="I61" s="53">
        <v>42481.943958333337</v>
      </c>
      <c r="J61" s="19">
        <v>0</v>
      </c>
      <c r="K61" s="19" t="str">
        <f>IF(ISEVEN(B61),(B61-1)&amp;"/"&amp;B61,B61&amp;"/"&amp;(B61+1))</f>
        <v>4019/4020</v>
      </c>
      <c r="L61" s="20">
        <f>I61-F61</f>
        <v>2.697916667239042E-2</v>
      </c>
      <c r="M61" s="21">
        <f>$L61*24*60</f>
        <v>38.850000008242205</v>
      </c>
      <c r="N61" s="21"/>
      <c r="O61" s="22"/>
      <c r="P61" s="17"/>
      <c r="R61" s="16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https://search-rtdc-monitor-bjffxe2xuh6vdkpspy63sjmuny.us-east-1.es.amazonaws.com/_plugin/kibana/#/discover/Steve-Slow-Train-Analysis-(2080s-and-2083s)?_g=(refreshInterval:(display:Off,section:0,value:0),time:(from:'2016-04-21 21:40:11-0600',mode:absolute,to:'2016-04-21 22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S61" s="16" t="str">
        <f>IF(V61&lt;23,"Y","N")</f>
        <v>N</v>
      </c>
      <c r="T61" s="16">
        <f>RIGHT(D61,LEN(D61)-4)/10000</f>
        <v>23.3032</v>
      </c>
      <c r="U61" s="16">
        <f>RIGHT(H61,LEN(H61)-4)/10000</f>
        <v>1.4999999999999999E-2</v>
      </c>
      <c r="V61" s="16">
        <f>ABS(U61-T61)</f>
        <v>23.2882</v>
      </c>
      <c r="W61" s="49" t="e">
        <f>VLOOKUP(A61,Enforcements!$C$3:$J$40,8,0)</f>
        <v>#N/A</v>
      </c>
      <c r="X61" s="49" t="e">
        <f>VLOOKUP(A61,Enforcements!$C$3:$J$40,3,0)</f>
        <v>#N/A</v>
      </c>
    </row>
    <row r="62" spans="1:24" s="2" customFormat="1" x14ac:dyDescent="0.25">
      <c r="A62" s="18" t="s">
        <v>147</v>
      </c>
      <c r="B62" s="19">
        <v>4025</v>
      </c>
      <c r="C62" s="19" t="s">
        <v>118</v>
      </c>
      <c r="D62" s="19" t="s">
        <v>137</v>
      </c>
      <c r="E62" s="53">
        <v>42481.151956018519</v>
      </c>
      <c r="F62" s="53">
        <v>42481.154120370367</v>
      </c>
      <c r="G62" s="71">
        <v>3</v>
      </c>
      <c r="H62" s="53" t="s">
        <v>217</v>
      </c>
      <c r="I62" s="53">
        <v>42481.159479166665</v>
      </c>
      <c r="J62" s="19">
        <v>2</v>
      </c>
      <c r="K62" s="19" t="str">
        <f>IF(ISEVEN(B62),(B62-1)&amp;"/"&amp;B62,B62&amp;"/"&amp;(B62+1))</f>
        <v>4025/4026</v>
      </c>
      <c r="L62" s="20">
        <f>I62-F62</f>
        <v>5.3587962975143455E-3</v>
      </c>
      <c r="M62" s="21"/>
      <c r="N62" s="21"/>
      <c r="O62" s="22">
        <f>($L62+L63)*24*60</f>
        <v>12.683333343593404</v>
      </c>
      <c r="P62" s="17" t="s">
        <v>372</v>
      </c>
      <c r="R62" s="16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https://search-rtdc-monitor-bjffxe2xuh6vdkpspy63sjmuny.us-east-1.es.amazonaws.com/_plugin/kibana/#/discover/Steve-Slow-Train-Analysis-(2080s-and-2083s)?_g=(refreshInterval:(display:Off,section:0,value:0),time:(from:'2016-04-21 03:37:49-0600',mode:absolute,to:'2016-04-21 03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62" s="16" t="str">
        <f>IF(V62&lt;23,"Y","N")</f>
        <v>Y</v>
      </c>
      <c r="T62" s="16">
        <f>RIGHT(D62,LEN(D62)-4)/10000</f>
        <v>7.6799999999999993E-2</v>
      </c>
      <c r="U62" s="16">
        <f>RIGHT(H62,LEN(H62)-4)/10000</f>
        <v>0.2094</v>
      </c>
      <c r="V62" s="16">
        <f>ABS(U62-T62)</f>
        <v>0.1326</v>
      </c>
      <c r="W62" s="49">
        <f>VLOOKUP(A62,Enforcements!$C$3:$J$40,8,0)</f>
        <v>1692</v>
      </c>
      <c r="X62" s="49" t="str">
        <f>VLOOKUP(A62,Enforcements!$C$3:$J$40,3,0)</f>
        <v>SWITCH UNKNOWN</v>
      </c>
    </row>
    <row r="63" spans="1:24" s="2" customFormat="1" x14ac:dyDescent="0.25">
      <c r="A63" s="18" t="s">
        <v>147</v>
      </c>
      <c r="B63" s="19">
        <v>4025</v>
      </c>
      <c r="C63" s="19" t="s">
        <v>118</v>
      </c>
      <c r="D63" s="19" t="s">
        <v>215</v>
      </c>
      <c r="E63" s="53">
        <v>42481.16134259259</v>
      </c>
      <c r="F63" s="53">
        <v>42481.162835648145</v>
      </c>
      <c r="G63" s="71">
        <v>2</v>
      </c>
      <c r="H63" s="53" t="s">
        <v>216</v>
      </c>
      <c r="I63" s="53">
        <v>42481.166284722225</v>
      </c>
      <c r="J63" s="19">
        <v>0</v>
      </c>
      <c r="K63" s="19" t="str">
        <f>IF(ISEVEN(B63),(B63-1)&amp;"/"&amp;B63,B63&amp;"/"&amp;(B63+1))</f>
        <v>4025/4026</v>
      </c>
      <c r="L63" s="20">
        <f>I63-F63</f>
        <v>3.4490740799810737E-3</v>
      </c>
      <c r="M63" s="21"/>
      <c r="N63" s="21"/>
      <c r="O63" s="22"/>
      <c r="P63" s="17"/>
      <c r="R63" s="16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https://search-rtdc-monitor-bjffxe2xuh6vdkpspy63sjmuny.us-east-1.es.amazonaws.com/_plugin/kibana/#/discover/Steve-Slow-Train-Analysis-(2080s-and-2083s)?_g=(refreshInterval:(display:Off,section:0,value:0),time:(from:'2016-04-21 03:51:20-0600',mode:absolute,to:'2016-04-21 04:00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63" s="16" t="str">
        <f>IF(V63&lt;23,"Y","N")</f>
        <v>Y</v>
      </c>
      <c r="T63" s="16">
        <f>RIGHT(D63,LEN(D63)-4)/10000</f>
        <v>2.0958999999999999</v>
      </c>
      <c r="U63" s="16">
        <f>RIGHT(H63,LEN(H63)-4)/10000</f>
        <v>3.7254</v>
      </c>
      <c r="V63" s="16">
        <f>ABS(U63-T63)</f>
        <v>1.6295000000000002</v>
      </c>
      <c r="W63" s="49">
        <f>VLOOKUP(A63,Enforcements!$C$3:$J$40,8,0)</f>
        <v>1692</v>
      </c>
      <c r="X63" s="49" t="str">
        <f>VLOOKUP(A63,Enforcements!$C$3:$J$40,3,0)</f>
        <v>SWITCH UNKNOWN</v>
      </c>
    </row>
    <row r="64" spans="1:24" s="2" customFormat="1" x14ac:dyDescent="0.25">
      <c r="A64" s="18" t="s">
        <v>152</v>
      </c>
      <c r="B64" s="19">
        <v>4025</v>
      </c>
      <c r="C64" s="19" t="s">
        <v>118</v>
      </c>
      <c r="D64" s="19" t="s">
        <v>233</v>
      </c>
      <c r="E64" s="53">
        <v>42481.229745370372</v>
      </c>
      <c r="F64" s="53">
        <v>42481.230891203704</v>
      </c>
      <c r="G64" s="71">
        <v>1</v>
      </c>
      <c r="H64" s="53" t="s">
        <v>59</v>
      </c>
      <c r="I64" s="53">
        <v>42481.254837962966</v>
      </c>
      <c r="J64" s="19">
        <v>1</v>
      </c>
      <c r="K64" s="19" t="str">
        <f>IF(ISEVEN(B64),(B64-1)&amp;"/"&amp;B64,B64&amp;"/"&amp;(B64+1))</f>
        <v>4025/4026</v>
      </c>
      <c r="L64" s="20">
        <f>I64-F64</f>
        <v>2.3946759261889383E-2</v>
      </c>
      <c r="M64" s="21">
        <f>$L64*24*60</f>
        <v>34.483333337120712</v>
      </c>
      <c r="N64" s="21"/>
      <c r="O64" s="22"/>
      <c r="P64" s="17"/>
      <c r="R64" s="16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https://search-rtdc-monitor-bjffxe2xuh6vdkpspy63sjmuny.us-east-1.es.amazonaws.com/_plugin/kibana/#/discover/Steve-Slow-Train-Analysis-(2080s-and-2083s)?_g=(refreshInterval:(display:Off,section:0,value:0),time:(from:'2016-04-21 05:29:50-0600',mode:absolute,to:'2016-04-21 06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64" s="16" t="str">
        <f>IF(V64&lt;23,"Y","N")</f>
        <v>N</v>
      </c>
      <c r="T64" s="16">
        <f>RIGHT(D64,LEN(D64)-4)/10000</f>
        <v>7.6300000000000007E-2</v>
      </c>
      <c r="U64" s="16">
        <f>RIGHT(H64,LEN(H64)-4)/10000</f>
        <v>23.328900000000001</v>
      </c>
      <c r="V64" s="16">
        <f>ABS(U64-T64)</f>
        <v>23.252600000000001</v>
      </c>
      <c r="W64" s="49" t="e">
        <f>VLOOKUP(A64,Enforcements!$C$3:$J$40,8,0)</f>
        <v>#N/A</v>
      </c>
      <c r="X64" s="49" t="e">
        <f>VLOOKUP(A64,Enforcements!$C$3:$J$40,3,0)</f>
        <v>#N/A</v>
      </c>
    </row>
    <row r="65" spans="1:24" s="2" customFormat="1" x14ac:dyDescent="0.25">
      <c r="A65" s="18" t="s">
        <v>157</v>
      </c>
      <c r="B65" s="19">
        <v>4026</v>
      </c>
      <c r="C65" s="19" t="s">
        <v>118</v>
      </c>
      <c r="D65" s="19" t="s">
        <v>49</v>
      </c>
      <c r="E65" s="53">
        <v>42481.264861111114</v>
      </c>
      <c r="F65" s="53">
        <v>42481.265960648147</v>
      </c>
      <c r="G65" s="71">
        <v>1</v>
      </c>
      <c r="H65" s="53" t="s">
        <v>44</v>
      </c>
      <c r="I65" s="53">
        <v>42481.296527777777</v>
      </c>
      <c r="J65" s="19">
        <v>4</v>
      </c>
      <c r="K65" s="19" t="str">
        <f>IF(ISEVEN(B65),(B65-1)&amp;"/"&amp;B65,B65&amp;"/"&amp;(B65+1))</f>
        <v>4025/4026</v>
      </c>
      <c r="L65" s="20">
        <f>I65-F65</f>
        <v>3.0567129630071577E-2</v>
      </c>
      <c r="M65" s="21">
        <f>$L65*24*60</f>
        <v>44.01666666730307</v>
      </c>
      <c r="N65" s="21"/>
      <c r="O65" s="22"/>
      <c r="P65" s="17" t="s">
        <v>362</v>
      </c>
      <c r="R65" s="16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https://search-rtdc-monitor-bjffxe2xuh6vdkpspy63sjmuny.us-east-1.es.amazonaws.com/_plugin/kibana/#/discover/Steve-Slow-Train-Analysis-(2080s-and-2083s)?_g=(refreshInterval:(display:Off,section:0,value:0),time:(from:'2016-04-21 06:20:24-0600',mode:absolute,to:'2016-04-21 07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5" s="16" t="str">
        <f>IF(V65&lt;23,"Y","N")</f>
        <v>Y</v>
      </c>
      <c r="T65" s="16">
        <f>RIGHT(D65,LEN(D65)-4)/10000</f>
        <v>23.297799999999999</v>
      </c>
      <c r="U65" s="16">
        <f>RIGHT(H65,LEN(H65)-4)/10000</f>
        <v>23.2989</v>
      </c>
      <c r="V65" s="16">
        <f>ABS(U65-T65)</f>
        <v>1.1000000000009891E-3</v>
      </c>
      <c r="W65" s="49">
        <f>VLOOKUP(A65,Enforcements!$C$3:$J$40,8,0)</f>
        <v>58118</v>
      </c>
      <c r="X65" s="49" t="str">
        <f>VLOOKUP(A65,Enforcements!$C$3:$J$40,3,0)</f>
        <v>GRADE CROSSING</v>
      </c>
    </row>
    <row r="66" spans="1:24" s="2" customFormat="1" x14ac:dyDescent="0.25">
      <c r="A66" s="18" t="s">
        <v>158</v>
      </c>
      <c r="B66" s="19">
        <v>4025</v>
      </c>
      <c r="C66" s="19" t="s">
        <v>118</v>
      </c>
      <c r="D66" s="19" t="s">
        <v>243</v>
      </c>
      <c r="E66" s="53">
        <v>42481.301192129627</v>
      </c>
      <c r="F66" s="53">
        <v>42481.302349537036</v>
      </c>
      <c r="G66" s="71">
        <v>1</v>
      </c>
      <c r="H66" s="53" t="s">
        <v>130</v>
      </c>
      <c r="I66" s="53">
        <v>42481.327002314814</v>
      </c>
      <c r="J66" s="19">
        <v>1</v>
      </c>
      <c r="K66" s="19" t="str">
        <f>IF(ISEVEN(B66),(B66-1)&amp;"/"&amp;B66,B66&amp;"/"&amp;(B66+1))</f>
        <v>4025/4026</v>
      </c>
      <c r="L66" s="20">
        <f>I66-F66</f>
        <v>2.4652777778101154E-2</v>
      </c>
      <c r="M66" s="21">
        <f>$L66*24*60</f>
        <v>35.500000000465661</v>
      </c>
      <c r="N66" s="21"/>
      <c r="O66" s="22"/>
      <c r="P66" s="17"/>
      <c r="R66" s="16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https://search-rtdc-monitor-bjffxe2xuh6vdkpspy63sjmuny.us-east-1.es.amazonaws.com/_plugin/kibana/#/discover/Steve-Slow-Train-Analysis-(2080s-and-2083s)?_g=(refreshInterval:(display:Off,section:0,value:0),time:(from:'2016-04-21 07:12:43-0600',mode:absolute,to:'2016-04-21 07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66" s="16" t="str">
        <f>IF(V66&lt;23,"Y","N")</f>
        <v>N</v>
      </c>
      <c r="T66" s="16">
        <f>RIGHT(D66,LEN(D66)-4)/10000</f>
        <v>4.4200000000000003E-2</v>
      </c>
      <c r="U66" s="16">
        <f>RIGHT(H66,LEN(H66)-4)/10000</f>
        <v>23.329699999999999</v>
      </c>
      <c r="V66" s="16">
        <f>ABS(U66-T66)</f>
        <v>23.285499999999999</v>
      </c>
      <c r="W66" s="49">
        <f>VLOOKUP(A66,Enforcements!$C$3:$J$40,8,0)</f>
        <v>20338</v>
      </c>
      <c r="X66" s="49" t="str">
        <f>VLOOKUP(A66,Enforcements!$C$3:$J$40,3,0)</f>
        <v>PERMANENT SPEED RESTRICTION</v>
      </c>
    </row>
    <row r="67" spans="1:24" s="2" customFormat="1" x14ac:dyDescent="0.25">
      <c r="A67" s="18" t="s">
        <v>165</v>
      </c>
      <c r="B67" s="19">
        <v>4026</v>
      </c>
      <c r="C67" s="19" t="s">
        <v>118</v>
      </c>
      <c r="D67" s="19" t="s">
        <v>139</v>
      </c>
      <c r="E67" s="53">
        <v>42481.337152777778</v>
      </c>
      <c r="F67" s="53">
        <v>42481.338113425925</v>
      </c>
      <c r="G67" s="71">
        <v>1</v>
      </c>
      <c r="H67" s="53" t="s">
        <v>38</v>
      </c>
      <c r="I67" s="53">
        <v>42481.370081018518</v>
      </c>
      <c r="J67" s="19">
        <v>1</v>
      </c>
      <c r="K67" s="19" t="str">
        <f>IF(ISEVEN(B67),(B67-1)&amp;"/"&amp;B67,B67&amp;"/"&amp;(B67+1))</f>
        <v>4025/4026</v>
      </c>
      <c r="L67" s="20">
        <f>I67-F67</f>
        <v>3.1967592592991423E-2</v>
      </c>
      <c r="M67" s="21">
        <f>$L67*24*60</f>
        <v>46.033333333907649</v>
      </c>
      <c r="N67" s="21"/>
      <c r="O67" s="22"/>
      <c r="P67" s="17"/>
      <c r="R67" s="16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https://search-rtdc-monitor-bjffxe2xuh6vdkpspy63sjmuny.us-east-1.es.amazonaws.com/_plugin/kibana/#/discover/Steve-Slow-Train-Analysis-(2080s-and-2083s)?_g=(refreshInterval:(display:Off,section:0,value:0),time:(from:'2016-04-21 08:04:30-0600',mode:absolute,to:'2016-04-21 08:53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7" s="16" t="str">
        <f>IF(V67&lt;23,"Y","N")</f>
        <v>N</v>
      </c>
      <c r="T67" s="16">
        <f>RIGHT(D67,LEN(D67)-4)/10000</f>
        <v>23.299600000000002</v>
      </c>
      <c r="U67" s="16">
        <f>RIGHT(H67,LEN(H67)-4)/10000</f>
        <v>1.5599999999999999E-2</v>
      </c>
      <c r="V67" s="16">
        <f>ABS(U67-T67)</f>
        <v>23.284000000000002</v>
      </c>
      <c r="W67" s="49">
        <f>VLOOKUP(A67,Enforcements!$C$3:$J$40,8,0)</f>
        <v>127587</v>
      </c>
      <c r="X67" s="49" t="str">
        <f>VLOOKUP(A67,Enforcements!$C$3:$J$40,3,0)</f>
        <v>SIGNAL</v>
      </c>
    </row>
    <row r="68" spans="1:24" s="2" customFormat="1" x14ac:dyDescent="0.25">
      <c r="A68" s="18" t="s">
        <v>168</v>
      </c>
      <c r="B68" s="19">
        <v>4025</v>
      </c>
      <c r="C68" s="19" t="s">
        <v>118</v>
      </c>
      <c r="D68" s="19" t="s">
        <v>65</v>
      </c>
      <c r="E68" s="53">
        <v>42481.372777777775</v>
      </c>
      <c r="F68" s="53">
        <v>42481.375069444446</v>
      </c>
      <c r="G68" s="71">
        <v>3</v>
      </c>
      <c r="H68" s="53" t="s">
        <v>52</v>
      </c>
      <c r="I68" s="53">
        <v>42481.399780092594</v>
      </c>
      <c r="J68" s="19">
        <v>1</v>
      </c>
      <c r="K68" s="19" t="str">
        <f>IF(ISEVEN(B68),(B68-1)&amp;"/"&amp;B68,B68&amp;"/"&amp;(B68+1))</f>
        <v>4025/4026</v>
      </c>
      <c r="L68" s="20">
        <f>I68-F68</f>
        <v>2.47106481474475E-2</v>
      </c>
      <c r="M68" s="21">
        <f>$L68*24*60</f>
        <v>35.583333332324401</v>
      </c>
      <c r="N68" s="21"/>
      <c r="O68" s="22"/>
      <c r="P68" s="17"/>
      <c r="R68" s="16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https://search-rtdc-monitor-bjffxe2xuh6vdkpspy63sjmuny.us-east-1.es.amazonaws.com/_plugin/kibana/#/discover/Steve-Slow-Train-Analysis-(2080s-and-2083s)?_g=(refreshInterval:(display:Off,section:0,value:0),time:(from:'2016-04-21 08:55:48-0600',mode:absolute,to:'2016-04-21 09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68" s="16" t="str">
        <f>IF(V68&lt;23,"Y","N")</f>
        <v>N</v>
      </c>
      <c r="T68" s="16">
        <f>RIGHT(D68,LEN(D68)-4)/10000</f>
        <v>4.8000000000000001E-2</v>
      </c>
      <c r="U68" s="16">
        <f>RIGHT(H68,LEN(H68)-4)/10000</f>
        <v>23.330300000000001</v>
      </c>
      <c r="V68" s="16">
        <f>ABS(U68-T68)</f>
        <v>23.282300000000003</v>
      </c>
      <c r="W68" s="49" t="e">
        <f>VLOOKUP(A68,Enforcements!$C$3:$J$40,8,0)</f>
        <v>#N/A</v>
      </c>
      <c r="X68" s="49" t="e">
        <f>VLOOKUP(A68,Enforcements!$C$3:$J$40,3,0)</f>
        <v>#N/A</v>
      </c>
    </row>
    <row r="69" spans="1:24" s="2" customFormat="1" x14ac:dyDescent="0.25">
      <c r="A69" s="18" t="s">
        <v>256</v>
      </c>
      <c r="B69" s="19">
        <v>4026</v>
      </c>
      <c r="C69" s="19" t="s">
        <v>118</v>
      </c>
      <c r="D69" s="19" t="s">
        <v>121</v>
      </c>
      <c r="E69" s="53">
        <v>42481.411817129629</v>
      </c>
      <c r="F69" s="53">
        <v>42481.413182870368</v>
      </c>
      <c r="G69" s="71">
        <v>1</v>
      </c>
      <c r="H69" s="53" t="s">
        <v>33</v>
      </c>
      <c r="I69" s="53">
        <v>42481.441053240742</v>
      </c>
      <c r="J69" s="19">
        <v>0</v>
      </c>
      <c r="K69" s="19" t="str">
        <f>IF(ISEVEN(B69),(B69-1)&amp;"/"&amp;B69,B69&amp;"/"&amp;(B69+1))</f>
        <v>4025/4026</v>
      </c>
      <c r="L69" s="20">
        <f>I69-F69</f>
        <v>2.7870370373420883E-2</v>
      </c>
      <c r="M69" s="21">
        <f>$L69*24*60</f>
        <v>40.133333337726071</v>
      </c>
      <c r="N69" s="21"/>
      <c r="O69" s="22"/>
      <c r="P69" s="17"/>
      <c r="R69" s="16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https://search-rtdc-monitor-bjffxe2xuh6vdkpspy63sjmuny.us-east-1.es.amazonaws.com/_plugin/kibana/#/discover/Steve-Slow-Train-Analysis-(2080s-and-2083s)?_g=(refreshInterval:(display:Off,section:0,value:0),time:(from:'2016-04-21 09:52:01-0600',mode:absolute,to:'2016-04-21 10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9" s="16" t="str">
        <f>IF(V69&lt;23,"Y","N")</f>
        <v>N</v>
      </c>
      <c r="T69" s="16">
        <f>RIGHT(D69,LEN(D69)-4)/10000</f>
        <v>23.2973</v>
      </c>
      <c r="U69" s="16">
        <f>RIGHT(H69,LEN(H69)-4)/10000</f>
        <v>1.52E-2</v>
      </c>
      <c r="V69" s="16">
        <f>ABS(U69-T69)</f>
        <v>23.2821</v>
      </c>
      <c r="W69" s="49" t="e">
        <f>VLOOKUP(A69,Enforcements!$C$3:$J$40,8,0)</f>
        <v>#N/A</v>
      </c>
      <c r="X69" s="49" t="e">
        <f>VLOOKUP(A69,Enforcements!$C$3:$J$40,3,0)</f>
        <v>#N/A</v>
      </c>
    </row>
    <row r="70" spans="1:24" s="2" customFormat="1" x14ac:dyDescent="0.25">
      <c r="A70" s="18" t="s">
        <v>269</v>
      </c>
      <c r="B70" s="19">
        <v>4026</v>
      </c>
      <c r="C70" s="19" t="s">
        <v>118</v>
      </c>
      <c r="D70" s="19" t="s">
        <v>56</v>
      </c>
      <c r="E70" s="53">
        <v>42481.483020833337</v>
      </c>
      <c r="F70" s="53">
        <v>42481.484386574077</v>
      </c>
      <c r="G70" s="71">
        <v>1</v>
      </c>
      <c r="H70" s="53" t="s">
        <v>45</v>
      </c>
      <c r="I70" s="53">
        <v>42481.515416666669</v>
      </c>
      <c r="J70" s="19">
        <v>0</v>
      </c>
      <c r="K70" s="19" t="str">
        <f>IF(ISEVEN(B70),(B70-1)&amp;"/"&amp;B70,B70&amp;"/"&amp;(B70+1))</f>
        <v>4025/4026</v>
      </c>
      <c r="L70" s="20">
        <f>I70-F70</f>
        <v>3.1030092592118308E-2</v>
      </c>
      <c r="M70" s="21">
        <f>$L70*24*60</f>
        <v>44.683333332650363</v>
      </c>
      <c r="N70" s="21"/>
      <c r="O70" s="22"/>
      <c r="P70" s="17"/>
      <c r="R70" s="16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https://search-rtdc-monitor-bjffxe2xuh6vdkpspy63sjmuny.us-east-1.es.amazonaws.com/_plugin/kibana/#/discover/Steve-Slow-Train-Analysis-(2080s-and-2083s)?_g=(refreshInterval:(display:Off,section:0,value:0),time:(from:'2016-04-21 11:34:33-0600',mode:absolute,to:'2016-04-21 12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70" s="16" t="str">
        <f>IF(V70&lt;23,"Y","N")</f>
        <v>N</v>
      </c>
      <c r="T70" s="16">
        <f>RIGHT(D70,LEN(D70)-4)/10000</f>
        <v>23.299099999999999</v>
      </c>
      <c r="U70" s="16">
        <f>RIGHT(H70,LEN(H70)-4)/10000</f>
        <v>1.3599999999999999E-2</v>
      </c>
      <c r="V70" s="16">
        <f>ABS(U70-T70)</f>
        <v>23.285499999999999</v>
      </c>
      <c r="W70" s="49" t="e">
        <f>VLOOKUP(A70,Enforcements!$C$3:$J$40,8,0)</f>
        <v>#N/A</v>
      </c>
      <c r="X70" s="49" t="e">
        <f>VLOOKUP(A70,Enforcements!$C$3:$J$40,3,0)</f>
        <v>#N/A</v>
      </c>
    </row>
    <row r="71" spans="1:24" s="2" customFormat="1" x14ac:dyDescent="0.25">
      <c r="A71" s="18" t="s">
        <v>285</v>
      </c>
      <c r="B71" s="19">
        <v>4025</v>
      </c>
      <c r="C71" s="19" t="s">
        <v>118</v>
      </c>
      <c r="D71" s="19" t="s">
        <v>66</v>
      </c>
      <c r="E71" s="53">
        <v>42481.519108796296</v>
      </c>
      <c r="F71" s="53">
        <v>42481.520486111112</v>
      </c>
      <c r="G71" s="71">
        <v>1</v>
      </c>
      <c r="H71" s="53" t="s">
        <v>23</v>
      </c>
      <c r="I71" s="53">
        <v>42481.54614583333</v>
      </c>
      <c r="J71" s="19">
        <v>0</v>
      </c>
      <c r="K71" s="19" t="str">
        <f>IF(ISEVEN(B71),(B71-1)&amp;"/"&amp;B71,B71&amp;"/"&amp;(B71+1))</f>
        <v>4025/4026</v>
      </c>
      <c r="L71" s="20">
        <f>I71-F71</f>
        <v>2.565972221782431E-2</v>
      </c>
      <c r="M71" s="21">
        <f>$L71*24*60</f>
        <v>36.949999993667006</v>
      </c>
      <c r="N71" s="21"/>
      <c r="O71" s="22"/>
      <c r="P71" s="17"/>
      <c r="R71" s="16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https://search-rtdc-monitor-bjffxe2xuh6vdkpspy63sjmuny.us-east-1.es.amazonaws.com/_plugin/kibana/#/discover/Steve-Slow-Train-Analysis-(2080s-and-2083s)?_g=(refreshInterval:(display:Off,section:0,value:0),time:(from:'2016-04-21 12:26:31-0600',mode:absolute,to:'2016-04-21 13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71" s="16" t="str">
        <f>IF(V71&lt;23,"Y","N")</f>
        <v>N</v>
      </c>
      <c r="T71" s="16">
        <f>RIGHT(D71,LEN(D71)-4)/10000</f>
        <v>4.4900000000000002E-2</v>
      </c>
      <c r="U71" s="16">
        <f>RIGHT(H71,LEN(H71)-4)/10000</f>
        <v>23.3308</v>
      </c>
      <c r="V71" s="16">
        <f>ABS(U71-T71)</f>
        <v>23.285900000000002</v>
      </c>
      <c r="W71" s="49" t="e">
        <f>VLOOKUP(A71,Enforcements!$C$3:$J$40,8,0)</f>
        <v>#N/A</v>
      </c>
      <c r="X71" s="49" t="e">
        <f>VLOOKUP(A71,Enforcements!$C$3:$J$40,3,0)</f>
        <v>#N/A</v>
      </c>
    </row>
    <row r="72" spans="1:24" s="2" customFormat="1" x14ac:dyDescent="0.25">
      <c r="A72" s="18" t="s">
        <v>183</v>
      </c>
      <c r="B72" s="19">
        <v>4026</v>
      </c>
      <c r="C72" s="19" t="s">
        <v>118</v>
      </c>
      <c r="D72" s="19" t="s">
        <v>44</v>
      </c>
      <c r="E72" s="53">
        <v>42481.554884259262</v>
      </c>
      <c r="F72" s="53">
        <v>42481.559988425928</v>
      </c>
      <c r="G72" s="71">
        <v>1</v>
      </c>
      <c r="H72" s="53" t="s">
        <v>25</v>
      </c>
      <c r="I72" s="53">
        <v>42481.591608796298</v>
      </c>
      <c r="J72" s="19">
        <v>1</v>
      </c>
      <c r="K72" s="19" t="str">
        <f>IF(ISEVEN(B72),(B72-1)&amp;"/"&amp;B72,B72&amp;"/"&amp;(B72+1))</f>
        <v>4025/4026</v>
      </c>
      <c r="L72" s="20">
        <f>I72-F72</f>
        <v>3.1620370369637385E-2</v>
      </c>
      <c r="M72" s="21">
        <f>$L72*24*60</f>
        <v>45.533333332277834</v>
      </c>
      <c r="N72" s="21"/>
      <c r="O72" s="22"/>
      <c r="P72" s="17"/>
      <c r="R72" s="16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https://search-rtdc-monitor-bjffxe2xuh6vdkpspy63sjmuny.us-east-1.es.amazonaws.com/_plugin/kibana/#/discover/Steve-Slow-Train-Analysis-(2080s-and-2083s)?_g=(refreshInterval:(display:Off,section:0,value:0),time:(from:'2016-04-21 13:18:02-0600',mode:absolute,to:'2016-04-21 14:12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72" s="16" t="str">
        <f>IF(V72&lt;23,"Y","N")</f>
        <v>N</v>
      </c>
      <c r="T72" s="16">
        <f>RIGHT(D72,LEN(D72)-4)/10000</f>
        <v>23.2989</v>
      </c>
      <c r="U72" s="16">
        <f>RIGHT(H72,LEN(H72)-4)/10000</f>
        <v>1.47E-2</v>
      </c>
      <c r="V72" s="16">
        <f>ABS(U72-T72)</f>
        <v>23.284199999999998</v>
      </c>
      <c r="W72" s="49">
        <f>VLOOKUP(A72,Enforcements!$C$3:$J$40,8,0)</f>
        <v>53277</v>
      </c>
      <c r="X72" s="49" t="str">
        <f>VLOOKUP(A72,Enforcements!$C$3:$J$40,3,0)</f>
        <v>GRADE CROSSING</v>
      </c>
    </row>
    <row r="73" spans="1:24" s="2" customFormat="1" x14ac:dyDescent="0.25">
      <c r="A73" s="18" t="s">
        <v>301</v>
      </c>
      <c r="B73" s="19">
        <v>4025</v>
      </c>
      <c r="C73" s="19" t="s">
        <v>118</v>
      </c>
      <c r="D73" s="19" t="s">
        <v>40</v>
      </c>
      <c r="E73" s="53">
        <v>42481.593900462962</v>
      </c>
      <c r="F73" s="53">
        <v>42481.594942129632</v>
      </c>
      <c r="G73" s="71">
        <v>1</v>
      </c>
      <c r="H73" s="53" t="s">
        <v>302</v>
      </c>
      <c r="I73" s="53">
        <v>42481.62300925926</v>
      </c>
      <c r="J73" s="19">
        <v>0</v>
      </c>
      <c r="K73" s="19" t="str">
        <f>IF(ISEVEN(B73),(B73-1)&amp;"/"&amp;B73,B73&amp;"/"&amp;(B73+1))</f>
        <v>4025/4026</v>
      </c>
      <c r="L73" s="20">
        <f>I73-F73</f>
        <v>2.806712962774327E-2</v>
      </c>
      <c r="M73" s="21">
        <f>$L73*24*60</f>
        <v>40.416666663950309</v>
      </c>
      <c r="N73" s="21"/>
      <c r="O73" s="22"/>
      <c r="P73" s="17"/>
      <c r="R73" s="16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https://search-rtdc-monitor-bjffxe2xuh6vdkpspy63sjmuny.us-east-1.es.amazonaws.com/_plugin/kibana/#/discover/Steve-Slow-Train-Analysis-(2080s-and-2083s)?_g=(refreshInterval:(display:Off,section:0,value:0),time:(from:'2016-04-21 14:14:13-0600',mode:absolute,to:'2016-04-21 14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73" s="16" t="str">
        <f>IF(V73&lt;23,"Y","N")</f>
        <v>N</v>
      </c>
      <c r="T73" s="16">
        <f>RIGHT(D73,LEN(D73)-4)/10000</f>
        <v>4.5100000000000001E-2</v>
      </c>
      <c r="U73" s="16">
        <f>RIGHT(H73,LEN(H73)-4)/10000</f>
        <v>23.3215</v>
      </c>
      <c r="V73" s="16">
        <f>ABS(U73-T73)</f>
        <v>23.276399999999999</v>
      </c>
      <c r="W73" s="49" t="e">
        <f>VLOOKUP(A73,Enforcements!$C$3:$J$40,8,0)</f>
        <v>#N/A</v>
      </c>
      <c r="X73" s="49" t="e">
        <f>VLOOKUP(A73,Enforcements!$C$3:$J$40,3,0)</f>
        <v>#N/A</v>
      </c>
    </row>
    <row r="74" spans="1:24" s="2" customFormat="1" x14ac:dyDescent="0.25">
      <c r="A74" s="18" t="s">
        <v>188</v>
      </c>
      <c r="B74" s="19">
        <v>4026</v>
      </c>
      <c r="C74" s="19" t="s">
        <v>118</v>
      </c>
      <c r="D74" s="19" t="s">
        <v>303</v>
      </c>
      <c r="E74" s="53">
        <v>42481.629120370373</v>
      </c>
      <c r="F74" s="53">
        <v>42481.632893518516</v>
      </c>
      <c r="G74" s="71">
        <v>2</v>
      </c>
      <c r="H74" s="53" t="s">
        <v>34</v>
      </c>
      <c r="I74" s="53">
        <v>42481.670520833337</v>
      </c>
      <c r="J74" s="19">
        <v>1</v>
      </c>
      <c r="K74" s="19" t="str">
        <f>IF(ISEVEN(B74),(B74-1)&amp;"/"&amp;B74,B74&amp;"/"&amp;(B74+1))</f>
        <v>4025/4026</v>
      </c>
      <c r="L74" s="20">
        <f>I74-F74</f>
        <v>3.7627314821293112E-2</v>
      </c>
      <c r="M74" s="21">
        <f>$L74*24*60</f>
        <v>54.183333342662081</v>
      </c>
      <c r="N74" s="21"/>
      <c r="O74" s="22"/>
      <c r="P74" s="17" t="s">
        <v>375</v>
      </c>
      <c r="R74" s="16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https://search-rtdc-monitor-bjffxe2xuh6vdkpspy63sjmuny.us-east-1.es.amazonaws.com/_plugin/kibana/#/discover/Steve-Slow-Train-Analysis-(2080s-and-2083s)?_g=(refreshInterval:(display:Off,section:0,value:0),time:(from:'2016-04-21 15:04:56-0600',mode:absolute,to:'2016-04-21 16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74" s="16" t="str">
        <f>IF(V74&lt;23,"Y","N")</f>
        <v>N</v>
      </c>
      <c r="T74" s="16">
        <f>RIGHT(D74,LEN(D74)-4)/10000</f>
        <v>23.289400000000001</v>
      </c>
      <c r="U74" s="16">
        <f>RIGHT(H74,LEN(H74)-4)/10000</f>
        <v>1.54E-2</v>
      </c>
      <c r="V74" s="16">
        <f>ABS(U74-T74)</f>
        <v>23.274000000000001</v>
      </c>
      <c r="W74" s="49">
        <f>VLOOKUP(A74,Enforcements!$C$3:$J$40,8,0)</f>
        <v>57897</v>
      </c>
      <c r="X74" s="49" t="str">
        <f>VLOOKUP(A74,Enforcements!$C$3:$J$40,3,0)</f>
        <v>SIGNAL</v>
      </c>
    </row>
    <row r="75" spans="1:24" s="2" customFormat="1" x14ac:dyDescent="0.25">
      <c r="A75" s="18" t="s">
        <v>191</v>
      </c>
      <c r="B75" s="19">
        <v>4025</v>
      </c>
      <c r="C75" s="19" t="s">
        <v>118</v>
      </c>
      <c r="D75" s="19" t="s">
        <v>22</v>
      </c>
      <c r="E75" s="53">
        <v>42481.675509259258</v>
      </c>
      <c r="F75" s="53">
        <v>42481.676481481481</v>
      </c>
      <c r="G75" s="71">
        <v>1</v>
      </c>
      <c r="H75" s="53" t="s">
        <v>136</v>
      </c>
      <c r="I75" s="53">
        <v>42481.702986111108</v>
      </c>
      <c r="J75" s="19">
        <v>2</v>
      </c>
      <c r="K75" s="19" t="str">
        <f>IF(ISEVEN(B75),(B75-1)&amp;"/"&amp;B75,B75&amp;"/"&amp;(B75+1))</f>
        <v>4025/4026</v>
      </c>
      <c r="L75" s="20">
        <f>I75-F75</f>
        <v>2.6504629626288079E-2</v>
      </c>
      <c r="M75" s="21">
        <f>$L75*24*60</f>
        <v>38.166666661854833</v>
      </c>
      <c r="N75" s="21"/>
      <c r="O75" s="22"/>
      <c r="P75" s="17"/>
      <c r="R75" s="16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https://search-rtdc-monitor-bjffxe2xuh6vdkpspy63sjmuny.us-east-1.es.amazonaws.com/_plugin/kibana/#/discover/Steve-Slow-Train-Analysis-(2080s-and-2083s)?_g=(refreshInterval:(display:Off,section:0,value:0),time:(from:'2016-04-21 16:11:44-0600',mode:absolute,to:'2016-04-21 16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75" s="16" t="str">
        <f>IF(V75&lt;23,"Y","N")</f>
        <v>N</v>
      </c>
      <c r="T75" s="16">
        <f>RIGHT(D75,LEN(D75)-4)/10000</f>
        <v>4.6199999999999998E-2</v>
      </c>
      <c r="U75" s="16">
        <f>RIGHT(H75,LEN(H75)-4)/10000</f>
        <v>23.327400000000001</v>
      </c>
      <c r="V75" s="16">
        <f>ABS(U75-T75)</f>
        <v>23.281200000000002</v>
      </c>
      <c r="W75" s="49">
        <f>VLOOKUP(A75,Enforcements!$C$3:$J$40,8,0)</f>
        <v>20338</v>
      </c>
      <c r="X75" s="49" t="str">
        <f>VLOOKUP(A75,Enforcements!$C$3:$J$40,3,0)</f>
        <v>PERMANENT SPEED RESTRICTION</v>
      </c>
    </row>
    <row r="76" spans="1:24" s="2" customFormat="1" x14ac:dyDescent="0.25">
      <c r="A76" s="18" t="s">
        <v>320</v>
      </c>
      <c r="B76" s="19">
        <v>4026</v>
      </c>
      <c r="C76" s="19" t="s">
        <v>118</v>
      </c>
      <c r="D76" s="19" t="s">
        <v>138</v>
      </c>
      <c r="E76" s="53">
        <v>42481.709745370368</v>
      </c>
      <c r="F76" s="53">
        <v>42481.710613425923</v>
      </c>
      <c r="G76" s="71">
        <v>1</v>
      </c>
      <c r="H76" s="53" t="s">
        <v>34</v>
      </c>
      <c r="I76" s="53">
        <v>42481.745949074073</v>
      </c>
      <c r="J76" s="19">
        <v>0</v>
      </c>
      <c r="K76" s="19" t="str">
        <f>IF(ISEVEN(B76),(B76-1)&amp;"/"&amp;B76,B76&amp;"/"&amp;(B76+1))</f>
        <v>4025/4026</v>
      </c>
      <c r="L76" s="20">
        <f>I76-F76</f>
        <v>3.5335648150066845E-2</v>
      </c>
      <c r="M76" s="21">
        <f>$L76*24*60</f>
        <v>50.883333336096257</v>
      </c>
      <c r="N76" s="21"/>
      <c r="O76" s="22"/>
      <c r="P76" s="17" t="s">
        <v>379</v>
      </c>
      <c r="R76" s="16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https://search-rtdc-monitor-bjffxe2xuh6vdkpspy63sjmuny.us-east-1.es.amazonaws.com/_plugin/kibana/#/discover/Steve-Slow-Train-Analysis-(2080s-and-2083s)?_g=(refreshInterval:(display:Off,section:0,value:0),time:(from:'2016-04-21 17:01:02-0600',mode:absolute,to:'2016-04-21 17:55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76" s="16" t="str">
        <f>IF(V76&lt;23,"Y","N")</f>
        <v>N</v>
      </c>
      <c r="T76" s="16">
        <f>RIGHT(D76,LEN(D76)-4)/10000</f>
        <v>23.296399999999998</v>
      </c>
      <c r="U76" s="16">
        <f>RIGHT(H76,LEN(H76)-4)/10000</f>
        <v>1.54E-2</v>
      </c>
      <c r="V76" s="16">
        <f>ABS(U76-T76)</f>
        <v>23.280999999999999</v>
      </c>
      <c r="W76" s="49" t="e">
        <f>VLOOKUP(A76,Enforcements!$C$3:$J$40,8,0)</f>
        <v>#N/A</v>
      </c>
      <c r="X76" s="49" t="e">
        <f>VLOOKUP(A76,Enforcements!$C$3:$J$40,3,0)</f>
        <v>#N/A</v>
      </c>
    </row>
    <row r="77" spans="1:24" s="2" customFormat="1" x14ac:dyDescent="0.25">
      <c r="A77" s="18" t="s">
        <v>196</v>
      </c>
      <c r="B77" s="19">
        <v>4025</v>
      </c>
      <c r="C77" s="19" t="s">
        <v>118</v>
      </c>
      <c r="D77" s="19" t="s">
        <v>64</v>
      </c>
      <c r="E77" s="53">
        <v>42481.751701388886</v>
      </c>
      <c r="F77" s="53">
        <v>42481.752824074072</v>
      </c>
      <c r="G77" s="71">
        <v>1</v>
      </c>
      <c r="H77" s="53" t="s">
        <v>337</v>
      </c>
      <c r="I77" s="53">
        <v>42481.779108796298</v>
      </c>
      <c r="J77" s="19">
        <v>1</v>
      </c>
      <c r="K77" s="19" t="str">
        <f>IF(ISEVEN(B77),(B77-1)&amp;"/"&amp;B77,B77&amp;"/"&amp;(B77+1))</f>
        <v>4025/4026</v>
      </c>
      <c r="L77" s="20">
        <f>I77-F77</f>
        <v>2.6284722225682344E-2</v>
      </c>
      <c r="M77" s="21">
        <f>$L77*24*60</f>
        <v>37.850000004982576</v>
      </c>
      <c r="N77" s="21"/>
      <c r="O77" s="22"/>
      <c r="P77" s="17"/>
      <c r="R77" s="16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https://search-rtdc-monitor-bjffxe2xuh6vdkpspy63sjmuny.us-east-1.es.amazonaws.com/_plugin/kibana/#/discover/Steve-Slow-Train-Analysis-(2080s-and-2083s)?_g=(refreshInterval:(display:Off,section:0,value:0),time:(from:'2016-04-21 18:01:27-0600',mode:absolute,to:'2016-04-21 18:42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77" s="16" t="str">
        <f>IF(V77&lt;23,"Y","N")</f>
        <v>N</v>
      </c>
      <c r="T77" s="16">
        <f>RIGHT(D77,LEN(D77)-4)/10000</f>
        <v>4.5999999999999999E-2</v>
      </c>
      <c r="U77" s="16">
        <f>RIGHT(H77,LEN(H77)-4)/10000</f>
        <v>23.328299999999999</v>
      </c>
      <c r="V77" s="16">
        <f>ABS(U77-T77)</f>
        <v>23.282299999999999</v>
      </c>
      <c r="W77" s="49" t="e">
        <f>VLOOKUP(A77,Enforcements!$C$3:$J$40,8,0)</f>
        <v>#N/A</v>
      </c>
      <c r="X77" s="49" t="e">
        <f>VLOOKUP(A77,Enforcements!$C$3:$J$40,3,0)</f>
        <v>#N/A</v>
      </c>
    </row>
    <row r="78" spans="1:24" s="2" customFormat="1" x14ac:dyDescent="0.25">
      <c r="A78" s="18" t="s">
        <v>338</v>
      </c>
      <c r="B78" s="19">
        <v>4026</v>
      </c>
      <c r="C78" s="19" t="s">
        <v>118</v>
      </c>
      <c r="D78" s="19" t="s">
        <v>240</v>
      </c>
      <c r="E78" s="53">
        <v>42481.785520833335</v>
      </c>
      <c r="F78" s="53">
        <v>42481.786724537036</v>
      </c>
      <c r="G78" s="71">
        <v>1</v>
      </c>
      <c r="H78" s="53" t="s">
        <v>30</v>
      </c>
      <c r="I78" s="53">
        <v>42481.818043981482</v>
      </c>
      <c r="J78" s="19">
        <v>0</v>
      </c>
      <c r="K78" s="19" t="str">
        <f>IF(ISEVEN(B78),(B78-1)&amp;"/"&amp;B78,B78&amp;"/"&amp;(B78+1))</f>
        <v>4025/4026</v>
      </c>
      <c r="L78" s="20">
        <f>I78-F78</f>
        <v>3.1319444446125999E-2</v>
      </c>
      <c r="M78" s="21">
        <f>$L78*24*60</f>
        <v>45.100000002421439</v>
      </c>
      <c r="N78" s="21"/>
      <c r="O78" s="22"/>
      <c r="P78" s="17"/>
      <c r="R78" s="16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https://search-rtdc-monitor-bjffxe2xuh6vdkpspy63sjmuny.us-east-1.es.amazonaws.com/_plugin/kibana/#/discover/Steve-Slow-Train-Analysis-(2080s-and-2083s)?_g=(refreshInterval:(display:Off,section:0,value:0),time:(from:'2016-04-21 18:50:09-0600',mode:absolute,to:'2016-04-21 19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78" s="16" t="str">
        <f>IF(V78&lt;23,"Y","N")</f>
        <v>N</v>
      </c>
      <c r="T78" s="16">
        <f>RIGHT(D78,LEN(D78)-4)/10000</f>
        <v>23.297899999999998</v>
      </c>
      <c r="U78" s="16">
        <f>RIGHT(H78,LEN(H78)-4)/10000</f>
        <v>1.4999999999999999E-2</v>
      </c>
      <c r="V78" s="16">
        <f>ABS(U78-T78)</f>
        <v>23.282899999999998</v>
      </c>
      <c r="W78" s="49" t="e">
        <f>VLOOKUP(A78,Enforcements!$C$3:$J$40,8,0)</f>
        <v>#N/A</v>
      </c>
      <c r="X78" s="49" t="e">
        <f>VLOOKUP(A78,Enforcements!$C$3:$J$40,3,0)</f>
        <v>#N/A</v>
      </c>
    </row>
    <row r="79" spans="1:24" s="2" customFormat="1" x14ac:dyDescent="0.25">
      <c r="A79" s="18" t="s">
        <v>201</v>
      </c>
      <c r="B79" s="19">
        <v>4025</v>
      </c>
      <c r="C79" s="19" t="s">
        <v>118</v>
      </c>
      <c r="D79" s="19" t="s">
        <v>37</v>
      </c>
      <c r="E79" s="53">
        <v>42481.820590277777</v>
      </c>
      <c r="F79" s="53">
        <v>42481.821631944447</v>
      </c>
      <c r="G79" s="71">
        <v>1</v>
      </c>
      <c r="H79" s="53" t="s">
        <v>348</v>
      </c>
      <c r="I79" s="53">
        <v>42481.84988425926</v>
      </c>
      <c r="J79" s="19">
        <v>1</v>
      </c>
      <c r="K79" s="19" t="str">
        <f>IF(ISEVEN(B79),(B79-1)&amp;"/"&amp;B79,B79&amp;"/"&amp;(B79+1))</f>
        <v>4025/4026</v>
      </c>
      <c r="L79" s="20">
        <f>I79-F79</f>
        <v>2.8252314812561963E-2</v>
      </c>
      <c r="M79" s="21">
        <f>$L79*24*60</f>
        <v>40.683333330089226</v>
      </c>
      <c r="N79" s="21"/>
      <c r="O79" s="22"/>
      <c r="P79" s="17"/>
      <c r="R79" s="16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https://search-rtdc-monitor-bjffxe2xuh6vdkpspy63sjmuny.us-east-1.es.amazonaws.com/_plugin/kibana/#/discover/Steve-Slow-Train-Analysis-(2080s-and-2083s)?_g=(refreshInterval:(display:Off,section:0,value:0),time:(from:'2016-04-21 19:40:39-0600',mode:absolute,to:'2016-04-21 20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S79" s="16" t="str">
        <f>IF(V79&lt;23,"Y","N")</f>
        <v>N</v>
      </c>
      <c r="T79" s="16">
        <f>RIGHT(D79,LEN(D79)-4)/10000</f>
        <v>4.58E-2</v>
      </c>
      <c r="U79" s="16">
        <f>RIGHT(H79,LEN(H79)-4)/10000</f>
        <v>23.325500000000002</v>
      </c>
      <c r="V79" s="16">
        <f>ABS(U79-T79)</f>
        <v>23.279700000000002</v>
      </c>
      <c r="W79" s="49" t="e">
        <f>VLOOKUP(A79,Enforcements!$C$3:$J$40,8,0)</f>
        <v>#N/A</v>
      </c>
      <c r="X79" s="49" t="e">
        <f>VLOOKUP(A79,Enforcements!$C$3:$J$40,3,0)</f>
        <v>#N/A</v>
      </c>
    </row>
    <row r="80" spans="1:24" s="2" customFormat="1" x14ac:dyDescent="0.25">
      <c r="A80" s="18" t="s">
        <v>202</v>
      </c>
      <c r="B80" s="19">
        <v>4026</v>
      </c>
      <c r="C80" s="19" t="s">
        <v>118</v>
      </c>
      <c r="D80" s="19" t="s">
        <v>349</v>
      </c>
      <c r="E80" s="53">
        <v>42481.855312500003</v>
      </c>
      <c r="F80" s="53">
        <v>42481.85628472222</v>
      </c>
      <c r="G80" s="71">
        <v>1</v>
      </c>
      <c r="H80" s="53" t="s">
        <v>8</v>
      </c>
      <c r="I80" s="53">
        <v>42481.8909375</v>
      </c>
      <c r="J80" s="19">
        <v>1</v>
      </c>
      <c r="K80" s="19" t="str">
        <f>IF(ISEVEN(B80),(B80-1)&amp;"/"&amp;B80,B80&amp;"/"&amp;(B80+1))</f>
        <v>4025/4026</v>
      </c>
      <c r="L80" s="20">
        <f>I80-F80</f>
        <v>3.4652777780138422E-2</v>
      </c>
      <c r="M80" s="21">
        <f>$L80*24*60</f>
        <v>49.900000003399327</v>
      </c>
      <c r="N80" s="21"/>
      <c r="O80" s="22"/>
      <c r="P80" s="17"/>
      <c r="R80" s="16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https://search-rtdc-monitor-bjffxe2xuh6vdkpspy63sjmuny.us-east-1.es.amazonaws.com/_plugin/kibana/#/discover/Steve-Slow-Train-Analysis-(2080s-and-2083s)?_g=(refreshInterval:(display:Off,section:0,value:0),time:(from:'2016-04-21 20:30:39-0600',mode:absolute,to:'2016-04-21 21:23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80" s="16" t="str">
        <f>IF(V80&lt;23,"Y","N")</f>
        <v>N</v>
      </c>
      <c r="T80" s="16">
        <f>RIGHT(D80,LEN(D80)-4)/10000</f>
        <v>23.292999999999999</v>
      </c>
      <c r="U80" s="16">
        <f>RIGHT(H80,LEN(H80)-4)/10000</f>
        <v>1.49E-2</v>
      </c>
      <c r="V80" s="16">
        <f>ABS(U80-T80)</f>
        <v>23.278099999999998</v>
      </c>
      <c r="W80" s="49">
        <f>VLOOKUP(A80,Enforcements!$C$3:$J$40,8,0)</f>
        <v>183829</v>
      </c>
      <c r="X80" s="49" t="str">
        <f>VLOOKUP(A80,Enforcements!$C$3:$J$40,3,0)</f>
        <v>PERMANENT SPEED RESTRICTION</v>
      </c>
    </row>
    <row r="81" spans="1:24" s="2" customFormat="1" x14ac:dyDescent="0.25">
      <c r="A81" s="18" t="s">
        <v>223</v>
      </c>
      <c r="B81" s="19">
        <v>4040</v>
      </c>
      <c r="C81" s="19" t="s">
        <v>118</v>
      </c>
      <c r="D81" s="19" t="s">
        <v>22</v>
      </c>
      <c r="E81" s="53">
        <v>42481.187430555554</v>
      </c>
      <c r="F81" s="53">
        <v>42481.188379629632</v>
      </c>
      <c r="G81" s="71">
        <v>1</v>
      </c>
      <c r="H81" s="53" t="s">
        <v>224</v>
      </c>
      <c r="I81" s="53">
        <v>42481.213414351849</v>
      </c>
      <c r="J81" s="19">
        <v>0</v>
      </c>
      <c r="K81" s="19" t="str">
        <f>IF(ISEVEN(B81),(B81-1)&amp;"/"&amp;B81,B81&amp;"/"&amp;(B81+1))</f>
        <v>4039/4040</v>
      </c>
      <c r="L81" s="20">
        <f>I81-F81</f>
        <v>2.5034722217242233E-2</v>
      </c>
      <c r="M81" s="21">
        <f>$L81*24*60</f>
        <v>36.049999992828816</v>
      </c>
      <c r="N81" s="21"/>
      <c r="O81" s="22"/>
      <c r="P81" s="17"/>
      <c r="R81" s="16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https://search-rtdc-monitor-bjffxe2xuh6vdkpspy63sjmuny.us-east-1.es.amazonaws.com/_plugin/kibana/#/discover/Steve-Slow-Train-Analysis-(2080s-and-2083s)?_g=(refreshInterval:(display:Off,section:0,value:0),time:(from:'2016-04-21 04:28:54-0600',mode:absolute,to:'2016-04-21 05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81" s="16" t="str">
        <f>IF(V81&lt;23,"Y","N")</f>
        <v>N</v>
      </c>
      <c r="T81" s="16">
        <f>RIGHT(D81,LEN(D81)-4)/10000</f>
        <v>4.6199999999999998E-2</v>
      </c>
      <c r="U81" s="16">
        <f>RIGHT(H81,LEN(H81)-4)/10000</f>
        <v>23.330100000000002</v>
      </c>
      <c r="V81" s="16">
        <f>ABS(U81-T81)</f>
        <v>23.283900000000003</v>
      </c>
      <c r="W81" s="49" t="e">
        <f>VLOOKUP(A81,Enforcements!$C$3:$J$40,8,0)</f>
        <v>#N/A</v>
      </c>
      <c r="X81" s="49" t="e">
        <f>VLOOKUP(A81,Enforcements!$C$3:$J$40,3,0)</f>
        <v>#N/A</v>
      </c>
    </row>
    <row r="82" spans="1:24" s="2" customFormat="1" x14ac:dyDescent="0.25">
      <c r="A82" s="18" t="s">
        <v>154</v>
      </c>
      <c r="B82" s="19">
        <v>4039</v>
      </c>
      <c r="C82" s="19" t="s">
        <v>118</v>
      </c>
      <c r="D82" s="19" t="s">
        <v>225</v>
      </c>
      <c r="E82" s="53">
        <v>42481.215057870373</v>
      </c>
      <c r="F82" s="53">
        <v>42481.226539351854</v>
      </c>
      <c r="G82" s="71">
        <v>1</v>
      </c>
      <c r="H82" s="53" t="s">
        <v>38</v>
      </c>
      <c r="I82" s="53">
        <v>42481.257557870369</v>
      </c>
      <c r="J82" s="19">
        <v>1</v>
      </c>
      <c r="K82" s="19" t="str">
        <f>IF(ISEVEN(B82),(B82-1)&amp;"/"&amp;B82,B82&amp;"/"&amp;(B82+1))</f>
        <v>4039/4040</v>
      </c>
      <c r="L82" s="20">
        <f>I82-F82</f>
        <v>3.1018518515338656E-2</v>
      </c>
      <c r="M82" s="21">
        <f>$L82*24*60</f>
        <v>44.666666662087664</v>
      </c>
      <c r="N82" s="21"/>
      <c r="O82" s="22"/>
      <c r="P82" s="17"/>
      <c r="R82" s="16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https://search-rtdc-monitor-bjffxe2xuh6vdkpspy63sjmuny.us-east-1.es.amazonaws.com/_plugin/kibana/#/discover/Steve-Slow-Train-Analysis-(2080s-and-2083s)?_g=(refreshInterval:(display:Off,section:0,value:0),time:(from:'2016-04-21 05:08:41-0600',mode:absolute,to:'2016-04-21 06:11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82" s="16" t="str">
        <f>IF(V82&lt;23,"Y","N")</f>
        <v>N</v>
      </c>
      <c r="T82" s="16">
        <f>RIGHT(D82,LEN(D82)-4)/10000</f>
        <v>23.297499999999999</v>
      </c>
      <c r="U82" s="16">
        <f>RIGHT(H82,LEN(H82)-4)/10000</f>
        <v>1.5599999999999999E-2</v>
      </c>
      <c r="V82" s="16">
        <f>ABS(U82-T82)</f>
        <v>23.2819</v>
      </c>
      <c r="W82" s="49" t="e">
        <f>VLOOKUP(A82,Enforcements!$C$3:$J$40,8,0)</f>
        <v>#N/A</v>
      </c>
      <c r="X82" s="49" t="e">
        <f>VLOOKUP(A82,Enforcements!$C$3:$J$40,3,0)</f>
        <v>#N/A</v>
      </c>
    </row>
    <row r="83" spans="1:24" s="2" customFormat="1" x14ac:dyDescent="0.25">
      <c r="A83" s="18" t="s">
        <v>237</v>
      </c>
      <c r="B83" s="19">
        <v>4040</v>
      </c>
      <c r="C83" s="19" t="s">
        <v>118</v>
      </c>
      <c r="D83" s="19" t="s">
        <v>238</v>
      </c>
      <c r="E83" s="53">
        <v>42481.262291666666</v>
      </c>
      <c r="F83" s="53">
        <v>42481.263101851851</v>
      </c>
      <c r="G83" s="71">
        <v>1</v>
      </c>
      <c r="H83" s="53" t="s">
        <v>60</v>
      </c>
      <c r="I83" s="53">
        <v>42481.289131944446</v>
      </c>
      <c r="J83" s="19">
        <v>0</v>
      </c>
      <c r="K83" s="19" t="str">
        <f>IF(ISEVEN(B83),(B83-1)&amp;"/"&amp;B83,B83&amp;"/"&amp;(B83+1))</f>
        <v>4039/4040</v>
      </c>
      <c r="L83" s="20">
        <f>I83-F83</f>
        <v>2.6030092594737653E-2</v>
      </c>
      <c r="M83" s="21">
        <f>$L83*24*60</f>
        <v>37.48333333642222</v>
      </c>
      <c r="N83" s="21"/>
      <c r="O83" s="22"/>
      <c r="P83" s="17"/>
      <c r="R83" s="16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https://search-rtdc-monitor-bjffxe2xuh6vdkpspy63sjmuny.us-east-1.es.amazonaws.com/_plugin/kibana/#/discover/Steve-Slow-Train-Analysis-(2080s-and-2083s)?_g=(refreshInterval:(display:Off,section:0,value:0),time:(from:'2016-04-21 06:16:42-0600',mode:absolute,to:'2016-04-21 06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83" s="16" t="str">
        <f>IF(V83&lt;23,"Y","N")</f>
        <v>N</v>
      </c>
      <c r="T83" s="16">
        <f>RIGHT(D83,LEN(D83)-4)/10000</f>
        <v>4.9099999999999998E-2</v>
      </c>
      <c r="U83" s="16">
        <f>RIGHT(H83,LEN(H83)-4)/10000</f>
        <v>23.33</v>
      </c>
      <c r="V83" s="16">
        <f>ABS(U83-T83)</f>
        <v>23.280899999999999</v>
      </c>
      <c r="W83" s="49" t="e">
        <f>VLOOKUP(A83,Enforcements!$C$3:$J$40,8,0)</f>
        <v>#N/A</v>
      </c>
      <c r="X83" s="49" t="e">
        <f>VLOOKUP(A83,Enforcements!$C$3:$J$40,3,0)</f>
        <v>#N/A</v>
      </c>
    </row>
    <row r="84" spans="1:24" s="2" customFormat="1" x14ac:dyDescent="0.25">
      <c r="A84" s="18" t="s">
        <v>239</v>
      </c>
      <c r="B84" s="19">
        <v>4039</v>
      </c>
      <c r="C84" s="19" t="s">
        <v>118</v>
      </c>
      <c r="D84" s="19" t="s">
        <v>240</v>
      </c>
      <c r="E84" s="53">
        <v>42481.296886574077</v>
      </c>
      <c r="F84" s="53">
        <v>42481.297650462962</v>
      </c>
      <c r="G84" s="71">
        <v>1</v>
      </c>
      <c r="H84" s="53" t="s">
        <v>55</v>
      </c>
      <c r="I84" s="53">
        <v>42481.327986111108</v>
      </c>
      <c r="J84" s="19">
        <v>0</v>
      </c>
      <c r="K84" s="19" t="str">
        <f>IF(ISEVEN(B84),(B84-1)&amp;"/"&amp;B84,B84&amp;"/"&amp;(B84+1))</f>
        <v>4039/4040</v>
      </c>
      <c r="L84" s="20">
        <f>I84-F84</f>
        <v>3.0335648145410232E-2</v>
      </c>
      <c r="M84" s="21">
        <f>$L84*24*60</f>
        <v>43.683333329390734</v>
      </c>
      <c r="N84" s="21"/>
      <c r="O84" s="22"/>
      <c r="P84" s="17"/>
      <c r="R84" s="16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https://search-rtdc-monitor-bjffxe2xuh6vdkpspy63sjmuny.us-east-1.es.amazonaws.com/_plugin/kibana/#/discover/Steve-Slow-Train-Analysis-(2080s-and-2083s)?_g=(refreshInterval:(display:Off,section:0,value:0),time:(from:'2016-04-21 07:06:31-0600',mode:absolute,to:'2016-04-21 07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84" s="16" t="str">
        <f>IF(V84&lt;23,"Y","N")</f>
        <v>N</v>
      </c>
      <c r="T84" s="16">
        <f>RIGHT(D84,LEN(D84)-4)/10000</f>
        <v>23.297899999999998</v>
      </c>
      <c r="U84" s="16">
        <f>RIGHT(H84,LEN(H84)-4)/10000</f>
        <v>1.6E-2</v>
      </c>
      <c r="V84" s="16">
        <f>ABS(U84-T84)</f>
        <v>23.2819</v>
      </c>
      <c r="W84" s="49" t="e">
        <f>VLOOKUP(A84,Enforcements!$C$3:$J$40,8,0)</f>
        <v>#N/A</v>
      </c>
      <c r="X84" s="49" t="e">
        <f>VLOOKUP(A84,Enforcements!$C$3:$J$40,3,0)</f>
        <v>#N/A</v>
      </c>
    </row>
    <row r="85" spans="1:24" s="2" customFormat="1" x14ac:dyDescent="0.25">
      <c r="A85" s="18" t="s">
        <v>249</v>
      </c>
      <c r="B85" s="19">
        <v>4040</v>
      </c>
      <c r="C85" s="19" t="s">
        <v>118</v>
      </c>
      <c r="D85" s="19" t="s">
        <v>62</v>
      </c>
      <c r="E85" s="53">
        <v>42481.331863425927</v>
      </c>
      <c r="F85" s="53">
        <v>42481.332812499997</v>
      </c>
      <c r="G85" s="71">
        <v>1</v>
      </c>
      <c r="H85" s="53" t="s">
        <v>130</v>
      </c>
      <c r="I85" s="53">
        <v>42481.363761574074</v>
      </c>
      <c r="J85" s="19">
        <v>0</v>
      </c>
      <c r="K85" s="19" t="str">
        <f>IF(ISEVEN(B85),(B85-1)&amp;"/"&amp;B85,B85&amp;"/"&amp;(B85+1))</f>
        <v>4039/4040</v>
      </c>
      <c r="L85" s="20">
        <f>I85-F85</f>
        <v>3.0949074076488614E-2</v>
      </c>
      <c r="M85" s="21">
        <f>$L85*24*60</f>
        <v>44.566666670143604</v>
      </c>
      <c r="N85" s="21"/>
      <c r="O85" s="22"/>
      <c r="P85" s="17"/>
      <c r="R85" s="16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https://search-rtdc-monitor-bjffxe2xuh6vdkpspy63sjmuny.us-east-1.es.amazonaws.com/_plugin/kibana/#/discover/Steve-Slow-Train-Analysis-(2080s-and-2083s)?_g=(refreshInterval:(display:Off,section:0,value:0),time:(from:'2016-04-21 07:56:53-0600',mode:absolute,to:'2016-04-21 08:44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85" s="16" t="str">
        <f>IF(V85&lt;23,"Y","N")</f>
        <v>N</v>
      </c>
      <c r="T85" s="16">
        <f>RIGHT(D85,LEN(D85)-4)/10000</f>
        <v>4.6600000000000003E-2</v>
      </c>
      <c r="U85" s="16">
        <f>RIGHT(H85,LEN(H85)-4)/10000</f>
        <v>23.329699999999999</v>
      </c>
      <c r="V85" s="16">
        <f>ABS(U85-T85)</f>
        <v>23.283099999999997</v>
      </c>
      <c r="W85" s="49" t="e">
        <f>VLOOKUP(A85,Enforcements!$C$3:$J$40,8,0)</f>
        <v>#N/A</v>
      </c>
      <c r="X85" s="49" t="e">
        <f>VLOOKUP(A85,Enforcements!$C$3:$J$40,3,0)</f>
        <v>#N/A</v>
      </c>
    </row>
    <row r="86" spans="1:24" s="2" customFormat="1" x14ac:dyDescent="0.25">
      <c r="A86" s="18" t="s">
        <v>250</v>
      </c>
      <c r="B86" s="19">
        <v>4039</v>
      </c>
      <c r="C86" s="19" t="s">
        <v>118</v>
      </c>
      <c r="D86" s="19" t="s">
        <v>125</v>
      </c>
      <c r="E86" s="53">
        <v>42481.368252314816</v>
      </c>
      <c r="F86" s="53">
        <v>42481.369305555556</v>
      </c>
      <c r="G86" s="71">
        <v>1</v>
      </c>
      <c r="H86" s="53" t="s">
        <v>251</v>
      </c>
      <c r="I86" s="53">
        <v>42481.401203703703</v>
      </c>
      <c r="J86" s="19">
        <v>0</v>
      </c>
      <c r="K86" s="19" t="str">
        <f>IF(ISEVEN(B86),(B86-1)&amp;"/"&amp;B86,B86&amp;"/"&amp;(B86+1))</f>
        <v>4039/4040</v>
      </c>
      <c r="L86" s="20">
        <f>I86-F86</f>
        <v>3.1898148146865424E-2</v>
      </c>
      <c r="M86" s="21">
        <f>$L86*24*60</f>
        <v>45.93333333148621</v>
      </c>
      <c r="N86" s="21"/>
      <c r="O86" s="22"/>
      <c r="P86" s="17"/>
      <c r="R86" s="16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https://search-rtdc-monitor-bjffxe2xuh6vdkpspy63sjmuny.us-east-1.es.amazonaws.com/_plugin/kibana/#/discover/Steve-Slow-Train-Analysis-(2080s-and-2083s)?_g=(refreshInterval:(display:Off,section:0,value:0),time:(from:'2016-04-21 08:49:17-0600',mode:absolute,to:'2016-04-21 09:38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86" s="16" t="str">
        <f>IF(V86&lt;23,"Y","N")</f>
        <v>N</v>
      </c>
      <c r="T86" s="16">
        <f>RIGHT(D86,LEN(D86)-4)/10000</f>
        <v>23.296700000000001</v>
      </c>
      <c r="U86" s="16">
        <f>RIGHT(H86,LEN(H86)-4)/10000</f>
        <v>1.23E-2</v>
      </c>
      <c r="V86" s="16">
        <f>ABS(U86-T86)</f>
        <v>23.284400000000002</v>
      </c>
      <c r="W86" s="49" t="e">
        <f>VLOOKUP(A86,Enforcements!$C$3:$J$40,8,0)</f>
        <v>#N/A</v>
      </c>
      <c r="X86" s="49" t="e">
        <f>VLOOKUP(A86,Enforcements!$C$3:$J$40,3,0)</f>
        <v>#N/A</v>
      </c>
    </row>
    <row r="87" spans="1:24" s="2" customFormat="1" x14ac:dyDescent="0.25">
      <c r="A87" s="18" t="s">
        <v>263</v>
      </c>
      <c r="B87" s="19">
        <v>4040</v>
      </c>
      <c r="C87" s="19" t="s">
        <v>118</v>
      </c>
      <c r="D87" s="19" t="s">
        <v>46</v>
      </c>
      <c r="E87" s="53">
        <v>42481.406030092592</v>
      </c>
      <c r="F87" s="53">
        <v>42481.407002314816</v>
      </c>
      <c r="G87" s="71">
        <v>1</v>
      </c>
      <c r="H87" s="53" t="s">
        <v>123</v>
      </c>
      <c r="I87" s="53">
        <v>42481.431527777779</v>
      </c>
      <c r="J87" s="19">
        <v>0</v>
      </c>
      <c r="K87" s="19" t="str">
        <f>IF(ISEVEN(B87),(B87-1)&amp;"/"&amp;B87,B87&amp;"/"&amp;(B87+1))</f>
        <v>4039/4040</v>
      </c>
      <c r="L87" s="20">
        <f>I87-F87</f>
        <v>2.4525462962628808E-2</v>
      </c>
      <c r="M87" s="21">
        <f>$L87*24*60</f>
        <v>35.316666666185483</v>
      </c>
      <c r="N87" s="21"/>
      <c r="O87" s="22"/>
      <c r="P87" s="17"/>
      <c r="R87" s="16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https://search-rtdc-monitor-bjffxe2xuh6vdkpspy63sjmuny.us-east-1.es.amazonaws.com/_plugin/kibana/#/discover/Steve-Slow-Train-Analysis-(2080s-and-2083s)?_g=(refreshInterval:(display:Off,section:0,value:0),time:(from:'2016-04-21 09:43:41-0600',mode:absolute,to:'2016-04-21 10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87" s="16" t="str">
        <f>IF(V87&lt;23,"Y","N")</f>
        <v>N</v>
      </c>
      <c r="T87" s="16">
        <f>RIGHT(D87,LEN(D87)-4)/10000</f>
        <v>4.5699999999999998E-2</v>
      </c>
      <c r="U87" s="16">
        <f>RIGHT(H87,LEN(H87)-4)/10000</f>
        <v>23.3306</v>
      </c>
      <c r="V87" s="16">
        <f>ABS(U87-T87)</f>
        <v>23.2849</v>
      </c>
      <c r="W87" s="49" t="e">
        <f>VLOOKUP(A87,Enforcements!$C$3:$J$40,8,0)</f>
        <v>#N/A</v>
      </c>
      <c r="X87" s="49" t="e">
        <f>VLOOKUP(A87,Enforcements!$C$3:$J$40,3,0)</f>
        <v>#N/A</v>
      </c>
    </row>
    <row r="88" spans="1:24" s="2" customFormat="1" x14ac:dyDescent="0.25">
      <c r="A88" s="18" t="s">
        <v>171</v>
      </c>
      <c r="B88" s="19">
        <v>4039</v>
      </c>
      <c r="C88" s="19" t="s">
        <v>118</v>
      </c>
      <c r="D88" s="19" t="s">
        <v>131</v>
      </c>
      <c r="E88" s="53">
        <v>42481.442789351851</v>
      </c>
      <c r="F88" s="53">
        <v>42481.444085648145</v>
      </c>
      <c r="G88" s="71">
        <v>1</v>
      </c>
      <c r="H88" s="53" t="s">
        <v>30</v>
      </c>
      <c r="I88" s="53">
        <v>42481.476620370369</v>
      </c>
      <c r="J88" s="19">
        <v>1</v>
      </c>
      <c r="K88" s="19" t="str">
        <f>IF(ISEVEN(B88),(B88-1)&amp;"/"&amp;B88,B88&amp;"/"&amp;(B88+1))</f>
        <v>4039/4040</v>
      </c>
      <c r="L88" s="20">
        <f>I88-F88</f>
        <v>3.2534722224227153E-2</v>
      </c>
      <c r="M88" s="21">
        <f>$L88*24*60</f>
        <v>46.8500000028871</v>
      </c>
      <c r="N88" s="21"/>
      <c r="O88" s="22"/>
      <c r="P88" s="17"/>
      <c r="R88" s="16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https://search-rtdc-monitor-bjffxe2xuh6vdkpspy63sjmuny.us-east-1.es.amazonaws.com/_plugin/kibana/#/discover/Steve-Slow-Train-Analysis-(2080s-and-2083s)?_g=(refreshInterval:(display:Off,section:0,value:0),time:(from:'2016-04-21 10:36:37-0600',mode:absolute,to:'2016-04-21 11:27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88" s="16" t="str">
        <f>IF(V88&lt;23,"Y","N")</f>
        <v>N</v>
      </c>
      <c r="T88" s="16">
        <f>RIGHT(D88,LEN(D88)-4)/10000</f>
        <v>23.298100000000002</v>
      </c>
      <c r="U88" s="16">
        <f>RIGHT(H88,LEN(H88)-4)/10000</f>
        <v>1.4999999999999999E-2</v>
      </c>
      <c r="V88" s="16">
        <f>ABS(U88-T88)</f>
        <v>23.283100000000001</v>
      </c>
      <c r="W88" s="49">
        <f>VLOOKUP(A88,Enforcements!$C$3:$J$40,8,0)</f>
        <v>30562</v>
      </c>
      <c r="X88" s="49" t="str">
        <f>VLOOKUP(A88,Enforcements!$C$3:$J$40,3,0)</f>
        <v>PERMANENT SPEED RESTRICTION</v>
      </c>
    </row>
    <row r="89" spans="1:24" s="2" customFormat="1" x14ac:dyDescent="0.25">
      <c r="A89" s="18" t="s">
        <v>275</v>
      </c>
      <c r="B89" s="19">
        <v>4040</v>
      </c>
      <c r="C89" s="19" t="s">
        <v>118</v>
      </c>
      <c r="D89" s="19" t="s">
        <v>253</v>
      </c>
      <c r="E89" s="53">
        <v>42481.480567129627</v>
      </c>
      <c r="F89" s="53">
        <v>42481.483472222222</v>
      </c>
      <c r="G89" s="71">
        <v>4</v>
      </c>
      <c r="H89" s="53" t="s">
        <v>276</v>
      </c>
      <c r="I89" s="53">
        <v>42481.507094907407</v>
      </c>
      <c r="J89" s="19">
        <v>0</v>
      </c>
      <c r="K89" s="19" t="str">
        <f>IF(ISEVEN(B89),(B89-1)&amp;"/"&amp;B89,B89&amp;"/"&amp;(B89+1))</f>
        <v>4039/4040</v>
      </c>
      <c r="L89" s="20">
        <f>I89-F89</f>
        <v>2.3622685184818693E-2</v>
      </c>
      <c r="M89" s="21">
        <f>$L89*24*60</f>
        <v>34.016666666138917</v>
      </c>
      <c r="N89" s="21"/>
      <c r="O89" s="22"/>
      <c r="P89" s="17"/>
      <c r="R89" s="16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https://search-rtdc-monitor-bjffxe2xuh6vdkpspy63sjmuny.us-east-1.es.amazonaws.com/_plugin/kibana/#/discover/Steve-Slow-Train-Analysis-(2080s-and-2083s)?_g=(refreshInterval:(display:Off,section:0,value:0),time:(from:'2016-04-21 11:31:01-0600',mode:absolute,to:'2016-04-21 12:11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89" s="16" t="str">
        <f>IF(V89&lt;23,"Y","N")</f>
        <v>N</v>
      </c>
      <c r="T89" s="16">
        <f>RIGHT(D89,LEN(D89)-4)/10000</f>
        <v>4.8399999999999999E-2</v>
      </c>
      <c r="U89" s="16">
        <f>RIGHT(H89,LEN(H89)-4)/10000</f>
        <v>23.342300000000002</v>
      </c>
      <c r="V89" s="16">
        <f>ABS(U89-T89)</f>
        <v>23.293900000000001</v>
      </c>
      <c r="W89" s="49" t="e">
        <f>VLOOKUP(A89,Enforcements!$C$3:$J$40,8,0)</f>
        <v>#N/A</v>
      </c>
      <c r="X89" s="49" t="e">
        <f>VLOOKUP(A89,Enforcements!$C$3:$J$40,3,0)</f>
        <v>#N/A</v>
      </c>
    </row>
    <row r="90" spans="1:24" s="2" customFormat="1" x14ac:dyDescent="0.25">
      <c r="A90" s="18" t="s">
        <v>176</v>
      </c>
      <c r="B90" s="19">
        <v>4039</v>
      </c>
      <c r="C90" s="19" t="s">
        <v>118</v>
      </c>
      <c r="D90" s="19" t="s">
        <v>277</v>
      </c>
      <c r="E90" s="53">
        <v>42481.516261574077</v>
      </c>
      <c r="F90" s="53">
        <v>42481.517731481479</v>
      </c>
      <c r="G90" s="71">
        <v>2</v>
      </c>
      <c r="H90" s="53" t="s">
        <v>8</v>
      </c>
      <c r="I90" s="53">
        <v>42481.544594907406</v>
      </c>
      <c r="J90" s="19">
        <v>2</v>
      </c>
      <c r="K90" s="19" t="str">
        <f>IF(ISEVEN(B90),(B90-1)&amp;"/"&amp;B90,B90&amp;"/"&amp;(B90+1))</f>
        <v>4039/4040</v>
      </c>
      <c r="L90" s="20">
        <f>I90-F90</f>
        <v>2.6863425926421769E-2</v>
      </c>
      <c r="M90" s="21">
        <f>$L90*24*60</f>
        <v>38.683333334047347</v>
      </c>
      <c r="N90" s="21"/>
      <c r="O90" s="22"/>
      <c r="P90" s="17"/>
      <c r="R90" s="16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https://search-rtdc-monitor-bjffxe2xuh6vdkpspy63sjmuny.us-east-1.es.amazonaws.com/_plugin/kibana/#/discover/Steve-Slow-Train-Analysis-(2080s-and-2083s)?_g=(refreshInterval:(display:Off,section:0,value:0),time:(from:'2016-04-21 12:22:25-0600',mode:absolute,to:'2016-04-21 13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0" s="16" t="str">
        <f>IF(V90&lt;23,"Y","N")</f>
        <v>N</v>
      </c>
      <c r="T90" s="16">
        <f>RIGHT(D90,LEN(D90)-4)/10000</f>
        <v>23.312799999999999</v>
      </c>
      <c r="U90" s="16">
        <f>RIGHT(H90,LEN(H90)-4)/10000</f>
        <v>1.49E-2</v>
      </c>
      <c r="V90" s="16">
        <f>ABS(U90-T90)</f>
        <v>23.297899999999998</v>
      </c>
      <c r="W90" s="49">
        <f>VLOOKUP(A90,Enforcements!$C$3:$J$40,8,0)</f>
        <v>7302</v>
      </c>
      <c r="X90" s="49" t="str">
        <f>VLOOKUP(A90,Enforcements!$C$3:$J$40,3,0)</f>
        <v>PERMANENT SPEED RESTRICTION</v>
      </c>
    </row>
    <row r="91" spans="1:24" s="2" customFormat="1" x14ac:dyDescent="0.25">
      <c r="A91" s="18" t="s">
        <v>180</v>
      </c>
      <c r="B91" s="19">
        <v>4040</v>
      </c>
      <c r="C91" s="19" t="s">
        <v>118</v>
      </c>
      <c r="D91" s="19" t="s">
        <v>227</v>
      </c>
      <c r="E91" s="53">
        <v>42481.547233796293</v>
      </c>
      <c r="F91" s="53">
        <v>42481.552523148152</v>
      </c>
      <c r="G91" s="71">
        <v>2</v>
      </c>
      <c r="H91" s="53" t="s">
        <v>290</v>
      </c>
      <c r="I91" s="53">
        <v>42481.583912037036</v>
      </c>
      <c r="J91" s="19">
        <v>3</v>
      </c>
      <c r="K91" s="19" t="str">
        <f>IF(ISEVEN(B91),(B91-1)&amp;"/"&amp;B91,B91&amp;"/"&amp;(B91+1))</f>
        <v>4039/4040</v>
      </c>
      <c r="L91" s="20">
        <f>I91-F91</f>
        <v>3.1388888884976041E-2</v>
      </c>
      <c r="M91" s="21">
        <f>$L91*24*60</f>
        <v>45.199999994365498</v>
      </c>
      <c r="N91" s="21"/>
      <c r="O91" s="22"/>
      <c r="P91" s="17"/>
      <c r="R91" s="16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https://search-rtdc-monitor-bjffxe2xuh6vdkpspy63sjmuny.us-east-1.es.amazonaws.com/_plugin/kibana/#/discover/Steve-Slow-Train-Analysis-(2080s-and-2083s)?_g=(refreshInterval:(display:Off,section:0,value:0),time:(from:'2016-04-21 13:07:01-0600',mode:absolute,to:'2016-04-21 14:01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91" s="16" t="str">
        <f>IF(V91&lt;23,"Y","N")</f>
        <v>N</v>
      </c>
      <c r="T91" s="16">
        <f>RIGHT(D91,LEN(D91)-4)/10000</f>
        <v>4.4600000000000001E-2</v>
      </c>
      <c r="U91" s="16">
        <f>RIGHT(H91,LEN(H91)-4)/10000</f>
        <v>23.3383</v>
      </c>
      <c r="V91" s="16">
        <f>ABS(U91-T91)</f>
        <v>23.293700000000001</v>
      </c>
      <c r="W91" s="49">
        <f>VLOOKUP(A91,Enforcements!$C$3:$J$40,8,0)</f>
        <v>27333</v>
      </c>
      <c r="X91" s="49" t="str">
        <f>VLOOKUP(A91,Enforcements!$C$3:$J$40,3,0)</f>
        <v>PERMANENT SPEED RESTRICTION</v>
      </c>
    </row>
    <row r="92" spans="1:24" s="2" customFormat="1" x14ac:dyDescent="0.25">
      <c r="A92" s="18" t="s">
        <v>187</v>
      </c>
      <c r="B92" s="19">
        <v>4039</v>
      </c>
      <c r="C92" s="19" t="s">
        <v>118</v>
      </c>
      <c r="D92" s="19" t="s">
        <v>291</v>
      </c>
      <c r="E92" s="53">
        <v>42481.585787037038</v>
      </c>
      <c r="F92" s="53">
        <v>42481.591979166667</v>
      </c>
      <c r="G92" s="71">
        <v>1</v>
      </c>
      <c r="H92" s="53" t="s">
        <v>292</v>
      </c>
      <c r="I92" s="53">
        <v>42481.626307870371</v>
      </c>
      <c r="J92" s="19">
        <v>2</v>
      </c>
      <c r="K92" s="19" t="str">
        <f>IF(ISEVEN(B92),(B92-1)&amp;"/"&amp;B92,B92&amp;"/"&amp;(B92+1))</f>
        <v>4039/4040</v>
      </c>
      <c r="L92" s="20">
        <f>I92-F92</f>
        <v>3.4328703703067731E-2</v>
      </c>
      <c r="M92" s="21">
        <f>$L92*24*60</f>
        <v>49.433333332417533</v>
      </c>
      <c r="N92" s="21"/>
      <c r="O92" s="22"/>
      <c r="P92" s="17"/>
      <c r="R92" s="16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https://search-rtdc-monitor-bjffxe2xuh6vdkpspy63sjmuny.us-east-1.es.amazonaws.com/_plugin/kibana/#/discover/Steve-Slow-Train-Analysis-(2080s-and-2083s)?_g=(refreshInterval:(display:Off,section:0,value:0),time:(from:'2016-04-21 14:02:32-0600',mode:absolute,to:'2016-04-21 15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2" s="16" t="str">
        <f>IF(V92&lt;23,"Y","N")</f>
        <v>N</v>
      </c>
      <c r="T92" s="16">
        <f>RIGHT(D92,LEN(D92)-4)/10000</f>
        <v>23.307099999999998</v>
      </c>
      <c r="U92" s="16">
        <f>RIGHT(H92,LEN(H92)-4)/10000</f>
        <v>1.9800000000000002E-2</v>
      </c>
      <c r="V92" s="16">
        <f>ABS(U92-T92)</f>
        <v>23.287299999999998</v>
      </c>
      <c r="W92" s="49">
        <f>VLOOKUP(A92,Enforcements!$C$3:$J$40,8,0)</f>
        <v>30562</v>
      </c>
      <c r="X92" s="49" t="str">
        <f>VLOOKUP(A92,Enforcements!$C$3:$J$40,3,0)</f>
        <v>PERMANENT SPEED RESTRICTION</v>
      </c>
    </row>
    <row r="93" spans="1:24" s="2" customFormat="1" x14ac:dyDescent="0.25">
      <c r="A93" s="18" t="s">
        <v>189</v>
      </c>
      <c r="B93" s="19">
        <v>4040</v>
      </c>
      <c r="C93" s="19" t="s">
        <v>118</v>
      </c>
      <c r="D93" s="19" t="s">
        <v>309</v>
      </c>
      <c r="E93" s="53">
        <v>42481.628449074073</v>
      </c>
      <c r="F93" s="53">
        <v>42481.629733796297</v>
      </c>
      <c r="G93" s="71">
        <v>1</v>
      </c>
      <c r="H93" s="53" t="s">
        <v>126</v>
      </c>
      <c r="I93" s="53">
        <v>42481.658472222225</v>
      </c>
      <c r="J93" s="19">
        <v>1</v>
      </c>
      <c r="K93" s="19" t="str">
        <f>IF(ISEVEN(B93),(B93-1)&amp;"/"&amp;B93,B93&amp;"/"&amp;(B93+1))</f>
        <v>4039/4040</v>
      </c>
      <c r="L93" s="20">
        <f>I93-F93</f>
        <v>2.8738425928167999E-2</v>
      </c>
      <c r="M93" s="21">
        <f>$L93*24*60</f>
        <v>41.383333336561918</v>
      </c>
      <c r="N93" s="21"/>
      <c r="O93" s="22"/>
      <c r="P93" s="17"/>
      <c r="R93" s="16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https://search-rtdc-monitor-bjffxe2xuh6vdkpspy63sjmuny.us-east-1.es.amazonaws.com/_plugin/kibana/#/discover/Steve-Slow-Train-Analysis-(2080s-and-2083s)?_g=(refreshInterval:(display:Off,section:0,value:0),time:(from:'2016-04-21 15:03:58-0600',mode:absolute,to:'2016-04-21 15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93" s="16" t="str">
        <f>IF(V93&lt;23,"Y","N")</f>
        <v>N</v>
      </c>
      <c r="T93" s="16">
        <f>RIGHT(D93,LEN(D93)-4)/10000</f>
        <v>4.9500000000000002E-2</v>
      </c>
      <c r="U93" s="16">
        <f>RIGHT(H93,LEN(H93)-4)/10000</f>
        <v>23.333400000000001</v>
      </c>
      <c r="V93" s="16">
        <f>ABS(U93-T93)</f>
        <v>23.283900000000003</v>
      </c>
      <c r="W93" s="49" t="e">
        <f>VLOOKUP(A93,Enforcements!$C$3:$J$40,8,0)</f>
        <v>#N/A</v>
      </c>
      <c r="X93" s="49" t="e">
        <f>VLOOKUP(A93,Enforcements!$C$3:$J$40,3,0)</f>
        <v>#N/A</v>
      </c>
    </row>
    <row r="94" spans="1:24" s="2" customFormat="1" x14ac:dyDescent="0.25">
      <c r="A94" s="18" t="s">
        <v>310</v>
      </c>
      <c r="B94" s="19">
        <v>4039</v>
      </c>
      <c r="C94" s="19" t="s">
        <v>118</v>
      </c>
      <c r="D94" s="19" t="s">
        <v>134</v>
      </c>
      <c r="E94" s="53">
        <v>42481.66134259259</v>
      </c>
      <c r="F94" s="53">
        <v>42481.662581018521</v>
      </c>
      <c r="G94" s="71">
        <v>1</v>
      </c>
      <c r="H94" s="53" t="s">
        <v>311</v>
      </c>
      <c r="I94" s="53">
        <v>42481.703148148146</v>
      </c>
      <c r="J94" s="19">
        <v>0</v>
      </c>
      <c r="K94" s="19" t="str">
        <f>IF(ISEVEN(B94),(B94-1)&amp;"/"&amp;B94,B94&amp;"/"&amp;(B94+1))</f>
        <v>4039/4040</v>
      </c>
      <c r="L94" s="20">
        <f>I94-F94</f>
        <v>4.0567129624832887E-2</v>
      </c>
      <c r="M94" s="21">
        <f>$L94*24*60</f>
        <v>58.416666659759358</v>
      </c>
      <c r="N94" s="21"/>
      <c r="O94" s="22"/>
      <c r="P94" s="17" t="s">
        <v>378</v>
      </c>
      <c r="R94" s="16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https://search-rtdc-monitor-bjffxe2xuh6vdkpspy63sjmuny.us-east-1.es.amazonaws.com/_plugin/kibana/#/discover/Steve-Slow-Train-Analysis-(2080s-and-2083s)?_g=(refreshInterval:(display:Off,section:0,value:0),time:(from:'2016-04-21 15:51:20-0600',mode:absolute,to:'2016-04-21 16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4" s="16" t="str">
        <f>IF(V94&lt;23,"Y","N")</f>
        <v>N</v>
      </c>
      <c r="T94" s="16">
        <f>RIGHT(D94,LEN(D94)-4)/10000</f>
        <v>23.305299999999999</v>
      </c>
      <c r="U94" s="16">
        <f>RIGHT(H94,LEN(H94)-4)/10000</f>
        <v>1.34E-2</v>
      </c>
      <c r="V94" s="16">
        <f>ABS(U94-T94)</f>
        <v>23.291899999999998</v>
      </c>
      <c r="W94" s="49" t="e">
        <f>VLOOKUP(A94,Enforcements!$C$3:$J$40,8,0)</f>
        <v>#N/A</v>
      </c>
      <c r="X94" s="49" t="e">
        <f>VLOOKUP(A94,Enforcements!$C$3:$J$40,3,0)</f>
        <v>#N/A</v>
      </c>
    </row>
    <row r="95" spans="1:24" s="2" customFormat="1" x14ac:dyDescent="0.25">
      <c r="A95" s="18" t="s">
        <v>325</v>
      </c>
      <c r="B95" s="19">
        <v>4040</v>
      </c>
      <c r="C95" s="19" t="s">
        <v>118</v>
      </c>
      <c r="D95" s="19" t="s">
        <v>243</v>
      </c>
      <c r="E95" s="53">
        <v>42481.705381944441</v>
      </c>
      <c r="F95" s="53">
        <v>42481.706342592595</v>
      </c>
      <c r="G95" s="71">
        <v>1</v>
      </c>
      <c r="H95" s="53" t="s">
        <v>326</v>
      </c>
      <c r="I95" s="53">
        <v>42481.732939814814</v>
      </c>
      <c r="J95" s="19">
        <v>0</v>
      </c>
      <c r="K95" s="19" t="str">
        <f>IF(ISEVEN(B95),(B95-1)&amp;"/"&amp;B95,B95&amp;"/"&amp;(B95+1))</f>
        <v>4039/4040</v>
      </c>
      <c r="L95" s="20">
        <f>I95-F95</f>
        <v>2.6597222218697425E-2</v>
      </c>
      <c r="M95" s="21">
        <f>$L95*24*60</f>
        <v>38.299999994924292</v>
      </c>
      <c r="N95" s="21"/>
      <c r="O95" s="22"/>
      <c r="P95" s="17"/>
      <c r="R95" s="16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https://search-rtdc-monitor-bjffxe2xuh6vdkpspy63sjmuny.us-east-1.es.amazonaws.com/_plugin/kibana/#/discover/Steve-Slow-Train-Analysis-(2080s-and-2083s)?_g=(refreshInterval:(display:Off,section:0,value:0),time:(from:'2016-04-21 16:54:45-0600',mode:absolute,to:'2016-04-21 17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95" s="16" t="str">
        <f>IF(V95&lt;23,"Y","N")</f>
        <v>N</v>
      </c>
      <c r="T95" s="16">
        <f>RIGHT(D95,LEN(D95)-4)/10000</f>
        <v>4.4200000000000003E-2</v>
      </c>
      <c r="U95" s="16">
        <f>RIGHT(H95,LEN(H95)-4)/10000</f>
        <v>23.331900000000001</v>
      </c>
      <c r="V95" s="16">
        <f>ABS(U95-T95)</f>
        <v>23.287700000000001</v>
      </c>
      <c r="W95" s="49" t="e">
        <f>VLOOKUP(A95,Enforcements!$C$3:$J$40,8,0)</f>
        <v>#N/A</v>
      </c>
      <c r="X95" s="49" t="e">
        <f>VLOOKUP(A95,Enforcements!$C$3:$J$40,3,0)</f>
        <v>#N/A</v>
      </c>
    </row>
    <row r="96" spans="1:24" s="2" customFormat="1" ht="15.75" customHeight="1" x14ac:dyDescent="0.25">
      <c r="A96" s="18" t="s">
        <v>195</v>
      </c>
      <c r="B96" s="19">
        <v>4039</v>
      </c>
      <c r="C96" s="19" t="s">
        <v>118</v>
      </c>
      <c r="D96" s="19" t="s">
        <v>327</v>
      </c>
      <c r="E96" s="53">
        <v>42481.744097222225</v>
      </c>
      <c r="F96" s="53">
        <v>42481.747523148151</v>
      </c>
      <c r="G96" s="71">
        <v>4</v>
      </c>
      <c r="H96" s="53" t="s">
        <v>132</v>
      </c>
      <c r="I96" s="53">
        <v>42481.775081018517</v>
      </c>
      <c r="J96" s="19">
        <v>3</v>
      </c>
      <c r="K96" s="19" t="str">
        <f>IF(ISEVEN(B96),(B96-1)&amp;"/"&amp;B96,B96&amp;"/"&amp;(B96+1))</f>
        <v>4039/4040</v>
      </c>
      <c r="L96" s="20">
        <f>I96-F96</f>
        <v>2.7557870365853887E-2</v>
      </c>
      <c r="M96" s="21">
        <f>$L96*24*60</f>
        <v>39.683333326829597</v>
      </c>
      <c r="N96" s="21"/>
      <c r="O96" s="22"/>
      <c r="P96" s="17"/>
      <c r="R96" s="16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https://search-rtdc-monitor-bjffxe2xuh6vdkpspy63sjmuny.us-east-1.es.amazonaws.com/_plugin/kibana/#/discover/Steve-Slow-Train-Analysis-(2080s-and-2083s)?_g=(refreshInterval:(display:Off,section:0,value:0),time:(from:'2016-04-21 17:50:30-0600',mode:absolute,to:'2016-04-21 18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6" s="16" t="str">
        <f>IF(V96&lt;23,"Y","N")</f>
        <v>N</v>
      </c>
      <c r="T96" s="16">
        <f>RIGHT(D96,LEN(D96)-4)/10000</f>
        <v>23.3004</v>
      </c>
      <c r="U96" s="16">
        <f>RIGHT(H96,LEN(H96)-4)/10000</f>
        <v>1.6899999999999998E-2</v>
      </c>
      <c r="V96" s="16">
        <f>ABS(U96-T96)</f>
        <v>23.2835</v>
      </c>
      <c r="W96" s="49">
        <f>VLOOKUP(A96,Enforcements!$C$3:$J$40,8,0)</f>
        <v>7302</v>
      </c>
      <c r="X96" s="49" t="str">
        <f>VLOOKUP(A96,Enforcements!$C$3:$J$40,3,0)</f>
        <v>PERMANENT SPEED RESTRICTION</v>
      </c>
    </row>
    <row r="97" spans="1:24" s="2" customFormat="1" x14ac:dyDescent="0.25">
      <c r="A97" s="18" t="s">
        <v>199</v>
      </c>
      <c r="B97" s="19">
        <v>4040</v>
      </c>
      <c r="C97" s="19" t="s">
        <v>118</v>
      </c>
      <c r="D97" s="19" t="s">
        <v>36</v>
      </c>
      <c r="E97" s="53">
        <v>42481.782685185186</v>
      </c>
      <c r="F97" s="53">
        <v>42481.783888888887</v>
      </c>
      <c r="G97" s="71">
        <v>1</v>
      </c>
      <c r="H97" s="53" t="s">
        <v>52</v>
      </c>
      <c r="I97" s="53">
        <v>42481.810115740744</v>
      </c>
      <c r="J97" s="19">
        <v>1</v>
      </c>
      <c r="K97" s="19" t="str">
        <f>IF(ISEVEN(B97),(B97-1)&amp;"/"&amp;B97,B97&amp;"/"&amp;(B97+1))</f>
        <v>4039/4040</v>
      </c>
      <c r="L97" s="20">
        <f>I97-F97</f>
        <v>2.6226851856335998E-2</v>
      </c>
      <c r="M97" s="21">
        <f>$L97*24*60</f>
        <v>37.766666673123837</v>
      </c>
      <c r="N97" s="21"/>
      <c r="O97" s="22"/>
      <c r="P97" s="17"/>
      <c r="R97" s="16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https://search-rtdc-monitor-bjffxe2xuh6vdkpspy63sjmuny.us-east-1.es.amazonaws.com/_plugin/kibana/#/discover/Steve-Slow-Train-Analysis-(2080s-and-2083s)?_g=(refreshInterval:(display:Off,section:0,value:0),time:(from:'2016-04-21 18:46:04-0600',mode:absolute,to:'2016-04-21 19:27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97" s="16" t="str">
        <f>IF(V97&lt;23,"Y","N")</f>
        <v>N</v>
      </c>
      <c r="T97" s="16">
        <f>RIGHT(D97,LEN(D97)-4)/10000</f>
        <v>4.6399999999999997E-2</v>
      </c>
      <c r="U97" s="16">
        <f>RIGHT(H97,LEN(H97)-4)/10000</f>
        <v>23.330300000000001</v>
      </c>
      <c r="V97" s="16">
        <f>ABS(U97-T97)</f>
        <v>23.283900000000003</v>
      </c>
      <c r="W97" s="49" t="e">
        <f>VLOOKUP(A97,Enforcements!$C$3:$J$40,8,0)</f>
        <v>#N/A</v>
      </c>
      <c r="X97" s="49" t="e">
        <f>VLOOKUP(A97,Enforcements!$C$3:$J$40,3,0)</f>
        <v>#N/A</v>
      </c>
    </row>
    <row r="98" spans="1:24" s="2" customFormat="1" x14ac:dyDescent="0.25">
      <c r="A98" s="18" t="s">
        <v>342</v>
      </c>
      <c r="B98" s="19">
        <v>4039</v>
      </c>
      <c r="C98" s="19" t="s">
        <v>118</v>
      </c>
      <c r="D98" s="19" t="s">
        <v>49</v>
      </c>
      <c r="E98" s="53">
        <v>42481.817199074074</v>
      </c>
      <c r="F98" s="53">
        <v>42481.81821759259</v>
      </c>
      <c r="G98" s="71">
        <v>1</v>
      </c>
      <c r="H98" s="53" t="s">
        <v>9</v>
      </c>
      <c r="I98" s="53">
        <v>42481.849120370367</v>
      </c>
      <c r="J98" s="19">
        <v>0</v>
      </c>
      <c r="K98" s="19" t="str">
        <f>IF(ISEVEN(B98),(B98-1)&amp;"/"&amp;B98,B98&amp;"/"&amp;(B98+1))</f>
        <v>4039/4040</v>
      </c>
      <c r="L98" s="20">
        <f>I98-F98</f>
        <v>3.0902777776645962E-2</v>
      </c>
      <c r="M98" s="21">
        <f>$L98*24*60</f>
        <v>44.499999998370185</v>
      </c>
      <c r="N98" s="21"/>
      <c r="O98" s="22"/>
      <c r="P98" s="17"/>
      <c r="R98" s="16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https://search-rtdc-monitor-bjffxe2xuh6vdkpspy63sjmuny.us-east-1.es.amazonaws.com/_plugin/kibana/#/discover/Steve-Slow-Train-Analysis-(2080s-and-2083s)?_g=(refreshInterval:(display:Off,section:0,value:0),time:(from:'2016-04-21 19:35:46-0600',mode:absolute,to:'2016-04-21 20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8" s="16" t="str">
        <f>IF(V98&lt;23,"Y","N")</f>
        <v>N</v>
      </c>
      <c r="T98" s="16">
        <f>RIGHT(D98,LEN(D98)-4)/10000</f>
        <v>23.297799999999999</v>
      </c>
      <c r="U98" s="16">
        <f>RIGHT(H98,LEN(H98)-4)/10000</f>
        <v>1.43E-2</v>
      </c>
      <c r="V98" s="16">
        <f>ABS(U98-T98)</f>
        <v>23.2835</v>
      </c>
      <c r="W98" s="49" t="e">
        <f>VLOOKUP(A98,Enforcements!$C$3:$J$40,8,0)</f>
        <v>#N/A</v>
      </c>
      <c r="X98" s="49" t="e">
        <f>VLOOKUP(A98,Enforcements!$C$3:$J$40,3,0)</f>
        <v>#N/A</v>
      </c>
    </row>
    <row r="99" spans="1:24" s="2" customFormat="1" x14ac:dyDescent="0.25">
      <c r="A99" s="18" t="s">
        <v>355</v>
      </c>
      <c r="B99" s="19">
        <v>4040</v>
      </c>
      <c r="C99" s="19" t="s">
        <v>118</v>
      </c>
      <c r="D99" s="19" t="s">
        <v>37</v>
      </c>
      <c r="E99" s="53">
        <v>42481.851643518516</v>
      </c>
      <c r="F99" s="53">
        <v>42481.852847222224</v>
      </c>
      <c r="G99" s="71">
        <v>1</v>
      </c>
      <c r="H99" s="53" t="s">
        <v>59</v>
      </c>
      <c r="I99" s="53">
        <v>42481.879849537036</v>
      </c>
      <c r="J99" s="19">
        <v>0</v>
      </c>
      <c r="K99" s="19" t="str">
        <f>IF(ISEVEN(B99),(B99-1)&amp;"/"&amp;B99,B99&amp;"/"&amp;(B99+1))</f>
        <v>4039/4040</v>
      </c>
      <c r="L99" s="20">
        <f>I99-F99</f>
        <v>2.700231481139781E-2</v>
      </c>
      <c r="M99" s="21">
        <f>$L99*24*60</f>
        <v>38.883333328412846</v>
      </c>
      <c r="N99" s="21"/>
      <c r="O99" s="22"/>
      <c r="P99" s="17"/>
      <c r="R99" s="16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https://search-rtdc-monitor-bjffxe2xuh6vdkpspy63sjmuny.us-east-1.es.amazonaws.com/_plugin/kibana/#/discover/Steve-Slow-Train-Analysis-(2080s-and-2083s)?_g=(refreshInterval:(display:Off,section:0,value:0),time:(from:'2016-04-21 20:25:22-0600',mode:absolute,to:'2016-04-21 21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S99" s="16" t="str">
        <f>IF(V99&lt;23,"Y","N")</f>
        <v>N</v>
      </c>
      <c r="T99" s="16">
        <f>RIGHT(D99,LEN(D99)-4)/10000</f>
        <v>4.58E-2</v>
      </c>
      <c r="U99" s="16">
        <f>RIGHT(H99,LEN(H99)-4)/10000</f>
        <v>23.328900000000001</v>
      </c>
      <c r="V99" s="16">
        <f>ABS(U99-T99)</f>
        <v>23.283100000000001</v>
      </c>
      <c r="W99" s="49" t="e">
        <f>VLOOKUP(A99,Enforcements!$C$3:$J$40,8,0)</f>
        <v>#N/A</v>
      </c>
      <c r="X99" s="49" t="e">
        <f>VLOOKUP(A99,Enforcements!$C$3:$J$40,3,0)</f>
        <v>#N/A</v>
      </c>
    </row>
    <row r="100" spans="1:24" s="2" customFormat="1" x14ac:dyDescent="0.25">
      <c r="A100" s="18" t="s">
        <v>356</v>
      </c>
      <c r="B100" s="19">
        <v>4039</v>
      </c>
      <c r="C100" s="19" t="s">
        <v>118</v>
      </c>
      <c r="D100" s="19" t="s">
        <v>44</v>
      </c>
      <c r="E100" s="53">
        <v>42481.887858796297</v>
      </c>
      <c r="F100" s="53">
        <v>42481.888912037037</v>
      </c>
      <c r="G100" s="71">
        <v>1</v>
      </c>
      <c r="H100" s="53" t="s">
        <v>25</v>
      </c>
      <c r="I100" s="53">
        <v>42481.919444444444</v>
      </c>
      <c r="J100" s="19">
        <v>0</v>
      </c>
      <c r="K100" s="19" t="str">
        <f>IF(ISEVEN(B100),(B100-1)&amp;"/"&amp;B100,B100&amp;"/"&amp;(B100+1))</f>
        <v>4039/4040</v>
      </c>
      <c r="L100" s="20">
        <f>I100-F100</f>
        <v>3.0532407407008577E-2</v>
      </c>
      <c r="M100" s="21">
        <f>$L100*24*60</f>
        <v>43.966666666092351</v>
      </c>
      <c r="N100" s="21"/>
      <c r="O100" s="22"/>
      <c r="P100" s="17"/>
      <c r="R100" s="16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https://search-rtdc-monitor-bjffxe2xuh6vdkpspy63sjmuny.us-east-1.es.amazonaws.com/_plugin/kibana/#/discover/Steve-Slow-Train-Analysis-(2080s-and-2083s)?_g=(refreshInterval:(display:Off,section:0,value:0),time:(from:'2016-04-21 21:17:31-0600',mode:absolute,to:'2016-04-21 22:05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00" s="16" t="str">
        <f>IF(V100&lt;23,"Y","N")</f>
        <v>N</v>
      </c>
      <c r="T100" s="16">
        <f>RIGHT(D100,LEN(D100)-4)/10000</f>
        <v>23.2989</v>
      </c>
      <c r="U100" s="16">
        <f>RIGHT(H100,LEN(H100)-4)/10000</f>
        <v>1.47E-2</v>
      </c>
      <c r="V100" s="16">
        <f>ABS(U100-T100)</f>
        <v>23.284199999999998</v>
      </c>
      <c r="W100" s="49" t="e">
        <f>VLOOKUP(A100,Enforcements!$C$3:$J$40,8,0)</f>
        <v>#N/A</v>
      </c>
      <c r="X100" s="49" t="e">
        <f>VLOOKUP(A100,Enforcements!$C$3:$J$40,3,0)</f>
        <v>#N/A</v>
      </c>
    </row>
    <row r="101" spans="1:24" s="2" customFormat="1" x14ac:dyDescent="0.25">
      <c r="A101" s="18" t="s">
        <v>212</v>
      </c>
      <c r="B101" s="19">
        <v>4041</v>
      </c>
      <c r="C101" s="19" t="s">
        <v>118</v>
      </c>
      <c r="D101" s="19" t="s">
        <v>213</v>
      </c>
      <c r="E101" s="53">
        <v>42481.170671296299</v>
      </c>
      <c r="F101" s="53">
        <v>42481.171655092592</v>
      </c>
      <c r="G101" s="71">
        <v>1</v>
      </c>
      <c r="H101" s="53" t="s">
        <v>214</v>
      </c>
      <c r="I101" s="53">
        <v>42481.171898148146</v>
      </c>
      <c r="J101" s="19">
        <v>0</v>
      </c>
      <c r="K101" s="19" t="str">
        <f>IF(ISEVEN(B101),(B101-1)&amp;"/"&amp;B101,B101&amp;"/"&amp;(B101+1))</f>
        <v>4041/4042</v>
      </c>
      <c r="L101" s="20">
        <f>I101-F101</f>
        <v>2.4305555416503921E-4</v>
      </c>
      <c r="M101" s="21"/>
      <c r="N101" s="21"/>
      <c r="O101" s="22">
        <f>$L101*24*60</f>
        <v>0.34999999799765646</v>
      </c>
      <c r="P101" s="17" t="s">
        <v>371</v>
      </c>
      <c r="R101" s="16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https://search-rtdc-monitor-bjffxe2xuh6vdkpspy63sjmuny.us-east-1.es.amazonaws.com/_plugin/kibana/#/discover/Steve-Slow-Train-Analysis-(2080s-and-2083s)?_g=(refreshInterval:(display:Off,section:0,value:0),time:(from:'2016-04-21 04:04:46-0600',mode:absolute,to:'2016-04-21 04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S101" s="16" t="str">
        <f>IF(V101&lt;23,"Y","N")</f>
        <v>Y</v>
      </c>
      <c r="T101" s="16">
        <f>RIGHT(D101,LEN(D101)-4)/10000</f>
        <v>23.267499999999998</v>
      </c>
      <c r="U101" s="16">
        <f>RIGHT(H101,LEN(H101)-4)/10000</f>
        <v>23.267299999999999</v>
      </c>
      <c r="V101" s="16">
        <f>ABS(U101-T101)</f>
        <v>1.9999999999953388E-4</v>
      </c>
      <c r="W101" s="49" t="e">
        <f>VLOOKUP(A101,Enforcements!$C$3:$J$40,8,0)</f>
        <v>#N/A</v>
      </c>
      <c r="X101" s="49" t="e">
        <f>VLOOKUP(A101,Enforcements!$C$3:$J$40,3,0)</f>
        <v>#N/A</v>
      </c>
    </row>
    <row r="102" spans="1:24" s="2" customFormat="1" x14ac:dyDescent="0.25">
      <c r="A102" s="18" t="s">
        <v>232</v>
      </c>
      <c r="B102" s="19">
        <v>4042</v>
      </c>
      <c r="C102" s="19" t="s">
        <v>118</v>
      </c>
      <c r="D102" s="19" t="s">
        <v>227</v>
      </c>
      <c r="E102" s="53">
        <v>42481.208831018521</v>
      </c>
      <c r="F102" s="53">
        <v>42481.210023148145</v>
      </c>
      <c r="G102" s="71">
        <v>1</v>
      </c>
      <c r="H102" s="53" t="s">
        <v>10</v>
      </c>
      <c r="I102" s="53">
        <v>42481.244050925925</v>
      </c>
      <c r="J102" s="19">
        <v>0</v>
      </c>
      <c r="K102" s="19" t="str">
        <f>IF(ISEVEN(B102),(B102-1)&amp;"/"&amp;B102,B102&amp;"/"&amp;(B102+1))</f>
        <v>4041/4042</v>
      </c>
      <c r="L102" s="20">
        <f>I102-F102</f>
        <v>3.4027777779556345E-2</v>
      </c>
      <c r="M102" s="21">
        <f>$L102*24*60</f>
        <v>49.000000002561137</v>
      </c>
      <c r="N102" s="21"/>
      <c r="O102" s="22"/>
      <c r="P102" s="17"/>
      <c r="R102" s="16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https://search-rtdc-monitor-bjffxe2xuh6vdkpspy63sjmuny.us-east-1.es.amazonaws.com/_plugin/kibana/#/discover/Steve-Slow-Train-Analysis-(2080s-and-2083s)?_g=(refreshInterval:(display:Off,section:0,value:0),time:(from:'2016-04-21 04:59:43-0600',mode:absolute,to:'2016-04-21 05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2" s="16" t="str">
        <f>IF(V102&lt;23,"Y","N")</f>
        <v>N</v>
      </c>
      <c r="T102" s="16">
        <f>RIGHT(D102,LEN(D102)-4)/10000</f>
        <v>4.4600000000000001E-2</v>
      </c>
      <c r="U102" s="16">
        <f>RIGHT(H102,LEN(H102)-4)/10000</f>
        <v>23.330400000000001</v>
      </c>
      <c r="V102" s="16">
        <f>ABS(U102-T102)</f>
        <v>23.285800000000002</v>
      </c>
      <c r="W102" s="49" t="e">
        <f>VLOOKUP(A102,Enforcements!$C$3:$J$40,8,0)</f>
        <v>#N/A</v>
      </c>
      <c r="X102" s="49" t="e">
        <f>VLOOKUP(A102,Enforcements!$C$3:$J$40,3,0)</f>
        <v>#N/A</v>
      </c>
    </row>
    <row r="103" spans="1:24" s="2" customFormat="1" x14ac:dyDescent="0.25">
      <c r="A103" s="18" t="s">
        <v>242</v>
      </c>
      <c r="B103" s="19">
        <v>4042</v>
      </c>
      <c r="C103" s="19" t="s">
        <v>118</v>
      </c>
      <c r="D103" s="19" t="s">
        <v>46</v>
      </c>
      <c r="E103" s="53">
        <v>42481.290706018517</v>
      </c>
      <c r="F103" s="53">
        <v>42481.291666666664</v>
      </c>
      <c r="G103" s="71">
        <v>1</v>
      </c>
      <c r="H103" s="53" t="s">
        <v>41</v>
      </c>
      <c r="I103" s="53">
        <v>42481.316516203704</v>
      </c>
      <c r="J103" s="19">
        <v>0</v>
      </c>
      <c r="K103" s="19" t="str">
        <f>IF(ISEVEN(B103),(B103-1)&amp;"/"&amp;B103,B103&amp;"/"&amp;(B103+1))</f>
        <v>4041/4042</v>
      </c>
      <c r="L103" s="20">
        <f>I103-F103</f>
        <v>2.4849537039699499E-2</v>
      </c>
      <c r="M103" s="21">
        <f>$L103*24*60</f>
        <v>35.783333337167278</v>
      </c>
      <c r="N103" s="21"/>
      <c r="O103" s="22"/>
      <c r="P103" s="17"/>
      <c r="R103" s="16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https://search-rtdc-monitor-bjffxe2xuh6vdkpspy63sjmuny.us-east-1.es.amazonaws.com/_plugin/kibana/#/discover/Steve-Slow-Train-Analysis-(2080s-and-2083s)?_g=(refreshInterval:(display:Off,section:0,value:0),time:(from:'2016-04-21 06:57:37-0600',mode:absolute,to:'2016-04-21 07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3" s="16" t="str">
        <f>IF(V103&lt;23,"Y","N")</f>
        <v>N</v>
      </c>
      <c r="T103" s="16">
        <f>RIGHT(D103,LEN(D103)-4)/10000</f>
        <v>4.5699999999999998E-2</v>
      </c>
      <c r="U103" s="16">
        <f>RIGHT(H103,LEN(H103)-4)/10000</f>
        <v>23.328800000000001</v>
      </c>
      <c r="V103" s="16">
        <f>ABS(U103-T103)</f>
        <v>23.283100000000001</v>
      </c>
      <c r="W103" s="49" t="e">
        <f>VLOOKUP(A103,Enforcements!$C$3:$J$40,8,0)</f>
        <v>#N/A</v>
      </c>
      <c r="X103" s="49" t="e">
        <f>VLOOKUP(A103,Enforcements!$C$3:$J$40,3,0)</f>
        <v>#N/A</v>
      </c>
    </row>
    <row r="104" spans="1:24" s="2" customFormat="1" ht="14.25" customHeight="1" x14ac:dyDescent="0.25">
      <c r="A104" s="18" t="s">
        <v>255</v>
      </c>
      <c r="B104" s="19">
        <v>4042</v>
      </c>
      <c r="C104" s="19" t="s">
        <v>118</v>
      </c>
      <c r="D104" s="19" t="s">
        <v>46</v>
      </c>
      <c r="E104" s="53">
        <v>42481.364606481482</v>
      </c>
      <c r="F104" s="53">
        <v>42481.365416666667</v>
      </c>
      <c r="G104" s="71">
        <v>1</v>
      </c>
      <c r="H104" s="53" t="s">
        <v>54</v>
      </c>
      <c r="I104" s="53">
        <v>42481.390219907407</v>
      </c>
      <c r="J104" s="19">
        <v>0</v>
      </c>
      <c r="K104" s="19" t="str">
        <f>IF(ISEVEN(B104),(B104-1)&amp;"/"&amp;B104,B104&amp;"/"&amp;(B104+1))</f>
        <v>4041/4042</v>
      </c>
      <c r="L104" s="20">
        <f>I104-F104</f>
        <v>2.4803240739856847E-2</v>
      </c>
      <c r="M104" s="21">
        <f>$L104*24*60</f>
        <v>35.716666665393859</v>
      </c>
      <c r="N104" s="21"/>
      <c r="O104" s="22"/>
      <c r="P104" s="17"/>
      <c r="R104" s="16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https://search-rtdc-monitor-bjffxe2xuh6vdkpspy63sjmuny.us-east-1.es.amazonaws.com/_plugin/kibana/#/discover/Steve-Slow-Train-Analysis-(2080s-and-2083s)?_g=(refreshInterval:(display:Off,section:0,value:0),time:(from:'2016-04-21 08:44:02-0600',mode:absolute,to:'2016-04-21 09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4" s="16" t="str">
        <f>IF(V104&lt;23,"Y","N")</f>
        <v>N</v>
      </c>
      <c r="T104" s="16">
        <f>RIGHT(D104,LEN(D104)-4)/10000</f>
        <v>4.5699999999999998E-2</v>
      </c>
      <c r="U104" s="16">
        <f>RIGHT(H104,LEN(H104)-4)/10000</f>
        <v>23.331</v>
      </c>
      <c r="V104" s="16">
        <f>ABS(U104-T104)</f>
        <v>23.285299999999999</v>
      </c>
      <c r="W104" s="49" t="e">
        <f>VLOOKUP(A104,Enforcements!$C$3:$J$40,8,0)</f>
        <v>#N/A</v>
      </c>
      <c r="X104" s="49" t="e">
        <f>VLOOKUP(A104,Enforcements!$C$3:$J$40,3,0)</f>
        <v>#N/A</v>
      </c>
    </row>
    <row r="105" spans="1:24" s="2" customFormat="1" x14ac:dyDescent="0.25">
      <c r="A105" s="18" t="s">
        <v>283</v>
      </c>
      <c r="B105" s="19">
        <v>4042</v>
      </c>
      <c r="C105" s="19" t="s">
        <v>118</v>
      </c>
      <c r="D105" s="19" t="s">
        <v>284</v>
      </c>
      <c r="E105" s="53">
        <v>42481.491562499999</v>
      </c>
      <c r="F105" s="53">
        <v>42481.510659722226</v>
      </c>
      <c r="G105" s="71">
        <v>2</v>
      </c>
      <c r="H105" s="53" t="s">
        <v>69</v>
      </c>
      <c r="I105" s="53">
        <v>42481.535590277781</v>
      </c>
      <c r="J105" s="19">
        <v>0</v>
      </c>
      <c r="K105" s="19" t="str">
        <f>IF(ISEVEN(B105),(B105-1)&amp;"/"&amp;B105,B105&amp;"/"&amp;(B105+1))</f>
        <v>4041/4042</v>
      </c>
      <c r="L105" s="20">
        <f>I105-F105</f>
        <v>2.4930555555329192E-2</v>
      </c>
      <c r="M105" s="21">
        <f>$L105*24*60</f>
        <v>35.899999999674037</v>
      </c>
      <c r="N105" s="21"/>
      <c r="O105" s="22"/>
      <c r="P105" s="17"/>
      <c r="R105" s="16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https://search-rtdc-monitor-bjffxe2xuh6vdkpspy63sjmuny.us-east-1.es.amazonaws.com/_plugin/kibana/#/discover/Steve-Slow-Train-Analysis-(2080s-and-2083s)?_g=(refreshInterval:(display:Off,section:0,value:0),time:(from:'2016-04-21 11:46:51-0600',mode:absolute,to:'2016-04-21 12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5" s="16" t="str">
        <f>IF(V105&lt;23,"Y","N")</f>
        <v>N</v>
      </c>
      <c r="T105" s="16">
        <f>RIGHT(D105,LEN(D105)-4)/10000</f>
        <v>0.13020000000000001</v>
      </c>
      <c r="U105" s="16">
        <f>RIGHT(H105,LEN(H105)-4)/10000</f>
        <v>23.329499999999999</v>
      </c>
      <c r="V105" s="16">
        <f>ABS(U105-T105)</f>
        <v>23.199300000000001</v>
      </c>
      <c r="W105" s="49" t="e">
        <f>VLOOKUP(A105,Enforcements!$C$3:$J$40,8,0)</f>
        <v>#N/A</v>
      </c>
      <c r="X105" s="49" t="e">
        <f>VLOOKUP(A105,Enforcements!$C$3:$J$40,3,0)</f>
        <v>#N/A</v>
      </c>
    </row>
    <row r="106" spans="1:24" s="2" customFormat="1" x14ac:dyDescent="0.25">
      <c r="A106" s="18" t="s">
        <v>186</v>
      </c>
      <c r="B106" s="19">
        <v>4042</v>
      </c>
      <c r="C106" s="19" t="s">
        <v>118</v>
      </c>
      <c r="D106" s="19" t="s">
        <v>299</v>
      </c>
      <c r="E106" s="53">
        <v>42481.58865740741</v>
      </c>
      <c r="F106" s="53">
        <v>42481.58971064815</v>
      </c>
      <c r="G106" s="71">
        <v>1</v>
      </c>
      <c r="H106" s="53" t="s">
        <v>300</v>
      </c>
      <c r="I106" s="53">
        <v>42481.617488425924</v>
      </c>
      <c r="J106" s="19">
        <v>1</v>
      </c>
      <c r="K106" s="19" t="str">
        <f>IF(ISEVEN(B106),(B106-1)&amp;"/"&amp;B106,B106&amp;"/"&amp;(B106+1))</f>
        <v>4041/4042</v>
      </c>
      <c r="L106" s="20">
        <f>I106-F106</f>
        <v>2.7777777773735579E-2</v>
      </c>
      <c r="M106" s="21">
        <f>$L106*24*60</f>
        <v>39.999999994179234</v>
      </c>
      <c r="N106" s="21"/>
      <c r="O106" s="22"/>
      <c r="P106" s="17"/>
      <c r="R106" s="16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https://search-rtdc-monitor-bjffxe2xuh6vdkpspy63sjmuny.us-east-1.es.amazonaws.com/_plugin/kibana/#/discover/Steve-Slow-Train-Analysis-(2080s-and-2083s)?_g=(refreshInterval:(display:Off,section:0,value:0),time:(from:'2016-04-21 14:06:40-0600',mode:absolute,to:'2016-04-21 14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6" s="16" t="str">
        <f>IF(V106&lt;23,"Y","N")</f>
        <v>N</v>
      </c>
      <c r="T106" s="16">
        <f>RIGHT(D106,LEN(D106)-4)/10000</f>
        <v>4.3499999999999997E-2</v>
      </c>
      <c r="U106" s="16">
        <f>RIGHT(H106,LEN(H106)-4)/10000</f>
        <v>23.305700000000002</v>
      </c>
      <c r="V106" s="16">
        <f>ABS(U106-T106)</f>
        <v>23.2622</v>
      </c>
      <c r="W106" s="49" t="e">
        <f>VLOOKUP(A106,Enforcements!$C$3:$J$40,8,0)</f>
        <v>#N/A</v>
      </c>
      <c r="X106" s="49" t="e">
        <f>VLOOKUP(A106,Enforcements!$C$3:$J$40,3,0)</f>
        <v>#N/A</v>
      </c>
    </row>
    <row r="107" spans="1:24" s="2" customFormat="1" x14ac:dyDescent="0.25">
      <c r="A107" s="18" t="s">
        <v>192</v>
      </c>
      <c r="B107" s="19">
        <v>4042</v>
      </c>
      <c r="C107" s="19" t="s">
        <v>118</v>
      </c>
      <c r="D107" s="19" t="s">
        <v>24</v>
      </c>
      <c r="E107" s="53">
        <v>42481.652303240742</v>
      </c>
      <c r="F107" s="53">
        <v>42481.653067129628</v>
      </c>
      <c r="G107" s="71">
        <v>1</v>
      </c>
      <c r="H107" s="53" t="s">
        <v>319</v>
      </c>
      <c r="I107" s="53">
        <v>42481.687361111108</v>
      </c>
      <c r="J107" s="19">
        <v>0</v>
      </c>
      <c r="K107" s="19" t="str">
        <f>IF(ISEVEN(B107),(B107-1)&amp;"/"&amp;B107,B107&amp;"/"&amp;(B107+1))</f>
        <v>4041/4042</v>
      </c>
      <c r="L107" s="20">
        <f>I107-F107</f>
        <v>3.4293981480004732E-2</v>
      </c>
      <c r="M107" s="21">
        <f>$L107*24*60</f>
        <v>49.383333331206813</v>
      </c>
      <c r="N107" s="21"/>
      <c r="O107" s="22"/>
      <c r="P107" s="17"/>
      <c r="R107" s="16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https://search-rtdc-monitor-bjffxe2xuh6vdkpspy63sjmuny.us-east-1.es.amazonaws.com/_plugin/kibana/#/discover/Steve-Slow-Train-Analysis-(2080s-and-2083s)?_g=(refreshInterval:(display:Off,section:0,value:0),time:(from:'2016-04-21 15:38:19-0600',mode:absolute,to:'2016-04-21 16:30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7" s="16" t="str">
        <f>IF(V107&lt;23,"Y","N")</f>
        <v>N</v>
      </c>
      <c r="T107" s="16">
        <f>RIGHT(D107,LEN(D107)-4)/10000</f>
        <v>4.7100000000000003E-2</v>
      </c>
      <c r="U107" s="16">
        <f>RIGHT(H107,LEN(H107)-4)/10000</f>
        <v>23.106300000000001</v>
      </c>
      <c r="V107" s="16">
        <f>ABS(U107-T107)</f>
        <v>23.059200000000001</v>
      </c>
      <c r="W107" s="49" t="e">
        <f>VLOOKUP(A107,Enforcements!$C$3:$J$40,8,0)</f>
        <v>#N/A</v>
      </c>
      <c r="X107" s="49" t="e">
        <f>VLOOKUP(A107,Enforcements!$C$3:$J$40,3,0)</f>
        <v>#N/A</v>
      </c>
    </row>
    <row r="108" spans="1:24" s="2" customFormat="1" x14ac:dyDescent="0.25">
      <c r="A108" s="18" t="s">
        <v>334</v>
      </c>
      <c r="B108" s="19">
        <v>4042</v>
      </c>
      <c r="C108" s="19" t="s">
        <v>118</v>
      </c>
      <c r="D108" s="19" t="s">
        <v>66</v>
      </c>
      <c r="E108" s="53">
        <v>42481.732025462959</v>
      </c>
      <c r="F108" s="53">
        <v>42481.732800925929</v>
      </c>
      <c r="G108" s="71">
        <v>1</v>
      </c>
      <c r="H108" s="53" t="s">
        <v>335</v>
      </c>
      <c r="I108" s="53">
        <v>42481.765231481484</v>
      </c>
      <c r="J108" s="19">
        <v>0</v>
      </c>
      <c r="K108" s="19" t="str">
        <f>IF(ISEVEN(B108),(B108-1)&amp;"/"&amp;B108,B108&amp;"/"&amp;(B108+1))</f>
        <v>4041/4042</v>
      </c>
      <c r="L108" s="20">
        <f>I108-F108</f>
        <v>3.2430555555038154E-2</v>
      </c>
      <c r="M108" s="21">
        <f>$L108*24*60</f>
        <v>46.699999999254942</v>
      </c>
      <c r="N108" s="21"/>
      <c r="O108" s="22"/>
      <c r="P108" s="17"/>
      <c r="R108" s="16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https://search-rtdc-monitor-bjffxe2xuh6vdkpspy63sjmuny.us-east-1.es.amazonaws.com/_plugin/kibana/#/discover/Steve-Slow-Train-Analysis-(2080s-and-2083s)?_g=(refreshInterval:(display:Off,section:0,value:0),time:(from:'2016-04-21 17:33:07-0600',mode:absolute,to:'2016-04-21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08" s="16" t="str">
        <f>IF(V108&lt;23,"Y","N")</f>
        <v>N</v>
      </c>
      <c r="T108" s="16">
        <f>RIGHT(D108,LEN(D108)-4)/10000</f>
        <v>4.4900000000000002E-2</v>
      </c>
      <c r="U108" s="16">
        <f>RIGHT(H108,LEN(H108)-4)/10000</f>
        <v>23.328199999999999</v>
      </c>
      <c r="V108" s="16">
        <f>ABS(U108-T108)</f>
        <v>23.283300000000001</v>
      </c>
      <c r="W108" s="49" t="e">
        <f>VLOOKUP(A108,Enforcements!$C$3:$J$40,8,0)</f>
        <v>#N/A</v>
      </c>
      <c r="X108" s="49" t="e">
        <f>VLOOKUP(A108,Enforcements!$C$3:$J$40,3,0)</f>
        <v>#N/A</v>
      </c>
    </row>
    <row r="109" spans="1:24" s="2" customFormat="1" x14ac:dyDescent="0.25">
      <c r="A109" s="18" t="s">
        <v>336</v>
      </c>
      <c r="B109" s="19">
        <v>4041</v>
      </c>
      <c r="C109" s="19" t="s">
        <v>118</v>
      </c>
      <c r="D109" s="19" t="s">
        <v>57</v>
      </c>
      <c r="E109" s="53">
        <v>42481.772523148145</v>
      </c>
      <c r="F109" s="53">
        <v>42481.774618055555</v>
      </c>
      <c r="G109" s="71">
        <v>3</v>
      </c>
      <c r="H109" s="53" t="s">
        <v>57</v>
      </c>
      <c r="I109" s="53">
        <v>42481.774618055555</v>
      </c>
      <c r="J109" s="19">
        <v>0</v>
      </c>
      <c r="K109" s="19" t="str">
        <f>IF(ISEVEN(B109),(B109-1)&amp;"/"&amp;B109,B109&amp;"/"&amp;(B109+1))</f>
        <v>4041/4042</v>
      </c>
      <c r="L109" s="20">
        <f>I109-F109+1/24/60/60</f>
        <v>1.1574074074074073E-5</v>
      </c>
      <c r="M109" s="21"/>
      <c r="N109" s="21"/>
      <c r="O109" s="22">
        <f>$L109*24*60</f>
        <v>1.6666666666666666E-2</v>
      </c>
      <c r="P109" s="17" t="s">
        <v>371</v>
      </c>
      <c r="R109" s="16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https://search-rtdc-monitor-bjffxe2xuh6vdkpspy63sjmuny.us-east-1.es.amazonaws.com/_plugin/kibana/#/discover/Steve-Slow-Train-Analysis-(2080s-and-2083s)?_g=(refreshInterval:(display:Off,section:0,value:0),time:(from:'2016-04-21 18:31:26-0600',mode:absolute,to:'2016-04-21 18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S109" s="16" t="str">
        <f>IF(V109&lt;23,"Y","N")</f>
        <v>Y</v>
      </c>
      <c r="T109" s="16">
        <f>RIGHT(D109,LEN(D109)-4)/10000</f>
        <v>23.298999999999999</v>
      </c>
      <c r="U109" s="16">
        <f>RIGHT(H109,LEN(H109)-4)/10000</f>
        <v>23.298999999999999</v>
      </c>
      <c r="V109" s="16">
        <f>ABS(U109-T109)</f>
        <v>0</v>
      </c>
      <c r="W109" s="49" t="e">
        <f>VLOOKUP(A109,Enforcements!$C$3:$J$40,8,0)</f>
        <v>#N/A</v>
      </c>
      <c r="X109" s="49" t="e">
        <f>VLOOKUP(A109,Enforcements!$C$3:$J$40,3,0)</f>
        <v>#N/A</v>
      </c>
    </row>
    <row r="110" spans="1:24" s="2" customFormat="1" x14ac:dyDescent="0.25">
      <c r="A110" s="18" t="s">
        <v>346</v>
      </c>
      <c r="B110" s="19">
        <v>4042</v>
      </c>
      <c r="C110" s="19" t="s">
        <v>118</v>
      </c>
      <c r="D110" s="19" t="s">
        <v>347</v>
      </c>
      <c r="E110" s="53">
        <v>42481.813611111109</v>
      </c>
      <c r="F110" s="53">
        <v>42481.814768518518</v>
      </c>
      <c r="G110" s="71">
        <v>1</v>
      </c>
      <c r="H110" s="53" t="s">
        <v>23</v>
      </c>
      <c r="I110" s="53">
        <v>42481.840717592589</v>
      </c>
      <c r="J110" s="19">
        <v>0</v>
      </c>
      <c r="K110" s="19" t="str">
        <f>IF(ISEVEN(B110),(B110-1)&amp;"/"&amp;B110,B110&amp;"/"&amp;(B110+1))</f>
        <v>4041/4042</v>
      </c>
      <c r="L110" s="20">
        <f>I110-F110</f>
        <v>2.5949074071832001E-2</v>
      </c>
      <c r="M110" s="21">
        <f>$L110*24*60</f>
        <v>37.366666663438082</v>
      </c>
      <c r="N110" s="21"/>
      <c r="O110" s="22"/>
      <c r="P110" s="17"/>
      <c r="R110" s="16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https://search-rtdc-monitor-bjffxe2xuh6vdkpspy63sjmuny.us-east-1.es.amazonaws.com/_plugin/kibana/#/discover/Steve-Slow-Train-Analysis-(2080s-and-2083s)?_g=(refreshInterval:(display:Off,section:0,value:0),time:(from:'2016-04-21 19:30:36-0600',mode:absolute,to:'2016-04-21 20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110" s="16" t="str">
        <f>IF(V110&lt;23,"Y","N")</f>
        <v>N</v>
      </c>
      <c r="T110" s="16">
        <f>RIGHT(D110,LEN(D110)-4)/10000</f>
        <v>4.7800000000000002E-2</v>
      </c>
      <c r="U110" s="16">
        <f>RIGHT(H110,LEN(H110)-4)/10000</f>
        <v>23.3308</v>
      </c>
      <c r="V110" s="16">
        <f>ABS(U110-T110)</f>
        <v>23.283000000000001</v>
      </c>
      <c r="W110" s="49" t="e">
        <f>VLOOKUP(A110,Enforcements!$C$3:$J$40,8,0)</f>
        <v>#N/A</v>
      </c>
      <c r="X110" s="49" t="e">
        <f>VLOOKUP(A110,Enforcements!$C$3:$J$40,3,0)</f>
        <v>#N/A</v>
      </c>
    </row>
    <row r="111" spans="1:24" s="2" customFormat="1" x14ac:dyDescent="0.25">
      <c r="A111" s="18" t="s">
        <v>151</v>
      </c>
      <c r="B111" s="19">
        <v>4043</v>
      </c>
      <c r="C111" s="19" t="s">
        <v>118</v>
      </c>
      <c r="D111" s="19" t="s">
        <v>221</v>
      </c>
      <c r="E111" s="53">
        <v>42481.213414351849</v>
      </c>
      <c r="F111" s="53">
        <v>42481.214768518519</v>
      </c>
      <c r="G111" s="71">
        <v>1</v>
      </c>
      <c r="H111" s="53" t="s">
        <v>222</v>
      </c>
      <c r="I111" s="53">
        <v>42481.243541666663</v>
      </c>
      <c r="J111" s="19">
        <v>1</v>
      </c>
      <c r="K111" s="19" t="str">
        <f>IF(ISEVEN(B111),(B111-1)&amp;"/"&amp;B111,B111&amp;"/"&amp;(B111+1))</f>
        <v>4043/4044</v>
      </c>
      <c r="L111" s="20">
        <f>I111-F111</f>
        <v>2.8773148143955041E-2</v>
      </c>
      <c r="M111" s="21">
        <f>$L111*24*60</f>
        <v>41.433333327295259</v>
      </c>
      <c r="N111" s="21"/>
      <c r="O111" s="22"/>
      <c r="P111" s="17"/>
      <c r="R111" s="16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https://search-rtdc-monitor-bjffxe2xuh6vdkpspy63sjmuny.us-east-1.es.amazonaws.com/_plugin/kibana/#/discover/Steve-Slow-Train-Analysis-(2080s-and-2083s)?_g=(refreshInterval:(display:Off,section:0,value:0),time:(from:'2016-04-21 05:06:19-0600',mode:absolute,to:'2016-04-21 05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11" s="16" t="str">
        <f>IF(V111&lt;23,"Y","N")</f>
        <v>N</v>
      </c>
      <c r="T111" s="16">
        <f>RIGHT(D111,LEN(D111)-4)/10000</f>
        <v>23.281300000000002</v>
      </c>
      <c r="U111" s="16">
        <f>RIGHT(H111,LEN(H111)-4)/10000</f>
        <v>2.52E-2</v>
      </c>
      <c r="V111" s="16">
        <f>ABS(U111-T111)</f>
        <v>23.2561</v>
      </c>
      <c r="W111" s="49" t="e">
        <f>VLOOKUP(A111,Enforcements!$C$3:$J$40,8,0)</f>
        <v>#N/A</v>
      </c>
      <c r="X111" s="49" t="e">
        <f>VLOOKUP(A111,Enforcements!$C$3:$J$40,3,0)</f>
        <v>#N/A</v>
      </c>
    </row>
    <row r="112" spans="1:24" s="2" customFormat="1" x14ac:dyDescent="0.25">
      <c r="A112" s="18" t="s">
        <v>153</v>
      </c>
      <c r="B112" s="19">
        <v>4044</v>
      </c>
      <c r="C112" s="19" t="s">
        <v>118</v>
      </c>
      <c r="D112" s="19" t="s">
        <v>235</v>
      </c>
      <c r="E112" s="53">
        <v>42481.247141203705</v>
      </c>
      <c r="F112" s="53">
        <v>42481.248449074075</v>
      </c>
      <c r="G112" s="71">
        <v>1</v>
      </c>
      <c r="H112" s="53" t="s">
        <v>41</v>
      </c>
      <c r="I112" s="53">
        <v>42481.277361111112</v>
      </c>
      <c r="J112" s="19">
        <v>1</v>
      </c>
      <c r="K112" s="19" t="str">
        <f>IF(ISEVEN(B112),(B112-1)&amp;"/"&amp;B112,B112&amp;"/"&amp;(B112+1))</f>
        <v>4043/4044</v>
      </c>
      <c r="L112" s="20">
        <f>I112-F112</f>
        <v>2.8912037036207039E-2</v>
      </c>
      <c r="M112" s="21">
        <f>$L112*24*60</f>
        <v>41.633333332138136</v>
      </c>
      <c r="N112" s="21"/>
      <c r="O112" s="22"/>
      <c r="P112" s="17"/>
      <c r="R112" s="16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https://search-rtdc-monitor-bjffxe2xuh6vdkpspy63sjmuny.us-east-1.es.amazonaws.com/_plugin/kibana/#/discover/Steve-Slow-Train-Analysis-(2080s-and-2083s)?_g=(refreshInterval:(display:Off,section:0,value:0),time:(from:'2016-04-21 05:54:53-0600',mode:absolute,to:'2016-04-21 06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12" s="16" t="str">
        <f>IF(V112&lt;23,"Y","N")</f>
        <v>N</v>
      </c>
      <c r="T112" s="16">
        <f>RIGHT(D112,LEN(D112)-4)/10000</f>
        <v>5.4600000000000003E-2</v>
      </c>
      <c r="U112" s="16">
        <f>RIGHT(H112,LEN(H112)-4)/10000</f>
        <v>23.328800000000001</v>
      </c>
      <c r="V112" s="16">
        <f>ABS(U112-T112)</f>
        <v>23.2742</v>
      </c>
      <c r="W112" s="49">
        <f>VLOOKUP(A112,Enforcements!$C$3:$J$40,8,0)</f>
        <v>20338</v>
      </c>
      <c r="X112" s="49" t="str">
        <f>VLOOKUP(A112,Enforcements!$C$3:$J$40,3,0)</f>
        <v>PERMANENT SPEED RESTRICTION</v>
      </c>
    </row>
    <row r="113" spans="1:24" s="2" customFormat="1" x14ac:dyDescent="0.25">
      <c r="A113" s="18" t="s">
        <v>236</v>
      </c>
      <c r="B113" s="19">
        <v>4043</v>
      </c>
      <c r="C113" s="19" t="s">
        <v>118</v>
      </c>
      <c r="D113" s="19" t="s">
        <v>122</v>
      </c>
      <c r="E113" s="53">
        <v>42481.287835648145</v>
      </c>
      <c r="F113" s="53">
        <v>42481.288877314815</v>
      </c>
      <c r="G113" s="71">
        <v>1</v>
      </c>
      <c r="H113" s="53" t="s">
        <v>8</v>
      </c>
      <c r="I113" s="53">
        <v>42481.318680555552</v>
      </c>
      <c r="J113" s="19">
        <v>0</v>
      </c>
      <c r="K113" s="19" t="str">
        <f>IF(ISEVEN(B113),(B113-1)&amp;"/"&amp;B113,B113&amp;"/"&amp;(B113+1))</f>
        <v>4043/4044</v>
      </c>
      <c r="L113" s="20">
        <f>I113-F113</f>
        <v>2.9803240737237502E-2</v>
      </c>
      <c r="M113" s="21">
        <f>$L113*24*60</f>
        <v>42.916666661622003</v>
      </c>
      <c r="N113" s="21"/>
      <c r="O113" s="22"/>
      <c r="P113" s="17"/>
      <c r="R113" s="16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https://search-rtdc-monitor-bjffxe2xuh6vdkpspy63sjmuny.us-east-1.es.amazonaws.com/_plugin/kibana/#/discover/Steve-Slow-Train-Analysis-(2080s-and-2083s)?_g=(refreshInterval:(display:Off,section:0,value:0),time:(from:'2016-04-21 06:53:29-0600',mode:absolute,to:'2016-04-21 07:39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13" s="16" t="str">
        <f>IF(V113&lt;23,"Y","N")</f>
        <v>N</v>
      </c>
      <c r="T113" s="16">
        <f>RIGHT(D113,LEN(D113)-4)/10000</f>
        <v>23.297699999999999</v>
      </c>
      <c r="U113" s="16">
        <f>RIGHT(H113,LEN(H113)-4)/10000</f>
        <v>1.49E-2</v>
      </c>
      <c r="V113" s="16">
        <f>ABS(U113-T113)</f>
        <v>23.282799999999998</v>
      </c>
      <c r="W113" s="49" t="e">
        <f>VLOOKUP(A113,Enforcements!$C$3:$J$40,8,0)</f>
        <v>#N/A</v>
      </c>
      <c r="X113" s="49" t="e">
        <f>VLOOKUP(A113,Enforcements!$C$3:$J$40,3,0)</f>
        <v>#N/A</v>
      </c>
    </row>
    <row r="114" spans="1:24" s="2" customFormat="1" x14ac:dyDescent="0.25">
      <c r="A114" s="18" t="s">
        <v>161</v>
      </c>
      <c r="B114" s="19">
        <v>4044</v>
      </c>
      <c r="C114" s="19" t="s">
        <v>118</v>
      </c>
      <c r="D114" s="19" t="s">
        <v>246</v>
      </c>
      <c r="E114" s="53">
        <v>42481.320706018516</v>
      </c>
      <c r="F114" s="53">
        <v>42481.321793981479</v>
      </c>
      <c r="G114" s="71">
        <v>1</v>
      </c>
      <c r="H114" s="53" t="s">
        <v>247</v>
      </c>
      <c r="I114" s="53">
        <v>42481.34920138889</v>
      </c>
      <c r="J114" s="19">
        <v>1</v>
      </c>
      <c r="K114" s="19" t="str">
        <f>IF(ISEVEN(B114),(B114-1)&amp;"/"&amp;B114,B114&amp;"/"&amp;(B114+1))</f>
        <v>4043/4044</v>
      </c>
      <c r="L114" s="20">
        <f>I114-F114</f>
        <v>2.7407407411374152E-2</v>
      </c>
      <c r="M114" s="21">
        <f>$L114*24*60</f>
        <v>39.466666672378778</v>
      </c>
      <c r="N114" s="21"/>
      <c r="O114" s="22"/>
      <c r="P114" s="17"/>
      <c r="R114" s="16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https://search-rtdc-monitor-bjffxe2xuh6vdkpspy63sjmuny.us-east-1.es.amazonaws.com/_plugin/kibana/#/discover/Steve-Slow-Train-Analysis-(2080s-and-2083s)?_g=(refreshInterval:(display:Off,section:0,value:0),time:(from:'2016-04-21 07:40:49-0600',mode:absolute,to:'2016-04-21 08:23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14" s="16" t="str">
        <f>IF(V114&lt;23,"Y","N")</f>
        <v>N</v>
      </c>
      <c r="T114" s="16">
        <f>RIGHT(D114,LEN(D114)-4)/10000</f>
        <v>4.53E-2</v>
      </c>
      <c r="U114" s="16">
        <f>RIGHT(H114,LEN(H114)-4)/10000</f>
        <v>23.331499999999998</v>
      </c>
      <c r="V114" s="16">
        <f>ABS(U114-T114)</f>
        <v>23.286199999999997</v>
      </c>
      <c r="W114" s="49">
        <f>VLOOKUP(A114,Enforcements!$C$3:$J$40,8,0)</f>
        <v>20338</v>
      </c>
      <c r="X114" s="49" t="str">
        <f>VLOOKUP(A114,Enforcements!$C$3:$J$40,3,0)</f>
        <v>PERMANENT SPEED RESTRICTION</v>
      </c>
    </row>
    <row r="115" spans="1:24" s="2" customFormat="1" x14ac:dyDescent="0.25">
      <c r="A115" s="18" t="s">
        <v>248</v>
      </c>
      <c r="B115" s="19">
        <v>4043</v>
      </c>
      <c r="C115" s="19" t="s">
        <v>118</v>
      </c>
      <c r="D115" s="19" t="s">
        <v>56</v>
      </c>
      <c r="E115" s="53">
        <v>42481.358969907407</v>
      </c>
      <c r="F115" s="53">
        <v>42481.361574074072</v>
      </c>
      <c r="G115" s="71">
        <v>3</v>
      </c>
      <c r="H115" s="53" t="s">
        <v>26</v>
      </c>
      <c r="I115" s="53">
        <v>42481.391886574071</v>
      </c>
      <c r="J115" s="19">
        <v>0</v>
      </c>
      <c r="K115" s="19" t="str">
        <f>IF(ISEVEN(B115),(B115-1)&amp;"/"&amp;B115,B115&amp;"/"&amp;(B115+1))</f>
        <v>4043/4044</v>
      </c>
      <c r="L115" s="20">
        <f>I115-F115</f>
        <v>3.0312499999126885E-2</v>
      </c>
      <c r="M115" s="21">
        <f>$L115*24*60</f>
        <v>43.649999998742715</v>
      </c>
      <c r="N115" s="21"/>
      <c r="O115" s="22"/>
      <c r="P115" s="17"/>
      <c r="R115" s="16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https://search-rtdc-monitor-bjffxe2xuh6vdkpspy63sjmuny.us-east-1.es.amazonaws.com/_plugin/kibana/#/discover/Steve-Slow-Train-Analysis-(2080s-and-2083s)?_g=(refreshInterval:(display:Off,section:0,value:0),time:(from:'2016-04-21 08:35:55-0600',mode:absolute,to:'2016-04-21 09:25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15" s="16" t="str">
        <f>IF(V115&lt;23,"Y","N")</f>
        <v>N</v>
      </c>
      <c r="T115" s="16">
        <f>RIGHT(D115,LEN(D115)-4)/10000</f>
        <v>23.299099999999999</v>
      </c>
      <c r="U115" s="16">
        <f>RIGHT(H115,LEN(H115)-4)/10000</f>
        <v>1.5800000000000002E-2</v>
      </c>
      <c r="V115" s="16">
        <f>ABS(U115-T115)</f>
        <v>23.283300000000001</v>
      </c>
      <c r="W115" s="49" t="e">
        <f>VLOOKUP(A115,Enforcements!$C$3:$J$40,8,0)</f>
        <v>#N/A</v>
      </c>
      <c r="X115" s="49" t="e">
        <f>VLOOKUP(A115,Enforcements!$C$3:$J$40,3,0)</f>
        <v>#N/A</v>
      </c>
    </row>
    <row r="116" spans="1:24" s="2" customFormat="1" x14ac:dyDescent="0.25">
      <c r="A116" s="18" t="s">
        <v>260</v>
      </c>
      <c r="B116" s="19">
        <v>4044</v>
      </c>
      <c r="C116" s="19" t="s">
        <v>118</v>
      </c>
      <c r="D116" s="19" t="s">
        <v>31</v>
      </c>
      <c r="E116" s="53">
        <v>42481.393831018519</v>
      </c>
      <c r="F116" s="53">
        <v>42481.396006944444</v>
      </c>
      <c r="G116" s="71">
        <v>3</v>
      </c>
      <c r="H116" s="53" t="s">
        <v>261</v>
      </c>
      <c r="I116" s="53">
        <v>42481.420555555553</v>
      </c>
      <c r="J116" s="19">
        <v>0</v>
      </c>
      <c r="K116" s="19" t="str">
        <f>IF(ISEVEN(B116),(B116-1)&amp;"/"&amp;B116,B116&amp;"/"&amp;(B116+1))</f>
        <v>4043/4044</v>
      </c>
      <c r="L116" s="20">
        <f>I116-F116</f>
        <v>2.4548611108912155E-2</v>
      </c>
      <c r="M116" s="21">
        <f>$L116*24*60</f>
        <v>35.349999996833503</v>
      </c>
      <c r="N116" s="21"/>
      <c r="O116" s="22"/>
      <c r="P116" s="17"/>
      <c r="R116" s="16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https://search-rtdc-monitor-bjffxe2xuh6vdkpspy63sjmuny.us-east-1.es.amazonaws.com/_plugin/kibana/#/discover/Steve-Slow-Train-Analysis-(2080s-and-2083s)?_g=(refreshInterval:(display:Off,section:0,value:0),time:(from:'2016-04-21 09:26:07-0600',mode:absolute,to:'2016-04-21 10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16" s="16" t="str">
        <f>IF(V116&lt;23,"Y","N")</f>
        <v>N</v>
      </c>
      <c r="T116" s="16">
        <f>RIGHT(D116,LEN(D116)-4)/10000</f>
        <v>4.4400000000000002E-2</v>
      </c>
      <c r="U116" s="16">
        <f>RIGHT(H116,LEN(H116)-4)/10000</f>
        <v>23.330500000000001</v>
      </c>
      <c r="V116" s="16">
        <f>ABS(U116-T116)</f>
        <v>23.286100000000001</v>
      </c>
      <c r="W116" s="49" t="e">
        <f>VLOOKUP(A116,Enforcements!$C$3:$J$40,8,0)</f>
        <v>#N/A</v>
      </c>
      <c r="X116" s="49" t="e">
        <f>VLOOKUP(A116,Enforcements!$C$3:$J$40,3,0)</f>
        <v>#N/A</v>
      </c>
    </row>
    <row r="117" spans="1:24" s="2" customFormat="1" x14ac:dyDescent="0.25">
      <c r="A117" s="18" t="s">
        <v>170</v>
      </c>
      <c r="B117" s="19">
        <v>4043</v>
      </c>
      <c r="C117" s="19" t="s">
        <v>118</v>
      </c>
      <c r="D117" s="19" t="s">
        <v>57</v>
      </c>
      <c r="E117" s="53">
        <v>42481.428969907407</v>
      </c>
      <c r="F117" s="53">
        <v>42481.430150462962</v>
      </c>
      <c r="G117" s="71">
        <v>1</v>
      </c>
      <c r="H117" s="53" t="s">
        <v>262</v>
      </c>
      <c r="I117" s="53">
        <v>42481.461157407408</v>
      </c>
      <c r="J117" s="19">
        <v>1</v>
      </c>
      <c r="K117" s="19" t="str">
        <f>IF(ISEVEN(B117),(B117-1)&amp;"/"&amp;B117,B117&amp;"/"&amp;(B117+1))</f>
        <v>4043/4044</v>
      </c>
      <c r="L117" s="20">
        <f>I117-F117</f>
        <v>3.1006944445834961E-2</v>
      </c>
      <c r="M117" s="21">
        <f>$L117*24*60</f>
        <v>44.650000002002344</v>
      </c>
      <c r="N117" s="21"/>
      <c r="O117" s="22"/>
      <c r="P117" s="17"/>
      <c r="R117" s="16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https://search-rtdc-monitor-bjffxe2xuh6vdkpspy63sjmuny.us-east-1.es.amazonaws.com/_plugin/kibana/#/discover/Steve-Slow-Train-Analysis-(2080s-and-2083s)?_g=(refreshInterval:(display:Off,section:0,value:0),time:(from:'2016-04-21 10:16:43-0600',mode:absolute,to:'2016-04-21 11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17" s="16" t="str">
        <f>IF(V117&lt;23,"Y","N")</f>
        <v>N</v>
      </c>
      <c r="T117" s="16">
        <f>RIGHT(D117,LEN(D117)-4)/10000</f>
        <v>23.298999999999999</v>
      </c>
      <c r="U117" s="16">
        <f>RIGHT(H117,LEN(H117)-4)/10000</f>
        <v>8.9599999999999999E-2</v>
      </c>
      <c r="V117" s="16">
        <f>ABS(U117-T117)</f>
        <v>23.209399999999999</v>
      </c>
      <c r="W117" s="49" t="e">
        <f>VLOOKUP(A117,Enforcements!$C$3:$J$40,8,0)</f>
        <v>#N/A</v>
      </c>
      <c r="X117" s="49" t="e">
        <f>VLOOKUP(A117,Enforcements!$C$3:$J$40,3,0)</f>
        <v>#N/A</v>
      </c>
    </row>
    <row r="118" spans="1:24" s="2" customFormat="1" x14ac:dyDescent="0.25">
      <c r="A118" s="18" t="s">
        <v>273</v>
      </c>
      <c r="B118" s="19">
        <v>4044</v>
      </c>
      <c r="C118" s="19" t="s">
        <v>118</v>
      </c>
      <c r="D118" s="19" t="s">
        <v>274</v>
      </c>
      <c r="E118" s="53">
        <v>42481.468321759261</v>
      </c>
      <c r="F118" s="53">
        <v>42481.470439814817</v>
      </c>
      <c r="G118" s="71">
        <v>3</v>
      </c>
      <c r="H118" s="53" t="s">
        <v>224</v>
      </c>
      <c r="I118" s="53">
        <v>42481.495671296296</v>
      </c>
      <c r="J118" s="19">
        <v>0</v>
      </c>
      <c r="K118" s="19" t="str">
        <f>IF(ISEVEN(B118),(B118-1)&amp;"/"&amp;B118,B118&amp;"/"&amp;(B118+1))</f>
        <v>4043/4044</v>
      </c>
      <c r="L118" s="20">
        <f>I118-F118</f>
        <v>2.5231481478840578E-2</v>
      </c>
      <c r="M118" s="21">
        <f>$L118*24*60</f>
        <v>36.333333329530433</v>
      </c>
      <c r="N118" s="21"/>
      <c r="O118" s="22"/>
      <c r="P118" s="17"/>
      <c r="R118" s="16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https://search-rtdc-monitor-bjffxe2xuh6vdkpspy63sjmuny.us-east-1.es.amazonaws.com/_plugin/kibana/#/discover/Steve-Slow-Train-Analysis-(2080s-and-2083s)?_g=(refreshInterval:(display:Off,section:0,value:0),time:(from:'2016-04-21 11:13:23-0600',mode:absolute,to:'2016-04-21 11:54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18" s="16" t="str">
        <f>IF(V118&lt;23,"Y","N")</f>
        <v>N</v>
      </c>
      <c r="T118" s="16">
        <f>RIGHT(D118,LEN(D118)-4)/10000</f>
        <v>0.12130000000000001</v>
      </c>
      <c r="U118" s="16">
        <f>RIGHT(H118,LEN(H118)-4)/10000</f>
        <v>23.330100000000002</v>
      </c>
      <c r="V118" s="16">
        <f>ABS(U118-T118)</f>
        <v>23.2088</v>
      </c>
      <c r="W118" s="49" t="e">
        <f>VLOOKUP(A118,Enforcements!$C$3:$J$40,8,0)</f>
        <v>#N/A</v>
      </c>
      <c r="X118" s="49" t="e">
        <f>VLOOKUP(A118,Enforcements!$C$3:$J$40,3,0)</f>
        <v>#N/A</v>
      </c>
    </row>
    <row r="119" spans="1:24" s="2" customFormat="1" x14ac:dyDescent="0.25">
      <c r="A119" s="18" t="s">
        <v>174</v>
      </c>
      <c r="B119" s="19">
        <v>4043</v>
      </c>
      <c r="C119" s="19" t="s">
        <v>118</v>
      </c>
      <c r="D119" s="19" t="s">
        <v>28</v>
      </c>
      <c r="E119" s="53">
        <v>42481.497650462959</v>
      </c>
      <c r="F119" s="53">
        <v>42481.507800925923</v>
      </c>
      <c r="G119" s="71">
        <v>2</v>
      </c>
      <c r="H119" s="53" t="s">
        <v>9</v>
      </c>
      <c r="I119" s="53">
        <v>42481.536481481482</v>
      </c>
      <c r="J119" s="19">
        <v>1</v>
      </c>
      <c r="K119" s="19" t="str">
        <f>IF(ISEVEN(B119),(B119-1)&amp;"/"&amp;B119,B119&amp;"/"&amp;(B119+1))</f>
        <v>4043/4044</v>
      </c>
      <c r="L119" s="20">
        <f>I119-F119</f>
        <v>2.8680555558821652E-2</v>
      </c>
      <c r="M119" s="21">
        <f>$L119*24*60</f>
        <v>41.300000004703179</v>
      </c>
      <c r="N119" s="21"/>
      <c r="O119" s="22"/>
      <c r="P119" s="17"/>
      <c r="R119" s="16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https://search-rtdc-monitor-bjffxe2xuh6vdkpspy63sjmuny.us-east-1.es.amazonaws.com/_plugin/kibana/#/discover/Steve-Slow-Train-Analysis-(2080s-and-2083s)?_g=(refreshInterval:(display:Off,section:0,value:0),time:(from:'2016-04-21 11:55:37-0600',mode:absolute,to:'2016-04-21 12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19" s="16" t="str">
        <f>IF(V119&lt;23,"Y","N")</f>
        <v>N</v>
      </c>
      <c r="T119" s="16">
        <f>RIGHT(D119,LEN(D119)-4)/10000</f>
        <v>23.299399999999999</v>
      </c>
      <c r="U119" s="16">
        <f>RIGHT(H119,LEN(H119)-4)/10000</f>
        <v>1.43E-2</v>
      </c>
      <c r="V119" s="16">
        <f>ABS(U119-T119)</f>
        <v>23.2851</v>
      </c>
      <c r="W119" s="49">
        <f>VLOOKUP(A119,Enforcements!$C$3:$J$40,8,0)</f>
        <v>191723</v>
      </c>
      <c r="X119" s="49" t="str">
        <f>VLOOKUP(A119,Enforcements!$C$3:$J$40,3,0)</f>
        <v>SIGNAL</v>
      </c>
    </row>
    <row r="120" spans="1:24" s="2" customFormat="1" x14ac:dyDescent="0.25">
      <c r="A120" s="18" t="s">
        <v>181</v>
      </c>
      <c r="B120" s="19">
        <v>4044</v>
      </c>
      <c r="C120" s="19" t="s">
        <v>118</v>
      </c>
      <c r="D120" s="19" t="s">
        <v>31</v>
      </c>
      <c r="E120" s="53">
        <v>42481.541076388887</v>
      </c>
      <c r="F120" s="53">
        <v>42481.542118055557</v>
      </c>
      <c r="G120" s="71">
        <v>1</v>
      </c>
      <c r="H120" s="53" t="s">
        <v>289</v>
      </c>
      <c r="I120" s="53">
        <v>42481.560902777775</v>
      </c>
      <c r="J120" s="19">
        <v>1</v>
      </c>
      <c r="K120" s="19" t="str">
        <f>IF(ISEVEN(B120),(B120-1)&amp;"/"&amp;B120,B120&amp;"/"&amp;(B120+1))</f>
        <v>4043/4044</v>
      </c>
      <c r="L120" s="20">
        <f>I120-F120</f>
        <v>1.8784722218697425E-2</v>
      </c>
      <c r="M120" s="21"/>
      <c r="N120" s="21"/>
      <c r="O120" s="22"/>
      <c r="P120" s="17"/>
      <c r="R120" s="16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https://search-rtdc-monitor-bjffxe2xuh6vdkpspy63sjmuny.us-east-1.es.amazonaws.com/_plugin/kibana/#/discover/Steve-Slow-Train-Analysis-(2080s-and-2083s)?_g=(refreshInterval:(display:Off,section:0,value:0),time:(from:'2016-04-21 12:58:09-0600',mode:absolute,to:'2016-04-21 13:28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20" s="16" t="str">
        <f>IF(V120&lt;23,"Y","N")</f>
        <v>Y</v>
      </c>
      <c r="T120" s="16">
        <f>RIGHT(D120,LEN(D120)-4)/10000</f>
        <v>4.4400000000000002E-2</v>
      </c>
      <c r="U120" s="16">
        <f>RIGHT(H120,LEN(H120)-4)/10000</f>
        <v>12.420199999999999</v>
      </c>
      <c r="V120" s="16">
        <f>ABS(U120-T120)</f>
        <v>12.3758</v>
      </c>
      <c r="W120" s="49">
        <f>VLOOKUP(A120,Enforcements!$C$3:$J$40,8,0)</f>
        <v>118739</v>
      </c>
      <c r="X120" s="49" t="str">
        <f>VLOOKUP(A120,Enforcements!$C$3:$J$40,3,0)</f>
        <v>SIGNAL</v>
      </c>
    </row>
    <row r="121" spans="1:24" s="2" customFormat="1" x14ac:dyDescent="0.25">
      <c r="A121" s="18" t="s">
        <v>181</v>
      </c>
      <c r="B121" s="19">
        <v>4044</v>
      </c>
      <c r="C121" s="19" t="s">
        <v>118</v>
      </c>
      <c r="D121" s="19" t="s">
        <v>288</v>
      </c>
      <c r="E121" s="53">
        <v>42481.565462962964</v>
      </c>
      <c r="F121" s="53">
        <v>42481.566435185188</v>
      </c>
      <c r="G121" s="71">
        <v>1</v>
      </c>
      <c r="H121" s="53" t="s">
        <v>23</v>
      </c>
      <c r="I121" s="53">
        <v>42481.577511574076</v>
      </c>
      <c r="J121" s="19">
        <v>0</v>
      </c>
      <c r="K121" s="19" t="str">
        <f>IF(ISEVEN(B121),(B121-1)&amp;"/"&amp;B121,B121&amp;"/"&amp;(B121+1))</f>
        <v>4043/4044</v>
      </c>
      <c r="L121" s="20">
        <f>I121-F121</f>
        <v>1.1076388887886424E-2</v>
      </c>
      <c r="M121" s="21"/>
      <c r="N121" s="21">
        <f>($L121+L120)*24*60</f>
        <v>42.999999993480742</v>
      </c>
      <c r="O121" s="22"/>
      <c r="P121" s="17" t="s">
        <v>373</v>
      </c>
      <c r="R121" s="16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https://search-rtdc-monitor-bjffxe2xuh6vdkpspy63sjmuny.us-east-1.es.amazonaws.com/_plugin/kibana/#/discover/Steve-Slow-Train-Analysis-(2080s-and-2083s)?_g=(refreshInterval:(display:Off,section:0,value:0),time:(from:'2016-04-21 13:33:16-0600',mode:absolute,to:'2016-04-21 13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21" s="16" t="str">
        <f>IF(V121&lt;23,"Y","N")</f>
        <v>Y</v>
      </c>
      <c r="T121" s="16">
        <f>RIGHT(D121,LEN(D121)-4)/10000</f>
        <v>12.8268</v>
      </c>
      <c r="U121" s="16">
        <f>RIGHT(H121,LEN(H121)-4)/10000</f>
        <v>23.3308</v>
      </c>
      <c r="V121" s="16">
        <f>ABS(U121-T121)</f>
        <v>10.504</v>
      </c>
      <c r="W121" s="49">
        <f>VLOOKUP(A121,Enforcements!$C$3:$J$40,8,0)</f>
        <v>118739</v>
      </c>
      <c r="X121" s="49" t="str">
        <f>VLOOKUP(A121,Enforcements!$C$3:$J$40,3,0)</f>
        <v>SIGNAL</v>
      </c>
    </row>
    <row r="122" spans="1:24" s="2" customFormat="1" x14ac:dyDescent="0.25">
      <c r="A122" s="18" t="s">
        <v>184</v>
      </c>
      <c r="B122" s="19">
        <v>4043</v>
      </c>
      <c r="C122" s="19" t="s">
        <v>118</v>
      </c>
      <c r="D122" s="19" t="s">
        <v>28</v>
      </c>
      <c r="E122" s="53">
        <v>42481.581921296296</v>
      </c>
      <c r="F122" s="53">
        <v>42481.582986111112</v>
      </c>
      <c r="G122" s="71">
        <v>1</v>
      </c>
      <c r="H122" s="53" t="s">
        <v>128</v>
      </c>
      <c r="I122" s="53">
        <v>42481.616574074076</v>
      </c>
      <c r="J122" s="19">
        <v>1</v>
      </c>
      <c r="K122" s="19" t="str">
        <f>IF(ISEVEN(B122),(B122-1)&amp;"/"&amp;B122,B122&amp;"/"&amp;(B122+1))</f>
        <v>4043/4044</v>
      </c>
      <c r="L122" s="20">
        <f>I122-F122</f>
        <v>3.3587962963792961E-2</v>
      </c>
      <c r="M122" s="21">
        <f>$L122*24*60</f>
        <v>48.366666667861864</v>
      </c>
      <c r="N122" s="21"/>
      <c r="O122" s="22"/>
      <c r="P122" s="17"/>
      <c r="R122" s="16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https://search-rtdc-monitor-bjffxe2xuh6vdkpspy63sjmuny.us-east-1.es.amazonaws.com/_plugin/kibana/#/discover/Steve-Slow-Train-Analysis-(2080s-and-2083s)?_g=(refreshInterval:(display:Off,section:0,value:0),time:(from:'2016-04-21 13:56:58-0600',mode:absolute,to:'2016-04-21 14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22" s="16" t="str">
        <f>IF(V122&lt;23,"Y","N")</f>
        <v>N</v>
      </c>
      <c r="T122" s="16">
        <f>RIGHT(D122,LEN(D122)-4)/10000</f>
        <v>23.299399999999999</v>
      </c>
      <c r="U122" s="16">
        <f>RIGHT(H122,LEN(H122)-4)/10000</f>
        <v>1.2999999999999999E-2</v>
      </c>
      <c r="V122" s="16">
        <f>ABS(U122-T122)</f>
        <v>23.286399999999997</v>
      </c>
      <c r="W122" s="49">
        <f>VLOOKUP(A122,Enforcements!$C$3:$J$40,8,0)</f>
        <v>15167</v>
      </c>
      <c r="X122" s="49" t="str">
        <f>VLOOKUP(A122,Enforcements!$C$3:$J$40,3,0)</f>
        <v>PERMANENT SPEED RESTRICTION</v>
      </c>
    </row>
    <row r="123" spans="1:24" s="2" customFormat="1" x14ac:dyDescent="0.25">
      <c r="A123" s="18" t="s">
        <v>307</v>
      </c>
      <c r="B123" s="19">
        <v>4044</v>
      </c>
      <c r="C123" s="19" t="s">
        <v>118</v>
      </c>
      <c r="D123" s="19" t="s">
        <v>42</v>
      </c>
      <c r="E123" s="53">
        <v>42481.621747685182</v>
      </c>
      <c r="F123" s="53">
        <v>42481.622731481482</v>
      </c>
      <c r="G123" s="71">
        <v>1</v>
      </c>
      <c r="H123" s="53" t="s">
        <v>130</v>
      </c>
      <c r="I123" s="53">
        <v>42481.650578703702</v>
      </c>
      <c r="J123" s="19">
        <v>0</v>
      </c>
      <c r="K123" s="19" t="str">
        <f>IF(ISEVEN(B123),(B123-1)&amp;"/"&amp;B123,B123&amp;"/"&amp;(B123+1))</f>
        <v>4043/4044</v>
      </c>
      <c r="L123" s="20">
        <f>I123-F123</f>
        <v>2.7847222219861578E-2</v>
      </c>
      <c r="M123" s="21">
        <f>$L123*24*60</f>
        <v>40.099999996600673</v>
      </c>
      <c r="N123" s="21"/>
      <c r="O123" s="22"/>
      <c r="P123" s="17"/>
      <c r="R123" s="16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https://search-rtdc-monitor-bjffxe2xuh6vdkpspy63sjmuny.us-east-1.es.amazonaws.com/_plugin/kibana/#/discover/Steve-Slow-Train-Analysis-(2080s-and-2083s)?_g=(refreshInterval:(display:Off,section:0,value:0),time:(from:'2016-04-21 14:54:19-0600',mode:absolute,to:'2016-04-21 15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23" s="16" t="str">
        <f>IF(V123&lt;23,"Y","N")</f>
        <v>N</v>
      </c>
      <c r="T123" s="16">
        <f>RIGHT(D123,LEN(D123)-4)/10000</f>
        <v>4.6899999999999997E-2</v>
      </c>
      <c r="U123" s="16">
        <f>RIGHT(H123,LEN(H123)-4)/10000</f>
        <v>23.329699999999999</v>
      </c>
      <c r="V123" s="16">
        <f>ABS(U123-T123)</f>
        <v>23.282799999999998</v>
      </c>
      <c r="W123" s="49" t="e">
        <f>VLOOKUP(A123,Enforcements!$C$3:$J$40,8,0)</f>
        <v>#N/A</v>
      </c>
      <c r="X123" s="49" t="e">
        <f>VLOOKUP(A123,Enforcements!$C$3:$J$40,3,0)</f>
        <v>#N/A</v>
      </c>
    </row>
    <row r="124" spans="1:24" s="2" customFormat="1" x14ac:dyDescent="0.25">
      <c r="A124" s="18" t="s">
        <v>308</v>
      </c>
      <c r="B124" s="19">
        <v>4043</v>
      </c>
      <c r="C124" s="19" t="s">
        <v>118</v>
      </c>
      <c r="D124" s="19" t="s">
        <v>44</v>
      </c>
      <c r="E124" s="53">
        <v>42481.652546296296</v>
      </c>
      <c r="F124" s="53">
        <v>42481.653460648151</v>
      </c>
      <c r="G124" s="71">
        <v>1</v>
      </c>
      <c r="H124" s="53" t="s">
        <v>30</v>
      </c>
      <c r="I124" s="53">
        <v>42481.691805555558</v>
      </c>
      <c r="J124" s="19">
        <v>0</v>
      </c>
      <c r="K124" s="19" t="str">
        <f>IF(ISEVEN(B124),(B124-1)&amp;"/"&amp;B124,B124&amp;"/"&amp;(B124+1))</f>
        <v>4043/4044</v>
      </c>
      <c r="L124" s="20">
        <f>I124-F124</f>
        <v>3.8344907407008577E-2</v>
      </c>
      <c r="M124" s="21">
        <f>$L124*24*60</f>
        <v>55.216666666092351</v>
      </c>
      <c r="N124" s="21"/>
      <c r="O124" s="22"/>
      <c r="P124" s="17" t="s">
        <v>376</v>
      </c>
      <c r="R124" s="16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https://search-rtdc-monitor-bjffxe2xuh6vdkpspy63sjmuny.us-east-1.es.amazonaws.com/_plugin/kibana/#/discover/Steve-Slow-Train-Analysis-(2080s-and-2083s)?_g=(refreshInterval:(display:Off,section:0,value:0),time:(from:'2016-04-21 15:38:40-0600',mode:absolute,to:'2016-04-21 16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24" s="16" t="str">
        <f>IF(V124&lt;23,"Y","N")</f>
        <v>N</v>
      </c>
      <c r="T124" s="16">
        <f>RIGHT(D124,LEN(D124)-4)/10000</f>
        <v>23.2989</v>
      </c>
      <c r="U124" s="16">
        <f>RIGHT(H124,LEN(H124)-4)/10000</f>
        <v>1.4999999999999999E-2</v>
      </c>
      <c r="V124" s="16">
        <f>ABS(U124-T124)</f>
        <v>23.283899999999999</v>
      </c>
      <c r="W124" s="49" t="e">
        <f>VLOOKUP(A124,Enforcements!$C$3:$J$40,8,0)</f>
        <v>#N/A</v>
      </c>
      <c r="X124" s="49" t="e">
        <f>VLOOKUP(A124,Enforcements!$C$3:$J$40,3,0)</f>
        <v>#N/A</v>
      </c>
    </row>
    <row r="125" spans="1:24" s="2" customFormat="1" x14ac:dyDescent="0.25">
      <c r="A125" s="18" t="s">
        <v>324</v>
      </c>
      <c r="B125" s="19">
        <v>4044</v>
      </c>
      <c r="C125" s="19" t="s">
        <v>118</v>
      </c>
      <c r="D125" s="19" t="s">
        <v>46</v>
      </c>
      <c r="E125" s="53">
        <v>42481.69462962963</v>
      </c>
      <c r="F125" s="53">
        <v>42481.696608796294</v>
      </c>
      <c r="G125" s="71">
        <v>2</v>
      </c>
      <c r="H125" s="53" t="s">
        <v>261</v>
      </c>
      <c r="I125" s="53">
        <v>42481.723287037035</v>
      </c>
      <c r="J125" s="19">
        <v>0</v>
      </c>
      <c r="K125" s="19" t="str">
        <f>IF(ISEVEN(B125),(B125-1)&amp;"/"&amp;B125,B125&amp;"/"&amp;(B125+1))</f>
        <v>4043/4044</v>
      </c>
      <c r="L125" s="20">
        <f>I125-F125</f>
        <v>2.6678240741603076E-2</v>
      </c>
      <c r="M125" s="21">
        <f>$L125*24*60</f>
        <v>38.41666666790843</v>
      </c>
      <c r="N125" s="21"/>
      <c r="O125" s="22"/>
      <c r="P125" s="17"/>
      <c r="R125" s="16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https://search-rtdc-monitor-bjffxe2xuh6vdkpspy63sjmuny.us-east-1.es.amazonaws.com/_plugin/kibana/#/discover/Steve-Slow-Train-Analysis-(2080s-and-2083s)?_g=(refreshInterval:(display:Off,section:0,value:0),time:(from:'2016-04-21 16:39:16-0600',mode:absolute,to:'2016-04-21 17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25" s="16" t="str">
        <f>IF(V125&lt;23,"Y","N")</f>
        <v>N</v>
      </c>
      <c r="T125" s="16">
        <f>RIGHT(D125,LEN(D125)-4)/10000</f>
        <v>4.5699999999999998E-2</v>
      </c>
      <c r="U125" s="16">
        <f>RIGHT(H125,LEN(H125)-4)/10000</f>
        <v>23.330500000000001</v>
      </c>
      <c r="V125" s="16">
        <f>ABS(U125-T125)</f>
        <v>23.284800000000001</v>
      </c>
      <c r="W125" s="49" t="e">
        <f>VLOOKUP(A125,Enforcements!$C$3:$J$40,8,0)</f>
        <v>#N/A</v>
      </c>
      <c r="X125" s="49" t="e">
        <f>VLOOKUP(A125,Enforcements!$C$3:$J$40,3,0)</f>
        <v>#N/A</v>
      </c>
    </row>
    <row r="126" spans="1:24" s="2" customFormat="1" x14ac:dyDescent="0.25">
      <c r="A126" s="18" t="s">
        <v>194</v>
      </c>
      <c r="B126" s="19">
        <v>4043</v>
      </c>
      <c r="C126" s="19" t="s">
        <v>118</v>
      </c>
      <c r="D126" s="19" t="s">
        <v>51</v>
      </c>
      <c r="E126" s="53">
        <v>42481.725914351853</v>
      </c>
      <c r="F126" s="53">
        <v>42481.737025462964</v>
      </c>
      <c r="G126" s="71">
        <v>2</v>
      </c>
      <c r="H126" s="53" t="s">
        <v>25</v>
      </c>
      <c r="I126" s="53">
        <v>42481.763124999998</v>
      </c>
      <c r="J126" s="19">
        <v>1</v>
      </c>
      <c r="K126" s="19" t="str">
        <f>IF(ISEVEN(B126),(B126-1)&amp;"/"&amp;B126,B126&amp;"/"&amp;(B126+1))</f>
        <v>4043/4044</v>
      </c>
      <c r="L126" s="20">
        <f>I126-F126</f>
        <v>2.6099537033587694E-2</v>
      </c>
      <c r="M126" s="21">
        <f>$L126*24*60</f>
        <v>37.58333332836628</v>
      </c>
      <c r="N126" s="21"/>
      <c r="O126" s="22"/>
      <c r="P126" s="17"/>
      <c r="R126" s="16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https://search-rtdc-monitor-bjffxe2xuh6vdkpspy63sjmuny.us-east-1.es.amazonaws.com/_plugin/kibana/#/discover/Steve-Slow-Train-Analysis-(2080s-and-2083s)?_g=(refreshInterval:(display:Off,section:0,value:0),time:(from:'2016-04-21 17:24:19-0600',mode:absolute,to:'2016-04-21 18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26" s="16" t="str">
        <f>IF(V126&lt;23,"Y","N")</f>
        <v>N</v>
      </c>
      <c r="T126" s="16">
        <f>RIGHT(D126,LEN(D126)-4)/10000</f>
        <v>23.297999999999998</v>
      </c>
      <c r="U126" s="16">
        <f>RIGHT(H126,LEN(H126)-4)/10000</f>
        <v>1.47E-2</v>
      </c>
      <c r="V126" s="16">
        <f>ABS(U126-T126)</f>
        <v>23.283299999999997</v>
      </c>
      <c r="W126" s="49" t="e">
        <f>VLOOKUP(A126,Enforcements!$C$3:$J$40,8,0)</f>
        <v>#N/A</v>
      </c>
      <c r="X126" s="49" t="e">
        <f>VLOOKUP(A126,Enforcements!$C$3:$J$40,3,0)</f>
        <v>#N/A</v>
      </c>
    </row>
    <row r="127" spans="1:24" s="2" customFormat="1" x14ac:dyDescent="0.25">
      <c r="A127" s="18" t="s">
        <v>340</v>
      </c>
      <c r="B127" s="19">
        <v>4044</v>
      </c>
      <c r="C127" s="19" t="s">
        <v>118</v>
      </c>
      <c r="D127" s="19" t="s">
        <v>37</v>
      </c>
      <c r="E127" s="53">
        <v>42481.768194444441</v>
      </c>
      <c r="F127" s="53">
        <v>42481.769317129627</v>
      </c>
      <c r="G127" s="71">
        <v>1</v>
      </c>
      <c r="H127" s="53" t="s">
        <v>47</v>
      </c>
      <c r="I127" s="53">
        <v>42481.796122685184</v>
      </c>
      <c r="J127" s="19">
        <v>0</v>
      </c>
      <c r="K127" s="19" t="str">
        <f>IF(ISEVEN(B127),(B127-1)&amp;"/"&amp;B127,B127&amp;"/"&amp;(B127+1))</f>
        <v>4043/4044</v>
      </c>
      <c r="L127" s="20">
        <f>I127-F127</f>
        <v>2.6805555557075422E-2</v>
      </c>
      <c r="M127" s="21">
        <f>$L127*24*60</f>
        <v>38.600000002188608</v>
      </c>
      <c r="N127" s="21"/>
      <c r="O127" s="22"/>
      <c r="P127" s="17"/>
      <c r="R127" s="16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https://search-rtdc-monitor-bjffxe2xuh6vdkpspy63sjmuny.us-east-1.es.amazonaws.com/_plugin/kibana/#/discover/Steve-Slow-Train-Analysis-(2080s-and-2083s)?_g=(refreshInterval:(display:Off,section:0,value:0),time:(from:'2016-04-21 18:25:12-0600',mode:absolute,to:'2016-04-21 19:07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27" s="16" t="str">
        <f>IF(V127&lt;23,"Y","N")</f>
        <v>N</v>
      </c>
      <c r="T127" s="16">
        <f>RIGHT(D127,LEN(D127)-4)/10000</f>
        <v>4.58E-2</v>
      </c>
      <c r="U127" s="16">
        <f>RIGHT(H127,LEN(H127)-4)/10000</f>
        <v>23.330200000000001</v>
      </c>
      <c r="V127" s="16">
        <f>ABS(U127-T127)</f>
        <v>23.284400000000002</v>
      </c>
      <c r="W127" s="49" t="e">
        <f>VLOOKUP(A127,Enforcements!$C$3:$J$40,8,0)</f>
        <v>#N/A</v>
      </c>
      <c r="X127" s="49" t="e">
        <f>VLOOKUP(A127,Enforcements!$C$3:$J$40,3,0)</f>
        <v>#N/A</v>
      </c>
    </row>
    <row r="128" spans="1:24" s="2" customFormat="1" x14ac:dyDescent="0.25">
      <c r="A128" s="18" t="s">
        <v>341</v>
      </c>
      <c r="B128" s="19">
        <v>4043</v>
      </c>
      <c r="C128" s="19" t="s">
        <v>118</v>
      </c>
      <c r="D128" s="19" t="s">
        <v>120</v>
      </c>
      <c r="E128" s="53">
        <v>42481.805868055555</v>
      </c>
      <c r="F128" s="53">
        <v>42481.807118055556</v>
      </c>
      <c r="G128" s="71">
        <v>1</v>
      </c>
      <c r="H128" s="53" t="s">
        <v>33</v>
      </c>
      <c r="I128" s="53">
        <v>42481.839826388888</v>
      </c>
      <c r="J128" s="19">
        <v>0</v>
      </c>
      <c r="K128" s="19" t="str">
        <f>IF(ISEVEN(B128),(B128-1)&amp;"/"&amp;B128,B128&amp;"/"&amp;(B128+1))</f>
        <v>4043/4044</v>
      </c>
      <c r="L128" s="20">
        <f>I128-F128</f>
        <v>3.2708333332266193E-2</v>
      </c>
      <c r="M128" s="21">
        <f>$L128*24*60</f>
        <v>47.099999998463318</v>
      </c>
      <c r="N128" s="21"/>
      <c r="O128" s="22"/>
      <c r="P128" s="17"/>
      <c r="R128" s="16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https://search-rtdc-monitor-bjffxe2xuh6vdkpspy63sjmuny.us-east-1.es.amazonaws.com/_plugin/kibana/#/discover/Steve-Slow-Train-Analysis-(2080s-and-2083s)?_g=(refreshInterval:(display:Off,section:0,value:0),time:(from:'2016-04-21 19:19:27-0600',mode:absolute,to:'2016-04-21 20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28" s="16" t="str">
        <f>IF(V128&lt;23,"Y","N")</f>
        <v>N</v>
      </c>
      <c r="T128" s="16">
        <f>RIGHT(D128,LEN(D128)-4)/10000</f>
        <v>23.298300000000001</v>
      </c>
      <c r="U128" s="16">
        <f>RIGHT(H128,LEN(H128)-4)/10000</f>
        <v>1.52E-2</v>
      </c>
      <c r="V128" s="16">
        <f>ABS(U128-T128)</f>
        <v>23.283100000000001</v>
      </c>
      <c r="W128" s="49" t="e">
        <f>VLOOKUP(A128,Enforcements!$C$3:$J$40,8,0)</f>
        <v>#N/A</v>
      </c>
      <c r="X128" s="49" t="e">
        <f>VLOOKUP(A128,Enforcements!$C$3:$J$40,3,0)</f>
        <v>#N/A</v>
      </c>
    </row>
    <row r="129" spans="1:24" s="2" customFormat="1" x14ac:dyDescent="0.25">
      <c r="A129" s="18" t="s">
        <v>352</v>
      </c>
      <c r="B129" s="19">
        <v>4044</v>
      </c>
      <c r="C129" s="19" t="s">
        <v>118</v>
      </c>
      <c r="D129" s="19" t="s">
        <v>40</v>
      </c>
      <c r="E129" s="53">
        <v>42481.842256944445</v>
      </c>
      <c r="F129" s="53">
        <v>42481.843252314815</v>
      </c>
      <c r="G129" s="71">
        <v>1</v>
      </c>
      <c r="H129" s="53" t="s">
        <v>353</v>
      </c>
      <c r="I129" s="53">
        <v>42481.870173611111</v>
      </c>
      <c r="J129" s="19">
        <v>0</v>
      </c>
      <c r="K129" s="19" t="str">
        <f>IF(ISEVEN(B129),(B129-1)&amp;"/"&amp;B129,B129&amp;"/"&amp;(B129+1))</f>
        <v>4043/4044</v>
      </c>
      <c r="L129" s="20">
        <f>I129-F129</f>
        <v>2.6921296295768116E-2</v>
      </c>
      <c r="M129" s="21">
        <f>$L129*24*60</f>
        <v>38.766666665906087</v>
      </c>
      <c r="N129" s="21"/>
      <c r="O129" s="22"/>
      <c r="P129" s="17"/>
      <c r="R129" s="16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https://search-rtdc-monitor-bjffxe2xuh6vdkpspy63sjmuny.us-east-1.es.amazonaws.com/_plugin/kibana/#/discover/Steve-Slow-Train-Analysis-(2080s-and-2083s)?_g=(refreshInterval:(display:Off,section:0,value:0),time:(from:'2016-04-21 20:11:51-0600',mode:absolute,to:'2016-04-21 20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29" s="16" t="str">
        <f>IF(V129&lt;23,"Y","N")</f>
        <v>N</v>
      </c>
      <c r="T129" s="16">
        <f>RIGHT(D129,LEN(D129)-4)/10000</f>
        <v>4.5100000000000001E-2</v>
      </c>
      <c r="U129" s="16">
        <f>RIGHT(H129,LEN(H129)-4)/10000</f>
        <v>23.3309</v>
      </c>
      <c r="V129" s="16">
        <f>ABS(U129-T129)</f>
        <v>23.285799999999998</v>
      </c>
      <c r="W129" s="49" t="e">
        <f>VLOOKUP(A129,Enforcements!$C$3:$J$40,8,0)</f>
        <v>#N/A</v>
      </c>
      <c r="X129" s="49" t="e">
        <f>VLOOKUP(A129,Enforcements!$C$3:$J$40,3,0)</f>
        <v>#N/A</v>
      </c>
    </row>
    <row r="130" spans="1:24" s="2" customFormat="1" x14ac:dyDescent="0.25">
      <c r="A130" s="18" t="s">
        <v>354</v>
      </c>
      <c r="B130" s="19">
        <v>4043</v>
      </c>
      <c r="C130" s="19" t="s">
        <v>118</v>
      </c>
      <c r="D130" s="19" t="s">
        <v>50</v>
      </c>
      <c r="E130" s="53">
        <v>42481.877754629626</v>
      </c>
      <c r="F130" s="53">
        <v>42481.87872685185</v>
      </c>
      <c r="G130" s="71">
        <v>1</v>
      </c>
      <c r="H130" s="53" t="s">
        <v>55</v>
      </c>
      <c r="I130" s="53">
        <v>42481.90834490741</v>
      </c>
      <c r="J130" s="19">
        <v>0</v>
      </c>
      <c r="K130" s="19" t="str">
        <f>IF(ISEVEN(B130),(B130-1)&amp;"/"&amp;B130,B130&amp;"/"&amp;(B130+1))</f>
        <v>4043/4044</v>
      </c>
      <c r="L130" s="20">
        <f>I130-F130</f>
        <v>2.9618055559694767E-2</v>
      </c>
      <c r="M130" s="21">
        <f>$L130*24*60</f>
        <v>42.650000005960464</v>
      </c>
      <c r="N130" s="21"/>
      <c r="O130" s="22"/>
      <c r="P130" s="17"/>
      <c r="R130" s="16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https://search-rtdc-monitor-bjffxe2xuh6vdkpspy63sjmuny.us-east-1.es.amazonaws.com/_plugin/kibana/#/discover/Steve-Slow-Train-Analysis-(2080s-and-2083s)?_g=(refreshInterval:(display:Off,section:0,value:0),time:(from:'2016-04-21 21:02:58-0600',mode:absolute,to:'2016-04-21 21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S130" s="16" t="str">
        <f>IF(V130&lt;23,"Y","N")</f>
        <v>N</v>
      </c>
      <c r="T130" s="16">
        <f>RIGHT(D130,LEN(D130)-4)/10000</f>
        <v>23.298200000000001</v>
      </c>
      <c r="U130" s="16">
        <f>RIGHT(H130,LEN(H130)-4)/10000</f>
        <v>1.6E-2</v>
      </c>
      <c r="V130" s="16">
        <f>ABS(U130-T130)</f>
        <v>23.282200000000003</v>
      </c>
      <c r="W130" s="49" t="e">
        <f>VLOOKUP(A130,Enforcements!$C$3:$J$40,8,0)</f>
        <v>#N/A</v>
      </c>
      <c r="X130" s="49" t="e">
        <f>VLOOKUP(A130,Enforcements!$C$3:$J$40,3,0)</f>
        <v>#N/A</v>
      </c>
    </row>
    <row r="131" spans="1:24" s="2" customFormat="1" ht="15.75" thickBot="1" x14ac:dyDescent="0.3">
      <c r="E131" s="54"/>
      <c r="F131" s="54"/>
      <c r="G131" s="72"/>
      <c r="H131" s="54"/>
      <c r="I131" s="59">
        <f>Z2</f>
        <v>42481</v>
      </c>
      <c r="J131" s="60"/>
      <c r="K131" s="74"/>
      <c r="L131" s="61" t="s">
        <v>11</v>
      </c>
      <c r="M131" s="62"/>
      <c r="N131" s="63"/>
      <c r="O131" s="5"/>
      <c r="W131" s="47"/>
      <c r="X131" s="47"/>
    </row>
    <row r="132" spans="1:24" s="2" customFormat="1" ht="15.75" thickBot="1" x14ac:dyDescent="0.3">
      <c r="E132" s="54"/>
      <c r="F132" s="54"/>
      <c r="G132" s="72"/>
      <c r="H132" s="54"/>
      <c r="I132" s="64" t="s">
        <v>13</v>
      </c>
      <c r="J132" s="65"/>
      <c r="K132" s="58"/>
      <c r="L132" s="9" t="s">
        <v>14</v>
      </c>
      <c r="M132" s="6" t="s">
        <v>15</v>
      </c>
      <c r="N132" s="7" t="s">
        <v>16</v>
      </c>
      <c r="O132" s="5"/>
      <c r="W132" s="47"/>
      <c r="X132" s="47"/>
    </row>
    <row r="133" spans="1:24" s="2" customFormat="1" ht="15.75" thickBot="1" x14ac:dyDescent="0.3">
      <c r="E133" s="54"/>
      <c r="F133" s="54"/>
      <c r="G133" s="72"/>
      <c r="H133" s="54"/>
      <c r="I133" s="55" t="s">
        <v>17</v>
      </c>
      <c r="J133" s="3">
        <f>COUNT(M3:O130)</f>
        <v>126</v>
      </c>
      <c r="K133" s="3"/>
      <c r="L133" s="9" t="s">
        <v>18</v>
      </c>
      <c r="M133" s="6" t="s">
        <v>18</v>
      </c>
      <c r="N133" s="7" t="s">
        <v>18</v>
      </c>
      <c r="O133" s="5"/>
      <c r="W133" s="47"/>
      <c r="X133" s="47"/>
    </row>
    <row r="134" spans="1:24" s="2" customFormat="1" ht="15.75" thickBot="1" x14ac:dyDescent="0.3">
      <c r="E134" s="54"/>
      <c r="F134" s="54"/>
      <c r="G134" s="72"/>
      <c r="H134" s="54"/>
      <c r="I134" s="55" t="s">
        <v>20</v>
      </c>
      <c r="J134" s="3">
        <f>COUNT(M3:M130)</f>
        <v>121</v>
      </c>
      <c r="K134" s="3"/>
      <c r="L134" s="10">
        <f>AVERAGE(M3:M130)</f>
        <v>42.170110192777173</v>
      </c>
      <c r="M134" s="6">
        <f>MIN(M3:M130)</f>
        <v>34.016666666138917</v>
      </c>
      <c r="N134" s="7">
        <f>MAX(M3:M130)</f>
        <v>58.416666659759358</v>
      </c>
      <c r="O134" s="5"/>
      <c r="W134" s="47"/>
      <c r="X134" s="47"/>
    </row>
    <row r="135" spans="1:24" ht="15.75" thickBot="1" x14ac:dyDescent="0.3">
      <c r="I135" s="56" t="s">
        <v>144</v>
      </c>
      <c r="J135" s="3">
        <f>COUNT(N3:N130)</f>
        <v>1</v>
      </c>
      <c r="K135" s="3"/>
      <c r="L135" s="10">
        <f>IFERROR(AVERAGE(N3:N130),0)</f>
        <v>42.999999993480742</v>
      </c>
      <c r="M135" s="6">
        <f>MIN(N3:N130)</f>
        <v>42.999999993480742</v>
      </c>
      <c r="N135" s="7">
        <f>MAX(N3:N130)</f>
        <v>42.999999993480742</v>
      </c>
    </row>
    <row r="136" spans="1:24" ht="15.75" thickBot="1" x14ac:dyDescent="0.3">
      <c r="I136" s="57" t="s">
        <v>12</v>
      </c>
      <c r="J136" s="3">
        <f>COUNT(O3:O130)</f>
        <v>4</v>
      </c>
      <c r="K136" s="3"/>
      <c r="L136" s="9" t="s">
        <v>18</v>
      </c>
      <c r="M136" s="6" t="s">
        <v>18</v>
      </c>
      <c r="N136" s="7" t="s">
        <v>18</v>
      </c>
    </row>
    <row r="137" spans="1:24" s="2" customFormat="1" ht="30.75" thickBot="1" x14ac:dyDescent="0.3">
      <c r="E137" s="54"/>
      <c r="F137" s="54"/>
      <c r="G137" s="72"/>
      <c r="H137" s="54"/>
      <c r="I137" s="55" t="s">
        <v>19</v>
      </c>
      <c r="J137" s="3">
        <f>COUNT(M3:N130)</f>
        <v>122</v>
      </c>
      <c r="K137" s="3"/>
      <c r="L137" s="10">
        <f>AVERAGE(M3:O130)</f>
        <v>41.2875661375856</v>
      </c>
      <c r="M137" s="6">
        <f>MIN(M3:N130)</f>
        <v>34.016666666138917</v>
      </c>
      <c r="N137" s="7">
        <f>MAX(M3:N130)</f>
        <v>58.416666659759358</v>
      </c>
      <c r="O137" s="5"/>
      <c r="W137" s="47"/>
      <c r="X137" s="47"/>
    </row>
    <row r="138" spans="1:24" ht="30.75" thickBot="1" x14ac:dyDescent="0.3">
      <c r="I138" s="55" t="s">
        <v>27</v>
      </c>
      <c r="J138" s="8">
        <f>J137/J133</f>
        <v>0.96825396825396826</v>
      </c>
      <c r="K138" s="8"/>
    </row>
  </sheetData>
  <sortState ref="A3:X130">
    <sortCondition ref="K3:K130"/>
    <sortCondition ref="I3:I130"/>
  </sortState>
  <mergeCells count="4">
    <mergeCell ref="I131:J131"/>
    <mergeCell ref="L131:N131"/>
    <mergeCell ref="I132:J132"/>
    <mergeCell ref="A1:O1"/>
  </mergeCells>
  <conditionalFormatting sqref="S1:S1048576">
    <cfRule type="cellIs" dxfId="5" priority="7" operator="equal">
      <formula>"Y"</formula>
    </cfRule>
  </conditionalFormatting>
  <conditionalFormatting sqref="A3:P130">
    <cfRule type="expression" dxfId="2" priority="8">
      <formula>$M3&gt;$AB$2</formula>
    </cfRule>
    <cfRule type="expression" dxfId="1" priority="9">
      <formula>$O3&gt;0</formula>
    </cfRule>
    <cfRule type="expression" dxfId="0" priority="10">
      <formula>$N3&gt;0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opLeftCell="C1" zoomScale="85" zoomScaleNormal="85" workbookViewId="0">
      <selection activeCell="M6" sqref="M6"/>
    </sheetView>
  </sheetViews>
  <sheetFormatPr defaultRowHeight="15" x14ac:dyDescent="0.25"/>
  <cols>
    <col min="1" max="1" width="18.42578125" style="32" customWidth="1"/>
    <col min="2" max="2" width="17.5703125" customWidth="1"/>
    <col min="3" max="3" width="8.57031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6.42578125" customWidth="1"/>
    <col min="13" max="13" width="37.85546875" bestFit="1" customWidth="1"/>
  </cols>
  <sheetData>
    <row r="1" spans="1:13" s="44" customFormat="1" ht="15" customHeight="1" x14ac:dyDescent="0.25">
      <c r="A1" s="67" t="s">
        <v>117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45"/>
    </row>
    <row r="2" spans="1:13" s="2" customFormat="1" ht="90" x14ac:dyDescent="0.25">
      <c r="A2" s="43" t="s">
        <v>116</v>
      </c>
      <c r="B2" s="42" t="s">
        <v>115</v>
      </c>
      <c r="C2" s="42" t="s">
        <v>114</v>
      </c>
      <c r="D2" s="42" t="s">
        <v>113</v>
      </c>
      <c r="E2" s="42" t="s">
        <v>112</v>
      </c>
      <c r="F2" s="42" t="s">
        <v>111</v>
      </c>
      <c r="G2" s="42" t="s">
        <v>110</v>
      </c>
      <c r="H2" s="42" t="s">
        <v>109</v>
      </c>
      <c r="I2" s="42" t="s">
        <v>108</v>
      </c>
      <c r="J2" s="42" t="s">
        <v>107</v>
      </c>
      <c r="K2" s="42" t="s">
        <v>106</v>
      </c>
      <c r="L2" s="42" t="s">
        <v>105</v>
      </c>
      <c r="M2" s="42" t="s">
        <v>74</v>
      </c>
    </row>
    <row r="3" spans="1:13" s="37" customFormat="1" x14ac:dyDescent="0.25">
      <c r="A3" s="41">
        <v>42481.311655092592</v>
      </c>
      <c r="B3" s="40" t="s">
        <v>90</v>
      </c>
      <c r="C3" s="40" t="s">
        <v>157</v>
      </c>
      <c r="D3" s="40" t="s">
        <v>86</v>
      </c>
      <c r="E3" s="40" t="s">
        <v>104</v>
      </c>
      <c r="F3" s="40">
        <v>680</v>
      </c>
      <c r="G3" s="40">
        <v>767</v>
      </c>
      <c r="H3" s="40">
        <v>55303</v>
      </c>
      <c r="I3" s="40" t="s">
        <v>103</v>
      </c>
      <c r="J3" s="40">
        <v>58118</v>
      </c>
      <c r="K3" s="39" t="s">
        <v>83</v>
      </c>
      <c r="L3" s="38" t="s">
        <v>82</v>
      </c>
      <c r="M3" s="39" t="s">
        <v>207</v>
      </c>
    </row>
    <row r="4" spans="1:13" s="37" customFormat="1" x14ac:dyDescent="0.25">
      <c r="A4" s="41">
        <v>42481.317488425928</v>
      </c>
      <c r="B4" s="40" t="s">
        <v>90</v>
      </c>
      <c r="C4" s="40" t="s">
        <v>157</v>
      </c>
      <c r="D4" s="40" t="s">
        <v>86</v>
      </c>
      <c r="E4" s="40" t="s">
        <v>104</v>
      </c>
      <c r="F4" s="40">
        <v>600</v>
      </c>
      <c r="G4" s="40">
        <v>732</v>
      </c>
      <c r="H4" s="40">
        <v>105796</v>
      </c>
      <c r="I4" s="40" t="s">
        <v>103</v>
      </c>
      <c r="J4" s="40">
        <v>108954</v>
      </c>
      <c r="K4" s="39" t="s">
        <v>83</v>
      </c>
      <c r="L4" s="38" t="s">
        <v>82</v>
      </c>
      <c r="M4" s="39" t="s">
        <v>207</v>
      </c>
    </row>
    <row r="5" spans="1:13" s="37" customFormat="1" x14ac:dyDescent="0.25">
      <c r="A5" s="41">
        <v>42481.365208333336</v>
      </c>
      <c r="B5" s="40" t="s">
        <v>149</v>
      </c>
      <c r="C5" s="40" t="s">
        <v>166</v>
      </c>
      <c r="D5" s="40" t="s">
        <v>86</v>
      </c>
      <c r="E5" s="40" t="s">
        <v>104</v>
      </c>
      <c r="F5" s="40">
        <v>0</v>
      </c>
      <c r="G5" s="40">
        <v>699</v>
      </c>
      <c r="H5" s="40">
        <v>84586</v>
      </c>
      <c r="I5" s="40" t="s">
        <v>103</v>
      </c>
      <c r="J5" s="40">
        <v>86214</v>
      </c>
      <c r="K5" s="39" t="s">
        <v>83</v>
      </c>
      <c r="L5" s="38" t="s">
        <v>95</v>
      </c>
      <c r="M5" s="39" t="s">
        <v>370</v>
      </c>
    </row>
    <row r="6" spans="1:13" s="37" customFormat="1" x14ac:dyDescent="0.25">
      <c r="A6" s="41">
        <v>42481.573113425926</v>
      </c>
      <c r="B6" s="40" t="s">
        <v>88</v>
      </c>
      <c r="C6" s="40" t="s">
        <v>182</v>
      </c>
      <c r="D6" s="40" t="s">
        <v>86</v>
      </c>
      <c r="E6" s="40" t="s">
        <v>104</v>
      </c>
      <c r="F6" s="40">
        <v>0</v>
      </c>
      <c r="G6" s="40">
        <v>65</v>
      </c>
      <c r="H6" s="40">
        <v>52929</v>
      </c>
      <c r="I6" s="40" t="s">
        <v>103</v>
      </c>
      <c r="J6" s="40">
        <v>53155</v>
      </c>
      <c r="K6" s="39" t="s">
        <v>83</v>
      </c>
      <c r="L6" s="38" t="s">
        <v>82</v>
      </c>
      <c r="M6" s="39" t="s">
        <v>206</v>
      </c>
    </row>
    <row r="7" spans="1:13" s="37" customFormat="1" x14ac:dyDescent="0.25">
      <c r="A7" s="41">
        <v>42481.581747685188</v>
      </c>
      <c r="B7" s="40" t="s">
        <v>90</v>
      </c>
      <c r="C7" s="40" t="s">
        <v>183</v>
      </c>
      <c r="D7" s="40" t="s">
        <v>86</v>
      </c>
      <c r="E7" s="40" t="s">
        <v>104</v>
      </c>
      <c r="F7" s="40">
        <v>0</v>
      </c>
      <c r="G7" s="40">
        <v>111</v>
      </c>
      <c r="H7" s="40">
        <v>53580</v>
      </c>
      <c r="I7" s="40" t="s">
        <v>103</v>
      </c>
      <c r="J7" s="40">
        <v>53277</v>
      </c>
      <c r="K7" s="39" t="s">
        <v>89</v>
      </c>
      <c r="L7" s="38" t="s">
        <v>82</v>
      </c>
      <c r="M7" s="39" t="s">
        <v>206</v>
      </c>
    </row>
    <row r="8" spans="1:13" s="37" customFormat="1" x14ac:dyDescent="0.25">
      <c r="A8" s="41">
        <v>42481.256076388891</v>
      </c>
      <c r="B8" s="40" t="s">
        <v>93</v>
      </c>
      <c r="C8" s="40" t="s">
        <v>153</v>
      </c>
      <c r="D8" s="40" t="s">
        <v>97</v>
      </c>
      <c r="E8" s="40" t="s">
        <v>101</v>
      </c>
      <c r="F8" s="40">
        <v>300</v>
      </c>
      <c r="G8" s="40">
        <v>352</v>
      </c>
      <c r="H8" s="40">
        <v>20808</v>
      </c>
      <c r="I8" s="40" t="s">
        <v>100</v>
      </c>
      <c r="J8" s="40">
        <v>20338</v>
      </c>
      <c r="K8" s="39" t="s">
        <v>83</v>
      </c>
      <c r="L8" s="38" t="s">
        <v>82</v>
      </c>
      <c r="M8" s="39" t="s">
        <v>208</v>
      </c>
    </row>
    <row r="9" spans="1:13" s="37" customFormat="1" x14ac:dyDescent="0.25">
      <c r="A9" s="41">
        <v>42481.305</v>
      </c>
      <c r="B9" s="40" t="s">
        <v>149</v>
      </c>
      <c r="C9" s="40" t="s">
        <v>156</v>
      </c>
      <c r="D9" s="40" t="s">
        <v>86</v>
      </c>
      <c r="E9" s="40" t="s">
        <v>101</v>
      </c>
      <c r="F9" s="40">
        <v>150</v>
      </c>
      <c r="G9" s="40">
        <v>165</v>
      </c>
      <c r="H9" s="40">
        <v>230040</v>
      </c>
      <c r="I9" s="40" t="s">
        <v>100</v>
      </c>
      <c r="J9" s="40">
        <v>230436</v>
      </c>
      <c r="K9" s="39" t="s">
        <v>83</v>
      </c>
      <c r="L9" s="38" t="s">
        <v>82</v>
      </c>
      <c r="M9" s="39" t="s">
        <v>208</v>
      </c>
    </row>
    <row r="10" spans="1:13" s="37" customFormat="1" x14ac:dyDescent="0.25">
      <c r="A10" s="41">
        <v>42481.306446759256</v>
      </c>
      <c r="B10" s="40" t="s">
        <v>90</v>
      </c>
      <c r="C10" s="40" t="s">
        <v>157</v>
      </c>
      <c r="D10" s="40" t="s">
        <v>86</v>
      </c>
      <c r="E10" s="40" t="s">
        <v>101</v>
      </c>
      <c r="F10" s="40">
        <v>300</v>
      </c>
      <c r="G10" s="40">
        <v>226</v>
      </c>
      <c r="H10" s="40">
        <v>19616</v>
      </c>
      <c r="I10" s="40" t="s">
        <v>100</v>
      </c>
      <c r="J10" s="40">
        <v>20338</v>
      </c>
      <c r="K10" s="39" t="s">
        <v>83</v>
      </c>
      <c r="L10" s="38" t="s">
        <v>82</v>
      </c>
      <c r="M10" s="39" t="s">
        <v>208</v>
      </c>
    </row>
    <row r="11" spans="1:13" s="37" customFormat="1" x14ac:dyDescent="0.25">
      <c r="A11" s="41">
        <v>42481.306446759256</v>
      </c>
      <c r="B11" s="40" t="s">
        <v>94</v>
      </c>
      <c r="C11" s="40" t="s">
        <v>158</v>
      </c>
      <c r="D11" s="40" t="s">
        <v>86</v>
      </c>
      <c r="E11" s="40" t="s">
        <v>101</v>
      </c>
      <c r="F11" s="40">
        <v>300</v>
      </c>
      <c r="G11" s="40">
        <v>249</v>
      </c>
      <c r="H11" s="40">
        <v>19761</v>
      </c>
      <c r="I11" s="40" t="s">
        <v>100</v>
      </c>
      <c r="J11" s="40">
        <v>20338</v>
      </c>
      <c r="K11" s="39" t="s">
        <v>83</v>
      </c>
      <c r="L11" s="38" t="s">
        <v>82</v>
      </c>
      <c r="M11" s="39" t="s">
        <v>208</v>
      </c>
    </row>
    <row r="12" spans="1:13" s="37" customFormat="1" x14ac:dyDescent="0.25">
      <c r="A12" s="41">
        <v>42481.326956018522</v>
      </c>
      <c r="B12" s="40" t="s">
        <v>90</v>
      </c>
      <c r="C12" s="40" t="s">
        <v>157</v>
      </c>
      <c r="D12" s="40" t="s">
        <v>86</v>
      </c>
      <c r="E12" s="40" t="s">
        <v>101</v>
      </c>
      <c r="F12" s="40">
        <v>750</v>
      </c>
      <c r="G12" s="40">
        <v>725</v>
      </c>
      <c r="H12" s="40">
        <v>194971</v>
      </c>
      <c r="I12" s="40" t="s">
        <v>100</v>
      </c>
      <c r="J12" s="40">
        <v>195049</v>
      </c>
      <c r="K12" s="39" t="s">
        <v>83</v>
      </c>
      <c r="L12" s="38" t="s">
        <v>82</v>
      </c>
      <c r="M12" s="39" t="s">
        <v>208</v>
      </c>
    </row>
    <row r="13" spans="1:13" s="37" customFormat="1" x14ac:dyDescent="0.25">
      <c r="A13" s="41">
        <v>42481.327245370368</v>
      </c>
      <c r="B13" s="40" t="s">
        <v>93</v>
      </c>
      <c r="C13" s="40" t="s">
        <v>161</v>
      </c>
      <c r="D13" s="40" t="s">
        <v>86</v>
      </c>
      <c r="E13" s="40" t="s">
        <v>101</v>
      </c>
      <c r="F13" s="40">
        <v>300</v>
      </c>
      <c r="G13" s="40">
        <v>293</v>
      </c>
      <c r="H13" s="40">
        <v>20248</v>
      </c>
      <c r="I13" s="40" t="s">
        <v>100</v>
      </c>
      <c r="J13" s="40">
        <v>20338</v>
      </c>
      <c r="K13" s="39" t="s">
        <v>83</v>
      </c>
      <c r="L13" s="38" t="s">
        <v>82</v>
      </c>
      <c r="M13" s="39" t="s">
        <v>208</v>
      </c>
    </row>
    <row r="14" spans="1:13" s="37" customFormat="1" x14ac:dyDescent="0.25">
      <c r="A14" s="41">
        <v>42481.465601851851</v>
      </c>
      <c r="B14" s="40" t="s">
        <v>102</v>
      </c>
      <c r="C14" s="40" t="s">
        <v>171</v>
      </c>
      <c r="D14" s="40" t="s">
        <v>86</v>
      </c>
      <c r="E14" s="40" t="s">
        <v>101</v>
      </c>
      <c r="F14" s="40">
        <v>200</v>
      </c>
      <c r="G14" s="40">
        <v>226</v>
      </c>
      <c r="H14" s="40">
        <v>30648</v>
      </c>
      <c r="I14" s="40" t="s">
        <v>100</v>
      </c>
      <c r="J14" s="40">
        <v>30562</v>
      </c>
      <c r="K14" s="39" t="s">
        <v>89</v>
      </c>
      <c r="L14" s="38" t="s">
        <v>82</v>
      </c>
      <c r="M14" s="39" t="s">
        <v>208</v>
      </c>
    </row>
    <row r="15" spans="1:13" s="37" customFormat="1" x14ac:dyDescent="0.25">
      <c r="A15" s="41">
        <v>42481.525046296294</v>
      </c>
      <c r="B15" s="40" t="s">
        <v>149</v>
      </c>
      <c r="C15" s="40" t="s">
        <v>175</v>
      </c>
      <c r="D15" s="40" t="s">
        <v>86</v>
      </c>
      <c r="E15" s="40" t="s">
        <v>101</v>
      </c>
      <c r="F15" s="40">
        <v>150</v>
      </c>
      <c r="G15" s="40">
        <v>315</v>
      </c>
      <c r="H15" s="40">
        <v>228476</v>
      </c>
      <c r="I15" s="40" t="s">
        <v>100</v>
      </c>
      <c r="J15" s="40">
        <v>230436</v>
      </c>
      <c r="K15" s="39" t="s">
        <v>83</v>
      </c>
      <c r="L15" s="38" t="s">
        <v>82</v>
      </c>
      <c r="M15" s="39" t="s">
        <v>208</v>
      </c>
    </row>
    <row r="16" spans="1:13" s="37" customFormat="1" x14ac:dyDescent="0.25">
      <c r="A16" s="41">
        <v>42481.525578703702</v>
      </c>
      <c r="B16" s="40" t="s">
        <v>149</v>
      </c>
      <c r="C16" s="40" t="s">
        <v>175</v>
      </c>
      <c r="D16" s="40" t="s">
        <v>86</v>
      </c>
      <c r="E16" s="40" t="s">
        <v>101</v>
      </c>
      <c r="F16" s="40">
        <v>150</v>
      </c>
      <c r="G16" s="40">
        <v>170</v>
      </c>
      <c r="H16" s="40">
        <v>229632</v>
      </c>
      <c r="I16" s="40" t="s">
        <v>100</v>
      </c>
      <c r="J16" s="40">
        <v>230436</v>
      </c>
      <c r="K16" s="39" t="s">
        <v>83</v>
      </c>
      <c r="L16" s="38" t="s">
        <v>82</v>
      </c>
      <c r="M16" s="39" t="s">
        <v>208</v>
      </c>
    </row>
    <row r="17" spans="1:13" s="37" customFormat="1" x14ac:dyDescent="0.25">
      <c r="A17" s="41">
        <v>42481.541666666664</v>
      </c>
      <c r="B17" s="40" t="s">
        <v>102</v>
      </c>
      <c r="C17" s="40" t="s">
        <v>176</v>
      </c>
      <c r="D17" s="40" t="s">
        <v>86</v>
      </c>
      <c r="E17" s="40" t="s">
        <v>101</v>
      </c>
      <c r="F17" s="40">
        <v>400</v>
      </c>
      <c r="G17" s="40">
        <v>501</v>
      </c>
      <c r="H17" s="40">
        <v>8261</v>
      </c>
      <c r="I17" s="40" t="s">
        <v>100</v>
      </c>
      <c r="J17" s="40">
        <v>7302</v>
      </c>
      <c r="K17" s="39" t="s">
        <v>89</v>
      </c>
      <c r="L17" s="38" t="s">
        <v>82</v>
      </c>
      <c r="M17" s="39" t="s">
        <v>208</v>
      </c>
    </row>
    <row r="18" spans="1:13" s="37" customFormat="1" x14ac:dyDescent="0.25">
      <c r="A18" s="41">
        <v>42481.551423611112</v>
      </c>
      <c r="B18" s="40" t="s">
        <v>92</v>
      </c>
      <c r="C18" s="40" t="s">
        <v>179</v>
      </c>
      <c r="D18" s="40" t="s">
        <v>86</v>
      </c>
      <c r="E18" s="40" t="s">
        <v>101</v>
      </c>
      <c r="F18" s="40">
        <v>450</v>
      </c>
      <c r="G18" s="40">
        <v>473</v>
      </c>
      <c r="H18" s="40">
        <v>17281</v>
      </c>
      <c r="I18" s="40" t="s">
        <v>100</v>
      </c>
      <c r="J18" s="40">
        <v>15167</v>
      </c>
      <c r="K18" s="39" t="s">
        <v>89</v>
      </c>
      <c r="L18" s="38" t="s">
        <v>82</v>
      </c>
      <c r="M18" s="39" t="s">
        <v>208</v>
      </c>
    </row>
    <row r="19" spans="1:13" s="37" customFormat="1" x14ac:dyDescent="0.25">
      <c r="A19" s="41">
        <v>42481.557164351849</v>
      </c>
      <c r="B19" s="40" t="s">
        <v>87</v>
      </c>
      <c r="C19" s="40" t="s">
        <v>180</v>
      </c>
      <c r="D19" s="40" t="s">
        <v>86</v>
      </c>
      <c r="E19" s="40" t="s">
        <v>101</v>
      </c>
      <c r="F19" s="40">
        <v>200</v>
      </c>
      <c r="G19" s="40">
        <v>364</v>
      </c>
      <c r="H19" s="40">
        <v>26027</v>
      </c>
      <c r="I19" s="40" t="s">
        <v>100</v>
      </c>
      <c r="J19" s="40">
        <v>27333</v>
      </c>
      <c r="K19" s="39" t="s">
        <v>83</v>
      </c>
      <c r="L19" s="38" t="s">
        <v>82</v>
      </c>
      <c r="M19" s="39" t="s">
        <v>208</v>
      </c>
    </row>
    <row r="20" spans="1:13" s="37" customFormat="1" x14ac:dyDescent="0.25">
      <c r="A20" s="41">
        <v>42481.557824074072</v>
      </c>
      <c r="B20" s="40" t="s">
        <v>87</v>
      </c>
      <c r="C20" s="40" t="s">
        <v>180</v>
      </c>
      <c r="D20" s="40" t="s">
        <v>86</v>
      </c>
      <c r="E20" s="40" t="s">
        <v>101</v>
      </c>
      <c r="F20" s="40">
        <v>200</v>
      </c>
      <c r="G20" s="40">
        <v>178</v>
      </c>
      <c r="H20" s="40">
        <v>27218</v>
      </c>
      <c r="I20" s="40" t="s">
        <v>100</v>
      </c>
      <c r="J20" s="40">
        <v>27333</v>
      </c>
      <c r="K20" s="39" t="s">
        <v>83</v>
      </c>
      <c r="L20" s="38" t="s">
        <v>82</v>
      </c>
      <c r="M20" s="39" t="s">
        <v>208</v>
      </c>
    </row>
    <row r="21" spans="1:13" s="37" customFormat="1" x14ac:dyDescent="0.25">
      <c r="A21" s="41">
        <v>42481.579282407409</v>
      </c>
      <c r="B21" s="40" t="s">
        <v>87</v>
      </c>
      <c r="C21" s="40" t="s">
        <v>180</v>
      </c>
      <c r="D21" s="40" t="s">
        <v>86</v>
      </c>
      <c r="E21" s="40" t="s">
        <v>101</v>
      </c>
      <c r="F21" s="40">
        <v>350</v>
      </c>
      <c r="G21" s="40">
        <v>582</v>
      </c>
      <c r="H21" s="40">
        <v>222231</v>
      </c>
      <c r="I21" s="40" t="s">
        <v>100</v>
      </c>
      <c r="J21" s="40">
        <v>224578</v>
      </c>
      <c r="K21" s="39" t="s">
        <v>83</v>
      </c>
      <c r="L21" s="38" t="s">
        <v>82</v>
      </c>
      <c r="M21" s="39" t="s">
        <v>208</v>
      </c>
    </row>
    <row r="22" spans="1:13" s="37" customFormat="1" x14ac:dyDescent="0.25">
      <c r="A22" s="41">
        <v>42481.612766203703</v>
      </c>
      <c r="B22" s="40" t="s">
        <v>91</v>
      </c>
      <c r="C22" s="40" t="s">
        <v>184</v>
      </c>
      <c r="D22" s="40" t="s">
        <v>86</v>
      </c>
      <c r="E22" s="40" t="s">
        <v>101</v>
      </c>
      <c r="F22" s="40">
        <v>450</v>
      </c>
      <c r="G22" s="40">
        <v>435</v>
      </c>
      <c r="H22" s="40">
        <v>17465</v>
      </c>
      <c r="I22" s="40" t="s">
        <v>100</v>
      </c>
      <c r="J22" s="40">
        <v>15167</v>
      </c>
      <c r="K22" s="39" t="s">
        <v>89</v>
      </c>
      <c r="L22" s="38" t="s">
        <v>82</v>
      </c>
      <c r="M22" s="39" t="s">
        <v>208</v>
      </c>
    </row>
    <row r="23" spans="1:13" s="37" customFormat="1" x14ac:dyDescent="0.25">
      <c r="A23" s="41">
        <v>42481.619768518518</v>
      </c>
      <c r="B23" s="40" t="s">
        <v>102</v>
      </c>
      <c r="C23" s="40" t="s">
        <v>187</v>
      </c>
      <c r="D23" s="40" t="s">
        <v>86</v>
      </c>
      <c r="E23" s="40" t="s">
        <v>101</v>
      </c>
      <c r="F23" s="40">
        <v>200</v>
      </c>
      <c r="G23" s="40">
        <v>469</v>
      </c>
      <c r="H23" s="40">
        <v>33850</v>
      </c>
      <c r="I23" s="40" t="s">
        <v>100</v>
      </c>
      <c r="J23" s="40">
        <v>30562</v>
      </c>
      <c r="K23" s="39" t="s">
        <v>89</v>
      </c>
      <c r="L23" s="38" t="s">
        <v>82</v>
      </c>
      <c r="M23" s="39" t="s">
        <v>208</v>
      </c>
    </row>
    <row r="24" spans="1:13" s="37" customFormat="1" x14ac:dyDescent="0.25">
      <c r="A24" s="41">
        <v>42481.680914351855</v>
      </c>
      <c r="B24" s="40" t="s">
        <v>94</v>
      </c>
      <c r="C24" s="40" t="s">
        <v>191</v>
      </c>
      <c r="D24" s="40" t="s">
        <v>86</v>
      </c>
      <c r="E24" s="40" t="s">
        <v>101</v>
      </c>
      <c r="F24" s="40">
        <v>300</v>
      </c>
      <c r="G24" s="40">
        <v>249</v>
      </c>
      <c r="H24" s="40">
        <v>19758</v>
      </c>
      <c r="I24" s="40" t="s">
        <v>100</v>
      </c>
      <c r="J24" s="40">
        <v>20338</v>
      </c>
      <c r="K24" s="39" t="s">
        <v>83</v>
      </c>
      <c r="L24" s="38" t="s">
        <v>82</v>
      </c>
      <c r="M24" s="39" t="s">
        <v>208</v>
      </c>
    </row>
    <row r="25" spans="1:13" s="37" customFormat="1" x14ac:dyDescent="0.25">
      <c r="A25" s="41">
        <v>42481.76289351852</v>
      </c>
      <c r="B25" s="40" t="s">
        <v>92</v>
      </c>
      <c r="C25" s="40" t="s">
        <v>193</v>
      </c>
      <c r="D25" s="40" t="s">
        <v>97</v>
      </c>
      <c r="E25" s="40" t="s">
        <v>101</v>
      </c>
      <c r="F25" s="40">
        <v>600</v>
      </c>
      <c r="G25" s="40">
        <v>654</v>
      </c>
      <c r="H25" s="40">
        <v>184471</v>
      </c>
      <c r="I25" s="40" t="s">
        <v>100</v>
      </c>
      <c r="J25" s="40">
        <v>190834</v>
      </c>
      <c r="K25" s="39" t="s">
        <v>89</v>
      </c>
      <c r="L25" s="38" t="s">
        <v>82</v>
      </c>
      <c r="M25" s="39" t="s">
        <v>208</v>
      </c>
    </row>
    <row r="26" spans="1:13" s="37" customFormat="1" x14ac:dyDescent="0.25">
      <c r="A26" s="41">
        <v>42481.771701388891</v>
      </c>
      <c r="B26" s="40" t="s">
        <v>102</v>
      </c>
      <c r="C26" s="40" t="s">
        <v>195</v>
      </c>
      <c r="D26" s="40" t="s">
        <v>86</v>
      </c>
      <c r="E26" s="40" t="s">
        <v>101</v>
      </c>
      <c r="F26" s="40">
        <v>400</v>
      </c>
      <c r="G26" s="40">
        <v>498</v>
      </c>
      <c r="H26" s="40">
        <v>8880</v>
      </c>
      <c r="I26" s="40" t="s">
        <v>100</v>
      </c>
      <c r="J26" s="40">
        <v>7302</v>
      </c>
      <c r="K26" s="39" t="s">
        <v>89</v>
      </c>
      <c r="L26" s="38" t="s">
        <v>82</v>
      </c>
      <c r="M26" s="39" t="s">
        <v>208</v>
      </c>
    </row>
    <row r="27" spans="1:13" s="37" customFormat="1" x14ac:dyDescent="0.25">
      <c r="A27" s="41">
        <v>42481.815532407411</v>
      </c>
      <c r="B27" s="40" t="s">
        <v>88</v>
      </c>
      <c r="C27" s="40" t="s">
        <v>200</v>
      </c>
      <c r="D27" s="40" t="s">
        <v>86</v>
      </c>
      <c r="E27" s="40" t="s">
        <v>101</v>
      </c>
      <c r="F27" s="40">
        <v>150</v>
      </c>
      <c r="G27" s="40">
        <v>147</v>
      </c>
      <c r="H27" s="40">
        <v>229922</v>
      </c>
      <c r="I27" s="40" t="s">
        <v>100</v>
      </c>
      <c r="J27" s="40">
        <v>230436</v>
      </c>
      <c r="K27" s="39" t="s">
        <v>83</v>
      </c>
      <c r="L27" s="38" t="s">
        <v>82</v>
      </c>
      <c r="M27" s="39" t="s">
        <v>208</v>
      </c>
    </row>
    <row r="28" spans="1:13" s="37" customFormat="1" x14ac:dyDescent="0.25">
      <c r="A28" s="41">
        <v>42481.868472222224</v>
      </c>
      <c r="B28" s="40" t="s">
        <v>90</v>
      </c>
      <c r="C28" s="40" t="s">
        <v>202</v>
      </c>
      <c r="D28" s="40" t="s">
        <v>97</v>
      </c>
      <c r="E28" s="40" t="s">
        <v>101</v>
      </c>
      <c r="F28" s="40">
        <v>700</v>
      </c>
      <c r="G28" s="40">
        <v>752</v>
      </c>
      <c r="H28" s="40">
        <v>176452</v>
      </c>
      <c r="I28" s="40" t="s">
        <v>100</v>
      </c>
      <c r="J28" s="40">
        <v>183829</v>
      </c>
      <c r="K28" s="39" t="s">
        <v>89</v>
      </c>
      <c r="L28" s="38" t="s">
        <v>82</v>
      </c>
      <c r="M28" s="39" t="s">
        <v>208</v>
      </c>
    </row>
    <row r="29" spans="1:13" s="37" customFormat="1" x14ac:dyDescent="0.25">
      <c r="A29" s="41">
        <v>42481.868935185186</v>
      </c>
      <c r="B29" s="40" t="s">
        <v>88</v>
      </c>
      <c r="C29" s="40" t="s">
        <v>203</v>
      </c>
      <c r="D29" s="40" t="s">
        <v>86</v>
      </c>
      <c r="E29" s="40" t="s">
        <v>101</v>
      </c>
      <c r="F29" s="40">
        <v>300</v>
      </c>
      <c r="G29" s="40">
        <v>253</v>
      </c>
      <c r="H29" s="40">
        <v>19797</v>
      </c>
      <c r="I29" s="40" t="s">
        <v>100</v>
      </c>
      <c r="J29" s="40">
        <v>20338</v>
      </c>
      <c r="K29" s="39" t="s">
        <v>83</v>
      </c>
      <c r="L29" s="38" t="s">
        <v>82</v>
      </c>
      <c r="M29" s="39" t="s">
        <v>208</v>
      </c>
    </row>
    <row r="30" spans="1:13" s="37" customFormat="1" x14ac:dyDescent="0.25">
      <c r="A30" s="41">
        <v>42481.926041666666</v>
      </c>
      <c r="B30" s="40" t="s">
        <v>92</v>
      </c>
      <c r="C30" s="40" t="s">
        <v>205</v>
      </c>
      <c r="D30" s="40" t="s">
        <v>86</v>
      </c>
      <c r="E30" s="40" t="s">
        <v>101</v>
      </c>
      <c r="F30" s="40">
        <v>450</v>
      </c>
      <c r="G30" s="40">
        <v>464</v>
      </c>
      <c r="H30" s="40">
        <v>17313</v>
      </c>
      <c r="I30" s="40" t="s">
        <v>100</v>
      </c>
      <c r="J30" s="40">
        <v>15167</v>
      </c>
      <c r="K30" s="39" t="s">
        <v>89</v>
      </c>
      <c r="L30" s="38" t="s">
        <v>82</v>
      </c>
      <c r="M30" s="39" t="s">
        <v>208</v>
      </c>
    </row>
    <row r="31" spans="1:13" s="37" customFormat="1" x14ac:dyDescent="0.25">
      <c r="A31" s="41">
        <v>42481.288668981484</v>
      </c>
      <c r="B31" s="40" t="s">
        <v>88</v>
      </c>
      <c r="C31" s="40" t="s">
        <v>155</v>
      </c>
      <c r="D31" s="40" t="s">
        <v>86</v>
      </c>
      <c r="E31" s="40" t="s">
        <v>99</v>
      </c>
      <c r="F31" s="40">
        <v>0</v>
      </c>
      <c r="G31" s="40">
        <v>391</v>
      </c>
      <c r="H31" s="40">
        <v>152604</v>
      </c>
      <c r="I31" s="40" t="s">
        <v>98</v>
      </c>
      <c r="J31" s="40">
        <v>155600</v>
      </c>
      <c r="K31" s="39" t="s">
        <v>83</v>
      </c>
      <c r="L31" s="38" t="s">
        <v>82</v>
      </c>
      <c r="M31" s="39" t="s">
        <v>366</v>
      </c>
    </row>
    <row r="32" spans="1:13" s="37" customFormat="1" x14ac:dyDescent="0.25">
      <c r="A32" s="41">
        <v>42481.337546296294</v>
      </c>
      <c r="B32" s="40" t="s">
        <v>162</v>
      </c>
      <c r="C32" s="40" t="s">
        <v>163</v>
      </c>
      <c r="D32" s="40" t="s">
        <v>86</v>
      </c>
      <c r="E32" s="40" t="s">
        <v>99</v>
      </c>
      <c r="F32" s="40">
        <v>0</v>
      </c>
      <c r="G32" s="40">
        <v>562</v>
      </c>
      <c r="H32" s="40">
        <v>213111</v>
      </c>
      <c r="I32" s="40" t="s">
        <v>98</v>
      </c>
      <c r="J32" s="40">
        <v>217106</v>
      </c>
      <c r="K32" s="39" t="s">
        <v>83</v>
      </c>
      <c r="L32" s="38" t="s">
        <v>82</v>
      </c>
      <c r="M32" s="39" t="s">
        <v>365</v>
      </c>
    </row>
    <row r="33" spans="1:13" s="37" customFormat="1" x14ac:dyDescent="0.25">
      <c r="A33" s="41">
        <v>42481.350810185184</v>
      </c>
      <c r="B33" s="40" t="s">
        <v>90</v>
      </c>
      <c r="C33" s="40" t="s">
        <v>165</v>
      </c>
      <c r="D33" s="40" t="s">
        <v>86</v>
      </c>
      <c r="E33" s="40" t="s">
        <v>99</v>
      </c>
      <c r="F33" s="40">
        <v>0</v>
      </c>
      <c r="G33" s="40">
        <v>417</v>
      </c>
      <c r="H33" s="40">
        <v>129451</v>
      </c>
      <c r="I33" s="40" t="s">
        <v>98</v>
      </c>
      <c r="J33" s="40">
        <v>127587</v>
      </c>
      <c r="K33" s="39" t="s">
        <v>89</v>
      </c>
      <c r="L33" s="38" t="s">
        <v>82</v>
      </c>
      <c r="M33" s="39" t="s">
        <v>363</v>
      </c>
    </row>
    <row r="34" spans="1:13" s="37" customFormat="1" x14ac:dyDescent="0.25">
      <c r="A34" s="41">
        <v>42481.433206018519</v>
      </c>
      <c r="B34" s="40" t="s">
        <v>159</v>
      </c>
      <c r="C34" s="40" t="s">
        <v>169</v>
      </c>
      <c r="D34" s="40" t="s">
        <v>86</v>
      </c>
      <c r="E34" s="40" t="s">
        <v>99</v>
      </c>
      <c r="F34" s="40">
        <v>0</v>
      </c>
      <c r="G34" s="40">
        <v>588</v>
      </c>
      <c r="H34" s="40">
        <v>131191</v>
      </c>
      <c r="I34" s="40" t="s">
        <v>98</v>
      </c>
      <c r="J34" s="40">
        <v>127587</v>
      </c>
      <c r="K34" s="39" t="s">
        <v>89</v>
      </c>
      <c r="L34" s="38" t="s">
        <v>82</v>
      </c>
      <c r="M34" s="39" t="s">
        <v>364</v>
      </c>
    </row>
    <row r="35" spans="1:13" s="37" customFormat="1" x14ac:dyDescent="0.25">
      <c r="A35" s="41">
        <v>42481.511747685188</v>
      </c>
      <c r="B35" s="40" t="s">
        <v>91</v>
      </c>
      <c r="C35" s="40" t="s">
        <v>174</v>
      </c>
      <c r="D35" s="40" t="s">
        <v>86</v>
      </c>
      <c r="E35" s="40" t="s">
        <v>99</v>
      </c>
      <c r="F35" s="40">
        <v>0</v>
      </c>
      <c r="G35" s="40">
        <v>496</v>
      </c>
      <c r="H35" s="40">
        <v>195617</v>
      </c>
      <c r="I35" s="40" t="s">
        <v>98</v>
      </c>
      <c r="J35" s="40">
        <v>191723</v>
      </c>
      <c r="K35" s="39" t="s">
        <v>89</v>
      </c>
      <c r="L35" s="38" t="s">
        <v>82</v>
      </c>
      <c r="M35" s="39" t="s">
        <v>367</v>
      </c>
    </row>
    <row r="36" spans="1:13" s="37" customFormat="1" x14ac:dyDescent="0.25">
      <c r="A36" s="41">
        <v>42481.542442129627</v>
      </c>
      <c r="B36" s="40" t="s">
        <v>177</v>
      </c>
      <c r="C36" s="40" t="s">
        <v>178</v>
      </c>
      <c r="D36" s="40" t="s">
        <v>86</v>
      </c>
      <c r="E36" s="40" t="s">
        <v>99</v>
      </c>
      <c r="F36" s="40">
        <v>0</v>
      </c>
      <c r="G36" s="40">
        <v>537</v>
      </c>
      <c r="H36" s="40">
        <v>195806</v>
      </c>
      <c r="I36" s="40" t="s">
        <v>98</v>
      </c>
      <c r="J36" s="40">
        <v>191723</v>
      </c>
      <c r="K36" s="39" t="s">
        <v>89</v>
      </c>
      <c r="L36" s="38" t="s">
        <v>82</v>
      </c>
      <c r="M36" s="39" t="s">
        <v>368</v>
      </c>
    </row>
    <row r="37" spans="1:13" s="37" customFormat="1" x14ac:dyDescent="0.25">
      <c r="A37" s="41">
        <v>42481.557488425926</v>
      </c>
      <c r="B37" s="40" t="s">
        <v>93</v>
      </c>
      <c r="C37" s="40" t="s">
        <v>181</v>
      </c>
      <c r="D37" s="40" t="s">
        <v>86</v>
      </c>
      <c r="E37" s="40" t="s">
        <v>99</v>
      </c>
      <c r="F37" s="40">
        <v>0</v>
      </c>
      <c r="G37" s="40">
        <v>388</v>
      </c>
      <c r="H37" s="40">
        <v>117632</v>
      </c>
      <c r="I37" s="40" t="s">
        <v>98</v>
      </c>
      <c r="J37" s="40">
        <v>118739</v>
      </c>
      <c r="K37" s="40" t="s">
        <v>83</v>
      </c>
      <c r="L37" s="38" t="s">
        <v>95</v>
      </c>
      <c r="M37" s="39" t="s">
        <v>373</v>
      </c>
    </row>
    <row r="38" spans="1:13" s="37" customFormat="1" x14ac:dyDescent="0.25">
      <c r="A38" s="41">
        <v>42481.658055555556</v>
      </c>
      <c r="B38" s="40" t="s">
        <v>90</v>
      </c>
      <c r="C38" s="40" t="s">
        <v>188</v>
      </c>
      <c r="D38" s="40" t="s">
        <v>86</v>
      </c>
      <c r="E38" s="40" t="s">
        <v>99</v>
      </c>
      <c r="F38" s="40">
        <v>0</v>
      </c>
      <c r="G38" s="40">
        <v>130</v>
      </c>
      <c r="H38" s="40">
        <v>58809</v>
      </c>
      <c r="I38" s="40" t="s">
        <v>98</v>
      </c>
      <c r="J38" s="40">
        <v>57897</v>
      </c>
      <c r="K38" s="39" t="s">
        <v>89</v>
      </c>
      <c r="L38" s="38" t="s">
        <v>82</v>
      </c>
      <c r="M38" s="39" t="s">
        <v>369</v>
      </c>
    </row>
    <row r="39" spans="1:13" s="37" customFormat="1" x14ac:dyDescent="0.25">
      <c r="A39" s="41">
        <v>42481.157048611109</v>
      </c>
      <c r="B39" s="40" t="s">
        <v>94</v>
      </c>
      <c r="C39" s="40" t="s">
        <v>147</v>
      </c>
      <c r="D39" s="40" t="s">
        <v>97</v>
      </c>
      <c r="E39" s="40" t="s">
        <v>148</v>
      </c>
      <c r="F39" s="40">
        <v>0</v>
      </c>
      <c r="G39" s="40">
        <v>113</v>
      </c>
      <c r="H39" s="40">
        <v>2002</v>
      </c>
      <c r="I39" s="40" t="s">
        <v>96</v>
      </c>
      <c r="J39" s="40">
        <v>1692</v>
      </c>
      <c r="K39" s="39" t="s">
        <v>83</v>
      </c>
      <c r="L39" s="38" t="s">
        <v>95</v>
      </c>
      <c r="M39" s="39" t="s">
        <v>372</v>
      </c>
    </row>
    <row r="40" spans="1:13" s="37" customFormat="1" x14ac:dyDescent="0.25">
      <c r="A40" s="41">
        <v>42481.157731481479</v>
      </c>
      <c r="B40" s="40" t="s">
        <v>94</v>
      </c>
      <c r="C40" s="40" t="s">
        <v>147</v>
      </c>
      <c r="D40" s="40" t="s">
        <v>97</v>
      </c>
      <c r="E40" s="40" t="s">
        <v>148</v>
      </c>
      <c r="F40" s="40">
        <v>0</v>
      </c>
      <c r="G40" s="40">
        <v>113</v>
      </c>
      <c r="H40" s="40">
        <v>2002</v>
      </c>
      <c r="I40" s="40" t="s">
        <v>96</v>
      </c>
      <c r="J40" s="40">
        <v>1692</v>
      </c>
      <c r="K40" s="39" t="s">
        <v>83</v>
      </c>
      <c r="L40" s="38" t="s">
        <v>95</v>
      </c>
      <c r="M40" s="39" t="s">
        <v>372</v>
      </c>
    </row>
    <row r="41" spans="1:13" s="37" customFormat="1" x14ac:dyDescent="0.25">
      <c r="A41" s="41">
        <v>42481.233229166668</v>
      </c>
      <c r="B41" s="40" t="s">
        <v>149</v>
      </c>
      <c r="C41" s="40" t="s">
        <v>150</v>
      </c>
      <c r="D41" s="40" t="s">
        <v>86</v>
      </c>
      <c r="E41" s="40" t="s">
        <v>85</v>
      </c>
      <c r="F41" s="40">
        <v>0</v>
      </c>
      <c r="G41" s="40">
        <v>61</v>
      </c>
      <c r="H41" s="40">
        <v>233241</v>
      </c>
      <c r="I41" s="40" t="s">
        <v>84</v>
      </c>
      <c r="J41" s="40">
        <v>233491</v>
      </c>
      <c r="K41" s="39" t="s">
        <v>83</v>
      </c>
      <c r="L41" s="38" t="s">
        <v>82</v>
      </c>
      <c r="M41" s="39" t="s">
        <v>209</v>
      </c>
    </row>
    <row r="42" spans="1:13" s="37" customFormat="1" x14ac:dyDescent="0.25">
      <c r="A42" s="41">
        <v>42481.243425925924</v>
      </c>
      <c r="B42" s="40" t="s">
        <v>91</v>
      </c>
      <c r="C42" s="40" t="s">
        <v>151</v>
      </c>
      <c r="D42" s="40" t="s">
        <v>86</v>
      </c>
      <c r="E42" s="40" t="s">
        <v>85</v>
      </c>
      <c r="F42" s="40">
        <v>0</v>
      </c>
      <c r="G42" s="40">
        <v>58</v>
      </c>
      <c r="H42" s="40">
        <v>267</v>
      </c>
      <c r="I42" s="40" t="s">
        <v>84</v>
      </c>
      <c r="J42" s="40">
        <v>1</v>
      </c>
      <c r="K42" s="39" t="s">
        <v>89</v>
      </c>
      <c r="L42" s="38" t="s">
        <v>82</v>
      </c>
      <c r="M42" s="39" t="s">
        <v>209</v>
      </c>
    </row>
    <row r="43" spans="1:13" s="37" customFormat="1" x14ac:dyDescent="0.25">
      <c r="A43" s="41">
        <v>42481.25472222222</v>
      </c>
      <c r="B43" s="40" t="s">
        <v>94</v>
      </c>
      <c r="C43" s="40" t="s">
        <v>152</v>
      </c>
      <c r="D43" s="40" t="s">
        <v>86</v>
      </c>
      <c r="E43" s="40" t="s">
        <v>85</v>
      </c>
      <c r="F43" s="40">
        <v>0</v>
      </c>
      <c r="G43" s="40">
        <v>9</v>
      </c>
      <c r="H43" s="40">
        <v>233320</v>
      </c>
      <c r="I43" s="40" t="s">
        <v>84</v>
      </c>
      <c r="J43" s="40">
        <v>233491</v>
      </c>
      <c r="K43" s="39" t="s">
        <v>83</v>
      </c>
      <c r="L43" s="38" t="s">
        <v>82</v>
      </c>
      <c r="M43" s="39" t="s">
        <v>209</v>
      </c>
    </row>
    <row r="44" spans="1:13" s="37" customFormat="1" x14ac:dyDescent="0.25">
      <c r="A44" s="41">
        <v>42481.257465277777</v>
      </c>
      <c r="B44" s="40" t="s">
        <v>102</v>
      </c>
      <c r="C44" s="40" t="s">
        <v>154</v>
      </c>
      <c r="D44" s="40" t="s">
        <v>86</v>
      </c>
      <c r="E44" s="40" t="s">
        <v>85</v>
      </c>
      <c r="F44" s="40">
        <v>0</v>
      </c>
      <c r="G44" s="40">
        <v>44</v>
      </c>
      <c r="H44" s="40">
        <v>165</v>
      </c>
      <c r="I44" s="40" t="s">
        <v>84</v>
      </c>
      <c r="J44" s="40">
        <v>1</v>
      </c>
      <c r="K44" s="39" t="s">
        <v>89</v>
      </c>
      <c r="L44" s="38" t="s">
        <v>82</v>
      </c>
      <c r="M44" s="39" t="s">
        <v>209</v>
      </c>
    </row>
    <row r="45" spans="1:13" s="37" customFormat="1" x14ac:dyDescent="0.25">
      <c r="A45" s="41">
        <v>42481.296226851853</v>
      </c>
      <c r="B45" s="40" t="s">
        <v>88</v>
      </c>
      <c r="C45" s="40" t="s">
        <v>155</v>
      </c>
      <c r="D45" s="40" t="s">
        <v>86</v>
      </c>
      <c r="E45" s="40" t="s">
        <v>85</v>
      </c>
      <c r="F45" s="40">
        <v>0</v>
      </c>
      <c r="G45" s="40">
        <v>8</v>
      </c>
      <c r="H45" s="40">
        <v>233324</v>
      </c>
      <c r="I45" s="40" t="s">
        <v>84</v>
      </c>
      <c r="J45" s="40">
        <v>233491</v>
      </c>
      <c r="K45" s="39" t="s">
        <v>83</v>
      </c>
      <c r="L45" s="38" t="s">
        <v>82</v>
      </c>
      <c r="M45" s="39" t="s">
        <v>209</v>
      </c>
    </row>
    <row r="46" spans="1:13" s="37" customFormat="1" x14ac:dyDescent="0.25">
      <c r="A46" s="41">
        <v>42481.308506944442</v>
      </c>
      <c r="B46" s="40" t="s">
        <v>159</v>
      </c>
      <c r="C46" s="40" t="s">
        <v>160</v>
      </c>
      <c r="D46" s="40" t="s">
        <v>86</v>
      </c>
      <c r="E46" s="40" t="s">
        <v>85</v>
      </c>
      <c r="F46" s="40">
        <v>0</v>
      </c>
      <c r="G46" s="40">
        <v>87</v>
      </c>
      <c r="H46" s="40">
        <v>344</v>
      </c>
      <c r="I46" s="40" t="s">
        <v>84</v>
      </c>
      <c r="J46" s="40">
        <v>1</v>
      </c>
      <c r="K46" s="39" t="s">
        <v>89</v>
      </c>
      <c r="L46" s="38" t="s">
        <v>82</v>
      </c>
      <c r="M46" s="39" t="s">
        <v>209</v>
      </c>
    </row>
    <row r="47" spans="1:13" s="37" customFormat="1" x14ac:dyDescent="0.25">
      <c r="A47" s="41">
        <v>42481.308935185189</v>
      </c>
      <c r="B47" s="40" t="s">
        <v>159</v>
      </c>
      <c r="C47" s="40" t="s">
        <v>160</v>
      </c>
      <c r="D47" s="40" t="s">
        <v>86</v>
      </c>
      <c r="E47" s="40" t="s">
        <v>85</v>
      </c>
      <c r="F47" s="40">
        <v>0</v>
      </c>
      <c r="G47" s="40">
        <v>9</v>
      </c>
      <c r="H47" s="40">
        <v>212</v>
      </c>
      <c r="I47" s="40" t="s">
        <v>84</v>
      </c>
      <c r="J47" s="40">
        <v>1</v>
      </c>
      <c r="K47" s="39" t="s">
        <v>89</v>
      </c>
      <c r="L47" s="38" t="s">
        <v>82</v>
      </c>
      <c r="M47" s="39" t="s">
        <v>209</v>
      </c>
    </row>
    <row r="48" spans="1:13" s="37" customFormat="1" x14ac:dyDescent="0.25">
      <c r="A48" s="41">
        <v>42481.338854166665</v>
      </c>
      <c r="B48" s="40" t="s">
        <v>92</v>
      </c>
      <c r="C48" s="40" t="s">
        <v>164</v>
      </c>
      <c r="D48" s="40" t="s">
        <v>86</v>
      </c>
      <c r="E48" s="40" t="s">
        <v>85</v>
      </c>
      <c r="F48" s="40">
        <v>0</v>
      </c>
      <c r="G48" s="40">
        <v>4</v>
      </c>
      <c r="H48" s="40">
        <v>127</v>
      </c>
      <c r="I48" s="40" t="s">
        <v>84</v>
      </c>
      <c r="J48" s="40">
        <v>1</v>
      </c>
      <c r="K48" s="39" t="s">
        <v>89</v>
      </c>
      <c r="L48" s="38" t="s">
        <v>82</v>
      </c>
      <c r="M48" s="39" t="s">
        <v>209</v>
      </c>
    </row>
    <row r="49" spans="1:13" s="37" customFormat="1" x14ac:dyDescent="0.25">
      <c r="A49" s="41">
        <v>42481.340266203704</v>
      </c>
      <c r="B49" s="40" t="s">
        <v>162</v>
      </c>
      <c r="C49" s="40" t="s">
        <v>163</v>
      </c>
      <c r="D49" s="40" t="s">
        <v>86</v>
      </c>
      <c r="E49" s="40" t="s">
        <v>85</v>
      </c>
      <c r="F49" s="40">
        <v>0</v>
      </c>
      <c r="G49" s="40">
        <v>141</v>
      </c>
      <c r="H49" s="40">
        <v>232854</v>
      </c>
      <c r="I49" s="40" t="s">
        <v>84</v>
      </c>
      <c r="J49" s="40">
        <v>233491</v>
      </c>
      <c r="K49" s="39" t="s">
        <v>83</v>
      </c>
      <c r="L49" s="38" t="s">
        <v>82</v>
      </c>
      <c r="M49" s="39" t="s">
        <v>209</v>
      </c>
    </row>
    <row r="50" spans="1:13" s="37" customFormat="1" x14ac:dyDescent="0.25">
      <c r="A50" s="41">
        <v>42481.370034722226</v>
      </c>
      <c r="B50" s="40" t="s">
        <v>90</v>
      </c>
      <c r="C50" s="40" t="s">
        <v>165</v>
      </c>
      <c r="D50" s="40" t="s">
        <v>86</v>
      </c>
      <c r="E50" s="40" t="s">
        <v>85</v>
      </c>
      <c r="F50" s="40">
        <v>0</v>
      </c>
      <c r="G50" s="40">
        <v>5</v>
      </c>
      <c r="H50" s="40">
        <v>127</v>
      </c>
      <c r="I50" s="40" t="s">
        <v>84</v>
      </c>
      <c r="J50" s="40">
        <v>1</v>
      </c>
      <c r="K50" s="39" t="s">
        <v>89</v>
      </c>
      <c r="L50" s="38" t="s">
        <v>82</v>
      </c>
      <c r="M50" s="39" t="s">
        <v>209</v>
      </c>
    </row>
    <row r="51" spans="1:13" s="37" customFormat="1" x14ac:dyDescent="0.25">
      <c r="A51" s="41">
        <v>42481.382847222223</v>
      </c>
      <c r="B51" s="40" t="s">
        <v>159</v>
      </c>
      <c r="C51" s="40" t="s">
        <v>167</v>
      </c>
      <c r="D51" s="40" t="s">
        <v>86</v>
      </c>
      <c r="E51" s="40" t="s">
        <v>85</v>
      </c>
      <c r="F51" s="40">
        <v>0</v>
      </c>
      <c r="G51" s="40">
        <v>61</v>
      </c>
      <c r="H51" s="40">
        <v>216</v>
      </c>
      <c r="I51" s="40" t="s">
        <v>84</v>
      </c>
      <c r="J51" s="40">
        <v>1</v>
      </c>
      <c r="K51" s="39" t="s">
        <v>89</v>
      </c>
      <c r="L51" s="38" t="s">
        <v>82</v>
      </c>
      <c r="M51" s="39" t="s">
        <v>209</v>
      </c>
    </row>
    <row r="52" spans="1:13" s="37" customFormat="1" x14ac:dyDescent="0.25">
      <c r="A52" s="41">
        <v>42481.399664351855</v>
      </c>
      <c r="B52" s="40" t="s">
        <v>94</v>
      </c>
      <c r="C52" s="40" t="s">
        <v>168</v>
      </c>
      <c r="D52" s="40" t="s">
        <v>86</v>
      </c>
      <c r="E52" s="40" t="s">
        <v>85</v>
      </c>
      <c r="F52" s="40">
        <v>0</v>
      </c>
      <c r="G52" s="40">
        <v>5</v>
      </c>
      <c r="H52" s="40">
        <v>233324</v>
      </c>
      <c r="I52" s="40" t="s">
        <v>84</v>
      </c>
      <c r="J52" s="40">
        <v>233491</v>
      </c>
      <c r="K52" s="39" t="s">
        <v>83</v>
      </c>
      <c r="L52" s="38" t="s">
        <v>82</v>
      </c>
      <c r="M52" s="39" t="s">
        <v>209</v>
      </c>
    </row>
    <row r="53" spans="1:13" s="37" customFormat="1" x14ac:dyDescent="0.25">
      <c r="A53" s="41">
        <v>42481.456250000003</v>
      </c>
      <c r="B53" s="40" t="s">
        <v>159</v>
      </c>
      <c r="C53" s="40" t="s">
        <v>169</v>
      </c>
      <c r="D53" s="40" t="s">
        <v>86</v>
      </c>
      <c r="E53" s="40" t="s">
        <v>85</v>
      </c>
      <c r="F53" s="40">
        <v>0</v>
      </c>
      <c r="G53" s="40">
        <v>91</v>
      </c>
      <c r="H53" s="40">
        <v>300</v>
      </c>
      <c r="I53" s="40" t="s">
        <v>84</v>
      </c>
      <c r="J53" s="40">
        <v>1</v>
      </c>
      <c r="K53" s="39" t="s">
        <v>89</v>
      </c>
      <c r="L53" s="38" t="s">
        <v>82</v>
      </c>
      <c r="M53" s="39" t="s">
        <v>209</v>
      </c>
    </row>
    <row r="54" spans="1:13" s="37" customFormat="1" x14ac:dyDescent="0.25">
      <c r="A54" s="41">
        <v>42481.456724537034</v>
      </c>
      <c r="B54" s="40" t="s">
        <v>159</v>
      </c>
      <c r="C54" s="40" t="s">
        <v>169</v>
      </c>
      <c r="D54" s="40" t="s">
        <v>86</v>
      </c>
      <c r="E54" s="40" t="s">
        <v>85</v>
      </c>
      <c r="F54" s="40">
        <v>0</v>
      </c>
      <c r="G54" s="40">
        <v>25</v>
      </c>
      <c r="H54" s="40">
        <v>178</v>
      </c>
      <c r="I54" s="40" t="s">
        <v>84</v>
      </c>
      <c r="J54" s="40">
        <v>1</v>
      </c>
      <c r="K54" s="39" t="s">
        <v>89</v>
      </c>
      <c r="L54" s="38" t="s">
        <v>82</v>
      </c>
      <c r="M54" s="39" t="s">
        <v>209</v>
      </c>
    </row>
    <row r="55" spans="1:13" s="37" customFormat="1" x14ac:dyDescent="0.25">
      <c r="A55" s="41">
        <v>42481.460972222223</v>
      </c>
      <c r="B55" s="40" t="s">
        <v>91</v>
      </c>
      <c r="C55" s="40" t="s">
        <v>170</v>
      </c>
      <c r="D55" s="40" t="s">
        <v>86</v>
      </c>
      <c r="E55" s="40" t="s">
        <v>85</v>
      </c>
      <c r="F55" s="40">
        <v>0</v>
      </c>
      <c r="G55" s="40">
        <v>25</v>
      </c>
      <c r="H55" s="40">
        <v>888</v>
      </c>
      <c r="I55" s="40" t="s">
        <v>84</v>
      </c>
      <c r="J55" s="40">
        <v>839</v>
      </c>
      <c r="K55" s="39" t="s">
        <v>89</v>
      </c>
      <c r="L55" s="38" t="s">
        <v>82</v>
      </c>
      <c r="M55" s="39" t="s">
        <v>209</v>
      </c>
    </row>
    <row r="56" spans="1:13" s="37" customFormat="1" x14ac:dyDescent="0.25">
      <c r="A56" s="41">
        <v>42481.480810185189</v>
      </c>
      <c r="B56" s="40" t="s">
        <v>92</v>
      </c>
      <c r="C56" s="40" t="s">
        <v>172</v>
      </c>
      <c r="D56" s="40" t="s">
        <v>86</v>
      </c>
      <c r="E56" s="40" t="s">
        <v>85</v>
      </c>
      <c r="F56" s="40">
        <v>0</v>
      </c>
      <c r="G56" s="40">
        <v>6</v>
      </c>
      <c r="H56" s="40">
        <v>920</v>
      </c>
      <c r="I56" s="40" t="s">
        <v>84</v>
      </c>
      <c r="J56" s="40">
        <v>839</v>
      </c>
      <c r="K56" s="39" t="s">
        <v>89</v>
      </c>
      <c r="L56" s="38" t="s">
        <v>82</v>
      </c>
      <c r="M56" s="39" t="s">
        <v>209</v>
      </c>
    </row>
    <row r="57" spans="1:13" s="37" customFormat="1" x14ac:dyDescent="0.25">
      <c r="A57" s="41">
        <v>42481.491157407407</v>
      </c>
      <c r="B57" s="40" t="s">
        <v>162</v>
      </c>
      <c r="C57" s="40" t="s">
        <v>173</v>
      </c>
      <c r="D57" s="40" t="s">
        <v>86</v>
      </c>
      <c r="E57" s="40" t="s">
        <v>85</v>
      </c>
      <c r="F57" s="40">
        <v>0</v>
      </c>
      <c r="G57" s="40">
        <v>9</v>
      </c>
      <c r="H57" s="40">
        <v>233319</v>
      </c>
      <c r="I57" s="40" t="s">
        <v>84</v>
      </c>
      <c r="J57" s="40">
        <v>233491</v>
      </c>
      <c r="K57" s="39" t="s">
        <v>83</v>
      </c>
      <c r="L57" s="38" t="s">
        <v>82</v>
      </c>
      <c r="M57" s="39" t="s">
        <v>209</v>
      </c>
    </row>
    <row r="58" spans="1:13" s="37" customFormat="1" x14ac:dyDescent="0.25">
      <c r="A58" s="41">
        <v>42481.544490740744</v>
      </c>
      <c r="B58" s="40" t="s">
        <v>102</v>
      </c>
      <c r="C58" s="40" t="s">
        <v>176</v>
      </c>
      <c r="D58" s="40" t="s">
        <v>86</v>
      </c>
      <c r="E58" s="40" t="s">
        <v>85</v>
      </c>
      <c r="F58" s="40">
        <v>0</v>
      </c>
      <c r="G58" s="40">
        <v>8</v>
      </c>
      <c r="H58" s="40">
        <v>121</v>
      </c>
      <c r="I58" s="40" t="s">
        <v>84</v>
      </c>
      <c r="J58" s="40">
        <v>1</v>
      </c>
      <c r="K58" s="39" t="s">
        <v>89</v>
      </c>
      <c r="L58" s="38" t="s">
        <v>82</v>
      </c>
      <c r="M58" s="39" t="s">
        <v>209</v>
      </c>
    </row>
    <row r="59" spans="1:13" s="37" customFormat="1" x14ac:dyDescent="0.25">
      <c r="A59" s="41">
        <v>42481.565844907411</v>
      </c>
      <c r="B59" s="40" t="s">
        <v>177</v>
      </c>
      <c r="C59" s="40" t="s">
        <v>178</v>
      </c>
      <c r="D59" s="40" t="s">
        <v>86</v>
      </c>
      <c r="E59" s="40" t="s">
        <v>85</v>
      </c>
      <c r="F59" s="40">
        <v>0</v>
      </c>
      <c r="G59" s="40">
        <v>4</v>
      </c>
      <c r="H59" s="40">
        <v>145</v>
      </c>
      <c r="I59" s="40" t="s">
        <v>84</v>
      </c>
      <c r="J59" s="40">
        <v>1</v>
      </c>
      <c r="K59" s="39" t="s">
        <v>89</v>
      </c>
      <c r="L59" s="38" t="s">
        <v>82</v>
      </c>
      <c r="M59" s="39" t="s">
        <v>209</v>
      </c>
    </row>
    <row r="60" spans="1:13" s="37" customFormat="1" x14ac:dyDescent="0.25">
      <c r="A60" s="41">
        <v>42481.617407407408</v>
      </c>
      <c r="B60" s="40" t="s">
        <v>185</v>
      </c>
      <c r="C60" s="40" t="s">
        <v>186</v>
      </c>
      <c r="D60" s="40" t="s">
        <v>86</v>
      </c>
      <c r="E60" s="40" t="s">
        <v>85</v>
      </c>
      <c r="F60" s="40">
        <v>0</v>
      </c>
      <c r="G60" s="40">
        <v>39</v>
      </c>
      <c r="H60" s="40">
        <v>233387</v>
      </c>
      <c r="I60" s="40" t="s">
        <v>84</v>
      </c>
      <c r="J60" s="40">
        <v>233491</v>
      </c>
      <c r="K60" s="39" t="s">
        <v>83</v>
      </c>
      <c r="L60" s="38" t="s">
        <v>82</v>
      </c>
      <c r="M60" s="39" t="s">
        <v>209</v>
      </c>
    </row>
    <row r="61" spans="1:13" s="37" customFormat="1" x14ac:dyDescent="0.25">
      <c r="A61" s="41">
        <v>42481.626192129632</v>
      </c>
      <c r="B61" s="40" t="s">
        <v>102</v>
      </c>
      <c r="C61" s="40" t="s">
        <v>187</v>
      </c>
      <c r="D61" s="40" t="s">
        <v>86</v>
      </c>
      <c r="E61" s="40" t="s">
        <v>85</v>
      </c>
      <c r="F61" s="40">
        <v>0</v>
      </c>
      <c r="G61" s="40">
        <v>3</v>
      </c>
      <c r="H61" s="40">
        <v>165</v>
      </c>
      <c r="I61" s="40" t="s">
        <v>84</v>
      </c>
      <c r="J61" s="40">
        <v>1</v>
      </c>
      <c r="K61" s="39" t="s">
        <v>89</v>
      </c>
      <c r="L61" s="38" t="s">
        <v>82</v>
      </c>
      <c r="M61" s="39" t="s">
        <v>209</v>
      </c>
    </row>
    <row r="62" spans="1:13" s="37" customFormat="1" x14ac:dyDescent="0.25">
      <c r="A62" s="41">
        <v>42481.658368055556</v>
      </c>
      <c r="B62" s="40" t="s">
        <v>87</v>
      </c>
      <c r="C62" s="40" t="s">
        <v>189</v>
      </c>
      <c r="D62" s="40" t="s">
        <v>86</v>
      </c>
      <c r="E62" s="40" t="s">
        <v>85</v>
      </c>
      <c r="F62" s="40">
        <v>0</v>
      </c>
      <c r="G62" s="40">
        <v>9</v>
      </c>
      <c r="H62" s="40">
        <v>233370</v>
      </c>
      <c r="I62" s="40" t="s">
        <v>84</v>
      </c>
      <c r="J62" s="40">
        <v>233491</v>
      </c>
      <c r="K62" s="39" t="s">
        <v>83</v>
      </c>
      <c r="L62" s="38" t="s">
        <v>82</v>
      </c>
      <c r="M62" s="39" t="s">
        <v>209</v>
      </c>
    </row>
    <row r="63" spans="1:13" s="37" customFormat="1" x14ac:dyDescent="0.25">
      <c r="A63" s="41">
        <v>42481.661319444444</v>
      </c>
      <c r="B63" s="40" t="s">
        <v>88</v>
      </c>
      <c r="C63" s="40" t="s">
        <v>190</v>
      </c>
      <c r="D63" s="40" t="s">
        <v>86</v>
      </c>
      <c r="E63" s="40" t="s">
        <v>85</v>
      </c>
      <c r="F63" s="40">
        <v>0</v>
      </c>
      <c r="G63" s="40">
        <v>75</v>
      </c>
      <c r="H63" s="40">
        <v>233199</v>
      </c>
      <c r="I63" s="40" t="s">
        <v>84</v>
      </c>
      <c r="J63" s="40">
        <v>233491</v>
      </c>
      <c r="K63" s="39" t="s">
        <v>83</v>
      </c>
      <c r="L63" s="38" t="s">
        <v>82</v>
      </c>
      <c r="M63" s="39" t="s">
        <v>209</v>
      </c>
    </row>
    <row r="64" spans="1:13" s="37" customFormat="1" x14ac:dyDescent="0.25">
      <c r="A64" s="41">
        <v>42481.68849537037</v>
      </c>
      <c r="B64" s="40" t="s">
        <v>185</v>
      </c>
      <c r="C64" s="40" t="s">
        <v>192</v>
      </c>
      <c r="D64" s="40" t="s">
        <v>86</v>
      </c>
      <c r="E64" s="40" t="s">
        <v>85</v>
      </c>
      <c r="F64" s="40">
        <v>0</v>
      </c>
      <c r="G64" s="40">
        <v>14</v>
      </c>
      <c r="H64" s="40">
        <v>233479</v>
      </c>
      <c r="I64" s="40" t="s">
        <v>84</v>
      </c>
      <c r="J64" s="40">
        <v>233491</v>
      </c>
      <c r="K64" s="39" t="s">
        <v>83</v>
      </c>
      <c r="L64" s="38" t="s">
        <v>82</v>
      </c>
      <c r="M64" s="39" t="s">
        <v>209</v>
      </c>
    </row>
    <row r="65" spans="1:13" s="37" customFormat="1" x14ac:dyDescent="0.25">
      <c r="A65" s="41">
        <v>42481.702881944446</v>
      </c>
      <c r="B65" s="40" t="s">
        <v>94</v>
      </c>
      <c r="C65" s="40" t="s">
        <v>191</v>
      </c>
      <c r="D65" s="40" t="s">
        <v>86</v>
      </c>
      <c r="E65" s="40" t="s">
        <v>85</v>
      </c>
      <c r="F65" s="40">
        <v>0</v>
      </c>
      <c r="G65" s="40">
        <v>73</v>
      </c>
      <c r="H65" s="40">
        <v>233215</v>
      </c>
      <c r="I65" s="40" t="s">
        <v>84</v>
      </c>
      <c r="J65" s="40">
        <v>233491</v>
      </c>
      <c r="K65" s="39" t="s">
        <v>83</v>
      </c>
      <c r="L65" s="38" t="s">
        <v>82</v>
      </c>
      <c r="M65" s="39" t="s">
        <v>209</v>
      </c>
    </row>
    <row r="66" spans="1:13" s="37" customFormat="1" x14ac:dyDescent="0.25">
      <c r="A66" s="41">
        <v>42481.763020833336</v>
      </c>
      <c r="B66" s="40" t="s">
        <v>91</v>
      </c>
      <c r="C66" s="40" t="s">
        <v>194</v>
      </c>
      <c r="D66" s="40" t="s">
        <v>86</v>
      </c>
      <c r="E66" s="40" t="s">
        <v>85</v>
      </c>
      <c r="F66" s="40">
        <v>0</v>
      </c>
      <c r="G66" s="40">
        <v>47</v>
      </c>
      <c r="H66" s="40">
        <v>143</v>
      </c>
      <c r="I66" s="40" t="s">
        <v>84</v>
      </c>
      <c r="J66" s="40">
        <v>1</v>
      </c>
      <c r="K66" s="39" t="s">
        <v>89</v>
      </c>
      <c r="L66" s="38" t="s">
        <v>82</v>
      </c>
      <c r="M66" s="39" t="s">
        <v>209</v>
      </c>
    </row>
    <row r="67" spans="1:13" s="37" customFormat="1" x14ac:dyDescent="0.25">
      <c r="A67" s="41">
        <v>42481.774108796293</v>
      </c>
      <c r="B67" s="40" t="s">
        <v>102</v>
      </c>
      <c r="C67" s="40" t="s">
        <v>195</v>
      </c>
      <c r="D67" s="40" t="s">
        <v>86</v>
      </c>
      <c r="E67" s="40" t="s">
        <v>85</v>
      </c>
      <c r="F67" s="40">
        <v>0</v>
      </c>
      <c r="G67" s="40">
        <v>162</v>
      </c>
      <c r="H67" s="40">
        <v>876</v>
      </c>
      <c r="I67" s="40" t="s">
        <v>84</v>
      </c>
      <c r="J67" s="40">
        <v>1</v>
      </c>
      <c r="K67" s="39" t="s">
        <v>89</v>
      </c>
      <c r="L67" s="38" t="s">
        <v>82</v>
      </c>
      <c r="M67" s="39" t="s">
        <v>209</v>
      </c>
    </row>
    <row r="68" spans="1:13" s="37" customFormat="1" x14ac:dyDescent="0.25">
      <c r="A68" s="41">
        <v>42481.774965277778</v>
      </c>
      <c r="B68" s="40" t="s">
        <v>102</v>
      </c>
      <c r="C68" s="40" t="s">
        <v>195</v>
      </c>
      <c r="D68" s="40" t="s">
        <v>86</v>
      </c>
      <c r="E68" s="40" t="s">
        <v>85</v>
      </c>
      <c r="F68" s="40">
        <v>0</v>
      </c>
      <c r="G68" s="40">
        <v>7</v>
      </c>
      <c r="H68" s="40">
        <v>139</v>
      </c>
      <c r="I68" s="40" t="s">
        <v>84</v>
      </c>
      <c r="J68" s="40">
        <v>1</v>
      </c>
      <c r="K68" s="39" t="s">
        <v>89</v>
      </c>
      <c r="L68" s="38" t="s">
        <v>82</v>
      </c>
      <c r="M68" s="39" t="s">
        <v>209</v>
      </c>
    </row>
    <row r="69" spans="1:13" s="37" customFormat="1" x14ac:dyDescent="0.25">
      <c r="A69" s="41">
        <v>42481.779004629629</v>
      </c>
      <c r="B69" s="40" t="s">
        <v>94</v>
      </c>
      <c r="C69" s="40" t="s">
        <v>196</v>
      </c>
      <c r="D69" s="40" t="s">
        <v>86</v>
      </c>
      <c r="E69" s="40" t="s">
        <v>85</v>
      </c>
      <c r="F69" s="40">
        <v>0</v>
      </c>
      <c r="G69" s="40">
        <v>4</v>
      </c>
      <c r="H69" s="40">
        <v>233323</v>
      </c>
      <c r="I69" s="40" t="s">
        <v>84</v>
      </c>
      <c r="J69" s="40">
        <v>233491</v>
      </c>
      <c r="K69" s="39" t="s">
        <v>83</v>
      </c>
      <c r="L69" s="38" t="s">
        <v>82</v>
      </c>
      <c r="M69" s="39" t="s">
        <v>209</v>
      </c>
    </row>
    <row r="70" spans="1:13" s="37" customFormat="1" x14ac:dyDescent="0.25">
      <c r="A70" s="41">
        <v>42481.787314814814</v>
      </c>
      <c r="B70" s="40" t="s">
        <v>162</v>
      </c>
      <c r="C70" s="40" t="s">
        <v>197</v>
      </c>
      <c r="D70" s="40" t="s">
        <v>86</v>
      </c>
      <c r="E70" s="40" t="s">
        <v>85</v>
      </c>
      <c r="F70" s="40">
        <v>0</v>
      </c>
      <c r="G70" s="40">
        <v>6</v>
      </c>
      <c r="H70" s="40">
        <v>233322</v>
      </c>
      <c r="I70" s="40" t="s">
        <v>84</v>
      </c>
      <c r="J70" s="40">
        <v>233491</v>
      </c>
      <c r="K70" s="39" t="s">
        <v>83</v>
      </c>
      <c r="L70" s="38" t="s">
        <v>82</v>
      </c>
      <c r="M70" s="39" t="s">
        <v>209</v>
      </c>
    </row>
    <row r="71" spans="1:13" s="37" customFormat="1" x14ac:dyDescent="0.25">
      <c r="A71" s="41">
        <v>42481.797268518516</v>
      </c>
      <c r="B71" s="40" t="s">
        <v>177</v>
      </c>
      <c r="C71" s="40" t="s">
        <v>198</v>
      </c>
      <c r="D71" s="40" t="s">
        <v>86</v>
      </c>
      <c r="E71" s="40" t="s">
        <v>85</v>
      </c>
      <c r="F71" s="40">
        <v>0</v>
      </c>
      <c r="G71" s="40">
        <v>3</v>
      </c>
      <c r="H71" s="40">
        <v>132</v>
      </c>
      <c r="I71" s="40" t="s">
        <v>84</v>
      </c>
      <c r="J71" s="40">
        <v>1</v>
      </c>
      <c r="K71" s="39" t="s">
        <v>89</v>
      </c>
      <c r="L71" s="38" t="s">
        <v>82</v>
      </c>
      <c r="M71" s="39" t="s">
        <v>209</v>
      </c>
    </row>
    <row r="72" spans="1:13" s="37" customFormat="1" x14ac:dyDescent="0.25">
      <c r="A72" s="41">
        <v>42481.810011574074</v>
      </c>
      <c r="B72" s="40" t="s">
        <v>87</v>
      </c>
      <c r="C72" s="40" t="s">
        <v>199</v>
      </c>
      <c r="D72" s="40" t="s">
        <v>86</v>
      </c>
      <c r="E72" s="40" t="s">
        <v>85</v>
      </c>
      <c r="F72" s="40">
        <v>0</v>
      </c>
      <c r="G72" s="40">
        <v>8</v>
      </c>
      <c r="H72" s="40">
        <v>233332</v>
      </c>
      <c r="I72" s="40" t="s">
        <v>84</v>
      </c>
      <c r="J72" s="40">
        <v>233491</v>
      </c>
      <c r="K72" s="39" t="s">
        <v>83</v>
      </c>
      <c r="L72" s="38" t="s">
        <v>82</v>
      </c>
      <c r="M72" s="39" t="s">
        <v>209</v>
      </c>
    </row>
    <row r="73" spans="1:13" s="37" customFormat="1" x14ac:dyDescent="0.25">
      <c r="A73" s="41">
        <v>42481.849780092591</v>
      </c>
      <c r="B73" s="40" t="s">
        <v>94</v>
      </c>
      <c r="C73" s="40" t="s">
        <v>201</v>
      </c>
      <c r="D73" s="40" t="s">
        <v>86</v>
      </c>
      <c r="E73" s="40" t="s">
        <v>85</v>
      </c>
      <c r="F73" s="40">
        <v>0</v>
      </c>
      <c r="G73" s="40">
        <v>6</v>
      </c>
      <c r="H73" s="40">
        <v>233289</v>
      </c>
      <c r="I73" s="40" t="s">
        <v>84</v>
      </c>
      <c r="J73" s="40">
        <v>233491</v>
      </c>
      <c r="K73" s="39" t="s">
        <v>83</v>
      </c>
      <c r="L73" s="38" t="s">
        <v>82</v>
      </c>
      <c r="M73" s="39" t="s">
        <v>209</v>
      </c>
    </row>
    <row r="74" spans="1:13" s="37" customFormat="1" x14ac:dyDescent="0.25">
      <c r="A74" s="41">
        <v>42481.869733796295</v>
      </c>
      <c r="B74" s="40" t="s">
        <v>177</v>
      </c>
      <c r="C74" s="40" t="s">
        <v>204</v>
      </c>
      <c r="D74" s="40" t="s">
        <v>86</v>
      </c>
      <c r="E74" s="40" t="s">
        <v>85</v>
      </c>
      <c r="F74" s="40">
        <v>0</v>
      </c>
      <c r="G74" s="40">
        <v>5</v>
      </c>
      <c r="H74" s="40">
        <v>125</v>
      </c>
      <c r="I74" s="40" t="s">
        <v>84</v>
      </c>
      <c r="J74" s="40">
        <v>1</v>
      </c>
      <c r="K74" s="39" t="s">
        <v>89</v>
      </c>
      <c r="L74" s="38" t="s">
        <v>82</v>
      </c>
      <c r="M74" s="39" t="s">
        <v>209</v>
      </c>
    </row>
    <row r="75" spans="1:13" s="37" customFormat="1" x14ac:dyDescent="0.25">
      <c r="A75" s="41">
        <v>42481.889594907407</v>
      </c>
      <c r="B75" s="40" t="s">
        <v>88</v>
      </c>
      <c r="C75" s="40" t="s">
        <v>203</v>
      </c>
      <c r="D75" s="40" t="s">
        <v>86</v>
      </c>
      <c r="E75" s="40" t="s">
        <v>85</v>
      </c>
      <c r="F75" s="40">
        <v>0</v>
      </c>
      <c r="G75" s="40">
        <v>7</v>
      </c>
      <c r="H75" s="40">
        <v>233328</v>
      </c>
      <c r="I75" s="40" t="s">
        <v>84</v>
      </c>
      <c r="J75" s="40">
        <v>233491</v>
      </c>
      <c r="K75" s="39" t="s">
        <v>83</v>
      </c>
      <c r="L75" s="38" t="s">
        <v>82</v>
      </c>
      <c r="M75" s="39" t="s">
        <v>209</v>
      </c>
    </row>
    <row r="76" spans="1:13" ht="15.75" thickBot="1" x14ac:dyDescent="0.3"/>
    <row r="77" spans="1:13" x14ac:dyDescent="0.25">
      <c r="K77" s="36" t="s">
        <v>81</v>
      </c>
      <c r="L77" s="35">
        <f>COUNTIF(L3:L75,"=Y")</f>
        <v>4</v>
      </c>
    </row>
    <row r="78" spans="1:13" ht="15.75" thickBot="1" x14ac:dyDescent="0.3">
      <c r="K78" s="34" t="s">
        <v>80</v>
      </c>
      <c r="L78" s="33">
        <f>COUNTA(L3:L75)-L77</f>
        <v>69</v>
      </c>
    </row>
  </sheetData>
  <autoFilter ref="A2:M2"/>
  <mergeCells count="1">
    <mergeCell ref="A1:L1"/>
  </mergeCells>
  <conditionalFormatting sqref="M2 L2:L1048576">
    <cfRule type="cellIs" dxfId="4" priority="2" operator="equal">
      <formula>"Y"</formula>
    </cfRule>
  </conditionalFormatting>
  <conditionalFormatting sqref="M3:M4 B3:L75">
    <cfRule type="expression" dxfId="3" priority="1">
      <formula>$L3="Y"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2016-04-22T17:40:19Z</dcterms:modified>
</cp:coreProperties>
</file>