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M72" i="1"/>
  <c r="M76" i="1"/>
  <c r="M66" i="1"/>
  <c r="M62" i="1"/>
  <c r="M56" i="1"/>
  <c r="M52" i="1"/>
  <c r="M44" i="1"/>
  <c r="M40" i="1"/>
  <c r="M36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X3" i="1"/>
  <c r="W3" i="1"/>
  <c r="M32" i="1"/>
  <c r="M28" i="1"/>
  <c r="K28" i="1"/>
  <c r="L28" i="1"/>
  <c r="K29" i="1"/>
  <c r="L29" i="1"/>
  <c r="M29" i="1" s="1"/>
  <c r="K30" i="1"/>
  <c r="L30" i="1"/>
  <c r="M30" i="1" s="1"/>
  <c r="K31" i="1"/>
  <c r="L31" i="1"/>
  <c r="M31" i="1" s="1"/>
  <c r="K32" i="1"/>
  <c r="L32" i="1"/>
  <c r="K33" i="1"/>
  <c r="L33" i="1"/>
  <c r="K34" i="1"/>
  <c r="L34" i="1"/>
  <c r="M34" i="1" s="1"/>
  <c r="K35" i="1"/>
  <c r="L35" i="1"/>
  <c r="M35" i="1" s="1"/>
  <c r="K36" i="1"/>
  <c r="L36" i="1"/>
  <c r="K37" i="1"/>
  <c r="L37" i="1"/>
  <c r="M37" i="1" s="1"/>
  <c r="K38" i="1"/>
  <c r="L38" i="1"/>
  <c r="M38" i="1" s="1"/>
  <c r="K39" i="1"/>
  <c r="L39" i="1"/>
  <c r="M39" i="1" s="1"/>
  <c r="K40" i="1"/>
  <c r="L40" i="1"/>
  <c r="K41" i="1"/>
  <c r="L41" i="1"/>
  <c r="M41" i="1" s="1"/>
  <c r="K42" i="1"/>
  <c r="L42" i="1"/>
  <c r="M42" i="1" s="1"/>
  <c r="K43" i="1"/>
  <c r="L43" i="1"/>
  <c r="M43" i="1" s="1"/>
  <c r="K44" i="1"/>
  <c r="L44" i="1"/>
  <c r="K45" i="1"/>
  <c r="L45" i="1"/>
  <c r="M45" i="1" s="1"/>
  <c r="K46" i="1"/>
  <c r="L46" i="1"/>
  <c r="O46" i="1" s="1"/>
  <c r="K47" i="1"/>
  <c r="L47" i="1"/>
  <c r="M47" i="1" s="1"/>
  <c r="K48" i="1"/>
  <c r="L48" i="1"/>
  <c r="K49" i="1"/>
  <c r="L49" i="1"/>
  <c r="N48" i="1" s="1"/>
  <c r="K50" i="1"/>
  <c r="L50" i="1"/>
  <c r="M50" i="1" s="1"/>
  <c r="K51" i="1"/>
  <c r="L51" i="1"/>
  <c r="M51" i="1" s="1"/>
  <c r="K52" i="1"/>
  <c r="L52" i="1"/>
  <c r="K53" i="1"/>
  <c r="L53" i="1"/>
  <c r="M53" i="1" s="1"/>
  <c r="K54" i="1"/>
  <c r="L54" i="1"/>
  <c r="M54" i="1" s="1"/>
  <c r="K55" i="1"/>
  <c r="L55" i="1"/>
  <c r="M55" i="1" s="1"/>
  <c r="K56" i="1"/>
  <c r="L56" i="1"/>
  <c r="K57" i="1"/>
  <c r="L57" i="1"/>
  <c r="M57" i="1" s="1"/>
  <c r="K58" i="1"/>
  <c r="L58" i="1"/>
  <c r="M58" i="1" s="1"/>
  <c r="K59" i="1"/>
  <c r="L59" i="1"/>
  <c r="M59" i="1" s="1"/>
  <c r="K60" i="1"/>
  <c r="L60" i="1"/>
  <c r="K61" i="1"/>
  <c r="L61" i="1"/>
  <c r="N60" i="1" s="1"/>
  <c r="K62" i="1"/>
  <c r="L62" i="1"/>
  <c r="K63" i="1"/>
  <c r="L63" i="1"/>
  <c r="M63" i="1" s="1"/>
  <c r="K64" i="1"/>
  <c r="L64" i="1"/>
  <c r="M64" i="1" s="1"/>
  <c r="K65" i="1"/>
  <c r="L65" i="1"/>
  <c r="M65" i="1" s="1"/>
  <c r="K66" i="1"/>
  <c r="L66" i="1"/>
  <c r="K67" i="1"/>
  <c r="L67" i="1"/>
  <c r="M67" i="1" s="1"/>
  <c r="K68" i="1"/>
  <c r="L68" i="1"/>
  <c r="K69" i="1"/>
  <c r="L69" i="1"/>
  <c r="M69" i="1" s="1"/>
  <c r="K70" i="1"/>
  <c r="L70" i="1"/>
  <c r="M70" i="1" s="1"/>
  <c r="K71" i="1"/>
  <c r="L71" i="1"/>
  <c r="M71" i="1" s="1"/>
  <c r="K72" i="1"/>
  <c r="L72" i="1"/>
  <c r="K73" i="1"/>
  <c r="L73" i="1"/>
  <c r="M73" i="1" s="1"/>
  <c r="K74" i="1"/>
  <c r="L74" i="1"/>
  <c r="M74" i="1" s="1"/>
  <c r="K75" i="1"/>
  <c r="L75" i="1"/>
  <c r="M75" i="1" s="1"/>
  <c r="K76" i="1"/>
  <c r="L76" i="1"/>
  <c r="K77" i="1"/>
  <c r="L77" i="1"/>
  <c r="M77" i="1" s="1"/>
  <c r="K78" i="1"/>
  <c r="L78" i="1"/>
  <c r="M78" i="1" s="1"/>
  <c r="K79" i="1"/>
  <c r="L79" i="1"/>
  <c r="M79" i="1" s="1"/>
  <c r="K80" i="1"/>
  <c r="L80" i="1"/>
  <c r="O80" i="1" s="1"/>
  <c r="K81" i="1"/>
  <c r="L81" i="1"/>
  <c r="R22" i="1" l="1"/>
  <c r="T22" i="1"/>
  <c r="U22" i="1"/>
  <c r="R23" i="1"/>
  <c r="T23" i="1"/>
  <c r="U23" i="1"/>
  <c r="V23" i="1"/>
  <c r="S23" i="1" s="1"/>
  <c r="R24" i="1"/>
  <c r="T24" i="1"/>
  <c r="U24" i="1"/>
  <c r="V24" i="1" s="1"/>
  <c r="S24" i="1" s="1"/>
  <c r="R25" i="1"/>
  <c r="T25" i="1"/>
  <c r="V25" i="1" s="1"/>
  <c r="S25" i="1" s="1"/>
  <c r="U25" i="1"/>
  <c r="R26" i="1"/>
  <c r="T26" i="1"/>
  <c r="U26" i="1"/>
  <c r="R27" i="1"/>
  <c r="T27" i="1"/>
  <c r="U27" i="1"/>
  <c r="V27" i="1" s="1"/>
  <c r="S27" i="1" s="1"/>
  <c r="R28" i="1"/>
  <c r="T28" i="1"/>
  <c r="U28" i="1"/>
  <c r="R29" i="1"/>
  <c r="T29" i="1"/>
  <c r="U29" i="1"/>
  <c r="R30" i="1"/>
  <c r="T30" i="1"/>
  <c r="U30" i="1"/>
  <c r="R31" i="1"/>
  <c r="T31" i="1"/>
  <c r="U31" i="1"/>
  <c r="R32" i="1"/>
  <c r="T32" i="1"/>
  <c r="U32" i="1"/>
  <c r="R33" i="1"/>
  <c r="T33" i="1"/>
  <c r="U33" i="1"/>
  <c r="V33" i="1" s="1"/>
  <c r="S33" i="1" s="1"/>
  <c r="R34" i="1"/>
  <c r="T34" i="1"/>
  <c r="U34" i="1"/>
  <c r="R35" i="1"/>
  <c r="T35" i="1"/>
  <c r="U35" i="1"/>
  <c r="R36" i="1"/>
  <c r="T36" i="1"/>
  <c r="U36" i="1"/>
  <c r="R37" i="1"/>
  <c r="T37" i="1"/>
  <c r="U37" i="1"/>
  <c r="R38" i="1"/>
  <c r="T38" i="1"/>
  <c r="U38" i="1"/>
  <c r="R39" i="1"/>
  <c r="T39" i="1"/>
  <c r="U39" i="1"/>
  <c r="R40" i="1"/>
  <c r="T40" i="1"/>
  <c r="U40" i="1"/>
  <c r="R41" i="1"/>
  <c r="T41" i="1"/>
  <c r="U41" i="1"/>
  <c r="V41" i="1" s="1"/>
  <c r="S41" i="1" s="1"/>
  <c r="R42" i="1"/>
  <c r="T42" i="1"/>
  <c r="U42" i="1"/>
  <c r="R43" i="1"/>
  <c r="T43" i="1"/>
  <c r="U43" i="1"/>
  <c r="R44" i="1"/>
  <c r="T44" i="1"/>
  <c r="U44" i="1"/>
  <c r="R45" i="1"/>
  <c r="T45" i="1"/>
  <c r="U45" i="1"/>
  <c r="R46" i="1"/>
  <c r="T46" i="1"/>
  <c r="U46" i="1"/>
  <c r="R47" i="1"/>
  <c r="T47" i="1"/>
  <c r="U47" i="1"/>
  <c r="R48" i="1"/>
  <c r="T48" i="1"/>
  <c r="U48" i="1"/>
  <c r="R49" i="1"/>
  <c r="T49" i="1"/>
  <c r="U49" i="1"/>
  <c r="V49" i="1" s="1"/>
  <c r="S49" i="1" s="1"/>
  <c r="R50" i="1"/>
  <c r="T50" i="1"/>
  <c r="V50" i="1" s="1"/>
  <c r="S50" i="1" s="1"/>
  <c r="U50" i="1"/>
  <c r="R51" i="1"/>
  <c r="T51" i="1"/>
  <c r="U51" i="1"/>
  <c r="R52" i="1"/>
  <c r="T52" i="1"/>
  <c r="U52" i="1"/>
  <c r="R53" i="1"/>
  <c r="T53" i="1"/>
  <c r="U53" i="1"/>
  <c r="R54" i="1"/>
  <c r="T54" i="1"/>
  <c r="U54" i="1"/>
  <c r="R55" i="1"/>
  <c r="T55" i="1"/>
  <c r="U55" i="1"/>
  <c r="R56" i="1"/>
  <c r="T56" i="1"/>
  <c r="U56" i="1"/>
  <c r="R57" i="1"/>
  <c r="T57" i="1"/>
  <c r="U57" i="1"/>
  <c r="V57" i="1" s="1"/>
  <c r="S57" i="1" s="1"/>
  <c r="R58" i="1"/>
  <c r="T58" i="1"/>
  <c r="V58" i="1" s="1"/>
  <c r="S58" i="1" s="1"/>
  <c r="U58" i="1"/>
  <c r="R59" i="1"/>
  <c r="T59" i="1"/>
  <c r="U59" i="1"/>
  <c r="R60" i="1"/>
  <c r="T60" i="1"/>
  <c r="U60" i="1"/>
  <c r="R61" i="1"/>
  <c r="T61" i="1"/>
  <c r="U61" i="1"/>
  <c r="R62" i="1"/>
  <c r="T62" i="1"/>
  <c r="U62" i="1"/>
  <c r="R63" i="1"/>
  <c r="T63" i="1"/>
  <c r="U63" i="1"/>
  <c r="R64" i="1"/>
  <c r="T64" i="1"/>
  <c r="U64" i="1"/>
  <c r="R65" i="1"/>
  <c r="T65" i="1"/>
  <c r="U65" i="1"/>
  <c r="R66" i="1"/>
  <c r="T66" i="1"/>
  <c r="U66" i="1"/>
  <c r="R67" i="1"/>
  <c r="T67" i="1"/>
  <c r="U67" i="1"/>
  <c r="R68" i="1"/>
  <c r="T68" i="1"/>
  <c r="U68" i="1"/>
  <c r="R69" i="1"/>
  <c r="T69" i="1"/>
  <c r="U69" i="1"/>
  <c r="R70" i="1"/>
  <c r="T70" i="1"/>
  <c r="U70" i="1"/>
  <c r="R71" i="1"/>
  <c r="T71" i="1"/>
  <c r="U71" i="1"/>
  <c r="R72" i="1"/>
  <c r="T72" i="1"/>
  <c r="U72" i="1"/>
  <c r="R73" i="1"/>
  <c r="T73" i="1"/>
  <c r="U73" i="1"/>
  <c r="R74" i="1"/>
  <c r="T74" i="1"/>
  <c r="U74" i="1"/>
  <c r="V74" i="1"/>
  <c r="S74" i="1" s="1"/>
  <c r="R75" i="1"/>
  <c r="T75" i="1"/>
  <c r="U75" i="1"/>
  <c r="R76" i="1"/>
  <c r="T76" i="1"/>
  <c r="U76" i="1"/>
  <c r="R77" i="1"/>
  <c r="T77" i="1"/>
  <c r="U77" i="1"/>
  <c r="R78" i="1"/>
  <c r="T78" i="1"/>
  <c r="U78" i="1"/>
  <c r="V78" i="1" s="1"/>
  <c r="S78" i="1" s="1"/>
  <c r="R79" i="1"/>
  <c r="T79" i="1"/>
  <c r="U79" i="1"/>
  <c r="R80" i="1"/>
  <c r="T80" i="1"/>
  <c r="V80" i="1" s="1"/>
  <c r="S80" i="1" s="1"/>
  <c r="U80" i="1"/>
  <c r="R81" i="1"/>
  <c r="T81" i="1"/>
  <c r="U81" i="1"/>
  <c r="V81" i="1" s="1"/>
  <c r="S81" i="1" s="1"/>
  <c r="L27" i="1"/>
  <c r="O27" i="1" s="1"/>
  <c r="K27" i="1"/>
  <c r="L26" i="1"/>
  <c r="M26" i="1" s="1"/>
  <c r="K26" i="1"/>
  <c r="L25" i="1"/>
  <c r="M25" i="1" s="1"/>
  <c r="K25" i="1"/>
  <c r="L24" i="1"/>
  <c r="M24" i="1" s="1"/>
  <c r="K24" i="1"/>
  <c r="L23" i="1"/>
  <c r="M23" i="1" s="1"/>
  <c r="K23" i="1"/>
  <c r="L22" i="1"/>
  <c r="M22" i="1" s="1"/>
  <c r="K22" i="1"/>
  <c r="V71" i="1" l="1"/>
  <c r="S71" i="1" s="1"/>
  <c r="V63" i="1"/>
  <c r="S63" i="1" s="1"/>
  <c r="V55" i="1"/>
  <c r="S55" i="1" s="1"/>
  <c r="V47" i="1"/>
  <c r="S47" i="1" s="1"/>
  <c r="V31" i="1"/>
  <c r="S31" i="1" s="1"/>
  <c r="V26" i="1"/>
  <c r="S26" i="1" s="1"/>
  <c r="V79" i="1"/>
  <c r="S79" i="1" s="1"/>
  <c r="V70" i="1"/>
  <c r="S70" i="1" s="1"/>
  <c r="V62" i="1"/>
  <c r="S62" i="1" s="1"/>
  <c r="V42" i="1"/>
  <c r="S42" i="1" s="1"/>
  <c r="V38" i="1"/>
  <c r="S38" i="1" s="1"/>
  <c r="V72" i="1"/>
  <c r="S72" i="1" s="1"/>
  <c r="V64" i="1"/>
  <c r="S64" i="1" s="1"/>
  <c r="V34" i="1"/>
  <c r="S34" i="1" s="1"/>
  <c r="V56" i="1"/>
  <c r="S56" i="1" s="1"/>
  <c r="V48" i="1"/>
  <c r="S48" i="1" s="1"/>
  <c r="V73" i="1"/>
  <c r="S73" i="1" s="1"/>
  <c r="V66" i="1"/>
  <c r="S66" i="1" s="1"/>
  <c r="V65" i="1"/>
  <c r="S65" i="1" s="1"/>
  <c r="V54" i="1"/>
  <c r="S54" i="1" s="1"/>
  <c r="V46" i="1"/>
  <c r="S46" i="1" s="1"/>
  <c r="V40" i="1"/>
  <c r="S40" i="1" s="1"/>
  <c r="V39" i="1"/>
  <c r="S39" i="1" s="1"/>
  <c r="V32" i="1"/>
  <c r="S32" i="1" s="1"/>
  <c r="V22" i="1"/>
  <c r="S22" i="1" s="1"/>
  <c r="V76" i="1"/>
  <c r="S76" i="1" s="1"/>
  <c r="V75" i="1"/>
  <c r="S75" i="1" s="1"/>
  <c r="V69" i="1"/>
  <c r="S69" i="1" s="1"/>
  <c r="V60" i="1"/>
  <c r="S60" i="1" s="1"/>
  <c r="V59" i="1"/>
  <c r="S59" i="1" s="1"/>
  <c r="V53" i="1"/>
  <c r="S53" i="1" s="1"/>
  <c r="V44" i="1"/>
  <c r="S44" i="1" s="1"/>
  <c r="V43" i="1"/>
  <c r="S43" i="1" s="1"/>
  <c r="V37" i="1"/>
  <c r="S37" i="1" s="1"/>
  <c r="V29" i="1"/>
  <c r="S29" i="1" s="1"/>
  <c r="V28" i="1"/>
  <c r="S28" i="1" s="1"/>
  <c r="V77" i="1"/>
  <c r="S77" i="1" s="1"/>
  <c r="V68" i="1"/>
  <c r="S68" i="1" s="1"/>
  <c r="V67" i="1"/>
  <c r="S67" i="1" s="1"/>
  <c r="V61" i="1"/>
  <c r="S61" i="1" s="1"/>
  <c r="V52" i="1"/>
  <c r="S52" i="1" s="1"/>
  <c r="V51" i="1"/>
  <c r="S51" i="1" s="1"/>
  <c r="V45" i="1"/>
  <c r="S45" i="1" s="1"/>
  <c r="V36" i="1"/>
  <c r="S36" i="1" s="1"/>
  <c r="V35" i="1"/>
  <c r="S35" i="1" s="1"/>
  <c r="V30" i="1"/>
  <c r="S30" i="1" s="1"/>
  <c r="K9" i="1"/>
  <c r="L9" i="1"/>
  <c r="M9" i="1" s="1"/>
  <c r="K8" i="1"/>
  <c r="L8" i="1"/>
  <c r="M8" i="1" s="1"/>
  <c r="K5" i="1"/>
  <c r="L5" i="1"/>
  <c r="M5" i="1" s="1"/>
  <c r="K3" i="1"/>
  <c r="L3" i="1"/>
  <c r="M3" i="1" s="1"/>
  <c r="K21" i="1"/>
  <c r="L21" i="1"/>
  <c r="M21" i="1" s="1"/>
  <c r="K6" i="1"/>
  <c r="L6" i="1"/>
  <c r="K7" i="1"/>
  <c r="L7" i="1"/>
  <c r="K19" i="1"/>
  <c r="L19" i="1"/>
  <c r="M19" i="1" s="1"/>
  <c r="K4" i="1"/>
  <c r="L4" i="1"/>
  <c r="M4" i="1" s="1"/>
  <c r="K17" i="1"/>
  <c r="L17" i="1"/>
  <c r="M17" i="1" s="1"/>
  <c r="K10" i="1"/>
  <c r="L10" i="1"/>
  <c r="K15" i="1"/>
  <c r="L15" i="1"/>
  <c r="M15" i="1" s="1"/>
  <c r="K12" i="1"/>
  <c r="L12" i="1"/>
  <c r="K16" i="1"/>
  <c r="L16" i="1"/>
  <c r="M16" i="1" s="1"/>
  <c r="K11" i="1"/>
  <c r="L11" i="1"/>
  <c r="K13" i="1"/>
  <c r="L13" i="1"/>
  <c r="K20" i="1"/>
  <c r="L20" i="1"/>
  <c r="O20" i="1" s="1"/>
  <c r="K18" i="1"/>
  <c r="L18" i="1"/>
  <c r="O18" i="1" s="1"/>
  <c r="K14" i="1"/>
  <c r="L14" i="1"/>
  <c r="O12" i="1" l="1"/>
  <c r="O10" i="1"/>
  <c r="O6" i="1"/>
  <c r="R8" i="1"/>
  <c r="T8" i="1"/>
  <c r="U8" i="1"/>
  <c r="I82" i="1"/>
  <c r="V8" i="1" l="1"/>
  <c r="S8" i="1" s="1"/>
  <c r="R9" i="1"/>
  <c r="R5" i="1"/>
  <c r="R3" i="1"/>
  <c r="R21" i="1"/>
  <c r="R6" i="1"/>
  <c r="R7" i="1"/>
  <c r="R19" i="1"/>
  <c r="R4" i="1"/>
  <c r="R17" i="1"/>
  <c r="R10" i="1"/>
  <c r="R15" i="1"/>
  <c r="R12" i="1"/>
  <c r="R16" i="1"/>
  <c r="R11" i="1"/>
  <c r="R13" i="1"/>
  <c r="R20" i="1"/>
  <c r="R18" i="1"/>
  <c r="R14" i="1"/>
  <c r="L40" i="3"/>
  <c r="L41" i="3" s="1"/>
  <c r="A1" i="1" l="1"/>
  <c r="J84" i="1" l="1"/>
  <c r="T9" i="1"/>
  <c r="U9" i="1"/>
  <c r="T5" i="1"/>
  <c r="U5" i="1"/>
  <c r="T3" i="1"/>
  <c r="U3" i="1"/>
  <c r="T21" i="1"/>
  <c r="U21" i="1"/>
  <c r="T6" i="1"/>
  <c r="U6" i="1"/>
  <c r="T7" i="1"/>
  <c r="U7" i="1"/>
  <c r="T19" i="1"/>
  <c r="U19" i="1"/>
  <c r="T4" i="1"/>
  <c r="U4" i="1"/>
  <c r="T17" i="1"/>
  <c r="U17" i="1"/>
  <c r="T10" i="1"/>
  <c r="U10" i="1"/>
  <c r="T15" i="1"/>
  <c r="U15" i="1"/>
  <c r="T12" i="1"/>
  <c r="U12" i="1"/>
  <c r="T16" i="1"/>
  <c r="U16" i="1"/>
  <c r="T11" i="1"/>
  <c r="U11" i="1"/>
  <c r="T13" i="1"/>
  <c r="U13" i="1"/>
  <c r="T20" i="1"/>
  <c r="U20" i="1"/>
  <c r="T18" i="1"/>
  <c r="U18" i="1"/>
  <c r="T14" i="1"/>
  <c r="U14" i="1"/>
  <c r="V11" i="1" l="1"/>
  <c r="S11" i="1" s="1"/>
  <c r="V14" i="1"/>
  <c r="S14" i="1" s="1"/>
  <c r="V13" i="1"/>
  <c r="S13" i="1" s="1"/>
  <c r="V15" i="1"/>
  <c r="S15" i="1" s="1"/>
  <c r="V10" i="1"/>
  <c r="S10" i="1" s="1"/>
  <c r="V19" i="1"/>
  <c r="S19" i="1" s="1"/>
  <c r="V7" i="1"/>
  <c r="S7" i="1" s="1"/>
  <c r="V5" i="1"/>
  <c r="S5" i="1" s="1"/>
  <c r="V3" i="1"/>
  <c r="S3" i="1" s="1"/>
  <c r="V16" i="1"/>
  <c r="S16" i="1" s="1"/>
  <c r="V17" i="1"/>
  <c r="S17" i="1" s="1"/>
  <c r="V21" i="1"/>
  <c r="S21" i="1" s="1"/>
  <c r="V6" i="1"/>
  <c r="S6" i="1" s="1"/>
  <c r="V18" i="1"/>
  <c r="S18" i="1" s="1"/>
  <c r="V12" i="1"/>
  <c r="S12" i="1" s="1"/>
  <c r="V4" i="1"/>
  <c r="S4" i="1" s="1"/>
  <c r="V9" i="1"/>
  <c r="S9" i="1" s="1"/>
  <c r="V20" i="1"/>
  <c r="S20" i="1" s="1"/>
  <c r="N86" i="1"/>
  <c r="M86" i="1"/>
  <c r="L86" i="1"/>
  <c r="J87" i="1"/>
  <c r="J86" i="1"/>
  <c r="M88" i="1" l="1"/>
  <c r="M85" i="1"/>
  <c r="J85" i="1"/>
  <c r="N88" i="1"/>
  <c r="L88" i="1"/>
  <c r="L85" i="1"/>
  <c r="J88" i="1"/>
  <c r="N85" i="1"/>
  <c r="J8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<sst xmlns="http://schemas.openxmlformats.org/spreadsheetml/2006/main" count="683" uniqueCount="305">
  <si>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</si>
  <si>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</si>
  <si>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</si>
  <si>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</si>
  <si>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</si>
  <si>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</si>
  <si>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</si>
  <si>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</si>
  <si>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204:143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</si>
  <si>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</si>
  <si>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</si>
  <si>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</si>
  <si>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</si>
  <si>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</si>
  <si>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</si>
  <si>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</si>
  <si>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</si>
  <si>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</si>
  <si>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</si>
  <si>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</si>
  <si>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204:233308</t>
  </si>
  <si>
    <t>204:147</t>
  </si>
  <si>
    <t>204:158</t>
  </si>
  <si>
    <t>Total Completed PTC runs (%)</t>
  </si>
  <si>
    <t>204:150</t>
  </si>
  <si>
    <t>204:156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</si>
  <si>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</si>
  <si>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</si>
  <si>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</si>
  <si>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</si>
  <si>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</si>
  <si>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</si>
  <si>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</si>
  <si>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</si>
  <si>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</si>
  <si>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</si>
  <si>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</si>
  <si>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</si>
  <si>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</si>
  <si>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</si>
  <si>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</si>
  <si>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</si>
  <si>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</si>
  <si>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</si>
  <si>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</si>
  <si>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rtdc.l.rtdc.4026:itc</t>
  </si>
  <si>
    <t>rtdc.l.rtdc.4017:itc</t>
  </si>
  <si>
    <t>rtdc.l.rtdc.4044:itc</t>
  </si>
  <si>
    <t>Y</t>
  </si>
  <si>
    <t>Track device (7)</t>
  </si>
  <si>
    <t>Reactive Enforcement (3)</t>
  </si>
  <si>
    <t>Signal based authority (5)</t>
  </si>
  <si>
    <t>SIGNAL</t>
  </si>
  <si>
    <t>Speed (6)</t>
  </si>
  <si>
    <t>PERMANENT SPEED RESTRICTION</t>
  </si>
  <si>
    <t>rtdc.l.rtdc.4039:itc</t>
  </si>
  <si>
    <t>Bulletin (2)</t>
  </si>
  <si>
    <t>GRADE CROSSING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</si>
  <si>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</si>
  <si>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</si>
  <si>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</si>
  <si>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</si>
  <si>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</si>
  <si>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</si>
  <si>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</si>
  <si>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</si>
  <si>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</si>
  <si>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</si>
  <si>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</si>
  <si>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</si>
  <si>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</si>
  <si>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204:768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</si>
  <si>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</si>
  <si>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</si>
  <si>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</si>
  <si>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</si>
  <si>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</si>
  <si>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</si>
  <si>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</si>
  <si>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SWITCH UNKNOWN</t>
  </si>
  <si>
    <t>rtdc.l.rtdc.4009:itc</t>
  </si>
  <si>
    <t>rtdc.l.rtdc.4042:itc</t>
  </si>
  <si>
    <t>204:232673</t>
  </si>
  <si>
    <t>204:165</t>
  </si>
  <si>
    <t>204:233281</t>
  </si>
  <si>
    <t>204:233282</t>
  </si>
  <si>
    <t>Threshold for Pink Highlight (Slow Run) (mins)</t>
  </si>
  <si>
    <t>Married Pair</t>
  </si>
  <si>
    <t>181-22</t>
  </si>
  <si>
    <t>204:743</t>
  </si>
  <si>
    <t>204:38990</t>
  </si>
  <si>
    <t>177-22</t>
  </si>
  <si>
    <t>204:697</t>
  </si>
  <si>
    <t>204:233368</t>
  </si>
  <si>
    <t>175-22</t>
  </si>
  <si>
    <t>204:881</t>
  </si>
  <si>
    <t>204:233223</t>
  </si>
  <si>
    <t>166-22</t>
  </si>
  <si>
    <t>204:232672</t>
  </si>
  <si>
    <t>173-22</t>
  </si>
  <si>
    <t>204:748</t>
  </si>
  <si>
    <t>164-22</t>
  </si>
  <si>
    <t>204:232781</t>
  </si>
  <si>
    <t>171-22</t>
  </si>
  <si>
    <t>204:739</t>
  </si>
  <si>
    <t>204:233312</t>
  </si>
  <si>
    <t>162-22</t>
  </si>
  <si>
    <t>204:232683</t>
  </si>
  <si>
    <t>156-22</t>
  </si>
  <si>
    <t>204:127816</t>
  </si>
  <si>
    <t>158-22</t>
  </si>
  <si>
    <t>204:232488</t>
  </si>
  <si>
    <t>157-22</t>
  </si>
  <si>
    <t>204:19199</t>
  </si>
  <si>
    <t>204:128339</t>
  </si>
  <si>
    <t>160-22</t>
  </si>
  <si>
    <t>204:232556</t>
  </si>
  <si>
    <t>204:245</t>
  </si>
  <si>
    <t>167-22</t>
  </si>
  <si>
    <t>204:111021</t>
  </si>
  <si>
    <t>204:110743</t>
  </si>
  <si>
    <t>204:19190</t>
  </si>
  <si>
    <t>204:111514</t>
  </si>
  <si>
    <t>165-22</t>
  </si>
  <si>
    <t>204:783</t>
  </si>
  <si>
    <t>204:737</t>
  </si>
  <si>
    <t>163-22</t>
  </si>
  <si>
    <t>204:19111</t>
  </si>
  <si>
    <t>204:233298</t>
  </si>
  <si>
    <t>204:4810</t>
  </si>
  <si>
    <t>204:6061</t>
  </si>
  <si>
    <t>133-22</t>
  </si>
  <si>
    <t>204:1498</t>
  </si>
  <si>
    <t>204:233197</t>
  </si>
  <si>
    <t>131-22</t>
  </si>
  <si>
    <t>204:666</t>
  </si>
  <si>
    <t>204:233140</t>
  </si>
  <si>
    <t>118-22</t>
  </si>
  <si>
    <t>204:232349</t>
  </si>
  <si>
    <t>204:1908</t>
  </si>
  <si>
    <t>112-22</t>
  </si>
  <si>
    <t>119-22</t>
  </si>
  <si>
    <t>204:19197</t>
  </si>
  <si>
    <t>204:233007</t>
  </si>
  <si>
    <t>204:4475</t>
  </si>
  <si>
    <t>204:5674</t>
  </si>
  <si>
    <t>113-22</t>
  </si>
  <si>
    <t>204:732</t>
  </si>
  <si>
    <t>Training - seems like operator was impatient with the initial restricted speed when you first go active</t>
  </si>
  <si>
    <t>Routing @ 61st</t>
  </si>
  <si>
    <t>First init failed due to clearance number issues (dispatcher training). Then they went cut out to 38th, and everything was fine from there)</t>
  </si>
  <si>
    <t>Onboard - Navigation Faults</t>
  </si>
  <si>
    <t>Looks like this purposefully started its day at 38th Station. Looks like Comparator issue caused the trip to end prematurely… and it restarted as trip 156-22</t>
  </si>
  <si>
    <t>Picked up where 157-22 ended, and took us back to DUS</t>
  </si>
  <si>
    <t>https://search-rtdc-monitor-bjffxe2xuh6vdkpspy63sjmuny.us-east-1.es.amazonaws.com/_plugin/kibana/#/discover/Steve-Slow-Train-Analysis-(2080s-and-2083s)?_g=(refreshInterval:(display:Off,section:0,value:0),time:(from:'2016-04-22T15:52:28.000Z',mode:absolute,to:'2016-04-22T18:23:17.000Z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Current%20Position.LatLon'),filters:!(),index:'emp_*',interval:auto,query:(query_string:(analyze_wildcard:!t,query:'Message%5C%20ID:(2083%20OR%202080%20OR%201041)%20AND%20(%22rtdc.l.rtdc.4008%22%20%20OR%20%22rtdc.l.rtdc.4015%22%20OR%20%22rtdc.l.rtdc.4016%22%20OR%20%22rtdc.l.rtdc.4007%22)')),sort:!(Time,asc))</t>
  </si>
  <si>
    <t>172-22</t>
  </si>
  <si>
    <t>204:232646</t>
  </si>
  <si>
    <t>204:145</t>
  </si>
  <si>
    <t>174-22</t>
  </si>
  <si>
    <t>204:232581</t>
  </si>
  <si>
    <t>204:154</t>
  </si>
  <si>
    <t>176-22</t>
  </si>
  <si>
    <t>204:232702</t>
  </si>
  <si>
    <t>204:138</t>
  </si>
  <si>
    <t>178-22</t>
  </si>
  <si>
    <t>204:232723</t>
  </si>
  <si>
    <t>204:141</t>
  </si>
  <si>
    <t>180-22</t>
  </si>
  <si>
    <t>204:232689</t>
  </si>
  <si>
    <t>182-22</t>
  </si>
  <si>
    <t>204:232711</t>
  </si>
  <si>
    <t>204:129044</t>
  </si>
  <si>
    <t>184-22</t>
  </si>
  <si>
    <t>204:232650</t>
  </si>
  <si>
    <t>185-22</t>
  </si>
  <si>
    <t>204:781</t>
  </si>
  <si>
    <t>204:233307</t>
  </si>
  <si>
    <t>186-22</t>
  </si>
  <si>
    <t>204:232666</t>
  </si>
  <si>
    <t>187-22</t>
  </si>
  <si>
    <t>204:763</t>
  </si>
  <si>
    <t>204:233300</t>
  </si>
  <si>
    <t>188-22</t>
  </si>
  <si>
    <t>204:232639</t>
  </si>
  <si>
    <t>204:149</t>
  </si>
  <si>
    <t>189-22</t>
  </si>
  <si>
    <t>204:755</t>
  </si>
  <si>
    <t>190-22</t>
  </si>
  <si>
    <t>204:232687</t>
  </si>
  <si>
    <t>191-22</t>
  </si>
  <si>
    <t>204:233297</t>
  </si>
  <si>
    <t>192-22</t>
  </si>
  <si>
    <t>204:232714</t>
  </si>
  <si>
    <t>193-22</t>
  </si>
  <si>
    <t>204:230475</t>
  </si>
  <si>
    <t>194-22</t>
  </si>
  <si>
    <t>204:232679</t>
  </si>
  <si>
    <t>195-22</t>
  </si>
  <si>
    <t>204:774</t>
  </si>
  <si>
    <t>204:233306</t>
  </si>
  <si>
    <t>196-22</t>
  </si>
  <si>
    <t>204:128128</t>
  </si>
  <si>
    <t>197-22</t>
  </si>
  <si>
    <t>204:710</t>
  </si>
  <si>
    <t>204:233326</t>
  </si>
  <si>
    <t>198-22</t>
  </si>
  <si>
    <t>204:232662</t>
  </si>
  <si>
    <t>204:64340</t>
  </si>
  <si>
    <t>204:64098</t>
  </si>
  <si>
    <t>199-22</t>
  </si>
  <si>
    <t>204:759</t>
  </si>
  <si>
    <t>204:233323</t>
  </si>
  <si>
    <t>200-22</t>
  </si>
  <si>
    <t>201-22</t>
  </si>
  <si>
    <t>204:233284</t>
  </si>
  <si>
    <t>202-22</t>
  </si>
  <si>
    <t>204-22</t>
  </si>
  <si>
    <t>204:232735</t>
  </si>
  <si>
    <t>205-22</t>
  </si>
  <si>
    <t>204:233389</t>
  </si>
  <si>
    <t>206-22</t>
  </si>
  <si>
    <t>204:232739</t>
  </si>
  <si>
    <t>207-22</t>
  </si>
  <si>
    <t>204:233338</t>
  </si>
  <si>
    <t>208-22</t>
  </si>
  <si>
    <t>204:152</t>
  </si>
  <si>
    <t>209-22</t>
  </si>
  <si>
    <t>204:766</t>
  </si>
  <si>
    <t>204:233339</t>
  </si>
  <si>
    <t>210-22</t>
  </si>
  <si>
    <t>204:127784</t>
  </si>
  <si>
    <t>204:232670</t>
  </si>
  <si>
    <t>204:130909</t>
  </si>
  <si>
    <t>211-22</t>
  </si>
  <si>
    <t>204:752</t>
  </si>
  <si>
    <t>204:233257</t>
  </si>
  <si>
    <t>212-22</t>
  </si>
  <si>
    <t>204:167</t>
  </si>
  <si>
    <t>213-22</t>
  </si>
  <si>
    <t>204:772</t>
  </si>
  <si>
    <t>204:233278</t>
  </si>
  <si>
    <t>214-22</t>
  </si>
  <si>
    <t>204:232664</t>
  </si>
  <si>
    <t>204:123</t>
  </si>
  <si>
    <t>215-22</t>
  </si>
  <si>
    <t>204:754</t>
  </si>
  <si>
    <t>204:233329</t>
  </si>
  <si>
    <t>216-22</t>
  </si>
  <si>
    <t>204:232737</t>
  </si>
  <si>
    <t>218-22</t>
  </si>
  <si>
    <t>204:232690</t>
  </si>
  <si>
    <t>219-22</t>
  </si>
  <si>
    <t>204:777</t>
  </si>
  <si>
    <t>204:233331</t>
  </si>
  <si>
    <t>220-22</t>
  </si>
  <si>
    <t>221-22</t>
  </si>
  <si>
    <t>204:792</t>
  </si>
  <si>
    <t>204:233309</t>
  </si>
  <si>
    <t>222-22</t>
  </si>
  <si>
    <t>204:232637</t>
  </si>
  <si>
    <t>204:161</t>
  </si>
  <si>
    <t>223-22</t>
  </si>
  <si>
    <t>204:786</t>
  </si>
  <si>
    <t>204:233288</t>
  </si>
  <si>
    <t>224-22</t>
  </si>
  <si>
    <t>204:232763</t>
  </si>
  <si>
    <t>225-22</t>
  </si>
  <si>
    <t>226-22</t>
  </si>
  <si>
    <t>204:232652</t>
  </si>
  <si>
    <t>227-22</t>
  </si>
  <si>
    <t>228-22</t>
  </si>
  <si>
    <t>204:232644</t>
  </si>
  <si>
    <t>229-22</t>
  </si>
  <si>
    <t>204:721</t>
  </si>
  <si>
    <t>204:233301</t>
  </si>
  <si>
    <t>231-22</t>
  </si>
  <si>
    <t>204:1479</t>
  </si>
  <si>
    <t>204:1738</t>
  </si>
  <si>
    <t>204:3044</t>
  </si>
  <si>
    <t>204:5547</t>
  </si>
  <si>
    <t>rtdc.l.rtdc.4014:itc</t>
  </si>
  <si>
    <t>rtdc.l.rtdc.4038:itc</t>
  </si>
  <si>
    <t>rtdc.l.rtdc.4023:itc</t>
  </si>
  <si>
    <t>rtdc.l.rtdc.4030:itc</t>
  </si>
  <si>
    <t>rtdc.l.rtdc.4016:itc</t>
  </si>
  <si>
    <t>179-22</t>
  </si>
  <si>
    <t>rtdc.l.rtdc.4012:itc</t>
  </si>
  <si>
    <t>rtdc.l.rtdc.4027:itc</t>
  </si>
  <si>
    <t>Training - coming out of DUS</t>
  </si>
  <si>
    <t>Training - ends of DUS/DIA</t>
  </si>
  <si>
    <t>Training - early arrival</t>
  </si>
  <si>
    <t>Training - speed restrictions</t>
  </si>
  <si>
    <t>Training/Routing @ 40th</t>
  </si>
  <si>
    <t>Training/Routing @ Pena</t>
  </si>
  <si>
    <t>Training/Routing @ Chambers</t>
  </si>
  <si>
    <t>Routing issue at 40th</t>
  </si>
  <si>
    <t>Routing / Form C</t>
  </si>
  <si>
    <t>Eagle P3 Braking Events - 2016-04-22</t>
  </si>
  <si>
    <t>Routing @ 40th</t>
  </si>
  <si>
    <t>Routing @ 40th / Form C @ MP5.3</t>
  </si>
  <si>
    <t>Onboard - EBI Card Fault</t>
  </si>
  <si>
    <t>Onboard - GPS issues</t>
  </si>
  <si>
    <t>Form C</t>
  </si>
  <si>
    <t>Onboard navigation issue</t>
  </si>
  <si>
    <t>Onboard - invalid pressures from 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</si>
</sst>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167" fontId="0" fillId="0" borderId="22" xfId="0" applyNumberFormat="1" applyFill="1" applyBorder="1" applyAlignment="1">
      <alignment horizontal="left"/>
    </xf>
    <xf numFmtId="2" fontId="0" fillId="0" borderId="22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1" fontId="0" fillId="0" borderId="23" xfId="0" applyNumberFormat="1" applyFill="1" applyBorder="1" applyAlignment="1">
      <alignment horizontal="left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"/>
  <sheetViews>
    <sheetView showGridLines="0" tabSelected="1" topLeftCell="A18" zoomScale="90" zoomScaleNormal="90" workbookViewId="0">
      <selection activeCell="P48" sqref="P4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20.140625" style="32" customWidth="1"/>
    <col min="7" max="7" width="18.42578125" style="64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8" max="18" width="6.710937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80" t="str">
        <f>"Eagle P3 System Performance - "&amp;TEXT(Z2,"yyyy-mm-dd")</f>
        <v>Eagle P3 System Performance - 2016-04-22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Z1" s="50" t="s">
        <v>32</v>
      </c>
      <c r="AB1" s="59" t="s">
        <v>86</v>
      </c>
    </row>
    <row r="2" spans="1:89" s="12" customFormat="1" ht="69" customHeight="1" thickBot="1" x14ac:dyDescent="0.3">
      <c r="A2" s="26" t="s">
        <v>0</v>
      </c>
      <c r="B2" s="27" t="s">
        <v>77</v>
      </c>
      <c r="C2" s="27" t="s">
        <v>36</v>
      </c>
      <c r="D2" s="27" t="s">
        <v>1</v>
      </c>
      <c r="E2" s="52" t="s">
        <v>2</v>
      </c>
      <c r="F2" s="52" t="s">
        <v>3</v>
      </c>
      <c r="G2" s="61" t="s">
        <v>4</v>
      </c>
      <c r="H2" s="52" t="s">
        <v>5</v>
      </c>
      <c r="I2" s="52" t="s">
        <v>6</v>
      </c>
      <c r="J2" s="27" t="s">
        <v>7</v>
      </c>
      <c r="K2" s="27" t="s">
        <v>87</v>
      </c>
      <c r="L2" s="28" t="s">
        <v>9</v>
      </c>
      <c r="M2" s="27" t="s">
        <v>74</v>
      </c>
      <c r="N2" s="29" t="s">
        <v>75</v>
      </c>
      <c r="O2" s="30" t="s">
        <v>19</v>
      </c>
      <c r="P2" s="31" t="s">
        <v>31</v>
      </c>
      <c r="Q2" s="11"/>
      <c r="R2" s="15" t="s">
        <v>78</v>
      </c>
      <c r="S2" s="15" t="s">
        <v>30</v>
      </c>
      <c r="T2" s="15" t="s">
        <v>27</v>
      </c>
      <c r="U2" s="15" t="s">
        <v>28</v>
      </c>
      <c r="V2" s="15" t="s">
        <v>29</v>
      </c>
      <c r="W2" s="48" t="s">
        <v>72</v>
      </c>
      <c r="X2" s="48" t="s">
        <v>73</v>
      </c>
      <c r="Y2" s="11"/>
      <c r="Z2" s="51">
        <v>42482</v>
      </c>
      <c r="AA2" s="11"/>
      <c r="AB2" s="60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140</v>
      </c>
      <c r="B3" s="19">
        <v>4012</v>
      </c>
      <c r="C3" s="19" t="s">
        <v>70</v>
      </c>
      <c r="D3" s="19" t="s">
        <v>82</v>
      </c>
      <c r="E3" s="53">
        <v>42482.266562500001</v>
      </c>
      <c r="F3" s="53">
        <v>42482.268993055557</v>
      </c>
      <c r="G3" s="62">
        <v>3</v>
      </c>
      <c r="H3" s="53" t="s">
        <v>83</v>
      </c>
      <c r="I3" s="53">
        <v>42482.294409722221</v>
      </c>
      <c r="J3" s="19">
        <v>0</v>
      </c>
      <c r="K3" s="19" t="str">
        <f t="shared" ref="K3:K27" si="0">IF(ISEVEN(B3),(B3-1)&amp;"/"&amp;B3,B3&amp;"/"&amp;(B3+1))</f>
        <v>4011/4012</v>
      </c>
      <c r="L3" s="20">
        <f t="shared" ref="L3:L27" si="1">I3-F3</f>
        <v>2.5416666663659271E-2</v>
      </c>
      <c r="M3" s="21">
        <f>$L3*24*60</f>
        <v>36.59999999566935</v>
      </c>
      <c r="N3" s="21"/>
      <c r="O3" s="22"/>
      <c r="P3" s="17"/>
      <c r="R3" s="16" t="str">
        <f t="shared" ref="R3:R21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https://search-rtdc-monitor-bjffxe2xuh6vdkpspy63sjmuny.us-east-1.es.amazonaws.com/_plugin/kibana/#/discover/Steve-Slow-Train-Analysis-(2080s-and-2083s)?_g=(refreshInterval:(display:Off,section:0,value:0),time:(from:'2016-04-22 06:22:51-0600',mode:absolute,to:'2016-04-22 07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3" s="16" t="str">
        <f t="shared" ref="S3:S21" si="3">IF(V3&lt;23,"Y","N")</f>
        <v>N</v>
      </c>
      <c r="T3" s="16">
        <f t="shared" ref="T3:T21" si="4">RIGHT(D3,LEN(D3)-4)/10000</f>
        <v>23.267299999999999</v>
      </c>
      <c r="U3" s="16">
        <f t="shared" ref="U3:U21" si="5">RIGHT(H3,LEN(H3)-4)/10000</f>
        <v>1.6500000000000001E-2</v>
      </c>
      <c r="V3" s="16">
        <f t="shared" ref="V3:V21" si="6">ABS(U3-T3)</f>
        <v>23.250799999999998</v>
      </c>
      <c r="W3" s="49" t="e">
        <f>VLOOKUP(A3,Enforcements!$C$3:$J$20,8,0)</f>
        <v>#N/A</v>
      </c>
      <c r="X3" s="49" t="e">
        <f>VLOOKUP(A3,Enforcements!$C$3:$J$20,3,0)</f>
        <v>#N/A</v>
      </c>
    </row>
    <row r="4" spans="1:89" s="2" customFormat="1" x14ac:dyDescent="0.25">
      <c r="A4" s="18" t="s">
        <v>146</v>
      </c>
      <c r="B4" s="19">
        <v>4027</v>
      </c>
      <c r="C4" s="19" t="s">
        <v>70</v>
      </c>
      <c r="D4" s="19" t="s">
        <v>147</v>
      </c>
      <c r="E4" s="53">
        <v>42482.187280092592</v>
      </c>
      <c r="F4" s="53">
        <v>42482.20988425926</v>
      </c>
      <c r="G4" s="62">
        <v>1</v>
      </c>
      <c r="H4" s="53" t="s">
        <v>20</v>
      </c>
      <c r="I4" s="53">
        <v>42482.238576388889</v>
      </c>
      <c r="J4" s="19">
        <v>0</v>
      </c>
      <c r="K4" s="19" t="str">
        <f t="shared" si="0"/>
        <v>4027/4028</v>
      </c>
      <c r="L4" s="20">
        <f t="shared" si="1"/>
        <v>2.8692129628325347E-2</v>
      </c>
      <c r="M4" s="21">
        <f>$L4*24*60</f>
        <v>41.316666664788499</v>
      </c>
      <c r="N4" s="21"/>
      <c r="O4" s="22"/>
      <c r="P4" s="17"/>
      <c r="R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04:28:41-0600',mode:absolute,to:'2016-04-22 05:44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4" s="16" t="str">
        <f t="shared" si="3"/>
        <v>N</v>
      </c>
      <c r="T4" s="16">
        <f t="shared" si="4"/>
        <v>7.3200000000000001E-2</v>
      </c>
      <c r="U4" s="16">
        <f t="shared" si="5"/>
        <v>23.3308</v>
      </c>
      <c r="V4" s="16">
        <f t="shared" si="6"/>
        <v>23.2576</v>
      </c>
      <c r="W4" s="49" t="e">
        <f>VLOOKUP(A4,Enforcements!$C$3:$J$20,8,0)</f>
        <v>#N/A</v>
      </c>
      <c r="X4" s="49" t="e">
        <f>VLOOKUP(A4,Enforcements!$C$3:$J$20,3,0)</f>
        <v>#N/A</v>
      </c>
    </row>
    <row r="5" spans="1:89" s="2" customFormat="1" x14ac:dyDescent="0.25">
      <c r="A5" s="18" t="s">
        <v>137</v>
      </c>
      <c r="B5" s="19">
        <v>4030</v>
      </c>
      <c r="C5" s="19" t="s">
        <v>70</v>
      </c>
      <c r="D5" s="19" t="s">
        <v>138</v>
      </c>
      <c r="E5" s="53">
        <v>42482.275717592594</v>
      </c>
      <c r="F5" s="53">
        <v>42482.292511574073</v>
      </c>
      <c r="G5" s="62">
        <v>1</v>
      </c>
      <c r="H5" s="53" t="s">
        <v>139</v>
      </c>
      <c r="I5" s="53">
        <v>42482.318252314813</v>
      </c>
      <c r="J5" s="19">
        <v>0</v>
      </c>
      <c r="K5" s="19" t="str">
        <f t="shared" si="0"/>
        <v>4029/4030</v>
      </c>
      <c r="L5" s="20">
        <f t="shared" si="1"/>
        <v>2.5740740740729962E-2</v>
      </c>
      <c r="M5" s="21">
        <f>$L5*24*60</f>
        <v>37.066666666651145</v>
      </c>
      <c r="N5" s="21"/>
      <c r="O5" s="22"/>
      <c r="P5" s="17"/>
      <c r="R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06:36:02-0600',mode:absolute,to:'2016-04-22 07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5" s="16" t="str">
        <f t="shared" si="3"/>
        <v>N</v>
      </c>
      <c r="T5" s="16">
        <f t="shared" si="4"/>
        <v>23.2349</v>
      </c>
      <c r="U5" s="16">
        <f t="shared" si="5"/>
        <v>0.1908</v>
      </c>
      <c r="V5" s="16">
        <f t="shared" si="6"/>
        <v>23.0441</v>
      </c>
      <c r="W5" s="49" t="e">
        <f>VLOOKUP(A5,Enforcements!$C$3:$J$20,8,0)</f>
        <v>#N/A</v>
      </c>
      <c r="X5" s="49" t="e">
        <f>VLOOKUP(A5,Enforcements!$C$3:$J$20,3,0)</f>
        <v>#N/A</v>
      </c>
      <c r="Z5" s="25" t="s">
        <v>26</v>
      </c>
      <c r="AA5" s="13"/>
    </row>
    <row r="6" spans="1:89" s="2" customFormat="1" x14ac:dyDescent="0.25">
      <c r="A6" s="18" t="s">
        <v>141</v>
      </c>
      <c r="B6" s="19">
        <v>4038</v>
      </c>
      <c r="C6" s="19" t="s">
        <v>70</v>
      </c>
      <c r="D6" s="19" t="s">
        <v>142</v>
      </c>
      <c r="E6" s="53">
        <v>42482.22384259259</v>
      </c>
      <c r="F6" s="53">
        <v>42482.224618055552</v>
      </c>
      <c r="G6" s="62">
        <v>1</v>
      </c>
      <c r="H6" s="53" t="s">
        <v>143</v>
      </c>
      <c r="I6" s="53">
        <v>42482.246770833335</v>
      </c>
      <c r="J6" s="19">
        <v>0</v>
      </c>
      <c r="K6" s="19" t="str">
        <f t="shared" si="0"/>
        <v>4037/4038</v>
      </c>
      <c r="L6" s="20">
        <f t="shared" si="1"/>
        <v>2.2152777783048805E-2</v>
      </c>
      <c r="M6" s="21"/>
      <c r="N6" s="21"/>
      <c r="O6" s="22">
        <f>(L6+$L$7)*24*60</f>
        <v>33.249999998370185</v>
      </c>
      <c r="P6" s="17" t="s">
        <v>148</v>
      </c>
      <c r="R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05:21:20-0600',mode:absolute,to:'2016-04-22 05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6" s="16" t="str">
        <f t="shared" si="3"/>
        <v>Y</v>
      </c>
      <c r="T6" s="16">
        <f t="shared" si="4"/>
        <v>1.9197</v>
      </c>
      <c r="U6" s="16">
        <f t="shared" si="5"/>
        <v>23.300699999999999</v>
      </c>
      <c r="V6" s="16">
        <f t="shared" si="6"/>
        <v>21.381</v>
      </c>
      <c r="W6" s="49" t="e">
        <f>VLOOKUP(A6,Enforcements!$C$3:$J$20,8,0)</f>
        <v>#N/A</v>
      </c>
      <c r="X6" s="49" t="e">
        <f>VLOOKUP(A6,Enforcements!$C$3:$J$20,3,0)</f>
        <v>#N/A</v>
      </c>
      <c r="Z6" s="23"/>
      <c r="AA6" s="13" t="s">
        <v>33</v>
      </c>
    </row>
    <row r="7" spans="1:89" s="2" customFormat="1" x14ac:dyDescent="0.25">
      <c r="A7" s="18" t="s">
        <v>141</v>
      </c>
      <c r="B7" s="19">
        <v>4038</v>
      </c>
      <c r="C7" s="19" t="s">
        <v>70</v>
      </c>
      <c r="D7" s="19" t="s">
        <v>144</v>
      </c>
      <c r="E7" s="53">
        <v>42482.216203703705</v>
      </c>
      <c r="F7" s="53">
        <v>42482.22078703704</v>
      </c>
      <c r="G7" s="62">
        <v>6</v>
      </c>
      <c r="H7" s="53" t="s">
        <v>145</v>
      </c>
      <c r="I7" s="53">
        <v>42482.221724537034</v>
      </c>
      <c r="J7" s="19">
        <v>0</v>
      </c>
      <c r="K7" s="19" t="str">
        <f t="shared" si="0"/>
        <v>4037/4038</v>
      </c>
      <c r="L7" s="20">
        <f t="shared" si="1"/>
        <v>9.374999935971573E-4</v>
      </c>
      <c r="M7" s="21"/>
      <c r="N7" s="21"/>
      <c r="O7" s="22"/>
      <c r="P7" s="17"/>
      <c r="R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05:10:20-0600',mode:absolute,to:'2016-04-22 05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7" s="16" t="str">
        <f t="shared" si="3"/>
        <v>Y</v>
      </c>
      <c r="T7" s="16">
        <f t="shared" si="4"/>
        <v>0.44750000000000001</v>
      </c>
      <c r="U7" s="16">
        <f t="shared" si="5"/>
        <v>0.56740000000000002</v>
      </c>
      <c r="V7" s="16">
        <f t="shared" si="6"/>
        <v>0.11990000000000001</v>
      </c>
      <c r="W7" s="49" t="e">
        <f>VLOOKUP(A7,Enforcements!$C$3:$J$20,8,0)</f>
        <v>#N/A</v>
      </c>
      <c r="X7" s="49" t="e">
        <f>VLOOKUP(A7,Enforcements!$C$3:$J$20,3,0)</f>
        <v>#N/A</v>
      </c>
      <c r="Z7" s="24"/>
      <c r="AA7" s="13" t="s">
        <v>34</v>
      </c>
    </row>
    <row r="8" spans="1:89" s="2" customFormat="1" x14ac:dyDescent="0.25">
      <c r="A8" s="18" t="s">
        <v>134</v>
      </c>
      <c r="B8" s="19">
        <v>4014</v>
      </c>
      <c r="C8" s="19" t="s">
        <v>70</v>
      </c>
      <c r="D8" s="19" t="s">
        <v>135</v>
      </c>
      <c r="E8" s="53">
        <v>42482.352048611108</v>
      </c>
      <c r="F8" s="53">
        <v>42482.35460648148</v>
      </c>
      <c r="G8" s="62">
        <v>3</v>
      </c>
      <c r="H8" s="53" t="s">
        <v>136</v>
      </c>
      <c r="I8" s="53">
        <v>42482.386805555558</v>
      </c>
      <c r="J8" s="19">
        <v>1</v>
      </c>
      <c r="K8" s="19" t="str">
        <f t="shared" si="0"/>
        <v>4013/4014</v>
      </c>
      <c r="L8" s="20">
        <f t="shared" si="1"/>
        <v>3.2199074077652767E-2</v>
      </c>
      <c r="M8" s="21">
        <f>$L8*24*60</f>
        <v>46.366666671819985</v>
      </c>
      <c r="N8" s="21"/>
      <c r="O8" s="22"/>
      <c r="P8" s="17"/>
      <c r="R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08:25:57-0600',mode:absolute,to:'2016-04-22 09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8" s="16" t="str">
        <f t="shared" si="3"/>
        <v>N</v>
      </c>
      <c r="T8" s="16">
        <f t="shared" si="4"/>
        <v>6.6600000000000006E-2</v>
      </c>
      <c r="U8" s="16">
        <f t="shared" si="5"/>
        <v>23.314</v>
      </c>
      <c r="V8" s="16">
        <f t="shared" si="6"/>
        <v>23.247399999999999</v>
      </c>
      <c r="W8" s="49">
        <f>VLOOKUP(A8,Enforcements!$C$3:$J$20,8,0)</f>
        <v>1942</v>
      </c>
      <c r="X8" s="49" t="str">
        <f>VLOOKUP(A8,Enforcements!$C$3:$J$20,3,0)</f>
        <v>SWITCH UNKNOWN</v>
      </c>
      <c r="Z8" s="14"/>
      <c r="AA8" s="13" t="s">
        <v>35</v>
      </c>
    </row>
    <row r="9" spans="1:89" s="2" customFormat="1" x14ac:dyDescent="0.25">
      <c r="A9" s="18" t="s">
        <v>131</v>
      </c>
      <c r="B9" s="19">
        <v>4038</v>
      </c>
      <c r="C9" s="19" t="s">
        <v>70</v>
      </c>
      <c r="D9" s="19" t="s">
        <v>132</v>
      </c>
      <c r="E9" s="53">
        <v>42482.35974537037</v>
      </c>
      <c r="F9" s="53">
        <v>42482.364791666667</v>
      </c>
      <c r="G9" s="62">
        <v>1</v>
      </c>
      <c r="H9" s="53" t="s">
        <v>133</v>
      </c>
      <c r="I9" s="53">
        <v>42482.402916666666</v>
      </c>
      <c r="J9" s="19">
        <v>2</v>
      </c>
      <c r="K9" s="19" t="str">
        <f t="shared" si="0"/>
        <v>4037/4038</v>
      </c>
      <c r="L9" s="20">
        <f t="shared" si="1"/>
        <v>3.8124999999126885E-2</v>
      </c>
      <c r="M9" s="21">
        <f>$L9*24*60</f>
        <v>54.899999998742715</v>
      </c>
      <c r="N9" s="21"/>
      <c r="O9" s="22"/>
      <c r="P9" s="17" t="s">
        <v>149</v>
      </c>
      <c r="R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08:37:02-0600',mode:absolute,to:'2016-04-22 09:41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9" s="16" t="str">
        <f t="shared" si="3"/>
        <v>N</v>
      </c>
      <c r="T9" s="16">
        <f t="shared" si="4"/>
        <v>0.14979999999999999</v>
      </c>
      <c r="U9" s="16">
        <f t="shared" si="5"/>
        <v>23.319700000000001</v>
      </c>
      <c r="V9" s="16">
        <f t="shared" si="6"/>
        <v>23.169900000000002</v>
      </c>
      <c r="W9" s="49">
        <f>VLOOKUP(A9,Enforcements!$C$3:$J$20,8,0)</f>
        <v>20338</v>
      </c>
      <c r="X9" s="49" t="str">
        <f>VLOOKUP(A9,Enforcements!$C$3:$J$20,3,0)</f>
        <v>PERMANENT SPEED RESTRICTION</v>
      </c>
    </row>
    <row r="10" spans="1:89" s="2" customFormat="1" x14ac:dyDescent="0.25">
      <c r="A10" s="18" t="s">
        <v>108</v>
      </c>
      <c r="B10" s="19">
        <v>4008</v>
      </c>
      <c r="C10" s="19" t="s">
        <v>70</v>
      </c>
      <c r="D10" s="19" t="s">
        <v>109</v>
      </c>
      <c r="E10" s="53">
        <v>42482.495462962965</v>
      </c>
      <c r="F10" s="53">
        <v>42482.496504629627</v>
      </c>
      <c r="G10" s="62">
        <v>1</v>
      </c>
      <c r="H10" s="53" t="s">
        <v>25</v>
      </c>
      <c r="I10" s="53">
        <v>42482.515474537038</v>
      </c>
      <c r="J10" s="19">
        <v>0</v>
      </c>
      <c r="K10" s="19" t="str">
        <f t="shared" si="0"/>
        <v>4007/4008</v>
      </c>
      <c r="L10" s="20">
        <f t="shared" si="1"/>
        <v>1.8969907410792075E-2</v>
      </c>
      <c r="M10" s="21"/>
      <c r="N10" s="21"/>
      <c r="O10" s="22">
        <f>($L$10+$L$11)*24*60</f>
        <v>36.133333335164934</v>
      </c>
      <c r="P10" s="17" t="s">
        <v>153</v>
      </c>
      <c r="Q10" s="2" t="s">
        <v>154</v>
      </c>
      <c r="R1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11:52:28-0600',mode:absolute,to:'2016-04-22 12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10" s="16" t="str">
        <f t="shared" si="3"/>
        <v>Y</v>
      </c>
      <c r="T10" s="16">
        <f t="shared" si="4"/>
        <v>12.781599999999999</v>
      </c>
      <c r="U10" s="16">
        <f t="shared" si="5"/>
        <v>1.5599999999999999E-2</v>
      </c>
      <c r="V10" s="16">
        <f t="shared" si="6"/>
        <v>12.766</v>
      </c>
      <c r="W10" s="49">
        <f>VLOOKUP(A10,Enforcements!$C$3:$J$20,8,0)</f>
        <v>110714</v>
      </c>
      <c r="X10" s="49" t="str">
        <f>VLOOKUP(A10,Enforcements!$C$3:$J$20,3,0)</f>
        <v>SIGNAL</v>
      </c>
    </row>
    <row r="11" spans="1:89" s="2" customFormat="1" x14ac:dyDescent="0.25">
      <c r="A11" s="18" t="s">
        <v>108</v>
      </c>
      <c r="B11" s="19">
        <v>4023</v>
      </c>
      <c r="C11" s="19" t="s">
        <v>70</v>
      </c>
      <c r="D11" s="19" t="s">
        <v>119</v>
      </c>
      <c r="E11" s="53">
        <v>42482.45621527778</v>
      </c>
      <c r="F11" s="53">
        <v>42482.456956018519</v>
      </c>
      <c r="G11" s="62">
        <v>1</v>
      </c>
      <c r="H11" s="53" t="s">
        <v>120</v>
      </c>
      <c r="I11" s="53">
        <v>42482.463078703702</v>
      </c>
      <c r="J11" s="19">
        <v>1</v>
      </c>
      <c r="K11" s="19" t="str">
        <f t="shared" si="0"/>
        <v>4023/4024</v>
      </c>
      <c r="L11" s="20">
        <f t="shared" si="1"/>
        <v>6.1226851830724627E-3</v>
      </c>
      <c r="M11" s="21"/>
      <c r="N11" s="21"/>
      <c r="O11" s="22"/>
      <c r="P11" s="17"/>
      <c r="R1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10:55:57-0600',mode:absolute,to:'2016-04-22 11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S11" s="16" t="str">
        <f t="shared" si="3"/>
        <v>Y</v>
      </c>
      <c r="T11" s="16">
        <f t="shared" si="4"/>
        <v>11.1021</v>
      </c>
      <c r="U11" s="16">
        <f t="shared" si="5"/>
        <v>11.074299999999999</v>
      </c>
      <c r="V11" s="16">
        <f t="shared" si="6"/>
        <v>2.7800000000000935E-2</v>
      </c>
      <c r="W11" s="49">
        <f>VLOOKUP(A11,Enforcements!$C$3:$J$20,8,0)</f>
        <v>110714</v>
      </c>
      <c r="X11" s="49" t="str">
        <f>VLOOKUP(A11,Enforcements!$C$3:$J$20,3,0)</f>
        <v>SIGNAL</v>
      </c>
    </row>
    <row r="12" spans="1:89" s="2" customFormat="1" x14ac:dyDescent="0.25">
      <c r="A12" s="18" t="s">
        <v>112</v>
      </c>
      <c r="B12" s="19">
        <v>4016</v>
      </c>
      <c r="C12" s="19" t="s">
        <v>70</v>
      </c>
      <c r="D12" s="19" t="s">
        <v>113</v>
      </c>
      <c r="E12" s="53">
        <v>42482.476840277777</v>
      </c>
      <c r="F12" s="53">
        <v>42482.477835648147</v>
      </c>
      <c r="G12" s="62">
        <v>1</v>
      </c>
      <c r="H12" s="53" t="s">
        <v>114</v>
      </c>
      <c r="I12" s="53">
        <v>42482.493148148147</v>
      </c>
      <c r="J12" s="19">
        <v>0</v>
      </c>
      <c r="K12" s="19" t="str">
        <f t="shared" si="0"/>
        <v>4015/4016</v>
      </c>
      <c r="L12" s="20">
        <f t="shared" si="1"/>
        <v>1.5312499999708962E-2</v>
      </c>
      <c r="M12" s="21"/>
      <c r="N12" s="21"/>
      <c r="O12" s="22">
        <f>($L$12+$L$13+$L$14)*24*60</f>
        <v>43.533333336235955</v>
      </c>
      <c r="P12" s="17" t="s">
        <v>152</v>
      </c>
      <c r="R12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11:25:39-0600',mode:absolute,to:'2016-04-22 11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12" s="16" t="str">
        <f t="shared" si="3"/>
        <v>Y</v>
      </c>
      <c r="T12" s="16">
        <f t="shared" si="4"/>
        <v>1.9198999999999999</v>
      </c>
      <c r="U12" s="16">
        <f t="shared" si="5"/>
        <v>12.8339</v>
      </c>
      <c r="V12" s="16">
        <f t="shared" si="6"/>
        <v>10.914</v>
      </c>
      <c r="W12" s="49" t="e">
        <f>VLOOKUP(A12,Enforcements!$C$3:$J$20,8,0)</f>
        <v>#N/A</v>
      </c>
      <c r="X12" s="49" t="e">
        <f>VLOOKUP(A12,Enforcements!$C$3:$J$20,3,0)</f>
        <v>#N/A</v>
      </c>
    </row>
    <row r="13" spans="1:89" s="2" customFormat="1" x14ac:dyDescent="0.25">
      <c r="A13" s="18" t="s">
        <v>112</v>
      </c>
      <c r="B13" s="19">
        <v>4002</v>
      </c>
      <c r="C13" s="19" t="s">
        <v>70</v>
      </c>
      <c r="D13" s="19" t="s">
        <v>121</v>
      </c>
      <c r="E13" s="53">
        <v>42482.437928240739</v>
      </c>
      <c r="F13" s="53">
        <v>42482.438668981478</v>
      </c>
      <c r="G13" s="62">
        <v>1</v>
      </c>
      <c r="H13" s="53" t="s">
        <v>122</v>
      </c>
      <c r="I13" s="53">
        <v>42482.452581018515</v>
      </c>
      <c r="J13" s="19">
        <v>0</v>
      </c>
      <c r="K13" s="19" t="str">
        <f t="shared" si="0"/>
        <v>4001/4002</v>
      </c>
      <c r="L13" s="20">
        <f t="shared" si="1"/>
        <v>1.3912037036789116E-2</v>
      </c>
      <c r="M13" s="21"/>
      <c r="N13" s="21"/>
      <c r="O13" s="22"/>
      <c r="P13" s="17"/>
      <c r="R13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10:29:37-0600',mode:absolute,to:'2016-04-22 10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S13" s="16" t="str">
        <f t="shared" si="3"/>
        <v>Y</v>
      </c>
      <c r="T13" s="16">
        <f t="shared" si="4"/>
        <v>1.919</v>
      </c>
      <c r="U13" s="16">
        <f t="shared" si="5"/>
        <v>11.151400000000001</v>
      </c>
      <c r="V13" s="16">
        <f t="shared" si="6"/>
        <v>9.2324000000000002</v>
      </c>
      <c r="W13" s="49" t="e">
        <f>VLOOKUP(A13,Enforcements!$C$3:$J$20,8,0)</f>
        <v>#N/A</v>
      </c>
      <c r="X13" s="49" t="e">
        <f>VLOOKUP(A13,Enforcements!$C$3:$J$20,3,0)</f>
        <v>#N/A</v>
      </c>
    </row>
    <row r="14" spans="1:89" s="2" customFormat="1" x14ac:dyDescent="0.25">
      <c r="A14" s="18" t="s">
        <v>112</v>
      </c>
      <c r="B14" s="19">
        <v>4002</v>
      </c>
      <c r="C14" s="19" t="s">
        <v>70</v>
      </c>
      <c r="D14" s="19" t="s">
        <v>129</v>
      </c>
      <c r="E14" s="53">
        <v>42482.422395833331</v>
      </c>
      <c r="F14" s="53">
        <v>42482.434976851851</v>
      </c>
      <c r="G14" s="62">
        <v>18</v>
      </c>
      <c r="H14" s="53" t="s">
        <v>130</v>
      </c>
      <c r="I14" s="53">
        <v>42482.435983796298</v>
      </c>
      <c r="J14" s="19">
        <v>0</v>
      </c>
      <c r="K14" s="19" t="str">
        <f t="shared" si="0"/>
        <v>4001/4002</v>
      </c>
      <c r="L14" s="20">
        <f t="shared" si="1"/>
        <v>1.006944446999114E-3</v>
      </c>
      <c r="M14" s="21"/>
      <c r="N14" s="21"/>
      <c r="O14" s="22"/>
      <c r="P14" s="17"/>
      <c r="R1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10:07:15-0600',mode:absolute,to:'2016-04-22 10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S14" s="16" t="str">
        <f t="shared" si="3"/>
        <v>Y</v>
      </c>
      <c r="T14" s="16">
        <f t="shared" si="4"/>
        <v>0.48099999999999998</v>
      </c>
      <c r="U14" s="16">
        <f t="shared" si="5"/>
        <v>0.60609999999999997</v>
      </c>
      <c r="V14" s="16">
        <f t="shared" si="6"/>
        <v>0.12509999999999999</v>
      </c>
      <c r="W14" s="49" t="e">
        <f>VLOOKUP(A14,Enforcements!$C$3:$J$20,8,0)</f>
        <v>#N/A</v>
      </c>
      <c r="X14" s="49" t="e">
        <f>VLOOKUP(A14,Enforcements!$C$3:$J$20,3,0)</f>
        <v>#N/A</v>
      </c>
    </row>
    <row r="15" spans="1:89" s="2" customFormat="1" x14ac:dyDescent="0.25">
      <c r="A15" s="18" t="s">
        <v>110</v>
      </c>
      <c r="B15" s="19">
        <v>4032</v>
      </c>
      <c r="C15" s="19" t="s">
        <v>70</v>
      </c>
      <c r="D15" s="19" t="s">
        <v>111</v>
      </c>
      <c r="E15" s="53">
        <v>42482.485451388886</v>
      </c>
      <c r="F15" s="53">
        <v>42482.49763888889</v>
      </c>
      <c r="G15" s="62">
        <v>2</v>
      </c>
      <c r="H15" s="53" t="s">
        <v>8</v>
      </c>
      <c r="I15" s="53">
        <v>42482.523460648146</v>
      </c>
      <c r="J15" s="19">
        <v>0</v>
      </c>
      <c r="K15" s="19" t="str">
        <f t="shared" si="0"/>
        <v>4031/4032</v>
      </c>
      <c r="L15" s="20">
        <f t="shared" si="1"/>
        <v>2.5821759256359655E-2</v>
      </c>
      <c r="M15" s="21">
        <f>$L15*24*60</f>
        <v>37.183333329157904</v>
      </c>
      <c r="N15" s="21"/>
      <c r="O15" s="22"/>
      <c r="P15" s="17"/>
      <c r="R1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11:38:03-0600',mode:absolute,to:'2016-04-22 12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5" s="16" t="str">
        <f t="shared" si="3"/>
        <v>N</v>
      </c>
      <c r="T15" s="16">
        <f t="shared" si="4"/>
        <v>23.248799999999999</v>
      </c>
      <c r="U15" s="16">
        <f t="shared" si="5"/>
        <v>1.43E-2</v>
      </c>
      <c r="V15" s="16">
        <f t="shared" si="6"/>
        <v>23.234500000000001</v>
      </c>
      <c r="W15" s="49" t="e">
        <f>VLOOKUP(A15,Enforcements!$C$3:$J$20,8,0)</f>
        <v>#N/A</v>
      </c>
      <c r="X15" s="49" t="e">
        <f>VLOOKUP(A15,Enforcements!$C$3:$J$20,3,0)</f>
        <v>#N/A</v>
      </c>
    </row>
    <row r="16" spans="1:89" s="2" customFormat="1" x14ac:dyDescent="0.25">
      <c r="A16" s="18" t="s">
        <v>115</v>
      </c>
      <c r="B16" s="19">
        <v>4030</v>
      </c>
      <c r="C16" s="19" t="s">
        <v>70</v>
      </c>
      <c r="D16" s="19" t="s">
        <v>116</v>
      </c>
      <c r="E16" s="53">
        <v>42482.472731481481</v>
      </c>
      <c r="F16" s="53">
        <v>42482.507997685185</v>
      </c>
      <c r="G16" s="62">
        <v>2</v>
      </c>
      <c r="H16" s="53" t="s">
        <v>117</v>
      </c>
      <c r="I16" s="53">
        <v>42482.534687500003</v>
      </c>
      <c r="J16" s="19">
        <v>1</v>
      </c>
      <c r="K16" s="19" t="str">
        <f t="shared" si="0"/>
        <v>4029/4030</v>
      </c>
      <c r="L16" s="20">
        <f t="shared" si="1"/>
        <v>2.6689814818382729E-2</v>
      </c>
      <c r="M16" s="21">
        <f>$L16*24*60</f>
        <v>38.43333333847113</v>
      </c>
      <c r="N16" s="21"/>
      <c r="O16" s="22"/>
      <c r="P16" s="17"/>
      <c r="R1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11:19:44-0600',mode:absolute,to:'2016-04-22 12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16" s="16" t="str">
        <f t="shared" si="3"/>
        <v>N</v>
      </c>
      <c r="T16" s="16">
        <f t="shared" si="4"/>
        <v>23.255600000000001</v>
      </c>
      <c r="U16" s="16">
        <f t="shared" si="5"/>
        <v>2.4500000000000001E-2</v>
      </c>
      <c r="V16" s="16">
        <f t="shared" si="6"/>
        <v>23.231100000000001</v>
      </c>
      <c r="W16" s="49" t="e">
        <f>VLOOKUP(A16,Enforcements!$C$3:$J$20,8,0)</f>
        <v>#N/A</v>
      </c>
      <c r="X16" s="49" t="e">
        <f>VLOOKUP(A16,Enforcements!$C$3:$J$20,3,0)</f>
        <v>#N/A</v>
      </c>
    </row>
    <row r="17" spans="1:24" s="2" customFormat="1" x14ac:dyDescent="0.25">
      <c r="A17" s="18" t="s">
        <v>106</v>
      </c>
      <c r="B17" s="19">
        <v>4039</v>
      </c>
      <c r="C17" s="19" t="s">
        <v>70</v>
      </c>
      <c r="D17" s="19" t="s">
        <v>107</v>
      </c>
      <c r="E17" s="53">
        <v>42482.512164351851</v>
      </c>
      <c r="F17" s="53">
        <v>42482.514224537037</v>
      </c>
      <c r="G17" s="62">
        <v>2</v>
      </c>
      <c r="H17" s="53" t="s">
        <v>22</v>
      </c>
      <c r="I17" s="53">
        <v>42482.547071759262</v>
      </c>
      <c r="J17" s="19">
        <v>0</v>
      </c>
      <c r="K17" s="19" t="str">
        <f t="shared" si="0"/>
        <v>4039/4040</v>
      </c>
      <c r="L17" s="20">
        <f t="shared" si="1"/>
        <v>3.2847222224518191E-2</v>
      </c>
      <c r="M17" s="21">
        <f>$L17*24*60</f>
        <v>47.300000003306195</v>
      </c>
      <c r="N17" s="21"/>
      <c r="O17" s="22"/>
      <c r="P17" s="17"/>
      <c r="R1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12:16:31-0600',mode:absolute,to:'2016-04-22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7" s="16" t="str">
        <f t="shared" si="3"/>
        <v>N</v>
      </c>
      <c r="T17" s="16">
        <f t="shared" si="4"/>
        <v>23.2683</v>
      </c>
      <c r="U17" s="16">
        <f t="shared" si="5"/>
        <v>1.5800000000000002E-2</v>
      </c>
      <c r="V17" s="16">
        <f t="shared" si="6"/>
        <v>23.252500000000001</v>
      </c>
      <c r="W17" s="49" t="e">
        <f>VLOOKUP(A17,Enforcements!$C$3:$J$20,8,0)</f>
        <v>#N/A</v>
      </c>
      <c r="X17" s="49" t="e">
        <f>VLOOKUP(A17,Enforcements!$C$3:$J$20,3,0)</f>
        <v>#N/A</v>
      </c>
    </row>
    <row r="18" spans="1:24" s="2" customFormat="1" x14ac:dyDescent="0.25">
      <c r="A18" s="18" t="s">
        <v>126</v>
      </c>
      <c r="B18" s="19">
        <v>4044</v>
      </c>
      <c r="C18" s="19" t="s">
        <v>70</v>
      </c>
      <c r="D18" s="19" t="s">
        <v>127</v>
      </c>
      <c r="E18" s="53">
        <v>42482.430763888886</v>
      </c>
      <c r="F18" s="53">
        <v>42482.432280092595</v>
      </c>
      <c r="G18" s="62">
        <v>2</v>
      </c>
      <c r="H18" s="53" t="s">
        <v>128</v>
      </c>
      <c r="I18" s="53">
        <v>42482.502152777779</v>
      </c>
      <c r="J18" s="19">
        <v>0</v>
      </c>
      <c r="K18" s="19" t="str">
        <f t="shared" si="0"/>
        <v>4043/4044</v>
      </c>
      <c r="L18" s="20">
        <f t="shared" si="1"/>
        <v>6.9872685184236616E-2</v>
      </c>
      <c r="M18" s="21"/>
      <c r="N18" s="21"/>
      <c r="O18" s="22">
        <f>$L18*24*60</f>
        <v>100.61666666530073</v>
      </c>
      <c r="P18" s="17" t="s">
        <v>150</v>
      </c>
      <c r="R1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10:19:18-0600',mode:absolute,to:'2016-04-22 12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8" s="16" t="str">
        <f t="shared" si="3"/>
        <v>Y</v>
      </c>
      <c r="T18" s="16">
        <f t="shared" si="4"/>
        <v>1.9111</v>
      </c>
      <c r="U18" s="16">
        <f t="shared" si="5"/>
        <v>23.329799999999999</v>
      </c>
      <c r="V18" s="16">
        <f t="shared" si="6"/>
        <v>21.418699999999998</v>
      </c>
      <c r="W18" s="49" t="e">
        <f>VLOOKUP(A18,Enforcements!$C$3:$J$20,8,0)</f>
        <v>#N/A</v>
      </c>
      <c r="X18" s="49" t="e">
        <f>VLOOKUP(A18,Enforcements!$C$3:$J$20,3,0)</f>
        <v>#N/A</v>
      </c>
    </row>
    <row r="19" spans="1:24" s="2" customFormat="1" x14ac:dyDescent="0.25">
      <c r="A19" s="18" t="s">
        <v>101</v>
      </c>
      <c r="B19" s="19">
        <v>4017</v>
      </c>
      <c r="C19" s="19" t="s">
        <v>70</v>
      </c>
      <c r="D19" s="19" t="s">
        <v>102</v>
      </c>
      <c r="E19" s="53">
        <v>42482.525034722225</v>
      </c>
      <c r="F19" s="53">
        <v>42482.525868055556</v>
      </c>
      <c r="G19" s="62">
        <v>1</v>
      </c>
      <c r="H19" s="53" t="s">
        <v>24</v>
      </c>
      <c r="I19" s="53">
        <v>42482.55841435185</v>
      </c>
      <c r="J19" s="19">
        <v>2</v>
      </c>
      <c r="K19" s="19" t="str">
        <f t="shared" si="0"/>
        <v>4017/4018</v>
      </c>
      <c r="L19" s="20">
        <f t="shared" si="1"/>
        <v>3.2546296293730848E-2</v>
      </c>
      <c r="M19" s="21">
        <f>$L19*24*60</f>
        <v>46.86666666297242</v>
      </c>
      <c r="N19" s="21"/>
      <c r="O19" s="22"/>
      <c r="P19" s="17"/>
      <c r="R1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12:35:03-0600',mode:absolute,to:'2016-04-22 13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19" s="16" t="str">
        <f t="shared" si="3"/>
        <v>N</v>
      </c>
      <c r="T19" s="16">
        <f t="shared" si="4"/>
        <v>23.278099999999998</v>
      </c>
      <c r="U19" s="16">
        <f t="shared" si="5"/>
        <v>1.4999999999999999E-2</v>
      </c>
      <c r="V19" s="16">
        <f t="shared" si="6"/>
        <v>23.263099999999998</v>
      </c>
      <c r="W19" s="49">
        <f>VLOOKUP(A19,Enforcements!$C$3:$J$20,8,0)</f>
        <v>191723</v>
      </c>
      <c r="X19" s="49" t="str">
        <f>VLOOKUP(A19,Enforcements!$C$3:$J$20,3,0)</f>
        <v>SIGNAL</v>
      </c>
    </row>
    <row r="20" spans="1:24" s="2" customFormat="1" x14ac:dyDescent="0.25">
      <c r="A20" s="18" t="s">
        <v>123</v>
      </c>
      <c r="B20" s="19">
        <v>4009</v>
      </c>
      <c r="C20" s="19" t="s">
        <v>70</v>
      </c>
      <c r="D20" s="19" t="s">
        <v>124</v>
      </c>
      <c r="E20" s="53">
        <v>42482.434687499997</v>
      </c>
      <c r="F20" s="53">
        <v>42482.435671296298</v>
      </c>
      <c r="G20" s="62">
        <v>1</v>
      </c>
      <c r="H20" s="53" t="s">
        <v>125</v>
      </c>
      <c r="I20" s="53">
        <v>42482.477511574078</v>
      </c>
      <c r="J20" s="19">
        <v>0</v>
      </c>
      <c r="K20" s="19" t="str">
        <f t="shared" si="0"/>
        <v>4009/4010</v>
      </c>
      <c r="L20" s="20">
        <f t="shared" si="1"/>
        <v>4.1840277779556345E-2</v>
      </c>
      <c r="M20" s="21"/>
      <c r="N20" s="21"/>
      <c r="O20" s="22">
        <f>$L20*24*60</f>
        <v>60.250000002561137</v>
      </c>
      <c r="P20" s="17" t="s">
        <v>151</v>
      </c>
      <c r="R2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10:24:57-0600',mode:absolute,to:'2016-04-22 11:28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20" s="16" t="str">
        <f t="shared" si="3"/>
        <v>Y</v>
      </c>
      <c r="T20" s="16">
        <f t="shared" si="4"/>
        <v>7.8299999999999995E-2</v>
      </c>
      <c r="U20" s="16">
        <f t="shared" si="5"/>
        <v>7.3700000000000002E-2</v>
      </c>
      <c r="V20" s="16">
        <f t="shared" si="6"/>
        <v>4.599999999999993E-3</v>
      </c>
      <c r="W20" s="49" t="e">
        <f>VLOOKUP(A20,Enforcements!$C$3:$J$20,8,0)</f>
        <v>#N/A</v>
      </c>
      <c r="X20" s="49" t="e">
        <f>VLOOKUP(A20,Enforcements!$C$3:$J$20,3,0)</f>
        <v>#N/A</v>
      </c>
    </row>
    <row r="21" spans="1:24" s="2" customFormat="1" x14ac:dyDescent="0.25">
      <c r="A21" s="18" t="s">
        <v>97</v>
      </c>
      <c r="B21" s="19">
        <v>4012</v>
      </c>
      <c r="C21" s="19" t="s">
        <v>70</v>
      </c>
      <c r="D21" s="19" t="s">
        <v>98</v>
      </c>
      <c r="E21" s="53">
        <v>42482.53396990741</v>
      </c>
      <c r="F21" s="53">
        <v>42482.538657407407</v>
      </c>
      <c r="G21" s="62">
        <v>6</v>
      </c>
      <c r="H21" s="53" t="s">
        <v>21</v>
      </c>
      <c r="I21" s="53">
        <v>42482.567187499997</v>
      </c>
      <c r="J21" s="19">
        <v>0</v>
      </c>
      <c r="K21" s="19" t="str">
        <f t="shared" si="0"/>
        <v>4011/4012</v>
      </c>
      <c r="L21" s="20">
        <f t="shared" si="1"/>
        <v>2.8530092589790002E-2</v>
      </c>
      <c r="M21" s="21">
        <f t="shared" ref="M21:O67" si="7">$L21*24*60</f>
        <v>41.083333329297602</v>
      </c>
      <c r="N21" s="21"/>
      <c r="O21" s="22"/>
      <c r="P21" s="17"/>
      <c r="R2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https://search-rtdc-monitor-bjffxe2xuh6vdkpspy63sjmuny.us-east-1.es.amazonaws.com/_plugin/kibana/#/discover/Steve-Slow-Train-Analysis-(2080s-and-2083s)?_g=(refreshInterval:(display:Off,section:0,value:0),time:(from:'2016-04-22 12:47:55-0600',mode:absolute,to:'2016-04-22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21" s="16" t="str">
        <f t="shared" si="3"/>
        <v>N</v>
      </c>
      <c r="T21" s="16">
        <f t="shared" si="4"/>
        <v>23.267199999999999</v>
      </c>
      <c r="U21" s="16">
        <f t="shared" si="5"/>
        <v>1.47E-2</v>
      </c>
      <c r="V21" s="16">
        <f t="shared" si="6"/>
        <v>23.252499999999998</v>
      </c>
      <c r="W21" s="49" t="e">
        <f>VLOOKUP(A21,Enforcements!$C$3:$J$20,8,0)</f>
        <v>#N/A</v>
      </c>
      <c r="X21" s="49" t="e">
        <f>VLOOKUP(A21,Enforcements!$C$3:$J$20,3,0)</f>
        <v>#N/A</v>
      </c>
    </row>
    <row r="22" spans="1:24" s="2" customFormat="1" x14ac:dyDescent="0.25">
      <c r="A22" s="18" t="s">
        <v>118</v>
      </c>
      <c r="B22" s="19">
        <v>4027</v>
      </c>
      <c r="C22" s="19" t="s">
        <v>70</v>
      </c>
      <c r="D22" s="19" t="s">
        <v>71</v>
      </c>
      <c r="E22" s="53">
        <v>42482.466296296298</v>
      </c>
      <c r="F22" s="53">
        <v>42482.500254629631</v>
      </c>
      <c r="G22" s="62">
        <v>1</v>
      </c>
      <c r="H22" s="53" t="s">
        <v>84</v>
      </c>
      <c r="I22" s="53">
        <v>42482.526504629626</v>
      </c>
      <c r="J22" s="19">
        <v>0</v>
      </c>
      <c r="K22" s="19" t="str">
        <f t="shared" si="0"/>
        <v>4027/4028</v>
      </c>
      <c r="L22" s="20">
        <f t="shared" si="1"/>
        <v>2.6249999995343387E-2</v>
      </c>
      <c r="M22" s="21">
        <f t="shared" si="7"/>
        <v>37.799999993294477</v>
      </c>
      <c r="N22" s="21"/>
      <c r="O22" s="22"/>
      <c r="P22" s="17"/>
      <c r="R22" s="16" t="str">
        <f t="shared" ref="R22:R81" si="8"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https://search-rtdc-monitor-bjffxe2xuh6vdkpspy63sjmuny.us-east-1.es.amazonaws.com/_plugin/kibana/#/discover/Steve-Slow-Train-Analysis-(2080s-and-2083s)?_g=(refreshInterval:(display:Off,section:0,value:0),time:(from:'2016-04-22 11:10:28-0600',mode:absolute,to:'2016-04-22 12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22" s="16" t="str">
        <f t="shared" ref="S22:S81" si="9">IF(V22&lt;23,"Y","N")</f>
        <v>N</v>
      </c>
      <c r="T22" s="16">
        <f t="shared" ref="T22:T81" si="10">RIGHT(D22,LEN(D22)-4)/10000</f>
        <v>7.6799999999999993E-2</v>
      </c>
      <c r="U22" s="16">
        <f t="shared" ref="U22:U81" si="11">RIGHT(H22,LEN(H22)-4)/10000</f>
        <v>23.328099999999999</v>
      </c>
      <c r="V22" s="16">
        <f t="shared" ref="V22:V81" si="12">ABS(U22-T22)</f>
        <v>23.251300000000001</v>
      </c>
      <c r="W22" s="49" t="e">
        <f>VLOOKUP(A22,Enforcements!$C$3:$J$20,8,0)</f>
        <v>#N/A</v>
      </c>
      <c r="X22" s="49" t="e">
        <f>VLOOKUP(A22,Enforcements!$C$3:$J$20,3,0)</f>
        <v>#N/A</v>
      </c>
    </row>
    <row r="23" spans="1:24" s="2" customFormat="1" x14ac:dyDescent="0.25">
      <c r="A23" s="18" t="s">
        <v>103</v>
      </c>
      <c r="B23" s="19">
        <v>4016</v>
      </c>
      <c r="C23" s="19" t="s">
        <v>70</v>
      </c>
      <c r="D23" s="19" t="s">
        <v>104</v>
      </c>
      <c r="E23" s="53">
        <v>42482.51761574074</v>
      </c>
      <c r="F23" s="53">
        <v>42482.518819444442</v>
      </c>
      <c r="G23" s="62">
        <v>1</v>
      </c>
      <c r="H23" s="53" t="s">
        <v>105</v>
      </c>
      <c r="I23" s="53">
        <v>42482.549270833333</v>
      </c>
      <c r="J23" s="19">
        <v>1</v>
      </c>
      <c r="K23" s="19" t="str">
        <f t="shared" si="0"/>
        <v>4015/4016</v>
      </c>
      <c r="L23" s="20">
        <f t="shared" si="1"/>
        <v>3.0451388891378883E-2</v>
      </c>
      <c r="M23" s="21">
        <f t="shared" si="7"/>
        <v>43.850000003585592</v>
      </c>
      <c r="N23" s="21"/>
      <c r="O23" s="22"/>
      <c r="P23" s="17"/>
      <c r="R2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12:24:22-0600',mode:absolute,to:'2016-04-22 13:11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23" s="16" t="str">
        <f t="shared" si="9"/>
        <v>N</v>
      </c>
      <c r="T23" s="16">
        <f t="shared" si="10"/>
        <v>7.3899999999999993E-2</v>
      </c>
      <c r="U23" s="16">
        <f t="shared" si="11"/>
        <v>23.331199999999999</v>
      </c>
      <c r="V23" s="16">
        <f t="shared" si="12"/>
        <v>23.257300000000001</v>
      </c>
      <c r="W23" s="49" t="e">
        <f>VLOOKUP(A23,Enforcements!$C$3:$J$20,8,0)</f>
        <v>#N/A</v>
      </c>
      <c r="X23" s="49" t="e">
        <f>VLOOKUP(A23,Enforcements!$C$3:$J$20,3,0)</f>
        <v>#N/A</v>
      </c>
    </row>
    <row r="24" spans="1:24" s="2" customFormat="1" x14ac:dyDescent="0.25">
      <c r="A24" s="18" t="s">
        <v>99</v>
      </c>
      <c r="B24" s="19">
        <v>4014</v>
      </c>
      <c r="C24" s="19" t="s">
        <v>70</v>
      </c>
      <c r="D24" s="19" t="s">
        <v>100</v>
      </c>
      <c r="E24" s="53">
        <v>42482.528113425928</v>
      </c>
      <c r="F24" s="53">
        <v>42482.530578703707</v>
      </c>
      <c r="G24" s="62">
        <v>3</v>
      </c>
      <c r="H24" s="53" t="s">
        <v>85</v>
      </c>
      <c r="I24" s="53">
        <v>42482.558611111112</v>
      </c>
      <c r="J24" s="19">
        <v>0</v>
      </c>
      <c r="K24" s="19" t="str">
        <f t="shared" si="0"/>
        <v>4013/4014</v>
      </c>
      <c r="L24" s="20">
        <f t="shared" si="1"/>
        <v>2.8032407404680271E-2</v>
      </c>
      <c r="M24" s="21">
        <f t="shared" si="7"/>
        <v>40.36666666273959</v>
      </c>
      <c r="N24" s="21"/>
      <c r="O24" s="22"/>
      <c r="P24" s="17"/>
      <c r="R2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12:39:29-0600',mode:absolute,to:'2016-04-22 13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24" s="16" t="str">
        <f t="shared" si="9"/>
        <v>N</v>
      </c>
      <c r="T24" s="16">
        <f t="shared" si="10"/>
        <v>7.4800000000000005E-2</v>
      </c>
      <c r="U24" s="16">
        <f t="shared" si="11"/>
        <v>23.328199999999999</v>
      </c>
      <c r="V24" s="16">
        <f t="shared" si="12"/>
        <v>23.253399999999999</v>
      </c>
      <c r="W24" s="49" t="e">
        <f>VLOOKUP(A24,Enforcements!$C$3:$J$20,8,0)</f>
        <v>#N/A</v>
      </c>
      <c r="X24" s="49" t="e">
        <f>VLOOKUP(A24,Enforcements!$C$3:$J$20,3,0)</f>
        <v>#N/A</v>
      </c>
    </row>
    <row r="25" spans="1:24" s="2" customFormat="1" x14ac:dyDescent="0.25">
      <c r="A25" s="18" t="s">
        <v>94</v>
      </c>
      <c r="B25" s="19">
        <v>4038</v>
      </c>
      <c r="C25" s="19" t="s">
        <v>70</v>
      </c>
      <c r="D25" s="19" t="s">
        <v>95</v>
      </c>
      <c r="E25" s="53">
        <v>42482.538182870368</v>
      </c>
      <c r="F25" s="53">
        <v>42482.539270833331</v>
      </c>
      <c r="G25" s="62">
        <v>1</v>
      </c>
      <c r="H25" s="53" t="s">
        <v>96</v>
      </c>
      <c r="I25" s="53">
        <v>42482.570092592592</v>
      </c>
      <c r="J25" s="19">
        <v>3</v>
      </c>
      <c r="K25" s="19" t="str">
        <f t="shared" si="0"/>
        <v>4037/4038</v>
      </c>
      <c r="L25" s="20">
        <f t="shared" si="1"/>
        <v>3.0821759261016268E-2</v>
      </c>
      <c r="M25" s="21">
        <f t="shared" si="7"/>
        <v>44.383333335863426</v>
      </c>
      <c r="N25" s="21"/>
      <c r="O25" s="22"/>
      <c r="P25" s="17"/>
      <c r="R2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12:53:59-0600',mode:absolute,to:'2016-04-22 13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25" s="16" t="str">
        <f t="shared" si="9"/>
        <v>N</v>
      </c>
      <c r="T25" s="16">
        <f t="shared" si="10"/>
        <v>8.8099999999999998E-2</v>
      </c>
      <c r="U25" s="16">
        <f t="shared" si="11"/>
        <v>23.322299999999998</v>
      </c>
      <c r="V25" s="16">
        <f t="shared" si="12"/>
        <v>23.234199999999998</v>
      </c>
      <c r="W25" s="49">
        <f>VLOOKUP(A25,Enforcements!$C$3:$J$20,8,0)</f>
        <v>20338</v>
      </c>
      <c r="X25" s="49" t="str">
        <f>VLOOKUP(A25,Enforcements!$C$3:$J$20,3,0)</f>
        <v>PERMANENT SPEED RESTRICTION</v>
      </c>
    </row>
    <row r="26" spans="1:24" s="2" customFormat="1" x14ac:dyDescent="0.25">
      <c r="A26" s="18" t="s">
        <v>91</v>
      </c>
      <c r="B26" s="19">
        <v>4044</v>
      </c>
      <c r="C26" s="19" t="s">
        <v>70</v>
      </c>
      <c r="D26" s="19" t="s">
        <v>92</v>
      </c>
      <c r="E26" s="53">
        <v>42482.550046296295</v>
      </c>
      <c r="F26" s="53">
        <v>42482.552569444444</v>
      </c>
      <c r="G26" s="62">
        <v>3</v>
      </c>
      <c r="H26" s="53" t="s">
        <v>93</v>
      </c>
      <c r="I26" s="53">
        <v>42482.577719907407</v>
      </c>
      <c r="J26" s="19">
        <v>1</v>
      </c>
      <c r="K26" s="19" t="str">
        <f t="shared" si="0"/>
        <v>4043/4044</v>
      </c>
      <c r="L26" s="20">
        <f t="shared" si="1"/>
        <v>2.5150462963210884E-2</v>
      </c>
      <c r="M26" s="21">
        <f t="shared" si="7"/>
        <v>36.216666667023674</v>
      </c>
      <c r="N26" s="21"/>
      <c r="O26" s="22"/>
      <c r="P26" s="17"/>
      <c r="R2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13:11:04-0600',mode:absolute,to:'2016-04-22 13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26" s="16" t="str">
        <f t="shared" si="9"/>
        <v>N</v>
      </c>
      <c r="T26" s="16">
        <f t="shared" si="10"/>
        <v>6.9699999999999998E-2</v>
      </c>
      <c r="U26" s="16">
        <f t="shared" si="11"/>
        <v>23.3368</v>
      </c>
      <c r="V26" s="16">
        <f t="shared" si="12"/>
        <v>23.267099999999999</v>
      </c>
      <c r="W26" s="49" t="e">
        <f>VLOOKUP(A26,Enforcements!$C$3:$J$20,8,0)</f>
        <v>#N/A</v>
      </c>
      <c r="X26" s="49" t="e">
        <f>VLOOKUP(A26,Enforcements!$C$3:$J$20,3,0)</f>
        <v>#N/A</v>
      </c>
    </row>
    <row r="27" spans="1:24" s="2" customFormat="1" ht="15.75" thickBot="1" x14ac:dyDescent="0.3">
      <c r="A27" s="66" t="s">
        <v>88</v>
      </c>
      <c r="B27" s="67">
        <v>4027</v>
      </c>
      <c r="C27" s="67" t="s">
        <v>70</v>
      </c>
      <c r="D27" s="67" t="s">
        <v>89</v>
      </c>
      <c r="E27" s="68">
        <v>42482.570081018515</v>
      </c>
      <c r="F27" s="68">
        <v>42482.571180555555</v>
      </c>
      <c r="G27" s="69">
        <v>1</v>
      </c>
      <c r="H27" s="68" t="s">
        <v>90</v>
      </c>
      <c r="I27" s="68">
        <v>42482.580474537041</v>
      </c>
      <c r="J27" s="67">
        <v>0</v>
      </c>
      <c r="K27" s="67" t="str">
        <f t="shared" si="0"/>
        <v>4027/4028</v>
      </c>
      <c r="L27" s="70">
        <f t="shared" si="1"/>
        <v>9.2939814858254977E-3</v>
      </c>
      <c r="M27" s="71"/>
      <c r="N27" s="71"/>
      <c r="O27" s="72">
        <f>$L27*24*60</f>
        <v>13.383333339588717</v>
      </c>
      <c r="P27" s="17" t="s">
        <v>300</v>
      </c>
      <c r="R2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13:39:55-0600',mode:absolute,to:'2016-04-22 13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27" s="16" t="str">
        <f t="shared" si="9"/>
        <v>Y</v>
      </c>
      <c r="T27" s="16">
        <f t="shared" si="10"/>
        <v>7.4300000000000005E-2</v>
      </c>
      <c r="U27" s="16">
        <f t="shared" si="11"/>
        <v>3.899</v>
      </c>
      <c r="V27" s="16">
        <f t="shared" si="12"/>
        <v>3.8247</v>
      </c>
      <c r="W27" s="49" t="e">
        <f>VLOOKUP(A27,Enforcements!$C$3:$J$20,8,0)</f>
        <v>#N/A</v>
      </c>
      <c r="X27" s="49" t="e">
        <f>VLOOKUP(A27,Enforcements!$C$3:$J$20,3,0)</f>
        <v>#N/A</v>
      </c>
    </row>
    <row r="28" spans="1:24" s="2" customFormat="1" ht="15.75" thickBot="1" x14ac:dyDescent="0.3">
      <c r="A28" s="18" t="s">
        <v>155</v>
      </c>
      <c r="B28" s="19">
        <v>4032</v>
      </c>
      <c r="C28" s="19" t="s">
        <v>70</v>
      </c>
      <c r="D28" s="19" t="s">
        <v>156</v>
      </c>
      <c r="E28" s="53">
        <v>42482.566192129627</v>
      </c>
      <c r="F28" s="53">
        <v>42482.567164351851</v>
      </c>
      <c r="G28" s="62">
        <v>1</v>
      </c>
      <c r="H28" s="53" t="s">
        <v>157</v>
      </c>
      <c r="I28" s="53">
        <v>42482.597592592596</v>
      </c>
      <c r="J28" s="19">
        <v>0</v>
      </c>
      <c r="K28" s="67" t="str">
        <f t="shared" ref="K28:K81" si="13">IF(ISEVEN(B28),(B28-1)&amp;"/"&amp;B28,B28&amp;"/"&amp;(B28+1))</f>
        <v>4031/4032</v>
      </c>
      <c r="L28" s="70">
        <f t="shared" ref="L28:L81" si="14">I28-F28</f>
        <v>3.0428240745095536E-2</v>
      </c>
      <c r="M28" s="21">
        <f t="shared" si="7"/>
        <v>43.816666672937572</v>
      </c>
      <c r="N28" s="21"/>
      <c r="O28" s="22"/>
      <c r="P28" s="17"/>
      <c r="R2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13:34:19-0600',mode:absolute,to:'2016-04-22 14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28" s="16" t="str">
        <f t="shared" si="9"/>
        <v>N</v>
      </c>
      <c r="T28" s="16">
        <f t="shared" si="10"/>
        <v>23.264600000000002</v>
      </c>
      <c r="U28" s="16">
        <f t="shared" si="11"/>
        <v>1.4500000000000001E-2</v>
      </c>
      <c r="V28" s="16">
        <f t="shared" si="12"/>
        <v>23.2501</v>
      </c>
      <c r="W28" s="49" t="e">
        <f>VLOOKUP(A28,Enforcements!$C$3:$J$20,8,0)</f>
        <v>#N/A</v>
      </c>
      <c r="X28" s="49" t="e">
        <f>VLOOKUP(A28,Enforcements!$C$3:$J$20,3,0)</f>
        <v>#N/A</v>
      </c>
    </row>
    <row r="29" spans="1:24" s="2" customFormat="1" ht="15.75" thickBot="1" x14ac:dyDescent="0.3">
      <c r="A29" s="18" t="s">
        <v>158</v>
      </c>
      <c r="B29" s="19">
        <v>4030</v>
      </c>
      <c r="C29" s="19" t="s">
        <v>70</v>
      </c>
      <c r="D29" s="19" t="s">
        <v>159</v>
      </c>
      <c r="E29" s="53">
        <v>42482.574895833335</v>
      </c>
      <c r="F29" s="53">
        <v>42482.575879629629</v>
      </c>
      <c r="G29" s="62">
        <v>1</v>
      </c>
      <c r="H29" s="53" t="s">
        <v>160</v>
      </c>
      <c r="I29" s="53">
        <v>42482.609444444446</v>
      </c>
      <c r="J29" s="19">
        <v>1</v>
      </c>
      <c r="K29" s="67" t="str">
        <f t="shared" si="13"/>
        <v>4029/4030</v>
      </c>
      <c r="L29" s="70">
        <f t="shared" si="14"/>
        <v>3.3564814817509614E-2</v>
      </c>
      <c r="M29" s="21">
        <f t="shared" si="7"/>
        <v>48.333333337213844</v>
      </c>
      <c r="N29" s="21"/>
      <c r="O29" s="22"/>
      <c r="P29" s="17"/>
      <c r="R2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13:46:51-0600',mode:absolute,to:'2016-04-22 14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29" s="16" t="str">
        <f t="shared" si="9"/>
        <v>N</v>
      </c>
      <c r="T29" s="16">
        <f t="shared" si="10"/>
        <v>23.258099999999999</v>
      </c>
      <c r="U29" s="16">
        <f t="shared" si="11"/>
        <v>1.54E-2</v>
      </c>
      <c r="V29" s="16">
        <f t="shared" si="12"/>
        <v>23.242699999999999</v>
      </c>
      <c r="W29" s="49" t="e">
        <f>VLOOKUP(A29,Enforcements!$C$3:$J$20,8,0)</f>
        <v>#N/A</v>
      </c>
      <c r="X29" s="49" t="e">
        <f>VLOOKUP(A29,Enforcements!$C$3:$J$20,3,0)</f>
        <v>#N/A</v>
      </c>
    </row>
    <row r="30" spans="1:24" s="2" customFormat="1" ht="15.75" thickBot="1" x14ac:dyDescent="0.3">
      <c r="A30" s="18" t="s">
        <v>161</v>
      </c>
      <c r="B30" s="19">
        <v>4039</v>
      </c>
      <c r="C30" s="19" t="s">
        <v>70</v>
      </c>
      <c r="D30" s="19" t="s">
        <v>162</v>
      </c>
      <c r="E30" s="53">
        <v>42482.590601851851</v>
      </c>
      <c r="F30" s="53">
        <v>42482.591793981483</v>
      </c>
      <c r="G30" s="62">
        <v>1</v>
      </c>
      <c r="H30" s="53" t="s">
        <v>163</v>
      </c>
      <c r="I30" s="53">
        <v>42482.624571759261</v>
      </c>
      <c r="J30" s="19">
        <v>0</v>
      </c>
      <c r="K30" s="67" t="str">
        <f t="shared" si="13"/>
        <v>4039/4040</v>
      </c>
      <c r="L30" s="70">
        <f t="shared" si="14"/>
        <v>3.2777777778392192E-2</v>
      </c>
      <c r="M30" s="21">
        <f t="shared" si="7"/>
        <v>47.200000000884756</v>
      </c>
      <c r="N30" s="21"/>
      <c r="O30" s="22"/>
      <c r="P30" s="17"/>
      <c r="R3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14:09:28-0600',mode:absolute,to:'2016-04-22 15:00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30" s="16" t="str">
        <f t="shared" si="9"/>
        <v>N</v>
      </c>
      <c r="T30" s="16">
        <f t="shared" si="10"/>
        <v>23.270199999999999</v>
      </c>
      <c r="U30" s="16">
        <f t="shared" si="11"/>
        <v>1.38E-2</v>
      </c>
      <c r="V30" s="16">
        <f t="shared" si="12"/>
        <v>23.256399999999999</v>
      </c>
      <c r="W30" s="49" t="e">
        <f>VLOOKUP(A30,Enforcements!$C$3:$J$20,8,0)</f>
        <v>#N/A</v>
      </c>
      <c r="X30" s="49" t="e">
        <f>VLOOKUP(A30,Enforcements!$C$3:$J$20,3,0)</f>
        <v>#N/A</v>
      </c>
    </row>
    <row r="31" spans="1:24" s="2" customFormat="1" ht="15.75" thickBot="1" x14ac:dyDescent="0.3">
      <c r="A31" s="18" t="s">
        <v>164</v>
      </c>
      <c r="B31" s="19">
        <v>4017</v>
      </c>
      <c r="C31" s="19" t="s">
        <v>70</v>
      </c>
      <c r="D31" s="19" t="s">
        <v>165</v>
      </c>
      <c r="E31" s="53">
        <v>42482.59746527778</v>
      </c>
      <c r="F31" s="53">
        <v>42482.598414351851</v>
      </c>
      <c r="G31" s="62">
        <v>1</v>
      </c>
      <c r="H31" s="53" t="s">
        <v>166</v>
      </c>
      <c r="I31" s="53">
        <v>42482.62976851852</v>
      </c>
      <c r="J31" s="19">
        <v>0</v>
      </c>
      <c r="K31" s="67" t="str">
        <f t="shared" si="13"/>
        <v>4017/4018</v>
      </c>
      <c r="L31" s="70">
        <f t="shared" si="14"/>
        <v>3.1354166669188999E-2</v>
      </c>
      <c r="M31" s="21">
        <f t="shared" si="7"/>
        <v>45.150000003632158</v>
      </c>
      <c r="N31" s="21"/>
      <c r="O31" s="22"/>
      <c r="P31" s="17"/>
      <c r="R3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14:19:21-0600',mode:absolute,to:'2016-04-22 15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1" s="16" t="str">
        <f t="shared" si="9"/>
        <v>N</v>
      </c>
      <c r="T31" s="16">
        <f t="shared" si="10"/>
        <v>23.272300000000001</v>
      </c>
      <c r="U31" s="16">
        <f t="shared" si="11"/>
        <v>1.41E-2</v>
      </c>
      <c r="V31" s="16">
        <f t="shared" si="12"/>
        <v>23.258200000000002</v>
      </c>
      <c r="W31" s="49" t="e">
        <f>VLOOKUP(A31,Enforcements!$C$3:$J$20,8,0)</f>
        <v>#N/A</v>
      </c>
      <c r="X31" s="49" t="e">
        <f>VLOOKUP(A31,Enforcements!$C$3:$J$20,3,0)</f>
        <v>#N/A</v>
      </c>
    </row>
    <row r="32" spans="1:24" s="2" customFormat="1" ht="15.75" thickBot="1" x14ac:dyDescent="0.3">
      <c r="A32" s="18" t="s">
        <v>167</v>
      </c>
      <c r="B32" s="19">
        <v>4012</v>
      </c>
      <c r="C32" s="19" t="s">
        <v>70</v>
      </c>
      <c r="D32" s="19" t="s">
        <v>168</v>
      </c>
      <c r="E32" s="53">
        <v>42482.60728009259</v>
      </c>
      <c r="F32" s="53">
        <v>42482.608171296299</v>
      </c>
      <c r="G32" s="62">
        <v>1</v>
      </c>
      <c r="H32" s="53" t="s">
        <v>157</v>
      </c>
      <c r="I32" s="53">
        <v>42482.639189814814</v>
      </c>
      <c r="J32" s="19">
        <v>0</v>
      </c>
      <c r="K32" s="67" t="str">
        <f t="shared" si="13"/>
        <v>4011/4012</v>
      </c>
      <c r="L32" s="70">
        <f t="shared" si="14"/>
        <v>3.1018518515338656E-2</v>
      </c>
      <c r="M32" s="21">
        <f t="shared" si="7"/>
        <v>44.666666662087664</v>
      </c>
      <c r="N32" s="21"/>
      <c r="O32" s="22"/>
      <c r="P32" s="17"/>
      <c r="R3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14:33:29-0600',mode:absolute,to:'2016-04-22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32" s="16" t="str">
        <f t="shared" si="9"/>
        <v>N</v>
      </c>
      <c r="T32" s="16">
        <f t="shared" si="10"/>
        <v>23.268899999999999</v>
      </c>
      <c r="U32" s="16">
        <f t="shared" si="11"/>
        <v>1.4500000000000001E-2</v>
      </c>
      <c r="V32" s="16">
        <f t="shared" si="12"/>
        <v>23.254399999999997</v>
      </c>
      <c r="W32" s="49" t="e">
        <f>VLOOKUP(A32,Enforcements!$C$3:$J$20,8,0)</f>
        <v>#N/A</v>
      </c>
      <c r="X32" s="49" t="e">
        <f>VLOOKUP(A32,Enforcements!$C$3:$J$20,3,0)</f>
        <v>#N/A</v>
      </c>
    </row>
    <row r="33" spans="1:24" s="2" customFormat="1" ht="15.75" thickBot="1" x14ac:dyDescent="0.3">
      <c r="A33" s="18" t="s">
        <v>169</v>
      </c>
      <c r="B33" s="19">
        <v>4026</v>
      </c>
      <c r="C33" s="19" t="s">
        <v>70</v>
      </c>
      <c r="D33" s="19" t="s">
        <v>170</v>
      </c>
      <c r="E33" s="53">
        <v>42482.620555555557</v>
      </c>
      <c r="F33" s="53">
        <v>42482.621770833335</v>
      </c>
      <c r="G33" s="62">
        <v>1</v>
      </c>
      <c r="H33" s="53" t="s">
        <v>171</v>
      </c>
      <c r="I33" s="53">
        <v>42482.633981481478</v>
      </c>
      <c r="J33" s="19">
        <v>1</v>
      </c>
      <c r="K33" s="67" t="str">
        <f t="shared" si="13"/>
        <v>4025/4026</v>
      </c>
      <c r="L33" s="70">
        <f t="shared" si="14"/>
        <v>1.2210648143081926E-2</v>
      </c>
      <c r="M33" s="21"/>
      <c r="N33" s="21"/>
      <c r="O33" s="21"/>
      <c r="P33" s="17"/>
      <c r="R3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14:52:36-0600',mode:absolute,to:'2016-04-22 15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33" s="16" t="str">
        <f t="shared" si="9"/>
        <v>Y</v>
      </c>
      <c r="T33" s="16">
        <f t="shared" si="10"/>
        <v>23.271100000000001</v>
      </c>
      <c r="U33" s="16">
        <f t="shared" si="11"/>
        <v>12.904400000000001</v>
      </c>
      <c r="V33" s="16">
        <f t="shared" si="12"/>
        <v>10.3667</v>
      </c>
      <c r="W33" s="49">
        <f>VLOOKUP(A33,Enforcements!$C$3:$J$20,8,0)</f>
        <v>127587</v>
      </c>
      <c r="X33" s="49" t="str">
        <f>VLOOKUP(A33,Enforcements!$C$3:$J$20,3,0)</f>
        <v>SIGNAL</v>
      </c>
    </row>
    <row r="34" spans="1:24" s="2" customFormat="1" ht="15.75" thickBot="1" x14ac:dyDescent="0.3">
      <c r="A34" s="18" t="s">
        <v>172</v>
      </c>
      <c r="B34" s="19">
        <v>4008</v>
      </c>
      <c r="C34" s="19" t="s">
        <v>70</v>
      </c>
      <c r="D34" s="19" t="s">
        <v>173</v>
      </c>
      <c r="E34" s="53">
        <v>42482.625555555554</v>
      </c>
      <c r="F34" s="53">
        <v>42482.626712962963</v>
      </c>
      <c r="G34" s="62">
        <v>1</v>
      </c>
      <c r="H34" s="53" t="s">
        <v>25</v>
      </c>
      <c r="I34" s="53">
        <v>42482.660590277781</v>
      </c>
      <c r="J34" s="19">
        <v>0</v>
      </c>
      <c r="K34" s="67" t="str">
        <f t="shared" si="13"/>
        <v>4007/4008</v>
      </c>
      <c r="L34" s="70">
        <f t="shared" si="14"/>
        <v>3.3877314817800652E-2</v>
      </c>
      <c r="M34" s="21">
        <f t="shared" si="7"/>
        <v>48.783333337632939</v>
      </c>
      <c r="N34" s="21"/>
      <c r="O34" s="22"/>
      <c r="P34" s="17"/>
      <c r="R3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14:59:48-0600',mode:absolute,to:'2016-04-22 15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34" s="16" t="str">
        <f t="shared" si="9"/>
        <v>N</v>
      </c>
      <c r="T34" s="16">
        <f t="shared" si="10"/>
        <v>23.265000000000001</v>
      </c>
      <c r="U34" s="16">
        <f t="shared" si="11"/>
        <v>1.5599999999999999E-2</v>
      </c>
      <c r="V34" s="16">
        <f t="shared" si="12"/>
        <v>23.249400000000001</v>
      </c>
      <c r="W34" s="49" t="e">
        <f>VLOOKUP(A34,Enforcements!$C$3:$J$20,8,0)</f>
        <v>#N/A</v>
      </c>
      <c r="X34" s="49" t="e">
        <f>VLOOKUP(A34,Enforcements!$C$3:$J$20,3,0)</f>
        <v>#N/A</v>
      </c>
    </row>
    <row r="35" spans="1:24" s="2" customFormat="1" ht="15.75" thickBot="1" x14ac:dyDescent="0.3">
      <c r="A35" s="18" t="s">
        <v>174</v>
      </c>
      <c r="B35" s="19">
        <v>4016</v>
      </c>
      <c r="C35" s="19" t="s">
        <v>70</v>
      </c>
      <c r="D35" s="19" t="s">
        <v>175</v>
      </c>
      <c r="E35" s="53">
        <v>42482.593009259261</v>
      </c>
      <c r="F35" s="53">
        <v>42482.59375</v>
      </c>
      <c r="G35" s="62">
        <v>1</v>
      </c>
      <c r="H35" s="53" t="s">
        <v>176</v>
      </c>
      <c r="I35" s="53">
        <v>42482.620057870372</v>
      </c>
      <c r="J35" s="19">
        <v>0</v>
      </c>
      <c r="K35" s="67" t="str">
        <f t="shared" si="13"/>
        <v>4015/4016</v>
      </c>
      <c r="L35" s="70">
        <f t="shared" si="14"/>
        <v>2.6307870371965691E-2</v>
      </c>
      <c r="M35" s="21">
        <f t="shared" si="7"/>
        <v>37.883333335630596</v>
      </c>
      <c r="N35" s="21"/>
      <c r="O35" s="22"/>
      <c r="P35" s="17"/>
      <c r="R3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14:12:56-0600',mode:absolute,to:'2016-04-22 14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35" s="16" t="str">
        <f t="shared" si="9"/>
        <v>N</v>
      </c>
      <c r="T35" s="16">
        <f t="shared" si="10"/>
        <v>7.8100000000000003E-2</v>
      </c>
      <c r="U35" s="16">
        <f t="shared" si="11"/>
        <v>23.3307</v>
      </c>
      <c r="V35" s="16">
        <f t="shared" si="12"/>
        <v>23.252600000000001</v>
      </c>
      <c r="W35" s="49" t="e">
        <f>VLOOKUP(A35,Enforcements!$C$3:$J$20,8,0)</f>
        <v>#N/A</v>
      </c>
      <c r="X35" s="49" t="e">
        <f>VLOOKUP(A35,Enforcements!$C$3:$J$20,3,0)</f>
        <v>#N/A</v>
      </c>
    </row>
    <row r="36" spans="1:24" s="2" customFormat="1" ht="15.75" thickBot="1" x14ac:dyDescent="0.3">
      <c r="A36" s="18" t="s">
        <v>177</v>
      </c>
      <c r="B36" s="19">
        <v>4032</v>
      </c>
      <c r="C36" s="19" t="s">
        <v>70</v>
      </c>
      <c r="D36" s="19" t="s">
        <v>178</v>
      </c>
      <c r="E36" s="53">
        <v>42482.633981481478</v>
      </c>
      <c r="F36" s="53">
        <v>42482.635162037041</v>
      </c>
      <c r="G36" s="62">
        <v>1</v>
      </c>
      <c r="H36" s="53" t="s">
        <v>166</v>
      </c>
      <c r="I36" s="53">
        <v>42482.673055555555</v>
      </c>
      <c r="J36" s="19">
        <v>0</v>
      </c>
      <c r="K36" s="67" t="str">
        <f t="shared" si="13"/>
        <v>4031/4032</v>
      </c>
      <c r="L36" s="70">
        <f t="shared" si="14"/>
        <v>3.7893518514465541E-2</v>
      </c>
      <c r="M36" s="21">
        <f t="shared" si="7"/>
        <v>54.566666660830379</v>
      </c>
      <c r="N36" s="21"/>
      <c r="O36" s="22"/>
      <c r="P36" s="17" t="s">
        <v>299</v>
      </c>
      <c r="R3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15:11:56-0600',mode:absolute,to:'2016-04-22 16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36" s="16" t="str">
        <f t="shared" si="9"/>
        <v>N</v>
      </c>
      <c r="T36" s="16">
        <f t="shared" si="10"/>
        <v>23.2666</v>
      </c>
      <c r="U36" s="16">
        <f t="shared" si="11"/>
        <v>1.41E-2</v>
      </c>
      <c r="V36" s="16">
        <f t="shared" si="12"/>
        <v>23.252500000000001</v>
      </c>
      <c r="W36" s="49" t="e">
        <f>VLOOKUP(A36,Enforcements!$C$3:$J$20,8,0)</f>
        <v>#N/A</v>
      </c>
      <c r="X36" s="49" t="e">
        <f>VLOOKUP(A36,Enforcements!$C$3:$J$20,3,0)</f>
        <v>#N/A</v>
      </c>
    </row>
    <row r="37" spans="1:24" s="2" customFormat="1" ht="15.75" thickBot="1" x14ac:dyDescent="0.3">
      <c r="A37" s="18" t="s">
        <v>179</v>
      </c>
      <c r="B37" s="19">
        <v>4014</v>
      </c>
      <c r="C37" s="19" t="s">
        <v>70</v>
      </c>
      <c r="D37" s="19" t="s">
        <v>180</v>
      </c>
      <c r="E37" s="53">
        <v>42482.600983796299</v>
      </c>
      <c r="F37" s="53">
        <v>42482.602094907408</v>
      </c>
      <c r="G37" s="62">
        <v>1</v>
      </c>
      <c r="H37" s="53" t="s">
        <v>181</v>
      </c>
      <c r="I37" s="53">
        <v>42482.630983796298</v>
      </c>
      <c r="J37" s="19">
        <v>0</v>
      </c>
      <c r="K37" s="67" t="str">
        <f t="shared" si="13"/>
        <v>4013/4014</v>
      </c>
      <c r="L37" s="70">
        <f t="shared" si="14"/>
        <v>2.8888888889923692E-2</v>
      </c>
      <c r="M37" s="21">
        <f t="shared" si="7"/>
        <v>41.600000001490116</v>
      </c>
      <c r="N37" s="21"/>
      <c r="O37" s="22"/>
      <c r="P37" s="17"/>
      <c r="R3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14:24:25-0600',mode:absolute,to:'2016-04-22 15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37" s="16" t="str">
        <f t="shared" si="9"/>
        <v>N</v>
      </c>
      <c r="T37" s="16">
        <f t="shared" si="10"/>
        <v>7.6300000000000007E-2</v>
      </c>
      <c r="U37" s="16">
        <f t="shared" si="11"/>
        <v>23.33</v>
      </c>
      <c r="V37" s="16">
        <f t="shared" si="12"/>
        <v>23.253699999999998</v>
      </c>
      <c r="W37" s="49" t="e">
        <f>VLOOKUP(A37,Enforcements!$C$3:$J$20,8,0)</f>
        <v>#N/A</v>
      </c>
      <c r="X37" s="49" t="e">
        <f>VLOOKUP(A37,Enforcements!$C$3:$J$20,3,0)</f>
        <v>#N/A</v>
      </c>
    </row>
    <row r="38" spans="1:24" s="2" customFormat="1" ht="15.75" thickBot="1" x14ac:dyDescent="0.3">
      <c r="A38" s="18" t="s">
        <v>182</v>
      </c>
      <c r="B38" s="19">
        <v>4030</v>
      </c>
      <c r="C38" s="19" t="s">
        <v>70</v>
      </c>
      <c r="D38" s="19" t="s">
        <v>183</v>
      </c>
      <c r="E38" s="53">
        <v>42482.653946759259</v>
      </c>
      <c r="F38" s="53">
        <v>42482.654930555553</v>
      </c>
      <c r="G38" s="62">
        <v>1</v>
      </c>
      <c r="H38" s="53" t="s">
        <v>184</v>
      </c>
      <c r="I38" s="53">
        <v>42482.682152777779</v>
      </c>
      <c r="J38" s="19">
        <v>0</v>
      </c>
      <c r="K38" s="67" t="str">
        <f t="shared" si="13"/>
        <v>4029/4030</v>
      </c>
      <c r="L38" s="70">
        <f t="shared" si="14"/>
        <v>2.7222222226555459E-2</v>
      </c>
      <c r="M38" s="21">
        <f t="shared" si="7"/>
        <v>39.200000006239861</v>
      </c>
      <c r="N38" s="21"/>
      <c r="O38" s="22"/>
      <c r="P38" s="17"/>
      <c r="R3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15:40:41-0600',mode:absolute,to:'2016-04-22 16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38" s="16" t="str">
        <f t="shared" si="9"/>
        <v>N</v>
      </c>
      <c r="T38" s="16">
        <f t="shared" si="10"/>
        <v>23.2639</v>
      </c>
      <c r="U38" s="16">
        <f t="shared" si="11"/>
        <v>1.49E-2</v>
      </c>
      <c r="V38" s="16">
        <f t="shared" si="12"/>
        <v>23.248999999999999</v>
      </c>
      <c r="W38" s="49" t="e">
        <f>VLOOKUP(A38,Enforcements!$C$3:$J$20,8,0)</f>
        <v>#N/A</v>
      </c>
      <c r="X38" s="49" t="e">
        <f>VLOOKUP(A38,Enforcements!$C$3:$J$20,3,0)</f>
        <v>#N/A</v>
      </c>
    </row>
    <row r="39" spans="1:24" s="2" customFormat="1" ht="15.75" thickBot="1" x14ac:dyDescent="0.3">
      <c r="A39" s="18" t="s">
        <v>185</v>
      </c>
      <c r="B39" s="19">
        <v>4038</v>
      </c>
      <c r="C39" s="19" t="s">
        <v>70</v>
      </c>
      <c r="D39" s="19" t="s">
        <v>186</v>
      </c>
      <c r="E39" s="53">
        <v>42482.616400462961</v>
      </c>
      <c r="F39" s="53">
        <v>42482.618981481479</v>
      </c>
      <c r="G39" s="62">
        <v>3</v>
      </c>
      <c r="H39" s="53" t="s">
        <v>85</v>
      </c>
      <c r="I39" s="53">
        <v>42482.647604166668</v>
      </c>
      <c r="J39" s="19">
        <v>2</v>
      </c>
      <c r="K39" s="67" t="str">
        <f t="shared" si="13"/>
        <v>4037/4038</v>
      </c>
      <c r="L39" s="70">
        <f t="shared" si="14"/>
        <v>2.8622685189475305E-2</v>
      </c>
      <c r="M39" s="21">
        <f t="shared" si="7"/>
        <v>41.21666667284444</v>
      </c>
      <c r="N39" s="21"/>
      <c r="O39" s="22"/>
      <c r="P39" s="17"/>
      <c r="R3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14:46:37-0600',mode:absolute,to:'2016-04-22 15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39" s="16" t="str">
        <f t="shared" si="9"/>
        <v>N</v>
      </c>
      <c r="T39" s="16">
        <f t="shared" si="10"/>
        <v>7.5499999999999998E-2</v>
      </c>
      <c r="U39" s="16">
        <f t="shared" si="11"/>
        <v>23.328199999999999</v>
      </c>
      <c r="V39" s="16">
        <f t="shared" si="12"/>
        <v>23.252699999999997</v>
      </c>
      <c r="W39" s="49">
        <f>VLOOKUP(A39,Enforcements!$C$3:$J$20,8,0)</f>
        <v>127562</v>
      </c>
      <c r="X39" s="49" t="str">
        <f>VLOOKUP(A39,Enforcements!$C$3:$J$20,3,0)</f>
        <v>GRADE CROSSING</v>
      </c>
    </row>
    <row r="40" spans="1:24" s="2" customFormat="1" ht="15.75" thickBot="1" x14ac:dyDescent="0.3">
      <c r="A40" s="18" t="s">
        <v>187</v>
      </c>
      <c r="B40" s="19">
        <v>4039</v>
      </c>
      <c r="C40" s="19" t="s">
        <v>70</v>
      </c>
      <c r="D40" s="19" t="s">
        <v>188</v>
      </c>
      <c r="E40" s="53">
        <v>42482.662314814814</v>
      </c>
      <c r="F40" s="53">
        <v>42482.663437499999</v>
      </c>
      <c r="G40" s="62">
        <v>1</v>
      </c>
      <c r="H40" s="53" t="s">
        <v>24</v>
      </c>
      <c r="I40" s="53">
        <v>42482.692997685182</v>
      </c>
      <c r="J40" s="19">
        <v>2</v>
      </c>
      <c r="K40" s="67" t="str">
        <f t="shared" si="13"/>
        <v>4039/4040</v>
      </c>
      <c r="L40" s="70">
        <f t="shared" si="14"/>
        <v>2.9560185183072463E-2</v>
      </c>
      <c r="M40" s="21">
        <f t="shared" si="7"/>
        <v>42.566666663624346</v>
      </c>
      <c r="N40" s="21"/>
      <c r="O40" s="22"/>
      <c r="P40" s="17"/>
      <c r="R4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15:52:44-0600',mode:absolute,to:'2016-04-22 16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40" s="16" t="str">
        <f t="shared" si="9"/>
        <v>N</v>
      </c>
      <c r="T40" s="16">
        <f t="shared" si="10"/>
        <v>23.268699999999999</v>
      </c>
      <c r="U40" s="16">
        <f t="shared" si="11"/>
        <v>1.4999999999999999E-2</v>
      </c>
      <c r="V40" s="16">
        <f t="shared" si="12"/>
        <v>23.253699999999998</v>
      </c>
      <c r="W40" s="49">
        <f>VLOOKUP(A40,Enforcements!$C$3:$J$20,8,0)</f>
        <v>183829</v>
      </c>
      <c r="X40" s="49" t="str">
        <f>VLOOKUP(A40,Enforcements!$C$3:$J$20,3,0)</f>
        <v>PERMANENT SPEED RESTRICTION</v>
      </c>
    </row>
    <row r="41" spans="1:24" s="2" customFormat="1" ht="15.75" thickBot="1" x14ac:dyDescent="0.3">
      <c r="A41" s="18" t="s">
        <v>189</v>
      </c>
      <c r="B41" s="19">
        <v>4044</v>
      </c>
      <c r="C41" s="19" t="s">
        <v>70</v>
      </c>
      <c r="D41" s="19" t="s">
        <v>124</v>
      </c>
      <c r="E41" s="53">
        <v>42482.627627314818</v>
      </c>
      <c r="F41" s="53">
        <v>42482.629479166666</v>
      </c>
      <c r="G41" s="62">
        <v>2</v>
      </c>
      <c r="H41" s="53" t="s">
        <v>190</v>
      </c>
      <c r="I41" s="53">
        <v>42482.659826388888</v>
      </c>
      <c r="J41" s="19">
        <v>0</v>
      </c>
      <c r="K41" s="67" t="str">
        <f t="shared" si="13"/>
        <v>4043/4044</v>
      </c>
      <c r="L41" s="70">
        <f t="shared" si="14"/>
        <v>3.0347222222189885E-2</v>
      </c>
      <c r="M41" s="21">
        <f t="shared" si="7"/>
        <v>43.699999999953434</v>
      </c>
      <c r="N41" s="21"/>
      <c r="O41" s="22"/>
      <c r="P41" s="17"/>
      <c r="R4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15:02:47-0600',mode:absolute,to:'2016-04-22 15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41" s="16" t="str">
        <f t="shared" si="9"/>
        <v>N</v>
      </c>
      <c r="T41" s="16">
        <f t="shared" si="10"/>
        <v>7.8299999999999995E-2</v>
      </c>
      <c r="U41" s="16">
        <f t="shared" si="11"/>
        <v>23.329699999999999</v>
      </c>
      <c r="V41" s="16">
        <f t="shared" si="12"/>
        <v>23.2514</v>
      </c>
      <c r="W41" s="49" t="e">
        <f>VLOOKUP(A41,Enforcements!$C$3:$J$20,8,0)</f>
        <v>#N/A</v>
      </c>
      <c r="X41" s="49" t="e">
        <f>VLOOKUP(A41,Enforcements!$C$3:$J$20,3,0)</f>
        <v>#N/A</v>
      </c>
    </row>
    <row r="42" spans="1:24" s="2" customFormat="1" ht="15.75" thickBot="1" x14ac:dyDescent="0.3">
      <c r="A42" s="18" t="s">
        <v>191</v>
      </c>
      <c r="B42" s="19">
        <v>4017</v>
      </c>
      <c r="C42" s="19" t="s">
        <v>70</v>
      </c>
      <c r="D42" s="19" t="s">
        <v>192</v>
      </c>
      <c r="E42" s="53">
        <v>42482.672303240739</v>
      </c>
      <c r="F42" s="53">
        <v>42482.673298611109</v>
      </c>
      <c r="G42" s="62">
        <v>1</v>
      </c>
      <c r="H42" s="53" t="s">
        <v>21</v>
      </c>
      <c r="I42" s="53">
        <v>42482.702604166669</v>
      </c>
      <c r="J42" s="19">
        <v>2</v>
      </c>
      <c r="K42" s="67" t="str">
        <f t="shared" si="13"/>
        <v>4017/4018</v>
      </c>
      <c r="L42" s="70">
        <f t="shared" si="14"/>
        <v>2.9305555559403729E-2</v>
      </c>
      <c r="M42" s="21">
        <f t="shared" si="7"/>
        <v>42.200000005541369</v>
      </c>
      <c r="N42" s="21"/>
      <c r="O42" s="22"/>
      <c r="P42" s="17"/>
      <c r="R4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16:07:07-0600',mode:absolute,to:'2016-04-22 16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42" s="16" t="str">
        <f t="shared" si="9"/>
        <v>N</v>
      </c>
      <c r="T42" s="16">
        <f t="shared" si="10"/>
        <v>23.2714</v>
      </c>
      <c r="U42" s="16">
        <f t="shared" si="11"/>
        <v>1.47E-2</v>
      </c>
      <c r="V42" s="16">
        <f t="shared" si="12"/>
        <v>23.256699999999999</v>
      </c>
      <c r="W42" s="49">
        <f>VLOOKUP(A42,Enforcements!$C$3:$J$20,8,0)</f>
        <v>48048</v>
      </c>
      <c r="X42" s="49" t="str">
        <f>VLOOKUP(A42,Enforcements!$C$3:$J$20,3,0)</f>
        <v>GRADE CROSSING</v>
      </c>
    </row>
    <row r="43" spans="1:24" s="2" customFormat="1" ht="15.75" thickBot="1" x14ac:dyDescent="0.3">
      <c r="A43" s="18" t="s">
        <v>193</v>
      </c>
      <c r="B43" s="19">
        <v>4009</v>
      </c>
      <c r="C43" s="19" t="s">
        <v>70</v>
      </c>
      <c r="D43" s="19" t="s">
        <v>71</v>
      </c>
      <c r="E43" s="53">
        <v>42482.633344907408</v>
      </c>
      <c r="F43" s="53">
        <v>42482.634340277778</v>
      </c>
      <c r="G43" s="62">
        <v>1</v>
      </c>
      <c r="H43" s="53" t="s">
        <v>194</v>
      </c>
      <c r="I43" s="53">
        <v>42482.665821759256</v>
      </c>
      <c r="J43" s="19">
        <v>0</v>
      </c>
      <c r="K43" s="67" t="str">
        <f t="shared" si="13"/>
        <v>4009/4010</v>
      </c>
      <c r="L43" s="70">
        <f t="shared" si="14"/>
        <v>3.1481481477385387E-2</v>
      </c>
      <c r="M43" s="21">
        <f t="shared" si="7"/>
        <v>45.333333327434957</v>
      </c>
      <c r="N43" s="21"/>
      <c r="O43" s="22"/>
      <c r="P43" s="17"/>
      <c r="R4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15:11:01-0600',mode:absolute,to:'2016-04-22 15:59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43" s="16" t="str">
        <f t="shared" si="9"/>
        <v>Y</v>
      </c>
      <c r="T43" s="16">
        <f t="shared" si="10"/>
        <v>7.6799999999999993E-2</v>
      </c>
      <c r="U43" s="16">
        <f t="shared" si="11"/>
        <v>23.047499999999999</v>
      </c>
      <c r="V43" s="16">
        <f t="shared" si="12"/>
        <v>22.970700000000001</v>
      </c>
      <c r="W43" s="49" t="e">
        <f>VLOOKUP(A43,Enforcements!$C$3:$J$20,8,0)</f>
        <v>#N/A</v>
      </c>
      <c r="X43" s="49" t="e">
        <f>VLOOKUP(A43,Enforcements!$C$3:$J$20,3,0)</f>
        <v>#N/A</v>
      </c>
    </row>
    <row r="44" spans="1:24" s="2" customFormat="1" ht="15.75" thickBot="1" x14ac:dyDescent="0.3">
      <c r="A44" s="18" t="s">
        <v>195</v>
      </c>
      <c r="B44" s="19">
        <v>4012</v>
      </c>
      <c r="C44" s="19" t="s">
        <v>70</v>
      </c>
      <c r="D44" s="19" t="s">
        <v>196</v>
      </c>
      <c r="E44" s="53">
        <v>42482.678576388891</v>
      </c>
      <c r="F44" s="53">
        <v>42482.679525462961</v>
      </c>
      <c r="G44" s="62">
        <v>1</v>
      </c>
      <c r="H44" s="53" t="s">
        <v>8</v>
      </c>
      <c r="I44" s="53">
        <v>42482.717465277776</v>
      </c>
      <c r="J44" s="19">
        <v>1</v>
      </c>
      <c r="K44" s="67" t="str">
        <f t="shared" si="13"/>
        <v>4011/4012</v>
      </c>
      <c r="L44" s="70">
        <f t="shared" si="14"/>
        <v>3.7939814814308193E-2</v>
      </c>
      <c r="M44" s="21">
        <f t="shared" si="7"/>
        <v>54.633333332603797</v>
      </c>
      <c r="N44" s="21"/>
      <c r="O44" s="22"/>
      <c r="P44" s="17" t="s">
        <v>296</v>
      </c>
      <c r="R4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16:16:09-0600',mode:absolute,to:'2016-04-22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44" s="16" t="str">
        <f t="shared" si="9"/>
        <v>N</v>
      </c>
      <c r="T44" s="16">
        <f t="shared" si="10"/>
        <v>23.267900000000001</v>
      </c>
      <c r="U44" s="16">
        <f t="shared" si="11"/>
        <v>1.43E-2</v>
      </c>
      <c r="V44" s="16">
        <f t="shared" si="12"/>
        <v>23.253600000000002</v>
      </c>
      <c r="W44" s="49">
        <f>VLOOKUP(A44,Enforcements!$C$3:$J$20,8,0)</f>
        <v>156300</v>
      </c>
      <c r="X44" s="49" t="str">
        <f>VLOOKUP(A44,Enforcements!$C$3:$J$20,3,0)</f>
        <v>PERMANENT SPEED RESTRICTION</v>
      </c>
    </row>
    <row r="45" spans="1:24" s="2" customFormat="1" ht="15.75" thickBot="1" x14ac:dyDescent="0.3">
      <c r="A45" s="18" t="s">
        <v>197</v>
      </c>
      <c r="B45" s="19">
        <v>4027</v>
      </c>
      <c r="C45" s="19" t="s">
        <v>70</v>
      </c>
      <c r="D45" s="19" t="s">
        <v>198</v>
      </c>
      <c r="E45" s="53">
        <v>42482.642314814817</v>
      </c>
      <c r="F45" s="53">
        <v>42482.644143518519</v>
      </c>
      <c r="G45" s="62">
        <v>2</v>
      </c>
      <c r="H45" s="53" t="s">
        <v>199</v>
      </c>
      <c r="I45" s="53">
        <v>42482.67255787037</v>
      </c>
      <c r="J45" s="19">
        <v>0</v>
      </c>
      <c r="K45" s="67" t="str">
        <f t="shared" si="13"/>
        <v>4027/4028</v>
      </c>
      <c r="L45" s="70">
        <f t="shared" si="14"/>
        <v>2.8414351851097308E-2</v>
      </c>
      <c r="M45" s="21">
        <f t="shared" si="7"/>
        <v>40.916666665580124</v>
      </c>
      <c r="N45" s="21"/>
      <c r="O45" s="22"/>
      <c r="P45" s="17"/>
      <c r="R4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15:23:56-0600',mode:absolute,to:'2016-04-22 16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45" s="16" t="str">
        <f t="shared" si="9"/>
        <v>N</v>
      </c>
      <c r="T45" s="16">
        <f t="shared" si="10"/>
        <v>7.7399999999999997E-2</v>
      </c>
      <c r="U45" s="16">
        <f t="shared" si="11"/>
        <v>23.3306</v>
      </c>
      <c r="V45" s="16">
        <f t="shared" si="12"/>
        <v>23.2532</v>
      </c>
      <c r="W45" s="49" t="e">
        <f>VLOOKUP(A45,Enforcements!$C$3:$J$20,8,0)</f>
        <v>#N/A</v>
      </c>
      <c r="X45" s="49" t="e">
        <f>VLOOKUP(A45,Enforcements!$C$3:$J$20,3,0)</f>
        <v>#N/A</v>
      </c>
    </row>
    <row r="46" spans="1:24" s="2" customFormat="1" ht="15.75" thickBot="1" x14ac:dyDescent="0.3">
      <c r="A46" s="18" t="s">
        <v>200</v>
      </c>
      <c r="B46" s="19">
        <v>4026</v>
      </c>
      <c r="C46" s="19" t="s">
        <v>70</v>
      </c>
      <c r="D46" s="19" t="s">
        <v>156</v>
      </c>
      <c r="E46" s="53">
        <v>42482.691805555558</v>
      </c>
      <c r="F46" s="53">
        <v>42482.693958333337</v>
      </c>
      <c r="G46" s="62">
        <v>3</v>
      </c>
      <c r="H46" s="53" t="s">
        <v>201</v>
      </c>
      <c r="I46" s="53">
        <v>42482.709918981483</v>
      </c>
      <c r="J46" s="19">
        <v>2</v>
      </c>
      <c r="K46" s="67" t="str">
        <f t="shared" si="13"/>
        <v>4025/4026</v>
      </c>
      <c r="L46" s="70">
        <f t="shared" si="14"/>
        <v>1.5960648146574385E-2</v>
      </c>
      <c r="M46" s="21"/>
      <c r="N46" s="21"/>
      <c r="O46" s="21">
        <f t="shared" si="7"/>
        <v>22.983333331067115</v>
      </c>
      <c r="P46" s="17" t="s">
        <v>298</v>
      </c>
      <c r="R4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16:35:12-0600',mode:absolute,to:'2016-04-22 17:03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46" s="16" t="str">
        <f t="shared" si="9"/>
        <v>Y</v>
      </c>
      <c r="T46" s="16">
        <f t="shared" si="10"/>
        <v>23.264600000000002</v>
      </c>
      <c r="U46" s="16">
        <f t="shared" si="11"/>
        <v>12.812799999999999</v>
      </c>
      <c r="V46" s="16">
        <f t="shared" si="12"/>
        <v>10.451800000000002</v>
      </c>
      <c r="W46" s="49">
        <f>VLOOKUP(A46,Enforcements!$C$3:$J$20,8,0)</f>
        <v>127587</v>
      </c>
      <c r="X46" s="49" t="str">
        <f>VLOOKUP(A46,Enforcements!$C$3:$J$20,3,0)</f>
        <v>SIGNAL</v>
      </c>
    </row>
    <row r="47" spans="1:24" s="2" customFormat="1" ht="15.75" thickBot="1" x14ac:dyDescent="0.3">
      <c r="A47" s="18" t="s">
        <v>202</v>
      </c>
      <c r="B47" s="19">
        <v>4020</v>
      </c>
      <c r="C47" s="19" t="s">
        <v>70</v>
      </c>
      <c r="D47" s="19" t="s">
        <v>203</v>
      </c>
      <c r="E47" s="53">
        <v>42482.658379629633</v>
      </c>
      <c r="F47" s="53">
        <v>42482.659618055557</v>
      </c>
      <c r="G47" s="62">
        <v>1</v>
      </c>
      <c r="H47" s="53" t="s">
        <v>204</v>
      </c>
      <c r="I47" s="53">
        <v>42482.689027777778</v>
      </c>
      <c r="J47" s="19">
        <v>0</v>
      </c>
      <c r="K47" s="67" t="str">
        <f t="shared" si="13"/>
        <v>4019/4020</v>
      </c>
      <c r="L47" s="70">
        <f t="shared" si="14"/>
        <v>2.940972222131677E-2</v>
      </c>
      <c r="M47" s="21">
        <f t="shared" si="7"/>
        <v>42.349999998696148</v>
      </c>
      <c r="N47" s="21"/>
      <c r="O47" s="22"/>
      <c r="P47" s="17"/>
      <c r="R4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15:47:04-0600',mode:absolute,to:'2016-04-22 16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7" s="16" t="str">
        <f t="shared" si="9"/>
        <v>N</v>
      </c>
      <c r="T47" s="16">
        <f t="shared" si="10"/>
        <v>7.0999999999999994E-2</v>
      </c>
      <c r="U47" s="16">
        <f t="shared" si="11"/>
        <v>23.332599999999999</v>
      </c>
      <c r="V47" s="16">
        <f t="shared" si="12"/>
        <v>23.261599999999998</v>
      </c>
      <c r="W47" s="49" t="e">
        <f>VLOOKUP(A47,Enforcements!$C$3:$J$20,8,0)</f>
        <v>#N/A</v>
      </c>
      <c r="X47" s="49" t="e">
        <f>VLOOKUP(A47,Enforcements!$C$3:$J$20,3,0)</f>
        <v>#N/A</v>
      </c>
    </row>
    <row r="48" spans="1:24" s="2" customFormat="1" ht="15.75" thickBot="1" x14ac:dyDescent="0.3">
      <c r="A48" s="18" t="s">
        <v>205</v>
      </c>
      <c r="B48" s="19">
        <v>4008</v>
      </c>
      <c r="C48" s="19" t="s">
        <v>70</v>
      </c>
      <c r="D48" s="19" t="s">
        <v>206</v>
      </c>
      <c r="E48" s="53">
        <v>42482.699699074074</v>
      </c>
      <c r="F48" s="53">
        <v>42482.701041666667</v>
      </c>
      <c r="G48" s="62">
        <v>1</v>
      </c>
      <c r="H48" s="53" t="s">
        <v>207</v>
      </c>
      <c r="I48" s="53">
        <v>42482.723854166667</v>
      </c>
      <c r="J48" s="19">
        <v>0</v>
      </c>
      <c r="K48" s="67" t="str">
        <f t="shared" si="13"/>
        <v>4007/4008</v>
      </c>
      <c r="L48" s="70">
        <f t="shared" si="14"/>
        <v>2.2812499999417923E-2</v>
      </c>
      <c r="M48" s="21"/>
      <c r="N48" s="21">
        <f>($L48+L49)*24*60</f>
        <v>47.183333330322057</v>
      </c>
      <c r="O48" s="22"/>
      <c r="P48" s="17" t="s">
        <v>304</v>
      </c>
      <c r="R4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16:46:34-0600',mode:absolute,to:'2016-04-22 17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48" s="16" t="str">
        <f t="shared" si="9"/>
        <v>Y</v>
      </c>
      <c r="T48" s="16">
        <f t="shared" si="10"/>
        <v>23.266200000000001</v>
      </c>
      <c r="U48" s="16">
        <f t="shared" si="11"/>
        <v>6.4340000000000002</v>
      </c>
      <c r="V48" s="16">
        <f t="shared" si="12"/>
        <v>16.8322</v>
      </c>
      <c r="W48" s="49" t="e">
        <f>VLOOKUP(A48,Enforcements!$C$3:$J$20,8,0)</f>
        <v>#N/A</v>
      </c>
      <c r="X48" s="49" t="e">
        <f>VLOOKUP(A48,Enforcements!$C$3:$J$20,3,0)</f>
        <v>#N/A</v>
      </c>
    </row>
    <row r="49" spans="1:24" s="2" customFormat="1" ht="15.75" thickBot="1" x14ac:dyDescent="0.3">
      <c r="A49" s="18" t="s">
        <v>205</v>
      </c>
      <c r="B49" s="19">
        <v>4008</v>
      </c>
      <c r="C49" s="19" t="s">
        <v>70</v>
      </c>
      <c r="D49" s="19" t="s">
        <v>208</v>
      </c>
      <c r="E49" s="53">
        <v>42482.72724537037</v>
      </c>
      <c r="F49" s="53">
        <v>42482.728206018517</v>
      </c>
      <c r="G49" s="62">
        <v>1</v>
      </c>
      <c r="H49" s="53" t="s">
        <v>21</v>
      </c>
      <c r="I49" s="53">
        <v>42482.738159722219</v>
      </c>
      <c r="J49" s="19">
        <v>0</v>
      </c>
      <c r="K49" s="67" t="str">
        <f t="shared" si="13"/>
        <v>4007/4008</v>
      </c>
      <c r="L49" s="70">
        <f t="shared" si="14"/>
        <v>9.9537037021946162E-3</v>
      </c>
      <c r="M49" s="21"/>
      <c r="N49" s="21"/>
      <c r="O49" s="22"/>
      <c r="P49" s="17"/>
      <c r="R4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17:26:14-0600',mode:absolute,to:'2016-04-22 17:43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49" s="16" t="str">
        <f t="shared" si="9"/>
        <v>Y</v>
      </c>
      <c r="T49" s="16">
        <f t="shared" si="10"/>
        <v>6.4097999999999997</v>
      </c>
      <c r="U49" s="16">
        <f t="shared" si="11"/>
        <v>1.47E-2</v>
      </c>
      <c r="V49" s="16">
        <f t="shared" si="12"/>
        <v>6.3950999999999993</v>
      </c>
      <c r="W49" s="49" t="e">
        <f>VLOOKUP(A49,Enforcements!$C$3:$J$20,8,0)</f>
        <v>#N/A</v>
      </c>
      <c r="X49" s="49" t="e">
        <f>VLOOKUP(A49,Enforcements!$C$3:$J$20,3,0)</f>
        <v>#N/A</v>
      </c>
    </row>
    <row r="50" spans="1:24" s="2" customFormat="1" ht="15.75" thickBot="1" x14ac:dyDescent="0.3">
      <c r="A50" s="18" t="s">
        <v>209</v>
      </c>
      <c r="B50" s="19">
        <v>4016</v>
      </c>
      <c r="C50" s="19" t="s">
        <v>70</v>
      </c>
      <c r="D50" s="19" t="s">
        <v>210</v>
      </c>
      <c r="E50" s="53">
        <v>42482.663252314815</v>
      </c>
      <c r="F50" s="53">
        <v>42482.664282407408</v>
      </c>
      <c r="G50" s="62">
        <v>1</v>
      </c>
      <c r="H50" s="53" t="s">
        <v>211</v>
      </c>
      <c r="I50" s="53">
        <v>42482.69462962963</v>
      </c>
      <c r="J50" s="19">
        <v>0</v>
      </c>
      <c r="K50" s="67" t="str">
        <f t="shared" si="13"/>
        <v>4015/4016</v>
      </c>
      <c r="L50" s="70">
        <f t="shared" si="14"/>
        <v>3.0347222222189885E-2</v>
      </c>
      <c r="M50" s="21">
        <f t="shared" si="7"/>
        <v>43.699999999953434</v>
      </c>
      <c r="N50" s="21"/>
      <c r="O50" s="22"/>
      <c r="P50" s="17"/>
      <c r="R5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15:54:05-0600',mode:absolute,to:'2016-04-22 16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50" s="16" t="str">
        <f t="shared" si="9"/>
        <v>N</v>
      </c>
      <c r="T50" s="16">
        <f t="shared" si="10"/>
        <v>7.5899999999999995E-2</v>
      </c>
      <c r="U50" s="16">
        <f t="shared" si="11"/>
        <v>23.3323</v>
      </c>
      <c r="V50" s="16">
        <f t="shared" si="12"/>
        <v>23.256399999999999</v>
      </c>
      <c r="W50" s="49" t="e">
        <f>VLOOKUP(A50,Enforcements!$C$3:$J$20,8,0)</f>
        <v>#N/A</v>
      </c>
      <c r="X50" s="49" t="e">
        <f>VLOOKUP(A50,Enforcements!$C$3:$J$20,3,0)</f>
        <v>#N/A</v>
      </c>
    </row>
    <row r="51" spans="1:24" s="2" customFormat="1" ht="15.75" thickBot="1" x14ac:dyDescent="0.3">
      <c r="A51" s="18" t="s">
        <v>212</v>
      </c>
      <c r="B51" s="19">
        <v>4032</v>
      </c>
      <c r="C51" s="19" t="s">
        <v>70</v>
      </c>
      <c r="D51" s="19" t="s">
        <v>183</v>
      </c>
      <c r="E51" s="53">
        <v>42482.712557870371</v>
      </c>
      <c r="F51" s="53">
        <v>42482.713379629633</v>
      </c>
      <c r="G51" s="62">
        <v>1</v>
      </c>
      <c r="H51" s="53" t="s">
        <v>184</v>
      </c>
      <c r="I51" s="53">
        <v>42482.746666666666</v>
      </c>
      <c r="J51" s="19">
        <v>0</v>
      </c>
      <c r="K51" s="67" t="str">
        <f t="shared" si="13"/>
        <v>4031/4032</v>
      </c>
      <c r="L51" s="70">
        <f t="shared" si="14"/>
        <v>3.3287037033005618E-2</v>
      </c>
      <c r="M51" s="21">
        <f t="shared" si="7"/>
        <v>47.933333327528089</v>
      </c>
      <c r="N51" s="21"/>
      <c r="O51" s="22"/>
      <c r="P51" s="17"/>
      <c r="R5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17:05:05-0600',mode:absolute,to:'2016-04-22 17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51" s="16" t="str">
        <f t="shared" si="9"/>
        <v>N</v>
      </c>
      <c r="T51" s="16">
        <f t="shared" si="10"/>
        <v>23.2639</v>
      </c>
      <c r="U51" s="16">
        <f t="shared" si="11"/>
        <v>1.49E-2</v>
      </c>
      <c r="V51" s="16">
        <f t="shared" si="12"/>
        <v>23.248999999999999</v>
      </c>
      <c r="W51" s="49" t="e">
        <f>VLOOKUP(A51,Enforcements!$C$3:$J$20,8,0)</f>
        <v>#N/A</v>
      </c>
      <c r="X51" s="49" t="e">
        <f>VLOOKUP(A51,Enforcements!$C$3:$J$20,3,0)</f>
        <v>#N/A</v>
      </c>
    </row>
    <row r="52" spans="1:24" s="2" customFormat="1" ht="15.75" thickBot="1" x14ac:dyDescent="0.3">
      <c r="A52" s="18" t="s">
        <v>213</v>
      </c>
      <c r="B52" s="19">
        <v>4014</v>
      </c>
      <c r="C52" s="19" t="s">
        <v>70</v>
      </c>
      <c r="D52" s="19" t="s">
        <v>186</v>
      </c>
      <c r="E52" s="53">
        <v>42482.675300925926</v>
      </c>
      <c r="F52" s="53">
        <v>42482.676759259259</v>
      </c>
      <c r="G52" s="62">
        <v>2</v>
      </c>
      <c r="H52" s="53" t="s">
        <v>214</v>
      </c>
      <c r="I52" s="53">
        <v>42482.709374999999</v>
      </c>
      <c r="J52" s="19">
        <v>1</v>
      </c>
      <c r="K52" s="67" t="str">
        <f t="shared" si="13"/>
        <v>4013/4014</v>
      </c>
      <c r="L52" s="70">
        <f t="shared" si="14"/>
        <v>3.2615740739856847E-2</v>
      </c>
      <c r="M52" s="21">
        <f t="shared" si="7"/>
        <v>46.966666665393859</v>
      </c>
      <c r="N52" s="21"/>
      <c r="O52" s="22"/>
      <c r="P52" s="17"/>
      <c r="R5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16:11:26-0600',mode:absolute,to:'2016-04-22 17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52" s="16" t="str">
        <f t="shared" si="9"/>
        <v>N</v>
      </c>
      <c r="T52" s="16">
        <f t="shared" si="10"/>
        <v>7.5499999999999998E-2</v>
      </c>
      <c r="U52" s="16">
        <f t="shared" si="11"/>
        <v>23.328399999999998</v>
      </c>
      <c r="V52" s="16">
        <f t="shared" si="12"/>
        <v>23.252899999999997</v>
      </c>
      <c r="W52" s="49" t="e">
        <f>VLOOKUP(A52,Enforcements!$C$3:$J$20,8,0)</f>
        <v>#N/A</v>
      </c>
      <c r="X52" s="49" t="e">
        <f>VLOOKUP(A52,Enforcements!$C$3:$J$20,3,0)</f>
        <v>#N/A</v>
      </c>
    </row>
    <row r="53" spans="1:24" s="2" customFormat="1" ht="15.75" thickBot="1" x14ac:dyDescent="0.3">
      <c r="A53" s="18" t="s">
        <v>215</v>
      </c>
      <c r="B53" s="19">
        <v>4030</v>
      </c>
      <c r="C53" s="19" t="s">
        <v>70</v>
      </c>
      <c r="D53" s="19" t="s">
        <v>178</v>
      </c>
      <c r="E53" s="53">
        <v>42482.725659722222</v>
      </c>
      <c r="F53" s="53">
        <v>42482.727256944447</v>
      </c>
      <c r="G53" s="62">
        <v>2</v>
      </c>
      <c r="H53" s="53" t="s">
        <v>160</v>
      </c>
      <c r="I53" s="53">
        <v>42482.756967592592</v>
      </c>
      <c r="J53" s="19">
        <v>1</v>
      </c>
      <c r="K53" s="67" t="str">
        <f t="shared" si="13"/>
        <v>4029/4030</v>
      </c>
      <c r="L53" s="70">
        <f t="shared" si="14"/>
        <v>2.9710648144828156E-2</v>
      </c>
      <c r="M53" s="21">
        <f t="shared" si="7"/>
        <v>42.783333328552544</v>
      </c>
      <c r="N53" s="21"/>
      <c r="O53" s="22"/>
      <c r="P53" s="17"/>
      <c r="R5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17:23:57-0600',mode:absolute,to:'2016-04-22 18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53" s="16" t="str">
        <f t="shared" si="9"/>
        <v>N</v>
      </c>
      <c r="T53" s="16">
        <f t="shared" si="10"/>
        <v>23.2666</v>
      </c>
      <c r="U53" s="16">
        <f t="shared" si="11"/>
        <v>1.54E-2</v>
      </c>
      <c r="V53" s="16">
        <f t="shared" si="12"/>
        <v>23.251200000000001</v>
      </c>
      <c r="W53" s="49">
        <f>VLOOKUP(A53,Enforcements!$C$3:$J$20,8,0)</f>
        <v>5439</v>
      </c>
      <c r="X53" s="49" t="str">
        <f>VLOOKUP(A53,Enforcements!$C$3:$J$20,3,0)</f>
        <v>PERMANENT SPEED RESTRICTION</v>
      </c>
    </row>
    <row r="54" spans="1:24" s="2" customFormat="1" ht="15.75" thickBot="1" x14ac:dyDescent="0.3">
      <c r="A54" s="18" t="s">
        <v>216</v>
      </c>
      <c r="B54" s="19">
        <v>4039</v>
      </c>
      <c r="C54" s="19" t="s">
        <v>70</v>
      </c>
      <c r="D54" s="19" t="s">
        <v>217</v>
      </c>
      <c r="E54" s="53">
        <v>42482.733657407407</v>
      </c>
      <c r="F54" s="53">
        <v>42482.734699074077</v>
      </c>
      <c r="G54" s="62">
        <v>1</v>
      </c>
      <c r="H54" s="53" t="s">
        <v>25</v>
      </c>
      <c r="I54" s="53">
        <v>42482.767557870371</v>
      </c>
      <c r="J54" s="19">
        <v>0</v>
      </c>
      <c r="K54" s="67" t="str">
        <f t="shared" si="13"/>
        <v>4039/4040</v>
      </c>
      <c r="L54" s="70">
        <f t="shared" si="14"/>
        <v>3.2858796294021886E-2</v>
      </c>
      <c r="M54" s="21">
        <f t="shared" si="7"/>
        <v>47.316666663391516</v>
      </c>
      <c r="N54" s="21"/>
      <c r="O54" s="22"/>
      <c r="P54" s="17"/>
      <c r="R5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17:35:28-0600',mode:absolute,to:'2016-04-22 18:26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54" s="16" t="str">
        <f t="shared" si="9"/>
        <v>N</v>
      </c>
      <c r="T54" s="16">
        <f t="shared" si="10"/>
        <v>23.273499999999999</v>
      </c>
      <c r="U54" s="16">
        <f t="shared" si="11"/>
        <v>1.5599999999999999E-2</v>
      </c>
      <c r="V54" s="16">
        <f t="shared" si="12"/>
        <v>23.257899999999999</v>
      </c>
      <c r="W54" s="49" t="e">
        <f>VLOOKUP(A54,Enforcements!$C$3:$J$20,8,0)</f>
        <v>#N/A</v>
      </c>
      <c r="X54" s="49" t="e">
        <f>VLOOKUP(A54,Enforcements!$C$3:$J$20,3,0)</f>
        <v>#N/A</v>
      </c>
    </row>
    <row r="55" spans="1:24" s="2" customFormat="1" ht="15.75" thickBot="1" x14ac:dyDescent="0.3">
      <c r="A55" s="18" t="s">
        <v>218</v>
      </c>
      <c r="B55" s="19">
        <v>4044</v>
      </c>
      <c r="C55" s="19" t="s">
        <v>70</v>
      </c>
      <c r="D55" s="19" t="s">
        <v>71</v>
      </c>
      <c r="E55" s="53">
        <v>42482.697048611109</v>
      </c>
      <c r="F55" s="53">
        <v>42482.699421296296</v>
      </c>
      <c r="G55" s="62">
        <v>3</v>
      </c>
      <c r="H55" s="53" t="s">
        <v>219</v>
      </c>
      <c r="I55" s="53">
        <v>42482.728773148148</v>
      </c>
      <c r="J55" s="19">
        <v>0</v>
      </c>
      <c r="K55" s="67" t="str">
        <f t="shared" si="13"/>
        <v>4043/4044</v>
      </c>
      <c r="L55" s="70">
        <f t="shared" si="14"/>
        <v>2.9351851851970423E-2</v>
      </c>
      <c r="M55" s="21">
        <f t="shared" si="7"/>
        <v>42.266666666837409</v>
      </c>
      <c r="N55" s="21"/>
      <c r="O55" s="22"/>
      <c r="P55" s="17"/>
      <c r="R5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16:42:45-0600',mode:absolute,to:'2016-04-22 17:30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55" s="16" t="str">
        <f t="shared" si="9"/>
        <v>N</v>
      </c>
      <c r="T55" s="16">
        <f t="shared" si="10"/>
        <v>7.6799999999999993E-2</v>
      </c>
      <c r="U55" s="16">
        <f t="shared" si="11"/>
        <v>23.338899999999999</v>
      </c>
      <c r="V55" s="16">
        <f t="shared" si="12"/>
        <v>23.2621</v>
      </c>
      <c r="W55" s="49" t="e">
        <f>VLOOKUP(A55,Enforcements!$C$3:$J$20,8,0)</f>
        <v>#N/A</v>
      </c>
      <c r="X55" s="49" t="e">
        <f>VLOOKUP(A55,Enforcements!$C$3:$J$20,3,0)</f>
        <v>#N/A</v>
      </c>
    </row>
    <row r="56" spans="1:24" s="2" customFormat="1" ht="15.75" thickBot="1" x14ac:dyDescent="0.3">
      <c r="A56" s="18" t="s">
        <v>220</v>
      </c>
      <c r="B56" s="19">
        <v>4017</v>
      </c>
      <c r="C56" s="19" t="s">
        <v>70</v>
      </c>
      <c r="D56" s="19" t="s">
        <v>221</v>
      </c>
      <c r="E56" s="53">
        <v>42482.744756944441</v>
      </c>
      <c r="F56" s="53">
        <v>42482.745439814818</v>
      </c>
      <c r="G56" s="62">
        <v>0</v>
      </c>
      <c r="H56" s="53" t="s">
        <v>157</v>
      </c>
      <c r="I56" s="53">
        <v>42482.774189814816</v>
      </c>
      <c r="J56" s="19">
        <v>1</v>
      </c>
      <c r="K56" s="67" t="str">
        <f t="shared" si="13"/>
        <v>4017/4018</v>
      </c>
      <c r="L56" s="70">
        <f t="shared" si="14"/>
        <v>2.8749999997671694E-2</v>
      </c>
      <c r="M56" s="21">
        <f t="shared" si="7"/>
        <v>41.399999996647239</v>
      </c>
      <c r="N56" s="21"/>
      <c r="O56" s="22"/>
      <c r="P56" s="17"/>
      <c r="R5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17:51:27-0600',mode:absolute,to:'2016-04-22 18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56" s="16" t="str">
        <f t="shared" si="9"/>
        <v>N</v>
      </c>
      <c r="T56" s="16">
        <f t="shared" si="10"/>
        <v>23.273900000000001</v>
      </c>
      <c r="U56" s="16">
        <f t="shared" si="11"/>
        <v>1.4500000000000001E-2</v>
      </c>
      <c r="V56" s="16">
        <f t="shared" si="12"/>
        <v>23.259399999999999</v>
      </c>
      <c r="W56" s="49">
        <f>VLOOKUP(A56,Enforcements!$C$3:$J$20,8,0)</f>
        <v>127587</v>
      </c>
      <c r="X56" s="49" t="str">
        <f>VLOOKUP(A56,Enforcements!$C$3:$J$20,3,0)</f>
        <v>SIGNAL</v>
      </c>
    </row>
    <row r="57" spans="1:24" s="2" customFormat="1" ht="15.75" thickBot="1" x14ac:dyDescent="0.3">
      <c r="A57" s="18" t="s">
        <v>222</v>
      </c>
      <c r="B57" s="19">
        <v>4009</v>
      </c>
      <c r="C57" s="19" t="s">
        <v>70</v>
      </c>
      <c r="D57" s="19" t="s">
        <v>100</v>
      </c>
      <c r="E57" s="53">
        <v>42482.706122685187</v>
      </c>
      <c r="F57" s="53">
        <v>42482.707418981481</v>
      </c>
      <c r="G57" s="62">
        <v>1</v>
      </c>
      <c r="H57" s="53" t="s">
        <v>223</v>
      </c>
      <c r="I57" s="53">
        <v>42482.734537037039</v>
      </c>
      <c r="J57" s="19">
        <v>1</v>
      </c>
      <c r="K57" s="67" t="str">
        <f t="shared" si="13"/>
        <v>4009/4010</v>
      </c>
      <c r="L57" s="70">
        <f t="shared" si="14"/>
        <v>2.7118055557366461E-2</v>
      </c>
      <c r="M57" s="21">
        <f t="shared" si="7"/>
        <v>39.050000002607703</v>
      </c>
      <c r="N57" s="21"/>
      <c r="O57" s="22"/>
      <c r="P57" s="17"/>
      <c r="R5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16:55:49-0600',mode:absolute,to:'2016-04-22 17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57" s="16" t="str">
        <f t="shared" si="9"/>
        <v>N</v>
      </c>
      <c r="T57" s="16">
        <f t="shared" si="10"/>
        <v>7.4800000000000005E-2</v>
      </c>
      <c r="U57" s="16">
        <f t="shared" si="11"/>
        <v>23.3338</v>
      </c>
      <c r="V57" s="16">
        <f t="shared" si="12"/>
        <v>23.259</v>
      </c>
      <c r="W57" s="49" t="e">
        <f>VLOOKUP(A57,Enforcements!$C$3:$J$20,8,0)</f>
        <v>#N/A</v>
      </c>
      <c r="X57" s="49" t="e">
        <f>VLOOKUP(A57,Enforcements!$C$3:$J$20,3,0)</f>
        <v>#N/A</v>
      </c>
    </row>
    <row r="58" spans="1:24" s="2" customFormat="1" ht="15.75" thickBot="1" x14ac:dyDescent="0.3">
      <c r="A58" s="18" t="s">
        <v>224</v>
      </c>
      <c r="B58" s="19">
        <v>4012</v>
      </c>
      <c r="C58" s="19" t="s">
        <v>70</v>
      </c>
      <c r="D58" s="19" t="s">
        <v>162</v>
      </c>
      <c r="E58" s="53">
        <v>42482.751921296294</v>
      </c>
      <c r="F58" s="53">
        <v>42482.752847222226</v>
      </c>
      <c r="G58" s="62">
        <v>1</v>
      </c>
      <c r="H58" s="53" t="s">
        <v>225</v>
      </c>
      <c r="I58" s="53">
        <v>42482.784108796295</v>
      </c>
      <c r="J58" s="19">
        <v>0</v>
      </c>
      <c r="K58" s="67" t="str">
        <f t="shared" si="13"/>
        <v>4011/4012</v>
      </c>
      <c r="L58" s="70">
        <f t="shared" si="14"/>
        <v>3.1261574069503695E-2</v>
      </c>
      <c r="M58" s="21">
        <f t="shared" si="7"/>
        <v>45.01666666008532</v>
      </c>
      <c r="N58" s="21"/>
      <c r="O58" s="22"/>
      <c r="P58" s="17"/>
      <c r="R5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18:01:46-0600',mode:absolute,to:'2016-04-22 18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58" s="16" t="str">
        <f t="shared" si="9"/>
        <v>N</v>
      </c>
      <c r="T58" s="16">
        <f t="shared" si="10"/>
        <v>23.270199999999999</v>
      </c>
      <c r="U58" s="16">
        <f t="shared" si="11"/>
        <v>1.52E-2</v>
      </c>
      <c r="V58" s="16">
        <f t="shared" si="12"/>
        <v>23.254999999999999</v>
      </c>
      <c r="W58" s="49" t="e">
        <f>VLOOKUP(A58,Enforcements!$C$3:$J$20,8,0)</f>
        <v>#N/A</v>
      </c>
      <c r="X58" s="49" t="e">
        <f>VLOOKUP(A58,Enforcements!$C$3:$J$20,3,0)</f>
        <v>#N/A</v>
      </c>
    </row>
    <row r="59" spans="1:24" s="2" customFormat="1" ht="15.75" thickBot="1" x14ac:dyDescent="0.3">
      <c r="A59" s="18" t="s">
        <v>226</v>
      </c>
      <c r="B59" s="19">
        <v>4027</v>
      </c>
      <c r="C59" s="19" t="s">
        <v>70</v>
      </c>
      <c r="D59" s="19" t="s">
        <v>227</v>
      </c>
      <c r="E59" s="53">
        <v>42482.719513888886</v>
      </c>
      <c r="F59" s="53">
        <v>42482.720856481479</v>
      </c>
      <c r="G59" s="62">
        <v>1</v>
      </c>
      <c r="H59" s="53" t="s">
        <v>228</v>
      </c>
      <c r="I59" s="53">
        <v>42482.74690972222</v>
      </c>
      <c r="J59" s="19">
        <v>0</v>
      </c>
      <c r="K59" s="67" t="str">
        <f t="shared" si="13"/>
        <v>4027/4028</v>
      </c>
      <c r="L59" s="70">
        <f t="shared" si="14"/>
        <v>2.6053240741021E-2</v>
      </c>
      <c r="M59" s="21">
        <f t="shared" si="7"/>
        <v>37.51666666707024</v>
      </c>
      <c r="N59" s="21"/>
      <c r="O59" s="22"/>
      <c r="P59" s="17"/>
      <c r="R5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17:15:06-0600',mode:absolute,to:'2016-04-22 17:56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59" s="16" t="str">
        <f t="shared" si="9"/>
        <v>N</v>
      </c>
      <c r="T59" s="16">
        <f t="shared" si="10"/>
        <v>7.6600000000000001E-2</v>
      </c>
      <c r="U59" s="16">
        <f t="shared" si="11"/>
        <v>23.3339</v>
      </c>
      <c r="V59" s="16">
        <f t="shared" si="12"/>
        <v>23.257300000000001</v>
      </c>
      <c r="W59" s="49" t="e">
        <f>VLOOKUP(A59,Enforcements!$C$3:$J$20,8,0)</f>
        <v>#N/A</v>
      </c>
      <c r="X59" s="49" t="e">
        <f>VLOOKUP(A59,Enforcements!$C$3:$J$20,3,0)</f>
        <v>#N/A</v>
      </c>
    </row>
    <row r="60" spans="1:24" s="2" customFormat="1" ht="15.75" thickBot="1" x14ac:dyDescent="0.3">
      <c r="A60" s="18" t="s">
        <v>229</v>
      </c>
      <c r="B60" s="19">
        <v>4026</v>
      </c>
      <c r="C60" s="19" t="s">
        <v>70</v>
      </c>
      <c r="D60" s="19" t="s">
        <v>230</v>
      </c>
      <c r="E60" s="53">
        <v>42482.782280092593</v>
      </c>
      <c r="F60" s="53">
        <v>42482.783171296294</v>
      </c>
      <c r="G60" s="62">
        <v>1</v>
      </c>
      <c r="H60" s="53" t="s">
        <v>100</v>
      </c>
      <c r="I60" s="53">
        <v>42482.802604166667</v>
      </c>
      <c r="J60" s="19">
        <v>1</v>
      </c>
      <c r="K60" s="67" t="str">
        <f t="shared" si="13"/>
        <v>4025/4026</v>
      </c>
      <c r="L60" s="70">
        <f t="shared" si="14"/>
        <v>1.9432870372838806E-2</v>
      </c>
      <c r="M60" s="21"/>
      <c r="N60" s="21">
        <f>($L60+L61)*24*60</f>
        <v>45.083333331858739</v>
      </c>
      <c r="O60" s="22"/>
      <c r="P60" s="17" t="s">
        <v>295</v>
      </c>
      <c r="R6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18:45:29-0600',mode:absolute,to:'2016-04-22 19:16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0" s="16" t="str">
        <f t="shared" si="9"/>
        <v>Y</v>
      </c>
      <c r="T60" s="16">
        <f t="shared" si="10"/>
        <v>12.7784</v>
      </c>
      <c r="U60" s="16">
        <f t="shared" si="11"/>
        <v>7.4800000000000005E-2</v>
      </c>
      <c r="V60" s="16">
        <f t="shared" si="12"/>
        <v>12.7036</v>
      </c>
      <c r="W60" s="49" t="e">
        <f>VLOOKUP(A60,Enforcements!$C$3:$J$20,8,0)</f>
        <v>#N/A</v>
      </c>
      <c r="X60" s="49" t="e">
        <f>VLOOKUP(A60,Enforcements!$C$3:$J$20,3,0)</f>
        <v>#N/A</v>
      </c>
    </row>
    <row r="61" spans="1:24" s="2" customFormat="1" ht="15.75" thickBot="1" x14ac:dyDescent="0.3">
      <c r="A61" s="18" t="s">
        <v>229</v>
      </c>
      <c r="B61" s="19">
        <v>4026</v>
      </c>
      <c r="C61" s="19" t="s">
        <v>70</v>
      </c>
      <c r="D61" s="19" t="s">
        <v>231</v>
      </c>
      <c r="E61" s="53">
        <v>42482.767407407409</v>
      </c>
      <c r="F61" s="53">
        <v>42482.768587962964</v>
      </c>
      <c r="G61" s="62">
        <v>1</v>
      </c>
      <c r="H61" s="53" t="s">
        <v>232</v>
      </c>
      <c r="I61" s="53">
        <v>42482.780462962961</v>
      </c>
      <c r="J61" s="19">
        <v>0</v>
      </c>
      <c r="K61" s="67" t="str">
        <f t="shared" si="13"/>
        <v>4025/4026</v>
      </c>
      <c r="L61" s="70">
        <f t="shared" si="14"/>
        <v>1.187499999650754E-2</v>
      </c>
      <c r="M61" s="21"/>
      <c r="N61" s="21"/>
      <c r="O61" s="22"/>
      <c r="P61" s="17"/>
      <c r="R6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18:24:04-0600',mode:absolute,to:'2016-04-22 18:44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1" s="16" t="str">
        <f t="shared" si="9"/>
        <v>Y</v>
      </c>
      <c r="T61" s="16">
        <f t="shared" si="10"/>
        <v>23.266999999999999</v>
      </c>
      <c r="U61" s="16">
        <f t="shared" si="11"/>
        <v>13.0909</v>
      </c>
      <c r="V61" s="16">
        <f t="shared" si="12"/>
        <v>10.1761</v>
      </c>
      <c r="W61" s="49" t="e">
        <f>VLOOKUP(A61,Enforcements!$C$3:$J$20,8,0)</f>
        <v>#N/A</v>
      </c>
      <c r="X61" s="49" t="e">
        <f>VLOOKUP(A61,Enforcements!$C$3:$J$20,3,0)</f>
        <v>#N/A</v>
      </c>
    </row>
    <row r="62" spans="1:24" s="2" customFormat="1" ht="15.75" thickBot="1" x14ac:dyDescent="0.3">
      <c r="A62" s="18" t="s">
        <v>233</v>
      </c>
      <c r="B62" s="19">
        <v>4020</v>
      </c>
      <c r="C62" s="19" t="s">
        <v>70</v>
      </c>
      <c r="D62" s="19" t="s">
        <v>234</v>
      </c>
      <c r="E62" s="53">
        <v>42482.732222222221</v>
      </c>
      <c r="F62" s="53">
        <v>42482.733472222222</v>
      </c>
      <c r="G62" s="62">
        <v>1</v>
      </c>
      <c r="H62" s="53" t="s">
        <v>235</v>
      </c>
      <c r="I62" s="53">
        <v>42482.762245370373</v>
      </c>
      <c r="J62" s="19">
        <v>0</v>
      </c>
      <c r="K62" s="67" t="str">
        <f t="shared" si="13"/>
        <v>4019/4020</v>
      </c>
      <c r="L62" s="70">
        <f t="shared" si="14"/>
        <v>2.8773148151230998E-2</v>
      </c>
      <c r="M62" s="21">
        <f t="shared" si="7"/>
        <v>41.433333337772638</v>
      </c>
      <c r="N62" s="21"/>
      <c r="O62" s="22"/>
      <c r="P62" s="17"/>
      <c r="R6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17:33:24-0600',mode:absolute,to:'2016-04-22 18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62" s="16" t="str">
        <f t="shared" si="9"/>
        <v>N</v>
      </c>
      <c r="T62" s="16">
        <f t="shared" si="10"/>
        <v>7.5200000000000003E-2</v>
      </c>
      <c r="U62" s="16">
        <f t="shared" si="11"/>
        <v>23.325700000000001</v>
      </c>
      <c r="V62" s="16">
        <f t="shared" si="12"/>
        <v>23.250500000000002</v>
      </c>
      <c r="W62" s="49" t="e">
        <f>VLOOKUP(A62,Enforcements!$C$3:$J$20,8,0)</f>
        <v>#N/A</v>
      </c>
      <c r="X62" s="49" t="e">
        <f>VLOOKUP(A62,Enforcements!$C$3:$J$20,3,0)</f>
        <v>#N/A</v>
      </c>
    </row>
    <row r="63" spans="1:24" s="2" customFormat="1" ht="15.75" thickBot="1" x14ac:dyDescent="0.3">
      <c r="A63" s="18" t="s">
        <v>236</v>
      </c>
      <c r="B63" s="19">
        <v>4008</v>
      </c>
      <c r="C63" s="19" t="s">
        <v>70</v>
      </c>
      <c r="D63" s="19" t="s">
        <v>183</v>
      </c>
      <c r="E63" s="53">
        <v>42482.779606481483</v>
      </c>
      <c r="F63" s="53">
        <v>42482.781111111108</v>
      </c>
      <c r="G63" s="62">
        <v>2</v>
      </c>
      <c r="H63" s="53" t="s">
        <v>237</v>
      </c>
      <c r="I63" s="53">
        <v>42482.813518518517</v>
      </c>
      <c r="J63" s="19">
        <v>0</v>
      </c>
      <c r="K63" s="67" t="str">
        <f t="shared" si="13"/>
        <v>4007/4008</v>
      </c>
      <c r="L63" s="70">
        <f t="shared" si="14"/>
        <v>3.2407407408754807E-2</v>
      </c>
      <c r="M63" s="21">
        <f t="shared" si="7"/>
        <v>46.666666668606922</v>
      </c>
      <c r="N63" s="21"/>
      <c r="O63" s="22"/>
      <c r="P63" s="17"/>
      <c r="R6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18:41:38-0600',mode:absolute,to:'2016-04-22 19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63" s="16" t="str">
        <f t="shared" si="9"/>
        <v>N</v>
      </c>
      <c r="T63" s="16">
        <f t="shared" si="10"/>
        <v>23.2639</v>
      </c>
      <c r="U63" s="16">
        <f t="shared" si="11"/>
        <v>1.67E-2</v>
      </c>
      <c r="V63" s="16">
        <f t="shared" si="12"/>
        <v>23.247199999999999</v>
      </c>
      <c r="W63" s="49" t="e">
        <f>VLOOKUP(A63,Enforcements!$C$3:$J$20,8,0)</f>
        <v>#N/A</v>
      </c>
      <c r="X63" s="49" t="e">
        <f>VLOOKUP(A63,Enforcements!$C$3:$J$20,3,0)</f>
        <v>#N/A</v>
      </c>
    </row>
    <row r="64" spans="1:24" s="2" customFormat="1" ht="15.75" thickBot="1" x14ac:dyDescent="0.3">
      <c r="A64" s="18" t="s">
        <v>238</v>
      </c>
      <c r="B64" s="19">
        <v>4016</v>
      </c>
      <c r="C64" s="19" t="s">
        <v>70</v>
      </c>
      <c r="D64" s="19" t="s">
        <v>239</v>
      </c>
      <c r="E64" s="53">
        <v>42482.744340277779</v>
      </c>
      <c r="F64" s="53">
        <v>42482.745937500003</v>
      </c>
      <c r="G64" s="62">
        <v>2</v>
      </c>
      <c r="H64" s="53" t="s">
        <v>240</v>
      </c>
      <c r="I64" s="53">
        <v>42482.774224537039</v>
      </c>
      <c r="J64" s="19">
        <v>0</v>
      </c>
      <c r="K64" s="67" t="str">
        <f t="shared" si="13"/>
        <v>4015/4016</v>
      </c>
      <c r="L64" s="70">
        <f t="shared" si="14"/>
        <v>2.8287037035624962E-2</v>
      </c>
      <c r="M64" s="21">
        <f t="shared" si="7"/>
        <v>40.733333331299946</v>
      </c>
      <c r="N64" s="21"/>
      <c r="O64" s="22"/>
      <c r="P64" s="17"/>
      <c r="R6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17:50:51-0600',mode:absolute,to:'2016-04-22 18:35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64" s="16" t="str">
        <f t="shared" si="9"/>
        <v>N</v>
      </c>
      <c r="T64" s="16">
        <f t="shared" si="10"/>
        <v>7.7200000000000005E-2</v>
      </c>
      <c r="U64" s="16">
        <f t="shared" si="11"/>
        <v>23.3278</v>
      </c>
      <c r="V64" s="16">
        <f t="shared" si="12"/>
        <v>23.250599999999999</v>
      </c>
      <c r="W64" s="49" t="e">
        <f>VLOOKUP(A64,Enforcements!$C$3:$J$20,8,0)</f>
        <v>#N/A</v>
      </c>
      <c r="X64" s="49" t="e">
        <f>VLOOKUP(A64,Enforcements!$C$3:$J$20,3,0)</f>
        <v>#N/A</v>
      </c>
    </row>
    <row r="65" spans="1:24" s="2" customFormat="1" ht="15.75" thickBot="1" x14ac:dyDescent="0.3">
      <c r="A65" s="18" t="s">
        <v>241</v>
      </c>
      <c r="B65" s="19">
        <v>4032</v>
      </c>
      <c r="C65" s="19" t="s">
        <v>70</v>
      </c>
      <c r="D65" s="19" t="s">
        <v>242</v>
      </c>
      <c r="E65" s="53">
        <v>42482.790324074071</v>
      </c>
      <c r="F65" s="53">
        <v>42482.791331018518</v>
      </c>
      <c r="G65" s="62">
        <v>1</v>
      </c>
      <c r="H65" s="53" t="s">
        <v>243</v>
      </c>
      <c r="I65" s="53">
        <v>42482.819224537037</v>
      </c>
      <c r="J65" s="19">
        <v>0</v>
      </c>
      <c r="K65" s="67" t="str">
        <f t="shared" si="13"/>
        <v>4031/4032</v>
      </c>
      <c r="L65" s="70">
        <f t="shared" si="14"/>
        <v>2.789351851970423E-2</v>
      </c>
      <c r="M65" s="21">
        <f t="shared" si="7"/>
        <v>40.166666668374091</v>
      </c>
      <c r="N65" s="21"/>
      <c r="O65" s="22"/>
      <c r="P65" s="17"/>
      <c r="R6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18:57:04-0600',mode:absolute,to:'2016-04-22 19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65" s="16" t="str">
        <f t="shared" si="9"/>
        <v>N</v>
      </c>
      <c r="T65" s="16">
        <f t="shared" si="10"/>
        <v>23.266400000000001</v>
      </c>
      <c r="U65" s="16">
        <f t="shared" si="11"/>
        <v>1.23E-2</v>
      </c>
      <c r="V65" s="16">
        <f t="shared" si="12"/>
        <v>23.254100000000001</v>
      </c>
      <c r="W65" s="49" t="e">
        <f>VLOOKUP(A65,Enforcements!$C$3:$J$20,8,0)</f>
        <v>#N/A</v>
      </c>
      <c r="X65" s="49" t="e">
        <f>VLOOKUP(A65,Enforcements!$C$3:$J$20,3,0)</f>
        <v>#N/A</v>
      </c>
    </row>
    <row r="66" spans="1:24" s="2" customFormat="1" ht="15.75" thickBot="1" x14ac:dyDescent="0.3">
      <c r="A66" s="18" t="s">
        <v>244</v>
      </c>
      <c r="B66" s="19">
        <v>4014</v>
      </c>
      <c r="C66" s="19" t="s">
        <v>70</v>
      </c>
      <c r="D66" s="19" t="s">
        <v>245</v>
      </c>
      <c r="E66" s="53">
        <v>42482.75105324074</v>
      </c>
      <c r="F66" s="53">
        <v>42482.752106481479</v>
      </c>
      <c r="G66" s="62">
        <v>1</v>
      </c>
      <c r="H66" s="53" t="s">
        <v>246</v>
      </c>
      <c r="I66" s="53">
        <v>42482.786944444444</v>
      </c>
      <c r="J66" s="19">
        <v>1</v>
      </c>
      <c r="K66" s="67" t="str">
        <f t="shared" si="13"/>
        <v>4013/4014</v>
      </c>
      <c r="L66" s="70">
        <f t="shared" si="14"/>
        <v>3.4837962964957114E-2</v>
      </c>
      <c r="M66" s="21">
        <f t="shared" si="7"/>
        <v>50.166666669538245</v>
      </c>
      <c r="N66" s="21"/>
      <c r="O66" s="22"/>
      <c r="P66" s="17" t="s">
        <v>296</v>
      </c>
      <c r="R6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18:00:31-0600',mode:absolute,to:'2016-04-22 18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66" s="16" t="str">
        <f t="shared" si="9"/>
        <v>N</v>
      </c>
      <c r="T66" s="16">
        <f t="shared" si="10"/>
        <v>7.5399999999999995E-2</v>
      </c>
      <c r="U66" s="16">
        <f t="shared" si="11"/>
        <v>23.332899999999999</v>
      </c>
      <c r="V66" s="16">
        <f t="shared" si="12"/>
        <v>23.2575</v>
      </c>
      <c r="W66" s="49" t="e">
        <f>VLOOKUP(A66,Enforcements!$C$3:$J$20,8,0)</f>
        <v>#N/A</v>
      </c>
      <c r="X66" s="49" t="e">
        <f>VLOOKUP(A66,Enforcements!$C$3:$J$20,3,0)</f>
        <v>#N/A</v>
      </c>
    </row>
    <row r="67" spans="1:24" s="2" customFormat="1" ht="15.75" thickBot="1" x14ac:dyDescent="0.3">
      <c r="A67" s="18" t="s">
        <v>247</v>
      </c>
      <c r="B67" s="19">
        <v>4030</v>
      </c>
      <c r="C67" s="19" t="s">
        <v>70</v>
      </c>
      <c r="D67" s="19" t="s">
        <v>248</v>
      </c>
      <c r="E67" s="53">
        <v>42482.802395833336</v>
      </c>
      <c r="F67" s="53">
        <v>42482.803819444445</v>
      </c>
      <c r="G67" s="62">
        <v>2</v>
      </c>
      <c r="H67" s="53" t="s">
        <v>237</v>
      </c>
      <c r="I67" s="53">
        <v>42482.830995370372</v>
      </c>
      <c r="J67" s="19">
        <v>2</v>
      </c>
      <c r="K67" s="67" t="str">
        <f t="shared" si="13"/>
        <v>4029/4030</v>
      </c>
      <c r="L67" s="70">
        <f t="shared" si="14"/>
        <v>2.7175925926712807E-2</v>
      </c>
      <c r="M67" s="21">
        <f t="shared" si="7"/>
        <v>39.133333334466442</v>
      </c>
      <c r="N67" s="21"/>
      <c r="O67" s="22"/>
      <c r="P67" s="17"/>
      <c r="R6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19:14:27-0600',mode:absolute,to:'2016-04-22 19:57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67" s="16" t="str">
        <f t="shared" si="9"/>
        <v>N</v>
      </c>
      <c r="T67" s="16">
        <f t="shared" si="10"/>
        <v>23.273700000000002</v>
      </c>
      <c r="U67" s="16">
        <f t="shared" si="11"/>
        <v>1.67E-2</v>
      </c>
      <c r="V67" s="16">
        <f t="shared" si="12"/>
        <v>23.257000000000001</v>
      </c>
      <c r="W67" s="49">
        <f>VLOOKUP(A67,Enforcements!$C$3:$J$20,8,0)</f>
        <v>4677</v>
      </c>
      <c r="X67" s="49" t="str">
        <f>VLOOKUP(A67,Enforcements!$C$3:$J$20,3,0)</f>
        <v>PERMANENT SPEED RESTRICTION</v>
      </c>
    </row>
    <row r="68" spans="1:24" s="2" customFormat="1" ht="15.75" thickBot="1" x14ac:dyDescent="0.3">
      <c r="A68" s="18" t="s">
        <v>249</v>
      </c>
      <c r="B68" s="19">
        <v>4039</v>
      </c>
      <c r="C68" s="19" t="s">
        <v>70</v>
      </c>
      <c r="D68" s="19" t="s">
        <v>250</v>
      </c>
      <c r="E68" s="53">
        <v>42482.806875000002</v>
      </c>
      <c r="F68" s="53">
        <v>42482.807939814818</v>
      </c>
      <c r="G68" s="62">
        <v>1</v>
      </c>
      <c r="H68" s="53" t="s">
        <v>225</v>
      </c>
      <c r="I68" s="53">
        <v>42482.837465277778</v>
      </c>
      <c r="J68" s="19">
        <v>0</v>
      </c>
      <c r="K68" s="67" t="str">
        <f t="shared" si="13"/>
        <v>4039/4040</v>
      </c>
      <c r="L68" s="70">
        <f t="shared" si="14"/>
        <v>2.9525462960009463E-2</v>
      </c>
      <c r="M68" s="21">
        <f t="shared" ref="M68:M79" si="15">$L68*24*60</f>
        <v>42.516666662413627</v>
      </c>
      <c r="N68" s="21"/>
      <c r="O68" s="22"/>
      <c r="P68" s="17"/>
      <c r="R6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19:20:54-0600',mode:absolute,to:'2016-04-22 20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68" s="16" t="str">
        <f t="shared" si="9"/>
        <v>N</v>
      </c>
      <c r="T68" s="16">
        <f t="shared" si="10"/>
        <v>23.268999999999998</v>
      </c>
      <c r="U68" s="16">
        <f t="shared" si="11"/>
        <v>1.52E-2</v>
      </c>
      <c r="V68" s="16">
        <f t="shared" si="12"/>
        <v>23.253799999999998</v>
      </c>
      <c r="W68" s="49" t="e">
        <f>VLOOKUP(A68,Enforcements!$C$3:$J$20,8,0)</f>
        <v>#N/A</v>
      </c>
      <c r="X68" s="49" t="e">
        <f>VLOOKUP(A68,Enforcements!$C$3:$J$20,3,0)</f>
        <v>#N/A</v>
      </c>
    </row>
    <row r="69" spans="1:24" s="2" customFormat="1" ht="15.75" thickBot="1" x14ac:dyDescent="0.3">
      <c r="A69" s="18" t="s">
        <v>251</v>
      </c>
      <c r="B69" s="19">
        <v>4044</v>
      </c>
      <c r="C69" s="19" t="s">
        <v>70</v>
      </c>
      <c r="D69" s="19" t="s">
        <v>252</v>
      </c>
      <c r="E69" s="53">
        <v>42482.771921296298</v>
      </c>
      <c r="F69" s="53">
        <v>42482.773182870369</v>
      </c>
      <c r="G69" s="62">
        <v>1</v>
      </c>
      <c r="H69" s="53" t="s">
        <v>253</v>
      </c>
      <c r="I69" s="53">
        <v>42482.800416666665</v>
      </c>
      <c r="J69" s="19">
        <v>0</v>
      </c>
      <c r="K69" s="67" t="str">
        <f t="shared" si="13"/>
        <v>4043/4044</v>
      </c>
      <c r="L69" s="70">
        <f t="shared" si="14"/>
        <v>2.7233796296059154E-2</v>
      </c>
      <c r="M69" s="21">
        <f t="shared" si="15"/>
        <v>39.216666666325182</v>
      </c>
      <c r="N69" s="21"/>
      <c r="O69" s="22"/>
      <c r="P69" s="17"/>
      <c r="R6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18:30:34-0600',mode:absolute,to:'2016-04-22 19:13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69" s="16" t="str">
        <f t="shared" si="9"/>
        <v>N</v>
      </c>
      <c r="T69" s="16">
        <f t="shared" si="10"/>
        <v>7.7700000000000005E-2</v>
      </c>
      <c r="U69" s="16">
        <f t="shared" si="11"/>
        <v>23.333100000000002</v>
      </c>
      <c r="V69" s="16">
        <f t="shared" si="12"/>
        <v>23.255400000000002</v>
      </c>
      <c r="W69" s="49" t="e">
        <f>VLOOKUP(A69,Enforcements!$C$3:$J$20,8,0)</f>
        <v>#N/A</v>
      </c>
      <c r="X69" s="49" t="e">
        <f>VLOOKUP(A69,Enforcements!$C$3:$J$20,3,0)</f>
        <v>#N/A</v>
      </c>
    </row>
    <row r="70" spans="1:24" s="2" customFormat="1" ht="15.75" thickBot="1" x14ac:dyDescent="0.3">
      <c r="A70" s="18" t="s">
        <v>254</v>
      </c>
      <c r="B70" s="19">
        <v>4012</v>
      </c>
      <c r="C70" s="19" t="s">
        <v>70</v>
      </c>
      <c r="D70" s="19" t="s">
        <v>173</v>
      </c>
      <c r="E70" s="53">
        <v>42482.822546296295</v>
      </c>
      <c r="F70" s="53">
        <v>42482.824317129627</v>
      </c>
      <c r="G70" s="62">
        <v>2</v>
      </c>
      <c r="H70" s="53" t="s">
        <v>157</v>
      </c>
      <c r="I70" s="53">
        <v>42482.859664351854</v>
      </c>
      <c r="J70" s="19">
        <v>0</v>
      </c>
      <c r="K70" s="67" t="str">
        <f t="shared" si="13"/>
        <v>4011/4012</v>
      </c>
      <c r="L70" s="70">
        <f t="shared" si="14"/>
        <v>3.5347222226846498E-2</v>
      </c>
      <c r="M70" s="21">
        <f t="shared" si="15"/>
        <v>50.900000006658956</v>
      </c>
      <c r="N70" s="21"/>
      <c r="O70" s="22"/>
      <c r="P70" s="17" t="s">
        <v>296</v>
      </c>
      <c r="R7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19:43:28-0600',mode:absolute,to:'2016-04-22 20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70" s="16" t="str">
        <f t="shared" si="9"/>
        <v>N</v>
      </c>
      <c r="T70" s="16">
        <f t="shared" si="10"/>
        <v>23.265000000000001</v>
      </c>
      <c r="U70" s="16">
        <f t="shared" si="11"/>
        <v>1.4500000000000001E-2</v>
      </c>
      <c r="V70" s="16">
        <f t="shared" si="12"/>
        <v>23.250499999999999</v>
      </c>
      <c r="W70" s="49" t="e">
        <f>VLOOKUP(A70,Enforcements!$C$3:$J$20,8,0)</f>
        <v>#N/A</v>
      </c>
      <c r="X70" s="49" t="e">
        <f>VLOOKUP(A70,Enforcements!$C$3:$J$20,3,0)</f>
        <v>#N/A</v>
      </c>
    </row>
    <row r="71" spans="1:24" s="2" customFormat="1" ht="15.75" thickBot="1" x14ac:dyDescent="0.3">
      <c r="A71" s="18" t="s">
        <v>255</v>
      </c>
      <c r="B71" s="19">
        <v>4027</v>
      </c>
      <c r="C71" s="19" t="s">
        <v>70</v>
      </c>
      <c r="D71" s="19" t="s">
        <v>256</v>
      </c>
      <c r="E71" s="53">
        <v>42482.789444444446</v>
      </c>
      <c r="F71" s="53">
        <v>42482.79078703704</v>
      </c>
      <c r="G71" s="62">
        <v>1</v>
      </c>
      <c r="H71" s="53" t="s">
        <v>257</v>
      </c>
      <c r="I71" s="53">
        <v>42482.818240740744</v>
      </c>
      <c r="J71" s="19">
        <v>1</v>
      </c>
      <c r="K71" s="67" t="str">
        <f t="shared" si="13"/>
        <v>4027/4028</v>
      </c>
      <c r="L71" s="70">
        <f t="shared" si="14"/>
        <v>2.7453703703940846E-2</v>
      </c>
      <c r="M71" s="21">
        <f t="shared" si="15"/>
        <v>39.533333333674818</v>
      </c>
      <c r="N71" s="21"/>
      <c r="O71" s="22"/>
      <c r="P71" s="17"/>
      <c r="R7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18:55:48-0600',mode:absolute,to:'2016-04-22 19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71" s="16" t="str">
        <f t="shared" si="9"/>
        <v>N</v>
      </c>
      <c r="T71" s="16">
        <f t="shared" si="10"/>
        <v>7.9200000000000007E-2</v>
      </c>
      <c r="U71" s="16">
        <f t="shared" si="11"/>
        <v>23.3309</v>
      </c>
      <c r="V71" s="16">
        <f t="shared" si="12"/>
        <v>23.2517</v>
      </c>
      <c r="W71" s="49" t="e">
        <f>VLOOKUP(A71,Enforcements!$C$3:$J$20,8,0)</f>
        <v>#N/A</v>
      </c>
      <c r="X71" s="49" t="e">
        <f>VLOOKUP(A71,Enforcements!$C$3:$J$20,3,0)</f>
        <v>#N/A</v>
      </c>
    </row>
    <row r="72" spans="1:24" s="2" customFormat="1" ht="15.75" thickBot="1" x14ac:dyDescent="0.3">
      <c r="A72" s="18" t="s">
        <v>258</v>
      </c>
      <c r="B72" s="19">
        <v>4008</v>
      </c>
      <c r="C72" s="19" t="s">
        <v>70</v>
      </c>
      <c r="D72" s="19" t="s">
        <v>259</v>
      </c>
      <c r="E72" s="53">
        <v>42482.852939814817</v>
      </c>
      <c r="F72" s="53">
        <v>42482.854039351849</v>
      </c>
      <c r="G72" s="62">
        <v>1</v>
      </c>
      <c r="H72" s="53" t="s">
        <v>260</v>
      </c>
      <c r="I72" s="53">
        <v>42482.887187499997</v>
      </c>
      <c r="J72" s="19">
        <v>0</v>
      </c>
      <c r="K72" s="67" t="str">
        <f t="shared" si="13"/>
        <v>4007/4008</v>
      </c>
      <c r="L72" s="70">
        <f t="shared" si="14"/>
        <v>3.3148148148029577E-2</v>
      </c>
      <c r="M72" s="21">
        <f t="shared" si="15"/>
        <v>47.733333333162591</v>
      </c>
      <c r="N72" s="21"/>
      <c r="O72" s="22"/>
      <c r="P72" s="17"/>
      <c r="R72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20:27:14-0600',mode:absolute,to:'2016-04-22 21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S72" s="16" t="str">
        <f t="shared" si="9"/>
        <v>N</v>
      </c>
      <c r="T72" s="16">
        <f t="shared" si="10"/>
        <v>23.2637</v>
      </c>
      <c r="U72" s="16">
        <f t="shared" si="11"/>
        <v>1.61E-2</v>
      </c>
      <c r="V72" s="16">
        <f t="shared" si="12"/>
        <v>23.247599999999998</v>
      </c>
      <c r="W72" s="49" t="e">
        <f>VLOOKUP(A72,Enforcements!$C$3:$J$20,8,0)</f>
        <v>#N/A</v>
      </c>
      <c r="X72" s="49" t="e">
        <f>VLOOKUP(A72,Enforcements!$C$3:$J$20,3,0)</f>
        <v>#N/A</v>
      </c>
    </row>
    <row r="73" spans="1:24" s="2" customFormat="1" ht="15.75" thickBot="1" x14ac:dyDescent="0.3">
      <c r="A73" s="18" t="s">
        <v>261</v>
      </c>
      <c r="B73" s="19">
        <v>4016</v>
      </c>
      <c r="C73" s="19" t="s">
        <v>70</v>
      </c>
      <c r="D73" s="19" t="s">
        <v>262</v>
      </c>
      <c r="E73" s="53">
        <v>42482.817754629628</v>
      </c>
      <c r="F73" s="53">
        <v>42482.818715277775</v>
      </c>
      <c r="G73" s="62">
        <v>1</v>
      </c>
      <c r="H73" s="53" t="s">
        <v>263</v>
      </c>
      <c r="I73" s="53">
        <v>42482.846736111111</v>
      </c>
      <c r="J73" s="19">
        <v>0</v>
      </c>
      <c r="K73" s="67" t="str">
        <f t="shared" si="13"/>
        <v>4015/4016</v>
      </c>
      <c r="L73" s="70">
        <f t="shared" si="14"/>
        <v>2.8020833335176576E-2</v>
      </c>
      <c r="M73" s="21">
        <f t="shared" si="15"/>
        <v>40.350000002654269</v>
      </c>
      <c r="N73" s="21"/>
      <c r="O73" s="22"/>
      <c r="P73" s="17"/>
      <c r="R73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19:36:34-0600',mode:absolute,to:'2016-04-22 20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S73" s="16" t="str">
        <f t="shared" si="9"/>
        <v>N</v>
      </c>
      <c r="T73" s="16">
        <f t="shared" si="10"/>
        <v>7.8600000000000003E-2</v>
      </c>
      <c r="U73" s="16">
        <f t="shared" si="11"/>
        <v>23.328800000000001</v>
      </c>
      <c r="V73" s="16">
        <f t="shared" si="12"/>
        <v>23.2502</v>
      </c>
      <c r="W73" s="49" t="e">
        <f>VLOOKUP(A73,Enforcements!$C$3:$J$20,8,0)</f>
        <v>#N/A</v>
      </c>
      <c r="X73" s="49" t="e">
        <f>VLOOKUP(A73,Enforcements!$C$3:$J$20,3,0)</f>
        <v>#N/A</v>
      </c>
    </row>
    <row r="74" spans="1:24" s="2" customFormat="1" ht="15.75" thickBot="1" x14ac:dyDescent="0.3">
      <c r="A74" s="18" t="s">
        <v>264</v>
      </c>
      <c r="B74" s="19">
        <v>4030</v>
      </c>
      <c r="C74" s="19" t="s">
        <v>70</v>
      </c>
      <c r="D74" s="19" t="s">
        <v>265</v>
      </c>
      <c r="E74" s="53">
        <v>42482.875671296293</v>
      </c>
      <c r="F74" s="53">
        <v>42482.877164351848</v>
      </c>
      <c r="G74" s="62">
        <v>2</v>
      </c>
      <c r="H74" s="53" t="s">
        <v>237</v>
      </c>
      <c r="I74" s="53">
        <v>42482.908796296295</v>
      </c>
      <c r="J74" s="19">
        <v>0</v>
      </c>
      <c r="K74" s="67" t="str">
        <f t="shared" si="13"/>
        <v>4029/4030</v>
      </c>
      <c r="L74" s="70">
        <f t="shared" si="14"/>
        <v>3.1631944446417037E-2</v>
      </c>
      <c r="M74" s="21">
        <f t="shared" si="15"/>
        <v>45.550000002840534</v>
      </c>
      <c r="N74" s="21"/>
      <c r="O74" s="22"/>
      <c r="P74" s="17"/>
      <c r="R74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20:59:58-0600',mode:absolute,to:'2016-04-22 21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74" s="16" t="str">
        <f t="shared" si="9"/>
        <v>N</v>
      </c>
      <c r="T74" s="16">
        <f t="shared" si="10"/>
        <v>23.276299999999999</v>
      </c>
      <c r="U74" s="16">
        <f t="shared" si="11"/>
        <v>1.67E-2</v>
      </c>
      <c r="V74" s="16">
        <f t="shared" si="12"/>
        <v>23.259599999999999</v>
      </c>
      <c r="W74" s="49" t="e">
        <f>VLOOKUP(A74,Enforcements!$C$3:$J$20,8,0)</f>
        <v>#N/A</v>
      </c>
      <c r="X74" s="49" t="e">
        <f>VLOOKUP(A74,Enforcements!$C$3:$J$20,3,0)</f>
        <v>#N/A</v>
      </c>
    </row>
    <row r="75" spans="1:24" s="2" customFormat="1" ht="15.75" thickBot="1" x14ac:dyDescent="0.3">
      <c r="A75" s="18" t="s">
        <v>266</v>
      </c>
      <c r="B75" s="19">
        <v>4038</v>
      </c>
      <c r="C75" s="19" t="s">
        <v>70</v>
      </c>
      <c r="D75" s="19" t="s">
        <v>198</v>
      </c>
      <c r="E75" s="53">
        <v>42482.839687500003</v>
      </c>
      <c r="F75" s="53">
        <v>42482.841099537036</v>
      </c>
      <c r="G75" s="62">
        <v>2</v>
      </c>
      <c r="H75" s="53" t="s">
        <v>219</v>
      </c>
      <c r="I75" s="53">
        <v>42482.871666666666</v>
      </c>
      <c r="J75" s="19">
        <v>1</v>
      </c>
      <c r="K75" s="67" t="str">
        <f t="shared" si="13"/>
        <v>4037/4038</v>
      </c>
      <c r="L75" s="70">
        <f t="shared" si="14"/>
        <v>3.0567129630071577E-2</v>
      </c>
      <c r="M75" s="21">
        <f t="shared" si="15"/>
        <v>44.01666666730307</v>
      </c>
      <c r="N75" s="21"/>
      <c r="O75" s="22"/>
      <c r="P75" s="17"/>
      <c r="R75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20:08:09-0600',mode:absolute,to:'2016-04-22 20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S75" s="16" t="str">
        <f t="shared" si="9"/>
        <v>N</v>
      </c>
      <c r="T75" s="16">
        <f t="shared" si="10"/>
        <v>7.7399999999999997E-2</v>
      </c>
      <c r="U75" s="16">
        <f t="shared" si="11"/>
        <v>23.338899999999999</v>
      </c>
      <c r="V75" s="16">
        <f t="shared" si="12"/>
        <v>23.261499999999998</v>
      </c>
      <c r="W75" s="49" t="e">
        <f>VLOOKUP(A75,Enforcements!$C$3:$J$20,8,0)</f>
        <v>#N/A</v>
      </c>
      <c r="X75" s="49" t="e">
        <f>VLOOKUP(A75,Enforcements!$C$3:$J$20,3,0)</f>
        <v>#N/A</v>
      </c>
    </row>
    <row r="76" spans="1:24" s="2" customFormat="1" ht="15.75" thickBot="1" x14ac:dyDescent="0.3">
      <c r="A76" s="18" t="s">
        <v>267</v>
      </c>
      <c r="B76" s="19">
        <v>4039</v>
      </c>
      <c r="C76" s="19" t="s">
        <v>70</v>
      </c>
      <c r="D76" s="19" t="s">
        <v>268</v>
      </c>
      <c r="E76" s="53">
        <v>42482.888993055552</v>
      </c>
      <c r="F76" s="53">
        <v>42482.889675925922</v>
      </c>
      <c r="G76" s="62">
        <v>0</v>
      </c>
      <c r="H76" s="53" t="s">
        <v>184</v>
      </c>
      <c r="I76" s="53">
        <v>42482.920289351852</v>
      </c>
      <c r="J76" s="19">
        <v>0</v>
      </c>
      <c r="K76" s="67" t="str">
        <f t="shared" si="13"/>
        <v>4039/4040</v>
      </c>
      <c r="L76" s="70">
        <f t="shared" si="14"/>
        <v>3.0613425929914229E-2</v>
      </c>
      <c r="M76" s="21">
        <f t="shared" si="15"/>
        <v>44.083333339076489</v>
      </c>
      <c r="N76" s="21"/>
      <c r="O76" s="22"/>
      <c r="P76" s="17"/>
      <c r="R76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21:19:09-0600',mode:absolute,to:'2016-04-22 22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76" s="16" t="str">
        <f t="shared" si="9"/>
        <v>N</v>
      </c>
      <c r="T76" s="16">
        <f t="shared" si="10"/>
        <v>23.2652</v>
      </c>
      <c r="U76" s="16">
        <f t="shared" si="11"/>
        <v>1.49E-2</v>
      </c>
      <c r="V76" s="16">
        <f t="shared" si="12"/>
        <v>23.250299999999999</v>
      </c>
      <c r="W76" s="49" t="e">
        <f>VLOOKUP(A76,Enforcements!$C$3:$J$20,8,0)</f>
        <v>#N/A</v>
      </c>
      <c r="X76" s="49" t="e">
        <f>VLOOKUP(A76,Enforcements!$C$3:$J$20,3,0)</f>
        <v>#N/A</v>
      </c>
    </row>
    <row r="77" spans="1:24" s="2" customFormat="1" ht="15.75" thickBot="1" x14ac:dyDescent="0.3">
      <c r="A77" s="18" t="s">
        <v>269</v>
      </c>
      <c r="B77" s="19">
        <v>4044</v>
      </c>
      <c r="C77" s="19" t="s">
        <v>70</v>
      </c>
      <c r="D77" s="19" t="s">
        <v>245</v>
      </c>
      <c r="E77" s="53">
        <v>42482.84952546296</v>
      </c>
      <c r="F77" s="53">
        <v>42482.85052083333</v>
      </c>
      <c r="G77" s="62">
        <v>1</v>
      </c>
      <c r="H77" s="53" t="s">
        <v>263</v>
      </c>
      <c r="I77" s="53">
        <v>42482.884456018517</v>
      </c>
      <c r="J77" s="19">
        <v>0</v>
      </c>
      <c r="K77" s="67" t="str">
        <f t="shared" si="13"/>
        <v>4043/4044</v>
      </c>
      <c r="L77" s="70">
        <f t="shared" si="14"/>
        <v>3.3935185187146999E-2</v>
      </c>
      <c r="M77" s="21">
        <f t="shared" si="15"/>
        <v>48.866666669491678</v>
      </c>
      <c r="N77" s="21"/>
      <c r="O77" s="22"/>
      <c r="P77" s="17"/>
      <c r="R77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20:22:19-0600',mode:absolute,to:'2016-04-22 21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77" s="16" t="str">
        <f t="shared" si="9"/>
        <v>N</v>
      </c>
      <c r="T77" s="16">
        <f t="shared" si="10"/>
        <v>7.5399999999999995E-2</v>
      </c>
      <c r="U77" s="16">
        <f t="shared" si="11"/>
        <v>23.328800000000001</v>
      </c>
      <c r="V77" s="16">
        <f t="shared" si="12"/>
        <v>23.253400000000003</v>
      </c>
      <c r="W77" s="49" t="e">
        <f>VLOOKUP(A77,Enforcements!$C$3:$J$20,8,0)</f>
        <v>#N/A</v>
      </c>
      <c r="X77" s="49" t="e">
        <f>VLOOKUP(A77,Enforcements!$C$3:$J$20,3,0)</f>
        <v>#N/A</v>
      </c>
    </row>
    <row r="78" spans="1:24" s="2" customFormat="1" ht="15.75" thickBot="1" x14ac:dyDescent="0.3">
      <c r="A78" s="18" t="s">
        <v>270</v>
      </c>
      <c r="B78" s="19">
        <v>4012</v>
      </c>
      <c r="C78" s="19" t="s">
        <v>70</v>
      </c>
      <c r="D78" s="19" t="s">
        <v>271</v>
      </c>
      <c r="E78" s="53">
        <v>42482.907743055555</v>
      </c>
      <c r="F78" s="53">
        <v>42482.909131944441</v>
      </c>
      <c r="G78" s="62">
        <v>1</v>
      </c>
      <c r="H78" s="53" t="s">
        <v>21</v>
      </c>
      <c r="I78" s="53">
        <v>42482.941354166665</v>
      </c>
      <c r="J78" s="19">
        <v>0</v>
      </c>
      <c r="K78" s="67" t="str">
        <f t="shared" si="13"/>
        <v>4011/4012</v>
      </c>
      <c r="L78" s="70">
        <f t="shared" si="14"/>
        <v>3.2222222223936114E-2</v>
      </c>
      <c r="M78" s="21">
        <f t="shared" si="15"/>
        <v>46.400000002468005</v>
      </c>
      <c r="N78" s="21"/>
      <c r="O78" s="22"/>
      <c r="P78" s="17"/>
      <c r="R78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21:46:09-0600',mode:absolute,to:'2016-04-22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S78" s="16" t="str">
        <f t="shared" si="9"/>
        <v>N</v>
      </c>
      <c r="T78" s="16">
        <f t="shared" si="10"/>
        <v>23.264399999999998</v>
      </c>
      <c r="U78" s="16">
        <f t="shared" si="11"/>
        <v>1.47E-2</v>
      </c>
      <c r="V78" s="16">
        <f t="shared" si="12"/>
        <v>23.249699999999997</v>
      </c>
      <c r="W78" s="49" t="e">
        <f>VLOOKUP(A78,Enforcements!$C$3:$J$20,8,0)</f>
        <v>#N/A</v>
      </c>
      <c r="X78" s="49" t="e">
        <f>VLOOKUP(A78,Enforcements!$C$3:$J$20,3,0)</f>
        <v>#N/A</v>
      </c>
    </row>
    <row r="79" spans="1:24" s="2" customFormat="1" ht="15.75" thickBot="1" x14ac:dyDescent="0.3">
      <c r="A79" s="18" t="s">
        <v>272</v>
      </c>
      <c r="B79" s="19">
        <v>4027</v>
      </c>
      <c r="C79" s="19" t="s">
        <v>70</v>
      </c>
      <c r="D79" s="19" t="s">
        <v>273</v>
      </c>
      <c r="E79" s="53">
        <v>42482.864583333336</v>
      </c>
      <c r="F79" s="53">
        <v>42482.865868055553</v>
      </c>
      <c r="G79" s="62">
        <v>1</v>
      </c>
      <c r="H79" s="53" t="s">
        <v>274</v>
      </c>
      <c r="I79" s="53">
        <v>42482.901909722219</v>
      </c>
      <c r="J79" s="19">
        <v>0</v>
      </c>
      <c r="K79" s="67" t="str">
        <f t="shared" si="13"/>
        <v>4027/4028</v>
      </c>
      <c r="L79" s="70">
        <f t="shared" si="14"/>
        <v>3.6041666666278616E-2</v>
      </c>
      <c r="M79" s="21">
        <f t="shared" si="15"/>
        <v>51.899999999441206</v>
      </c>
      <c r="N79" s="21"/>
      <c r="O79" s="22"/>
      <c r="P79" s="17" t="s">
        <v>296</v>
      </c>
      <c r="R79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20:44:00-0600',mode:absolute,to:'2016-04-22 21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79" s="16" t="str">
        <f t="shared" si="9"/>
        <v>N</v>
      </c>
      <c r="T79" s="16">
        <f t="shared" si="10"/>
        <v>7.2099999999999997E-2</v>
      </c>
      <c r="U79" s="16">
        <f t="shared" si="11"/>
        <v>23.330100000000002</v>
      </c>
      <c r="V79" s="16">
        <f t="shared" si="12"/>
        <v>23.258000000000003</v>
      </c>
      <c r="W79" s="49" t="e">
        <f>VLOOKUP(A79,Enforcements!$C$3:$J$20,8,0)</f>
        <v>#N/A</v>
      </c>
      <c r="X79" s="49" t="e">
        <f>VLOOKUP(A79,Enforcements!$C$3:$J$20,3,0)</f>
        <v>#N/A</v>
      </c>
    </row>
    <row r="80" spans="1:24" s="2" customFormat="1" ht="15.75" thickBot="1" x14ac:dyDescent="0.3">
      <c r="A80" s="18" t="s">
        <v>275</v>
      </c>
      <c r="B80" s="19">
        <v>4042</v>
      </c>
      <c r="C80" s="19" t="s">
        <v>70</v>
      </c>
      <c r="D80" s="19" t="s">
        <v>276</v>
      </c>
      <c r="E80" s="53">
        <v>42482.885231481479</v>
      </c>
      <c r="F80" s="53">
        <v>42482.887152777781</v>
      </c>
      <c r="G80" s="62">
        <v>2</v>
      </c>
      <c r="H80" s="53" t="s">
        <v>277</v>
      </c>
      <c r="I80" s="53">
        <v>42482.889791666668</v>
      </c>
      <c r="J80" s="19">
        <v>2</v>
      </c>
      <c r="K80" s="67" t="str">
        <f t="shared" si="13"/>
        <v>4041/4042</v>
      </c>
      <c r="L80" s="70">
        <f t="shared" si="14"/>
        <v>2.638888887304347E-3</v>
      </c>
      <c r="M80" s="21"/>
      <c r="N80" s="21"/>
      <c r="O80" s="21">
        <f>($L80+L81)*24*60</f>
        <v>8.2666666607838124</v>
      </c>
      <c r="P80" s="17" t="s">
        <v>301</v>
      </c>
      <c r="R80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21:13:44-0600',mode:absolute,to:'2016-04-22 21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80" s="16" t="str">
        <f t="shared" si="9"/>
        <v>Y</v>
      </c>
      <c r="T80" s="16">
        <f t="shared" si="10"/>
        <v>0.1479</v>
      </c>
      <c r="U80" s="16">
        <f t="shared" si="11"/>
        <v>0.17380000000000001</v>
      </c>
      <c r="V80" s="16">
        <f t="shared" si="12"/>
        <v>2.5900000000000006E-2</v>
      </c>
      <c r="W80" s="49">
        <f>VLOOKUP(A80,Enforcements!$C$3:$J$20,8,0)</f>
        <v>1692</v>
      </c>
      <c r="X80" s="49" t="str">
        <f>VLOOKUP(A80,Enforcements!$C$3:$J$20,3,0)</f>
        <v>SIGNAL</v>
      </c>
    </row>
    <row r="81" spans="1:24" s="2" customFormat="1" ht="15.75" thickBot="1" x14ac:dyDescent="0.3">
      <c r="A81" s="18" t="s">
        <v>275</v>
      </c>
      <c r="B81" s="19">
        <v>4042</v>
      </c>
      <c r="C81" s="19" t="s">
        <v>70</v>
      </c>
      <c r="D81" s="19" t="s">
        <v>278</v>
      </c>
      <c r="E81" s="53">
        <v>42482.891423611109</v>
      </c>
      <c r="F81" s="53">
        <v>42482.892314814817</v>
      </c>
      <c r="G81" s="62">
        <v>1</v>
      </c>
      <c r="H81" s="53" t="s">
        <v>279</v>
      </c>
      <c r="I81" s="53">
        <v>42482.895416666666</v>
      </c>
      <c r="J81" s="19">
        <v>0</v>
      </c>
      <c r="K81" s="67" t="str">
        <f t="shared" si="13"/>
        <v>4041/4042</v>
      </c>
      <c r="L81" s="70">
        <f t="shared" si="14"/>
        <v>3.1018518493510783E-3</v>
      </c>
      <c r="M81" s="21"/>
      <c r="N81" s="21"/>
      <c r="O81" s="21"/>
      <c r="P81" s="17"/>
      <c r="R81" s="16" t="str">
        <f t="shared" si="8"/>
        <v>https://search-rtdc-monitor-bjffxe2xuh6vdkpspy63sjmuny.us-east-1.es.amazonaws.com/_plugin/kibana/#/discover/Steve-Slow-Train-Analysis-(2080s-and-2083s)?_g=(refreshInterval:(display:Off,section:0,value:0),time:(from:'2016-04-22 21:22:39-0600',mode:absolute,to:'2016-04-22 21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81" s="16" t="str">
        <f t="shared" si="9"/>
        <v>Y</v>
      </c>
      <c r="T81" s="16">
        <f t="shared" si="10"/>
        <v>0.3044</v>
      </c>
      <c r="U81" s="16">
        <f t="shared" si="11"/>
        <v>0.55469999999999997</v>
      </c>
      <c r="V81" s="16">
        <f t="shared" si="12"/>
        <v>0.25029999999999997</v>
      </c>
      <c r="W81" s="49">
        <f>VLOOKUP(A81,Enforcements!$C$3:$J$20,8,0)</f>
        <v>1692</v>
      </c>
      <c r="X81" s="49" t="str">
        <f>VLOOKUP(A81,Enforcements!$C$3:$J$20,3,0)</f>
        <v>SIGNAL</v>
      </c>
    </row>
    <row r="82" spans="1:24" s="2" customFormat="1" ht="15.75" thickBot="1" x14ac:dyDescent="0.3">
      <c r="E82" s="54"/>
      <c r="F82" s="54"/>
      <c r="G82" s="63"/>
      <c r="H82" s="54"/>
      <c r="I82" s="73">
        <f>Z2</f>
        <v>42482</v>
      </c>
      <c r="J82" s="74"/>
      <c r="K82" s="65"/>
      <c r="L82" s="75" t="s">
        <v>9</v>
      </c>
      <c r="M82" s="76"/>
      <c r="N82" s="77"/>
      <c r="O82" s="5"/>
      <c r="W82" s="47"/>
      <c r="X82" s="47"/>
    </row>
    <row r="83" spans="1:24" s="2" customFormat="1" ht="15.75" thickBot="1" x14ac:dyDescent="0.3">
      <c r="E83" s="54"/>
      <c r="F83" s="54"/>
      <c r="G83" s="63"/>
      <c r="H83" s="54"/>
      <c r="I83" s="78" t="s">
        <v>11</v>
      </c>
      <c r="J83" s="79"/>
      <c r="K83" s="58"/>
      <c r="L83" s="9" t="s">
        <v>12</v>
      </c>
      <c r="M83" s="6" t="s">
        <v>13</v>
      </c>
      <c r="N83" s="7" t="s">
        <v>14</v>
      </c>
      <c r="O83" s="5"/>
      <c r="W83" s="47"/>
      <c r="X83" s="47"/>
    </row>
    <row r="84" spans="1:24" s="2" customFormat="1" ht="15.75" thickBot="1" x14ac:dyDescent="0.3">
      <c r="E84" s="54"/>
      <c r="F84" s="54"/>
      <c r="G84" s="63"/>
      <c r="H84" s="54"/>
      <c r="I84" s="55" t="s">
        <v>15</v>
      </c>
      <c r="J84" s="3">
        <f>COUNT(M3:O81)</f>
        <v>71</v>
      </c>
      <c r="K84" s="3"/>
      <c r="L84" s="9" t="s">
        <v>16</v>
      </c>
      <c r="M84" s="6" t="s">
        <v>16</v>
      </c>
      <c r="N84" s="7" t="s">
        <v>16</v>
      </c>
      <c r="O84" s="5"/>
      <c r="W84" s="47"/>
      <c r="X84" s="47"/>
    </row>
    <row r="85" spans="1:24" s="2" customFormat="1" ht="15.75" thickBot="1" x14ac:dyDescent="0.3">
      <c r="E85" s="54"/>
      <c r="F85" s="54"/>
      <c r="G85" s="63"/>
      <c r="H85" s="54"/>
      <c r="I85" s="55" t="s">
        <v>18</v>
      </c>
      <c r="J85" s="3">
        <f>COUNT(M3:M81)</f>
        <v>61</v>
      </c>
      <c r="K85" s="3"/>
      <c r="L85" s="10">
        <f>AVERAGE(M3:M81)</f>
        <v>43.724043716096368</v>
      </c>
      <c r="M85" s="6">
        <f>MIN(M3:M81)</f>
        <v>36.216666667023674</v>
      </c>
      <c r="N85" s="7">
        <f>MAX(M3:M81)</f>
        <v>54.899999998742715</v>
      </c>
      <c r="O85" s="5"/>
      <c r="W85" s="47"/>
      <c r="X85" s="47"/>
    </row>
    <row r="86" spans="1:24" ht="15.75" thickBot="1" x14ac:dyDescent="0.3">
      <c r="I86" s="56" t="s">
        <v>76</v>
      </c>
      <c r="J86" s="3">
        <f>COUNT(N3:N81)</f>
        <v>2</v>
      </c>
      <c r="K86" s="3"/>
      <c r="L86" s="10">
        <f>IFERROR(AVERAGE(N3:N81),0)</f>
        <v>46.133333331090398</v>
      </c>
      <c r="M86" s="6">
        <f>MIN(N3:N81)</f>
        <v>45.083333331858739</v>
      </c>
      <c r="N86" s="7">
        <f>MAX(N3:N81)</f>
        <v>47.183333330322057</v>
      </c>
    </row>
    <row r="87" spans="1:24" ht="15.75" thickBot="1" x14ac:dyDescent="0.3">
      <c r="I87" s="57" t="s">
        <v>10</v>
      </c>
      <c r="J87" s="3">
        <f>COUNT(O3:O81)</f>
        <v>8</v>
      </c>
      <c r="K87" s="3"/>
      <c r="L87" s="9" t="s">
        <v>16</v>
      </c>
      <c r="M87" s="6" t="s">
        <v>16</v>
      </c>
      <c r="N87" s="7" t="s">
        <v>16</v>
      </c>
    </row>
    <row r="88" spans="1:24" s="2" customFormat="1" ht="30.75" thickBot="1" x14ac:dyDescent="0.3">
      <c r="E88" s="54"/>
      <c r="F88" s="54"/>
      <c r="G88" s="63"/>
      <c r="H88" s="54"/>
      <c r="I88" s="55" t="s">
        <v>17</v>
      </c>
      <c r="J88" s="3">
        <f>COUNT(M3:N81)</f>
        <v>63</v>
      </c>
      <c r="K88" s="3"/>
      <c r="L88" s="10">
        <f>AVERAGE(M3:O81)</f>
        <v>43.350000000184956</v>
      </c>
      <c r="M88" s="6">
        <f>MIN(M3:N81)</f>
        <v>36.216666667023674</v>
      </c>
      <c r="N88" s="7">
        <f>MAX(M3:N81)</f>
        <v>54.899999998742715</v>
      </c>
      <c r="O88" s="5"/>
      <c r="W88" s="47"/>
      <c r="X88" s="47"/>
    </row>
    <row r="89" spans="1:24" ht="30.75" thickBot="1" x14ac:dyDescent="0.3">
      <c r="I89" s="55" t="s">
        <v>23</v>
      </c>
      <c r="J89" s="8">
        <f>J88/J84</f>
        <v>0.88732394366197187</v>
      </c>
      <c r="K89" s="8"/>
    </row>
  </sheetData>
  <sortState ref="A3:X27">
    <sortCondition ref="A3:A27"/>
  </sortState>
  <mergeCells count="4">
    <mergeCell ref="I82:J82"/>
    <mergeCell ref="L82:N82"/>
    <mergeCell ref="I83:J83"/>
    <mergeCell ref="A1:O1"/>
  </mergeCells>
  <conditionalFormatting sqref="S1:S1048576">
    <cfRule type="cellIs" dxfId="6" priority="7" operator="equal">
      <formula>"Y"</formula>
    </cfRule>
  </conditionalFormatting>
  <conditionalFormatting sqref="A3:P81">
    <cfRule type="expression" dxfId="5" priority="8">
      <formula>$M3&gt;$AB$2</formula>
    </cfRule>
    <cfRule type="expression" dxfId="4" priority="9">
      <formula>$O3&gt;0</formula>
    </cfRule>
    <cfRule type="expression" dxfId="3" priority="10">
      <formula>$N3&gt;0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opLeftCell="A10" zoomScale="85" zoomScaleNormal="85" workbookViewId="0">
      <selection activeCell="A20" sqref="A20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81" t="s">
        <v>297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45"/>
    </row>
    <row r="2" spans="1:13" s="2" customFormat="1" ht="90" x14ac:dyDescent="0.25">
      <c r="A2" s="43" t="s">
        <v>69</v>
      </c>
      <c r="B2" s="42" t="s">
        <v>68</v>
      </c>
      <c r="C2" s="42" t="s">
        <v>67</v>
      </c>
      <c r="D2" s="42" t="s">
        <v>66</v>
      </c>
      <c r="E2" s="42" t="s">
        <v>65</v>
      </c>
      <c r="F2" s="42" t="s">
        <v>64</v>
      </c>
      <c r="G2" s="42" t="s">
        <v>63</v>
      </c>
      <c r="H2" s="42" t="s">
        <v>62</v>
      </c>
      <c r="I2" s="42" t="s">
        <v>61</v>
      </c>
      <c r="J2" s="42" t="s">
        <v>60</v>
      </c>
      <c r="K2" s="42" t="s">
        <v>59</v>
      </c>
      <c r="L2" s="42" t="s">
        <v>58</v>
      </c>
      <c r="M2" s="42" t="s">
        <v>31</v>
      </c>
    </row>
    <row r="3" spans="1:13" s="37" customFormat="1" x14ac:dyDescent="0.25">
      <c r="A3" s="41">
        <v>42482.636099537034</v>
      </c>
      <c r="B3" s="40" t="s">
        <v>281</v>
      </c>
      <c r="C3" s="40" t="s">
        <v>185</v>
      </c>
      <c r="D3" s="40" t="s">
        <v>43</v>
      </c>
      <c r="E3" s="40" t="s">
        <v>57</v>
      </c>
      <c r="F3" s="40">
        <v>500</v>
      </c>
      <c r="G3" s="40">
        <v>618</v>
      </c>
      <c r="H3" s="40">
        <v>123981</v>
      </c>
      <c r="I3" s="40" t="s">
        <v>56</v>
      </c>
      <c r="J3" s="40">
        <v>127562</v>
      </c>
      <c r="K3" s="39" t="s">
        <v>40</v>
      </c>
      <c r="L3" s="38" t="s">
        <v>39</v>
      </c>
      <c r="M3" s="39" t="s">
        <v>290</v>
      </c>
    </row>
    <row r="4" spans="1:13" s="37" customFormat="1" x14ac:dyDescent="0.25">
      <c r="A4" s="41">
        <v>42482.692418981482</v>
      </c>
      <c r="B4" s="40" t="s">
        <v>46</v>
      </c>
      <c r="C4" s="40" t="s">
        <v>191</v>
      </c>
      <c r="D4" s="40" t="s">
        <v>43</v>
      </c>
      <c r="E4" s="40" t="s">
        <v>57</v>
      </c>
      <c r="F4" s="40">
        <v>0</v>
      </c>
      <c r="G4" s="40">
        <v>529</v>
      </c>
      <c r="H4" s="40">
        <v>51340</v>
      </c>
      <c r="I4" s="40" t="s">
        <v>56</v>
      </c>
      <c r="J4" s="40">
        <v>48048</v>
      </c>
      <c r="K4" s="39" t="s">
        <v>44</v>
      </c>
      <c r="L4" s="38" t="s">
        <v>39</v>
      </c>
      <c r="M4" s="39" t="s">
        <v>302</v>
      </c>
    </row>
    <row r="5" spans="1:13" s="37" customFormat="1" x14ac:dyDescent="0.25">
      <c r="A5" s="41">
        <v>42482.368668981479</v>
      </c>
      <c r="B5" s="40" t="s">
        <v>281</v>
      </c>
      <c r="C5" s="40" t="s">
        <v>131</v>
      </c>
      <c r="D5" s="40" t="s">
        <v>43</v>
      </c>
      <c r="E5" s="40" t="s">
        <v>54</v>
      </c>
      <c r="F5" s="40">
        <v>300</v>
      </c>
      <c r="G5" s="40">
        <v>230</v>
      </c>
      <c r="H5" s="40">
        <v>19926</v>
      </c>
      <c r="I5" s="40" t="s">
        <v>53</v>
      </c>
      <c r="J5" s="40">
        <v>20338</v>
      </c>
      <c r="K5" s="39" t="s">
        <v>40</v>
      </c>
      <c r="L5" s="38" t="s">
        <v>39</v>
      </c>
      <c r="M5" s="39" t="s">
        <v>291</v>
      </c>
    </row>
    <row r="6" spans="1:13" s="37" customFormat="1" x14ac:dyDescent="0.25">
      <c r="A6" s="41">
        <v>42482.546516203707</v>
      </c>
      <c r="B6" s="40" t="s">
        <v>281</v>
      </c>
      <c r="C6" s="40" t="s">
        <v>94</v>
      </c>
      <c r="D6" s="40" t="s">
        <v>43</v>
      </c>
      <c r="E6" s="40" t="s">
        <v>54</v>
      </c>
      <c r="F6" s="40">
        <v>300</v>
      </c>
      <c r="G6" s="40">
        <v>227</v>
      </c>
      <c r="H6" s="40">
        <v>19911</v>
      </c>
      <c r="I6" s="40" t="s">
        <v>53</v>
      </c>
      <c r="J6" s="40">
        <v>20338</v>
      </c>
      <c r="K6" s="39" t="s">
        <v>40</v>
      </c>
      <c r="L6" s="38" t="s">
        <v>39</v>
      </c>
      <c r="M6" s="39" t="s">
        <v>291</v>
      </c>
    </row>
    <row r="7" spans="1:13" s="37" customFormat="1" x14ac:dyDescent="0.25">
      <c r="A7" s="41">
        <v>42482.567326388889</v>
      </c>
      <c r="B7" s="40" t="s">
        <v>281</v>
      </c>
      <c r="C7" s="40" t="s">
        <v>94</v>
      </c>
      <c r="D7" s="40" t="s">
        <v>43</v>
      </c>
      <c r="E7" s="40" t="s">
        <v>54</v>
      </c>
      <c r="F7" s="40">
        <v>350</v>
      </c>
      <c r="G7" s="40">
        <v>365</v>
      </c>
      <c r="H7" s="40">
        <v>224066</v>
      </c>
      <c r="I7" s="40" t="s">
        <v>53</v>
      </c>
      <c r="J7" s="40">
        <v>224578</v>
      </c>
      <c r="K7" s="39" t="s">
        <v>40</v>
      </c>
      <c r="L7" s="38" t="s">
        <v>39</v>
      </c>
      <c r="M7" s="39" t="s">
        <v>291</v>
      </c>
    </row>
    <row r="8" spans="1:13" s="37" customFormat="1" x14ac:dyDescent="0.25">
      <c r="A8" s="41">
        <v>42482.671319444446</v>
      </c>
      <c r="B8" s="40" t="s">
        <v>55</v>
      </c>
      <c r="C8" s="40" t="s">
        <v>187</v>
      </c>
      <c r="D8" s="40" t="s">
        <v>50</v>
      </c>
      <c r="E8" s="40" t="s">
        <v>54</v>
      </c>
      <c r="F8" s="40">
        <v>700</v>
      </c>
      <c r="G8" s="40">
        <v>750</v>
      </c>
      <c r="H8" s="40">
        <v>178024</v>
      </c>
      <c r="I8" s="40" t="s">
        <v>53</v>
      </c>
      <c r="J8" s="40">
        <v>183829</v>
      </c>
      <c r="K8" s="39" t="s">
        <v>44</v>
      </c>
      <c r="L8" s="38" t="s">
        <v>39</v>
      </c>
      <c r="M8" s="39" t="s">
        <v>291</v>
      </c>
    </row>
    <row r="9" spans="1:13" s="37" customFormat="1" x14ac:dyDescent="0.25">
      <c r="A9" s="41">
        <v>42482.693553240744</v>
      </c>
      <c r="B9" s="40" t="s">
        <v>286</v>
      </c>
      <c r="C9" s="40" t="s">
        <v>195</v>
      </c>
      <c r="D9" s="40" t="s">
        <v>43</v>
      </c>
      <c r="E9" s="40" t="s">
        <v>54</v>
      </c>
      <c r="F9" s="40">
        <v>450</v>
      </c>
      <c r="G9" s="40">
        <v>616</v>
      </c>
      <c r="H9" s="40">
        <v>159196</v>
      </c>
      <c r="I9" s="40" t="s">
        <v>53</v>
      </c>
      <c r="J9" s="40">
        <v>156300</v>
      </c>
      <c r="K9" s="39" t="s">
        <v>44</v>
      </c>
      <c r="L9" s="38" t="s">
        <v>39</v>
      </c>
      <c r="M9" s="39" t="s">
        <v>291</v>
      </c>
    </row>
    <row r="10" spans="1:13" s="37" customFormat="1" x14ac:dyDescent="0.25">
      <c r="A10" s="41">
        <v>42482.754270833335</v>
      </c>
      <c r="B10" s="40" t="s">
        <v>283</v>
      </c>
      <c r="C10" s="40" t="s">
        <v>215</v>
      </c>
      <c r="D10" s="40" t="s">
        <v>43</v>
      </c>
      <c r="E10" s="40" t="s">
        <v>54</v>
      </c>
      <c r="F10" s="40">
        <v>200</v>
      </c>
      <c r="G10" s="40">
        <v>299</v>
      </c>
      <c r="H10" s="40">
        <v>6419</v>
      </c>
      <c r="I10" s="40" t="s">
        <v>53</v>
      </c>
      <c r="J10" s="40">
        <v>5439</v>
      </c>
      <c r="K10" s="39" t="s">
        <v>44</v>
      </c>
      <c r="L10" s="38" t="s">
        <v>39</v>
      </c>
      <c r="M10" s="39" t="s">
        <v>291</v>
      </c>
    </row>
    <row r="11" spans="1:13" s="37" customFormat="1" x14ac:dyDescent="0.25">
      <c r="A11" s="41">
        <v>42482.828761574077</v>
      </c>
      <c r="B11" s="40" t="s">
        <v>283</v>
      </c>
      <c r="C11" s="40" t="s">
        <v>247</v>
      </c>
      <c r="D11" s="40" t="s">
        <v>43</v>
      </c>
      <c r="E11" s="40" t="s">
        <v>54</v>
      </c>
      <c r="F11" s="40">
        <v>150</v>
      </c>
      <c r="G11" s="40">
        <v>193</v>
      </c>
      <c r="H11" s="40">
        <v>5091</v>
      </c>
      <c r="I11" s="40" t="s">
        <v>53</v>
      </c>
      <c r="J11" s="40">
        <v>4677</v>
      </c>
      <c r="K11" s="39" t="s">
        <v>44</v>
      </c>
      <c r="L11" s="38" t="s">
        <v>39</v>
      </c>
      <c r="M11" s="39" t="s">
        <v>291</v>
      </c>
    </row>
    <row r="12" spans="1:13" s="37" customFormat="1" x14ac:dyDescent="0.25">
      <c r="A12" s="41">
        <v>42482.462962962964</v>
      </c>
      <c r="B12" s="40" t="s">
        <v>282</v>
      </c>
      <c r="C12" s="40" t="s">
        <v>108</v>
      </c>
      <c r="D12" s="40" t="s">
        <v>43</v>
      </c>
      <c r="E12" s="40" t="s">
        <v>52</v>
      </c>
      <c r="F12" s="40">
        <v>0</v>
      </c>
      <c r="G12" s="40">
        <v>60</v>
      </c>
      <c r="H12" s="40">
        <v>110743</v>
      </c>
      <c r="I12" s="40" t="s">
        <v>51</v>
      </c>
      <c r="J12" s="40">
        <v>110714</v>
      </c>
      <c r="K12" s="39" t="s">
        <v>44</v>
      </c>
      <c r="L12" s="38" t="s">
        <v>39</v>
      </c>
      <c r="M12" s="39" t="s">
        <v>294</v>
      </c>
    </row>
    <row r="13" spans="1:13" s="37" customFormat="1" x14ac:dyDescent="0.25">
      <c r="A13" s="41">
        <v>42482.532337962963</v>
      </c>
      <c r="B13" s="40" t="s">
        <v>46</v>
      </c>
      <c r="C13" s="40" t="s">
        <v>101</v>
      </c>
      <c r="D13" s="40" t="s">
        <v>43</v>
      </c>
      <c r="E13" s="40" t="s">
        <v>52</v>
      </c>
      <c r="F13" s="40">
        <v>0</v>
      </c>
      <c r="G13" s="40">
        <v>466</v>
      </c>
      <c r="H13" s="40">
        <v>194336</v>
      </c>
      <c r="I13" s="40" t="s">
        <v>51</v>
      </c>
      <c r="J13" s="40">
        <v>191723</v>
      </c>
      <c r="K13" s="39" t="s">
        <v>44</v>
      </c>
      <c r="L13" s="38" t="s">
        <v>39</v>
      </c>
      <c r="M13" s="39" t="s">
        <v>293</v>
      </c>
    </row>
    <row r="14" spans="1:13" s="37" customFormat="1" x14ac:dyDescent="0.25">
      <c r="A14" s="41">
        <v>42482.632731481484</v>
      </c>
      <c r="B14" s="40" t="s">
        <v>45</v>
      </c>
      <c r="C14" s="40" t="s">
        <v>169</v>
      </c>
      <c r="D14" s="40" t="s">
        <v>43</v>
      </c>
      <c r="E14" s="40" t="s">
        <v>52</v>
      </c>
      <c r="F14" s="40">
        <v>0</v>
      </c>
      <c r="G14" s="40">
        <v>316</v>
      </c>
      <c r="H14" s="40">
        <v>129105</v>
      </c>
      <c r="I14" s="40" t="s">
        <v>51</v>
      </c>
      <c r="J14" s="40">
        <v>127587</v>
      </c>
      <c r="K14" s="39" t="s">
        <v>44</v>
      </c>
      <c r="L14" s="38" t="s">
        <v>39</v>
      </c>
      <c r="M14" s="39" t="s">
        <v>292</v>
      </c>
    </row>
    <row r="15" spans="1:13" s="37" customFormat="1" x14ac:dyDescent="0.25">
      <c r="A15" s="41">
        <v>42482.706655092596</v>
      </c>
      <c r="B15" s="40" t="s">
        <v>45</v>
      </c>
      <c r="C15" s="40" t="s">
        <v>200</v>
      </c>
      <c r="D15" s="40" t="s">
        <v>43</v>
      </c>
      <c r="E15" s="40" t="s">
        <v>52</v>
      </c>
      <c r="F15" s="40">
        <v>0</v>
      </c>
      <c r="G15" s="40">
        <v>38</v>
      </c>
      <c r="H15" s="40">
        <v>127662</v>
      </c>
      <c r="I15" s="40" t="s">
        <v>51</v>
      </c>
      <c r="J15" s="40">
        <v>127587</v>
      </c>
      <c r="K15" s="39" t="s">
        <v>44</v>
      </c>
      <c r="L15" s="38" t="s">
        <v>39</v>
      </c>
      <c r="M15" s="39" t="s">
        <v>292</v>
      </c>
    </row>
    <row r="16" spans="1:13" s="37" customFormat="1" x14ac:dyDescent="0.25">
      <c r="A16" s="41">
        <v>42482.707094907404</v>
      </c>
      <c r="B16" s="40" t="s">
        <v>45</v>
      </c>
      <c r="C16" s="40" t="s">
        <v>200</v>
      </c>
      <c r="D16" s="40" t="s">
        <v>43</v>
      </c>
      <c r="E16" s="40" t="s">
        <v>52</v>
      </c>
      <c r="F16" s="40">
        <v>0</v>
      </c>
      <c r="G16" s="40">
        <v>29</v>
      </c>
      <c r="H16" s="40">
        <v>127607</v>
      </c>
      <c r="I16" s="40" t="s">
        <v>51</v>
      </c>
      <c r="J16" s="40">
        <v>127587</v>
      </c>
      <c r="K16" s="39" t="s">
        <v>44</v>
      </c>
      <c r="L16" s="38" t="s">
        <v>39</v>
      </c>
      <c r="M16" s="39" t="s">
        <v>292</v>
      </c>
    </row>
    <row r="17" spans="1:13" s="37" customFormat="1" x14ac:dyDescent="0.25">
      <c r="A17" s="41">
        <v>42482.756030092591</v>
      </c>
      <c r="B17" s="40" t="s">
        <v>46</v>
      </c>
      <c r="C17" s="40" t="s">
        <v>220</v>
      </c>
      <c r="D17" s="40" t="s">
        <v>43</v>
      </c>
      <c r="E17" s="40" t="s">
        <v>52</v>
      </c>
      <c r="F17" s="40">
        <v>0</v>
      </c>
      <c r="G17" s="40">
        <v>504</v>
      </c>
      <c r="H17" s="40">
        <v>131052</v>
      </c>
      <c r="I17" s="40" t="s">
        <v>51</v>
      </c>
      <c r="J17" s="40">
        <v>127587</v>
      </c>
      <c r="K17" s="39" t="s">
        <v>44</v>
      </c>
      <c r="L17" s="38" t="s">
        <v>39</v>
      </c>
      <c r="M17" s="39" t="s">
        <v>292</v>
      </c>
    </row>
    <row r="18" spans="1:13" s="37" customFormat="1" x14ac:dyDescent="0.25">
      <c r="A18" s="41">
        <v>42482.888981481483</v>
      </c>
      <c r="B18" s="40" t="s">
        <v>81</v>
      </c>
      <c r="C18" s="40" t="s">
        <v>275</v>
      </c>
      <c r="D18" s="40" t="s">
        <v>50</v>
      </c>
      <c r="E18" s="40" t="s">
        <v>52</v>
      </c>
      <c r="F18" s="40">
        <v>0</v>
      </c>
      <c r="G18" s="40">
        <v>13</v>
      </c>
      <c r="H18" s="40">
        <v>1723</v>
      </c>
      <c r="I18" s="40" t="s">
        <v>51</v>
      </c>
      <c r="J18" s="40">
        <v>1692</v>
      </c>
      <c r="K18" s="40" t="s">
        <v>40</v>
      </c>
      <c r="L18" s="38" t="s">
        <v>39</v>
      </c>
      <c r="M18" s="39" t="s">
        <v>288</v>
      </c>
    </row>
    <row r="19" spans="1:13" s="37" customFormat="1" x14ac:dyDescent="0.25">
      <c r="A19" s="41">
        <v>42482.889687499999</v>
      </c>
      <c r="B19" s="40" t="s">
        <v>81</v>
      </c>
      <c r="C19" s="40" t="s">
        <v>275</v>
      </c>
      <c r="D19" s="40" t="s">
        <v>50</v>
      </c>
      <c r="E19" s="40" t="s">
        <v>52</v>
      </c>
      <c r="F19" s="40">
        <v>0</v>
      </c>
      <c r="G19" s="40">
        <v>3</v>
      </c>
      <c r="H19" s="40">
        <v>1740</v>
      </c>
      <c r="I19" s="40" t="s">
        <v>51</v>
      </c>
      <c r="J19" s="40">
        <v>1692</v>
      </c>
      <c r="K19" s="39" t="s">
        <v>40</v>
      </c>
      <c r="L19" s="38" t="s">
        <v>39</v>
      </c>
      <c r="M19" s="39" t="s">
        <v>288</v>
      </c>
    </row>
    <row r="20" spans="1:13" s="37" customFormat="1" x14ac:dyDescent="0.25">
      <c r="A20" s="41">
        <v>42482.355937499997</v>
      </c>
      <c r="B20" s="40" t="s">
        <v>280</v>
      </c>
      <c r="C20" s="40" t="s">
        <v>134</v>
      </c>
      <c r="D20" s="40" t="s">
        <v>50</v>
      </c>
      <c r="E20" s="40" t="s">
        <v>79</v>
      </c>
      <c r="F20" s="40">
        <v>0</v>
      </c>
      <c r="G20" s="40">
        <v>148</v>
      </c>
      <c r="H20" s="40">
        <v>1958</v>
      </c>
      <c r="I20" s="40" t="s">
        <v>49</v>
      </c>
      <c r="J20" s="40">
        <v>1942</v>
      </c>
      <c r="K20" s="39" t="s">
        <v>40</v>
      </c>
      <c r="L20" s="38" t="s">
        <v>48</v>
      </c>
      <c r="M20" s="39" t="s">
        <v>303</v>
      </c>
    </row>
    <row r="21" spans="1:13" s="37" customFormat="1" x14ac:dyDescent="0.25">
      <c r="A21" s="41">
        <v>42482.402800925927</v>
      </c>
      <c r="B21" s="40" t="s">
        <v>281</v>
      </c>
      <c r="C21" s="40" t="s">
        <v>131</v>
      </c>
      <c r="D21" s="40" t="s">
        <v>43</v>
      </c>
      <c r="E21" s="40" t="s">
        <v>42</v>
      </c>
      <c r="F21" s="40">
        <v>0</v>
      </c>
      <c r="G21" s="40">
        <v>60</v>
      </c>
      <c r="H21" s="40">
        <v>233145</v>
      </c>
      <c r="I21" s="40" t="s">
        <v>41</v>
      </c>
      <c r="J21" s="40">
        <v>233491</v>
      </c>
      <c r="K21" s="39" t="s">
        <v>40</v>
      </c>
      <c r="L21" s="38" t="s">
        <v>39</v>
      </c>
      <c r="M21" s="39" t="s">
        <v>289</v>
      </c>
    </row>
    <row r="22" spans="1:13" s="37" customFormat="1" x14ac:dyDescent="0.25">
      <c r="A22" s="41">
        <v>42482.534085648149</v>
      </c>
      <c r="B22" s="40" t="s">
        <v>283</v>
      </c>
      <c r="C22" s="40" t="s">
        <v>115</v>
      </c>
      <c r="D22" s="40" t="s">
        <v>43</v>
      </c>
      <c r="E22" s="40" t="s">
        <v>42</v>
      </c>
      <c r="F22" s="40">
        <v>0</v>
      </c>
      <c r="G22" s="40">
        <v>66</v>
      </c>
      <c r="H22" s="40">
        <v>294</v>
      </c>
      <c r="I22" s="40" t="s">
        <v>41</v>
      </c>
      <c r="J22" s="40">
        <v>1</v>
      </c>
      <c r="K22" s="39" t="s">
        <v>44</v>
      </c>
      <c r="L22" s="38" t="s">
        <v>39</v>
      </c>
      <c r="M22" s="39" t="s">
        <v>289</v>
      </c>
    </row>
    <row r="23" spans="1:13" s="37" customFormat="1" x14ac:dyDescent="0.25">
      <c r="A23" s="41">
        <v>42482.54891203704</v>
      </c>
      <c r="B23" s="40" t="s">
        <v>284</v>
      </c>
      <c r="C23" s="40" t="s">
        <v>103</v>
      </c>
      <c r="D23" s="40" t="s">
        <v>43</v>
      </c>
      <c r="E23" s="40" t="s">
        <v>42</v>
      </c>
      <c r="F23" s="40">
        <v>0</v>
      </c>
      <c r="G23" s="40">
        <v>4</v>
      </c>
      <c r="H23" s="40">
        <v>233334</v>
      </c>
      <c r="I23" s="40" t="s">
        <v>41</v>
      </c>
      <c r="J23" s="40">
        <v>233491</v>
      </c>
      <c r="K23" s="39" t="s">
        <v>40</v>
      </c>
      <c r="L23" s="38" t="s">
        <v>39</v>
      </c>
      <c r="M23" s="39" t="s">
        <v>289</v>
      </c>
    </row>
    <row r="24" spans="1:13" s="37" customFormat="1" x14ac:dyDescent="0.25">
      <c r="A24" s="41">
        <v>42482.558298611111</v>
      </c>
      <c r="B24" s="40" t="s">
        <v>46</v>
      </c>
      <c r="C24" s="40" t="s">
        <v>101</v>
      </c>
      <c r="D24" s="40" t="s">
        <v>43</v>
      </c>
      <c r="E24" s="40" t="s">
        <v>42</v>
      </c>
      <c r="F24" s="40">
        <v>0</v>
      </c>
      <c r="G24" s="40">
        <v>8</v>
      </c>
      <c r="H24" s="40">
        <v>121</v>
      </c>
      <c r="I24" s="40" t="s">
        <v>41</v>
      </c>
      <c r="J24" s="40">
        <v>1</v>
      </c>
      <c r="K24" s="39" t="s">
        <v>44</v>
      </c>
      <c r="L24" s="38" t="s">
        <v>39</v>
      </c>
      <c r="M24" s="39" t="s">
        <v>289</v>
      </c>
    </row>
    <row r="25" spans="1:13" s="37" customFormat="1" x14ac:dyDescent="0.25">
      <c r="A25" s="41">
        <v>42482.569780092592</v>
      </c>
      <c r="B25" s="40" t="s">
        <v>281</v>
      </c>
      <c r="C25" s="40" t="s">
        <v>94</v>
      </c>
      <c r="D25" s="40" t="s">
        <v>43</v>
      </c>
      <c r="E25" s="40" t="s">
        <v>42</v>
      </c>
      <c r="F25" s="40">
        <v>0</v>
      </c>
      <c r="G25" s="40">
        <v>50</v>
      </c>
      <c r="H25" s="40">
        <v>233189</v>
      </c>
      <c r="I25" s="40" t="s">
        <v>41</v>
      </c>
      <c r="J25" s="40">
        <v>233491</v>
      </c>
      <c r="K25" s="39" t="s">
        <v>40</v>
      </c>
      <c r="L25" s="38" t="s">
        <v>39</v>
      </c>
      <c r="M25" s="39" t="s">
        <v>289</v>
      </c>
    </row>
    <row r="26" spans="1:13" s="37" customFormat="1" x14ac:dyDescent="0.25">
      <c r="A26" s="41">
        <v>42482.577476851853</v>
      </c>
      <c r="B26" s="40" t="s">
        <v>47</v>
      </c>
      <c r="C26" s="40" t="s">
        <v>91</v>
      </c>
      <c r="D26" s="40" t="s">
        <v>43</v>
      </c>
      <c r="E26" s="40" t="s">
        <v>42</v>
      </c>
      <c r="F26" s="40">
        <v>0</v>
      </c>
      <c r="G26" s="40">
        <v>5</v>
      </c>
      <c r="H26" s="40">
        <v>233383</v>
      </c>
      <c r="I26" s="40" t="s">
        <v>41</v>
      </c>
      <c r="J26" s="40">
        <v>233491</v>
      </c>
      <c r="K26" s="39" t="s">
        <v>40</v>
      </c>
      <c r="L26" s="38" t="s">
        <v>39</v>
      </c>
      <c r="M26" s="39" t="s">
        <v>289</v>
      </c>
    </row>
    <row r="27" spans="1:13" s="37" customFormat="1" x14ac:dyDescent="0.25">
      <c r="A27" s="41">
        <v>42482.589166666665</v>
      </c>
      <c r="B27" s="40" t="s">
        <v>80</v>
      </c>
      <c r="C27" s="40" t="s">
        <v>285</v>
      </c>
      <c r="D27" s="40" t="s">
        <v>43</v>
      </c>
      <c r="E27" s="40" t="s">
        <v>42</v>
      </c>
      <c r="F27" s="40">
        <v>0</v>
      </c>
      <c r="G27" s="40">
        <v>58</v>
      </c>
      <c r="H27" s="40">
        <v>233274</v>
      </c>
      <c r="I27" s="40" t="s">
        <v>41</v>
      </c>
      <c r="J27" s="40">
        <v>233491</v>
      </c>
      <c r="K27" s="39" t="s">
        <v>40</v>
      </c>
      <c r="L27" s="38" t="s">
        <v>39</v>
      </c>
      <c r="M27" s="39" t="s">
        <v>289</v>
      </c>
    </row>
    <row r="28" spans="1:13" s="37" customFormat="1" x14ac:dyDescent="0.25">
      <c r="A28" s="41">
        <v>42482.609351851854</v>
      </c>
      <c r="B28" s="40" t="s">
        <v>283</v>
      </c>
      <c r="C28" s="40" t="s">
        <v>158</v>
      </c>
      <c r="D28" s="40" t="s">
        <v>43</v>
      </c>
      <c r="E28" s="40" t="s">
        <v>42</v>
      </c>
      <c r="F28" s="40">
        <v>0</v>
      </c>
      <c r="G28" s="40">
        <v>9</v>
      </c>
      <c r="H28" s="40">
        <v>123</v>
      </c>
      <c r="I28" s="40" t="s">
        <v>41</v>
      </c>
      <c r="J28" s="40">
        <v>1</v>
      </c>
      <c r="K28" s="39" t="s">
        <v>44</v>
      </c>
      <c r="L28" s="38" t="s">
        <v>39</v>
      </c>
      <c r="M28" s="39" t="s">
        <v>289</v>
      </c>
    </row>
    <row r="29" spans="1:13" s="37" customFormat="1" x14ac:dyDescent="0.25">
      <c r="A29" s="41">
        <v>42482.647488425922</v>
      </c>
      <c r="B29" s="40" t="s">
        <v>281</v>
      </c>
      <c r="C29" s="40" t="s">
        <v>185</v>
      </c>
      <c r="D29" s="40" t="s">
        <v>43</v>
      </c>
      <c r="E29" s="40" t="s">
        <v>42</v>
      </c>
      <c r="F29" s="40">
        <v>0</v>
      </c>
      <c r="G29" s="40">
        <v>46</v>
      </c>
      <c r="H29" s="40">
        <v>233264</v>
      </c>
      <c r="I29" s="40" t="s">
        <v>41</v>
      </c>
      <c r="J29" s="40">
        <v>233491</v>
      </c>
      <c r="K29" s="39" t="s">
        <v>40</v>
      </c>
      <c r="L29" s="38" t="s">
        <v>39</v>
      </c>
      <c r="M29" s="39" t="s">
        <v>289</v>
      </c>
    </row>
    <row r="30" spans="1:13" s="37" customFormat="1" x14ac:dyDescent="0.25">
      <c r="A30" s="41">
        <v>42482.692893518521</v>
      </c>
      <c r="B30" s="40" t="s">
        <v>55</v>
      </c>
      <c r="C30" s="40" t="s">
        <v>187</v>
      </c>
      <c r="D30" s="40" t="s">
        <v>43</v>
      </c>
      <c r="E30" s="40" t="s">
        <v>42</v>
      </c>
      <c r="F30" s="40">
        <v>0</v>
      </c>
      <c r="G30" s="40">
        <v>46</v>
      </c>
      <c r="H30" s="40">
        <v>170</v>
      </c>
      <c r="I30" s="40" t="s">
        <v>41</v>
      </c>
      <c r="J30" s="40">
        <v>1</v>
      </c>
      <c r="K30" s="39" t="s">
        <v>44</v>
      </c>
      <c r="L30" s="38" t="s">
        <v>39</v>
      </c>
      <c r="M30" s="39" t="s">
        <v>289</v>
      </c>
    </row>
    <row r="31" spans="1:13" s="37" customFormat="1" x14ac:dyDescent="0.25">
      <c r="A31" s="41">
        <v>42482.702511574076</v>
      </c>
      <c r="B31" s="40" t="s">
        <v>46</v>
      </c>
      <c r="C31" s="40" t="s">
        <v>191</v>
      </c>
      <c r="D31" s="40" t="s">
        <v>43</v>
      </c>
      <c r="E31" s="40" t="s">
        <v>42</v>
      </c>
      <c r="F31" s="40">
        <v>0</v>
      </c>
      <c r="G31" s="40">
        <v>46</v>
      </c>
      <c r="H31" s="40">
        <v>154</v>
      </c>
      <c r="I31" s="40" t="s">
        <v>41</v>
      </c>
      <c r="J31" s="40">
        <v>1</v>
      </c>
      <c r="K31" s="39" t="s">
        <v>44</v>
      </c>
      <c r="L31" s="38" t="s">
        <v>39</v>
      </c>
      <c r="M31" s="39" t="s">
        <v>289</v>
      </c>
    </row>
    <row r="32" spans="1:13" s="37" customFormat="1" x14ac:dyDescent="0.25">
      <c r="A32" s="41">
        <v>42482.709224537037</v>
      </c>
      <c r="B32" s="40" t="s">
        <v>280</v>
      </c>
      <c r="C32" s="40" t="s">
        <v>213</v>
      </c>
      <c r="D32" s="40" t="s">
        <v>43</v>
      </c>
      <c r="E32" s="40" t="s">
        <v>42</v>
      </c>
      <c r="F32" s="40">
        <v>0</v>
      </c>
      <c r="G32" s="40">
        <v>49</v>
      </c>
      <c r="H32" s="40">
        <v>233288</v>
      </c>
      <c r="I32" s="40" t="s">
        <v>41</v>
      </c>
      <c r="J32" s="40">
        <v>233491</v>
      </c>
      <c r="K32" s="39" t="s">
        <v>40</v>
      </c>
      <c r="L32" s="38" t="s">
        <v>39</v>
      </c>
      <c r="M32" s="39" t="s">
        <v>289</v>
      </c>
    </row>
    <row r="33" spans="1:13" s="37" customFormat="1" x14ac:dyDescent="0.25">
      <c r="A33" s="41">
        <v>42482.734305555554</v>
      </c>
      <c r="B33" s="40" t="s">
        <v>80</v>
      </c>
      <c r="C33" s="40" t="s">
        <v>222</v>
      </c>
      <c r="D33" s="40" t="s">
        <v>43</v>
      </c>
      <c r="E33" s="40" t="s">
        <v>42</v>
      </c>
      <c r="F33" s="40">
        <v>0</v>
      </c>
      <c r="G33" s="40">
        <v>8</v>
      </c>
      <c r="H33" s="40">
        <v>233398</v>
      </c>
      <c r="I33" s="40" t="s">
        <v>41</v>
      </c>
      <c r="J33" s="40">
        <v>233491</v>
      </c>
      <c r="K33" s="39" t="s">
        <v>40</v>
      </c>
      <c r="L33" s="38" t="s">
        <v>39</v>
      </c>
      <c r="M33" s="39" t="s">
        <v>289</v>
      </c>
    </row>
    <row r="34" spans="1:13" s="37" customFormat="1" x14ac:dyDescent="0.25">
      <c r="A34" s="41">
        <v>42482.786817129629</v>
      </c>
      <c r="B34" s="40" t="s">
        <v>280</v>
      </c>
      <c r="C34" s="40" t="s">
        <v>244</v>
      </c>
      <c r="D34" s="40" t="s">
        <v>43</v>
      </c>
      <c r="E34" s="40" t="s">
        <v>42</v>
      </c>
      <c r="F34" s="40">
        <v>0</v>
      </c>
      <c r="G34" s="40">
        <v>5</v>
      </c>
      <c r="H34" s="40">
        <v>233332</v>
      </c>
      <c r="I34" s="40" t="s">
        <v>41</v>
      </c>
      <c r="J34" s="40">
        <v>233491</v>
      </c>
      <c r="K34" s="39" t="s">
        <v>40</v>
      </c>
      <c r="L34" s="38" t="s">
        <v>39</v>
      </c>
      <c r="M34" s="39" t="s">
        <v>289</v>
      </c>
    </row>
    <row r="35" spans="1:13" s="37" customFormat="1" x14ac:dyDescent="0.25">
      <c r="A35" s="41">
        <v>42482.802187499998</v>
      </c>
      <c r="B35" s="40" t="s">
        <v>45</v>
      </c>
      <c r="C35" s="40" t="s">
        <v>229</v>
      </c>
      <c r="D35" s="40" t="s">
        <v>43</v>
      </c>
      <c r="E35" s="40" t="s">
        <v>42</v>
      </c>
      <c r="F35" s="40">
        <v>0</v>
      </c>
      <c r="G35" s="40">
        <v>44</v>
      </c>
      <c r="H35" s="40">
        <v>163</v>
      </c>
      <c r="I35" s="40" t="s">
        <v>41</v>
      </c>
      <c r="J35" s="40">
        <v>1</v>
      </c>
      <c r="K35" s="39" t="s">
        <v>44</v>
      </c>
      <c r="L35" s="38" t="s">
        <v>39</v>
      </c>
      <c r="M35" s="39" t="s">
        <v>289</v>
      </c>
    </row>
    <row r="36" spans="1:13" s="37" customFormat="1" x14ac:dyDescent="0.25">
      <c r="A36" s="41">
        <v>42482.818136574075</v>
      </c>
      <c r="B36" s="40" t="s">
        <v>287</v>
      </c>
      <c r="C36" s="40" t="s">
        <v>255</v>
      </c>
      <c r="D36" s="40" t="s">
        <v>43</v>
      </c>
      <c r="E36" s="40" t="s">
        <v>42</v>
      </c>
      <c r="F36" s="40">
        <v>0</v>
      </c>
      <c r="G36" s="40">
        <v>8</v>
      </c>
      <c r="H36" s="40">
        <v>233330</v>
      </c>
      <c r="I36" s="40" t="s">
        <v>41</v>
      </c>
      <c r="J36" s="40">
        <v>233491</v>
      </c>
      <c r="K36" s="39" t="s">
        <v>40</v>
      </c>
      <c r="L36" s="38" t="s">
        <v>39</v>
      </c>
      <c r="M36" s="39" t="s">
        <v>289</v>
      </c>
    </row>
    <row r="37" spans="1:13" s="37" customFormat="1" x14ac:dyDescent="0.25">
      <c r="A37" s="41">
        <v>42482.830891203703</v>
      </c>
      <c r="B37" s="40" t="s">
        <v>283</v>
      </c>
      <c r="C37" s="40" t="s">
        <v>247</v>
      </c>
      <c r="D37" s="40" t="s">
        <v>43</v>
      </c>
      <c r="E37" s="40" t="s">
        <v>42</v>
      </c>
      <c r="F37" s="40">
        <v>0</v>
      </c>
      <c r="G37" s="40">
        <v>6</v>
      </c>
      <c r="H37" s="40">
        <v>136</v>
      </c>
      <c r="I37" s="40" t="s">
        <v>41</v>
      </c>
      <c r="J37" s="40">
        <v>1</v>
      </c>
      <c r="K37" s="39" t="s">
        <v>44</v>
      </c>
      <c r="L37" s="38" t="s">
        <v>39</v>
      </c>
      <c r="M37" s="39" t="s">
        <v>289</v>
      </c>
    </row>
    <row r="38" spans="1:13" s="37" customFormat="1" x14ac:dyDescent="0.25">
      <c r="A38" s="41">
        <v>42482.871562499997</v>
      </c>
      <c r="B38" s="40" t="s">
        <v>281</v>
      </c>
      <c r="C38" s="40" t="s">
        <v>266</v>
      </c>
      <c r="D38" s="40" t="s">
        <v>43</v>
      </c>
      <c r="E38" s="40" t="s">
        <v>42</v>
      </c>
      <c r="F38" s="40">
        <v>0</v>
      </c>
      <c r="G38" s="40">
        <v>7</v>
      </c>
      <c r="H38" s="40">
        <v>233431</v>
      </c>
      <c r="I38" s="40" t="s">
        <v>41</v>
      </c>
      <c r="J38" s="40">
        <v>233491</v>
      </c>
      <c r="K38" s="39" t="s">
        <v>40</v>
      </c>
      <c r="L38" s="38" t="s">
        <v>39</v>
      </c>
      <c r="M38" s="39" t="s">
        <v>289</v>
      </c>
    </row>
    <row r="39" spans="1:13" ht="15.75" thickBot="1" x14ac:dyDescent="0.3"/>
    <row r="40" spans="1:13" x14ac:dyDescent="0.25">
      <c r="K40" s="36" t="s">
        <v>38</v>
      </c>
      <c r="L40" s="35">
        <f>COUNTIF(L3:L38,"=Y")</f>
        <v>1</v>
      </c>
    </row>
    <row r="41" spans="1:13" ht="15.75" thickBot="1" x14ac:dyDescent="0.3">
      <c r="K41" s="34" t="s">
        <v>37</v>
      </c>
      <c r="L41" s="33">
        <f>COUNTA(L3:L38)-L40</f>
        <v>35</v>
      </c>
    </row>
  </sheetData>
  <autoFilter ref="A2:M2">
    <sortState ref="A3:M38">
      <sortCondition ref="E2"/>
    </sortState>
  </autoFilter>
  <mergeCells count="1">
    <mergeCell ref="A1:L1"/>
  </mergeCells>
  <conditionalFormatting sqref="M2 L2:L1048576">
    <cfRule type="cellIs" dxfId="2" priority="3" operator="equal">
      <formula>"Y"</formula>
    </cfRule>
  </conditionalFormatting>
  <conditionalFormatting sqref="M3:M4 B3:L38">
    <cfRule type="expression" dxfId="1" priority="2">
      <formula>$L3="Y"</formula>
    </cfRule>
  </conditionalFormatting>
  <conditionalFormatting sqref="M20">
    <cfRule type="expression" dxfId="0" priority="1">
      <formula>$L20="Y"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2016-04-25T17:26:42Z</dcterms:modified>
</cp:coreProperties>
</file>