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8800" windowHeight="14235" activeTab="1"/>
  </bookViews>
  <sheets>
    <sheet name="Train Runs" sheetId="1" r:id="rId1"/>
    <sheet name="Enforcements" sheetId="3" r:id="rId2"/>
  </sheets>
  <definedNames>
    <definedName name="_xlnm._FilterDatabase" localSheetId="1" hidden="1">Enforcements!$A$2:$M$2</definedName>
    <definedName name="_xlnm._FilterDatabase" localSheetId="0" hidden="1">'Train Runs'!$A$2:$X$2</definedName>
    <definedName name="Denver_Train_Runs_04122016" localSheetId="0">'Train Runs'!$A$2:$J$109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3" i="1" l="1"/>
  <c r="R69" i="1"/>
  <c r="T69" i="1"/>
  <c r="U69" i="1"/>
  <c r="W69" i="1"/>
  <c r="X69" i="1"/>
  <c r="R70" i="1"/>
  <c r="T70" i="1"/>
  <c r="U70" i="1"/>
  <c r="V70" i="1" s="1"/>
  <c r="S70" i="1" s="1"/>
  <c r="W70" i="1"/>
  <c r="X70" i="1"/>
  <c r="R71" i="1"/>
  <c r="T71" i="1"/>
  <c r="V71" i="1" s="1"/>
  <c r="S71" i="1" s="1"/>
  <c r="U71" i="1"/>
  <c r="W71" i="1"/>
  <c r="X71" i="1"/>
  <c r="R72" i="1"/>
  <c r="T72" i="1"/>
  <c r="V72" i="1" s="1"/>
  <c r="S72" i="1" s="1"/>
  <c r="U72" i="1"/>
  <c r="W72" i="1"/>
  <c r="X72" i="1"/>
  <c r="R73" i="1"/>
  <c r="T73" i="1"/>
  <c r="U73" i="1"/>
  <c r="V73" i="1" s="1"/>
  <c r="S73" i="1" s="1"/>
  <c r="W73" i="1"/>
  <c r="X73" i="1"/>
  <c r="R74" i="1"/>
  <c r="T74" i="1"/>
  <c r="V74" i="1" s="1"/>
  <c r="S74" i="1" s="1"/>
  <c r="U74" i="1"/>
  <c r="W74" i="1"/>
  <c r="X74" i="1"/>
  <c r="R75" i="1"/>
  <c r="T75" i="1"/>
  <c r="U75" i="1"/>
  <c r="V75" i="1" s="1"/>
  <c r="S75" i="1" s="1"/>
  <c r="W75" i="1"/>
  <c r="X75" i="1"/>
  <c r="R76" i="1"/>
  <c r="T76" i="1"/>
  <c r="U76" i="1"/>
  <c r="W76" i="1"/>
  <c r="X76" i="1"/>
  <c r="R77" i="1"/>
  <c r="T77" i="1"/>
  <c r="U77" i="1"/>
  <c r="W77" i="1"/>
  <c r="X77" i="1"/>
  <c r="R78" i="1"/>
  <c r="T78" i="1"/>
  <c r="U78" i="1"/>
  <c r="V78" i="1" s="1"/>
  <c r="S78" i="1" s="1"/>
  <c r="W78" i="1"/>
  <c r="X78" i="1"/>
  <c r="R79" i="1"/>
  <c r="T79" i="1"/>
  <c r="U79" i="1"/>
  <c r="V79" i="1"/>
  <c r="S79" i="1" s="1"/>
  <c r="W79" i="1"/>
  <c r="X79" i="1"/>
  <c r="R80" i="1"/>
  <c r="T80" i="1"/>
  <c r="V80" i="1" s="1"/>
  <c r="S80" i="1" s="1"/>
  <c r="U80" i="1"/>
  <c r="W80" i="1"/>
  <c r="X80" i="1"/>
  <c r="R81" i="1"/>
  <c r="T81" i="1"/>
  <c r="U81" i="1"/>
  <c r="V81" i="1" s="1"/>
  <c r="S81" i="1" s="1"/>
  <c r="W81" i="1"/>
  <c r="X81" i="1"/>
  <c r="R82" i="1"/>
  <c r="T82" i="1"/>
  <c r="U82" i="1"/>
  <c r="V82" i="1"/>
  <c r="S82" i="1" s="1"/>
  <c r="W82" i="1"/>
  <c r="X82" i="1"/>
  <c r="R83" i="1"/>
  <c r="T83" i="1"/>
  <c r="U83" i="1"/>
  <c r="V83" i="1" s="1"/>
  <c r="S83" i="1" s="1"/>
  <c r="W83" i="1"/>
  <c r="X83" i="1"/>
  <c r="R84" i="1"/>
  <c r="T84" i="1"/>
  <c r="U84" i="1"/>
  <c r="W84" i="1"/>
  <c r="X84" i="1"/>
  <c r="R85" i="1"/>
  <c r="T85" i="1"/>
  <c r="U85" i="1"/>
  <c r="W85" i="1"/>
  <c r="X85" i="1"/>
  <c r="R86" i="1"/>
  <c r="T86" i="1"/>
  <c r="U86" i="1"/>
  <c r="V86" i="1" s="1"/>
  <c r="S86" i="1" s="1"/>
  <c r="W86" i="1"/>
  <c r="X86" i="1"/>
  <c r="R87" i="1"/>
  <c r="T87" i="1"/>
  <c r="V87" i="1" s="1"/>
  <c r="S87" i="1" s="1"/>
  <c r="U87" i="1"/>
  <c r="W87" i="1"/>
  <c r="X87" i="1"/>
  <c r="R88" i="1"/>
  <c r="T88" i="1"/>
  <c r="V88" i="1" s="1"/>
  <c r="S88" i="1" s="1"/>
  <c r="U88" i="1"/>
  <c r="W88" i="1"/>
  <c r="X88" i="1"/>
  <c r="R89" i="1"/>
  <c r="T89" i="1"/>
  <c r="U89" i="1"/>
  <c r="V89" i="1" s="1"/>
  <c r="S89" i="1" s="1"/>
  <c r="W89" i="1"/>
  <c r="X89" i="1"/>
  <c r="R90" i="1"/>
  <c r="T90" i="1"/>
  <c r="V90" i="1" s="1"/>
  <c r="S90" i="1" s="1"/>
  <c r="U90" i="1"/>
  <c r="W90" i="1"/>
  <c r="X90" i="1"/>
  <c r="R91" i="1"/>
  <c r="T91" i="1"/>
  <c r="U91" i="1"/>
  <c r="V91" i="1" s="1"/>
  <c r="S91" i="1" s="1"/>
  <c r="W91" i="1"/>
  <c r="X91" i="1"/>
  <c r="R92" i="1"/>
  <c r="T92" i="1"/>
  <c r="U92" i="1"/>
  <c r="W92" i="1"/>
  <c r="X92" i="1"/>
  <c r="R93" i="1"/>
  <c r="T93" i="1"/>
  <c r="U93" i="1"/>
  <c r="W93" i="1"/>
  <c r="X93" i="1"/>
  <c r="R94" i="1"/>
  <c r="T94" i="1"/>
  <c r="U94" i="1"/>
  <c r="V94" i="1" s="1"/>
  <c r="S94" i="1" s="1"/>
  <c r="W94" i="1"/>
  <c r="X94" i="1"/>
  <c r="R95" i="1"/>
  <c r="T95" i="1"/>
  <c r="U95" i="1"/>
  <c r="V95" i="1"/>
  <c r="S95" i="1" s="1"/>
  <c r="W95" i="1"/>
  <c r="X95" i="1"/>
  <c r="R96" i="1"/>
  <c r="T96" i="1"/>
  <c r="V96" i="1" s="1"/>
  <c r="S96" i="1" s="1"/>
  <c r="U96" i="1"/>
  <c r="W96" i="1"/>
  <c r="X96" i="1"/>
  <c r="R97" i="1"/>
  <c r="T97" i="1"/>
  <c r="U97" i="1"/>
  <c r="V97" i="1" s="1"/>
  <c r="S97" i="1" s="1"/>
  <c r="W97" i="1"/>
  <c r="X97" i="1"/>
  <c r="R98" i="1"/>
  <c r="T98" i="1"/>
  <c r="U98" i="1"/>
  <c r="V98" i="1"/>
  <c r="S98" i="1" s="1"/>
  <c r="W98" i="1"/>
  <c r="X98" i="1"/>
  <c r="R99" i="1"/>
  <c r="S99" i="1"/>
  <c r="T99" i="1"/>
  <c r="U99" i="1"/>
  <c r="V99" i="1"/>
  <c r="W99" i="1"/>
  <c r="X99" i="1"/>
  <c r="R100" i="1"/>
  <c r="T100" i="1"/>
  <c r="U100" i="1"/>
  <c r="W100" i="1"/>
  <c r="X100" i="1"/>
  <c r="R101" i="1"/>
  <c r="T101" i="1"/>
  <c r="U101" i="1"/>
  <c r="W101" i="1"/>
  <c r="X101" i="1"/>
  <c r="R102" i="1"/>
  <c r="T102" i="1"/>
  <c r="U102" i="1"/>
  <c r="V102" i="1"/>
  <c r="S102" i="1" s="1"/>
  <c r="W102" i="1"/>
  <c r="X102" i="1"/>
  <c r="R103" i="1"/>
  <c r="T103" i="1"/>
  <c r="V103" i="1" s="1"/>
  <c r="S103" i="1" s="1"/>
  <c r="U103" i="1"/>
  <c r="W103" i="1"/>
  <c r="X103" i="1"/>
  <c r="R104" i="1"/>
  <c r="T104" i="1"/>
  <c r="U104" i="1"/>
  <c r="W104" i="1"/>
  <c r="X104" i="1"/>
  <c r="R105" i="1"/>
  <c r="T105" i="1"/>
  <c r="U105" i="1"/>
  <c r="V105" i="1" s="1"/>
  <c r="S105" i="1" s="1"/>
  <c r="W105" i="1"/>
  <c r="X105" i="1"/>
  <c r="K101" i="1"/>
  <c r="L101" i="1"/>
  <c r="O101" i="1" s="1"/>
  <c r="K98" i="1"/>
  <c r="L98" i="1"/>
  <c r="M98" i="1" s="1"/>
  <c r="K103" i="1"/>
  <c r="L103" i="1"/>
  <c r="M103" i="1" s="1"/>
  <c r="K97" i="1"/>
  <c r="L97" i="1"/>
  <c r="M97" i="1" s="1"/>
  <c r="K102" i="1"/>
  <c r="L102" i="1"/>
  <c r="K95" i="1"/>
  <c r="L95" i="1"/>
  <c r="M95" i="1" s="1"/>
  <c r="K99" i="1"/>
  <c r="L99" i="1"/>
  <c r="M99" i="1" s="1"/>
  <c r="K104" i="1"/>
  <c r="L104" i="1"/>
  <c r="M104" i="1" s="1"/>
  <c r="K93" i="1"/>
  <c r="L93" i="1"/>
  <c r="M93" i="1" s="1"/>
  <c r="K96" i="1"/>
  <c r="L96" i="1"/>
  <c r="M96" i="1" s="1"/>
  <c r="K91" i="1"/>
  <c r="L91" i="1"/>
  <c r="M91" i="1" s="1"/>
  <c r="K105" i="1"/>
  <c r="L105" i="1"/>
  <c r="M105" i="1" s="1"/>
  <c r="K89" i="1"/>
  <c r="L89" i="1"/>
  <c r="M89" i="1" s="1"/>
  <c r="K94" i="1"/>
  <c r="L94" i="1"/>
  <c r="M94" i="1" s="1"/>
  <c r="K87" i="1"/>
  <c r="L87" i="1"/>
  <c r="M87" i="1" s="1"/>
  <c r="K92" i="1"/>
  <c r="L92" i="1"/>
  <c r="M92" i="1" s="1"/>
  <c r="K90" i="1"/>
  <c r="L90" i="1"/>
  <c r="M90" i="1" s="1"/>
  <c r="K85" i="1"/>
  <c r="L85" i="1"/>
  <c r="M85" i="1" s="1"/>
  <c r="K83" i="1"/>
  <c r="L83" i="1"/>
  <c r="M83" i="1" s="1"/>
  <c r="K88" i="1"/>
  <c r="L88" i="1"/>
  <c r="M88" i="1" s="1"/>
  <c r="K81" i="1"/>
  <c r="L81" i="1"/>
  <c r="M81" i="1" s="1"/>
  <c r="K79" i="1"/>
  <c r="L79" i="1"/>
  <c r="M79" i="1" s="1"/>
  <c r="K86" i="1"/>
  <c r="L86" i="1"/>
  <c r="M86" i="1" s="1"/>
  <c r="K84" i="1"/>
  <c r="L84" i="1"/>
  <c r="M84" i="1" s="1"/>
  <c r="K77" i="1"/>
  <c r="L77" i="1"/>
  <c r="M77" i="1" s="1"/>
  <c r="K82" i="1"/>
  <c r="L82" i="1"/>
  <c r="M82" i="1" s="1"/>
  <c r="K75" i="1"/>
  <c r="L75" i="1"/>
  <c r="M75" i="1" s="1"/>
  <c r="K80" i="1"/>
  <c r="L80" i="1"/>
  <c r="M80" i="1" s="1"/>
  <c r="K73" i="1"/>
  <c r="L73" i="1"/>
  <c r="M73" i="1" s="1"/>
  <c r="K71" i="1"/>
  <c r="L71" i="1"/>
  <c r="M71" i="1" s="1"/>
  <c r="K78" i="1"/>
  <c r="L78" i="1"/>
  <c r="M78" i="1" s="1"/>
  <c r="K76" i="1"/>
  <c r="L76" i="1"/>
  <c r="M76" i="1" s="1"/>
  <c r="K69" i="1"/>
  <c r="L69" i="1"/>
  <c r="M69" i="1" s="1"/>
  <c r="K74" i="1"/>
  <c r="L74" i="1"/>
  <c r="M74" i="1" s="1"/>
  <c r="K72" i="1"/>
  <c r="L72" i="1"/>
  <c r="M72" i="1" s="1"/>
  <c r="K67" i="1"/>
  <c r="L67" i="1"/>
  <c r="M67" i="1" s="1"/>
  <c r="K65" i="1"/>
  <c r="L65" i="1"/>
  <c r="M65" i="1" s="1"/>
  <c r="K70" i="1"/>
  <c r="L70" i="1"/>
  <c r="M70" i="1" s="1"/>
  <c r="K63" i="1"/>
  <c r="L63" i="1"/>
  <c r="M63" i="1" s="1"/>
  <c r="K59" i="1"/>
  <c r="L59" i="1"/>
  <c r="O59" i="1" s="1"/>
  <c r="K61" i="1"/>
  <c r="L61" i="1"/>
  <c r="M61" i="1" s="1"/>
  <c r="K68" i="1"/>
  <c r="L68" i="1"/>
  <c r="M68" i="1" s="1"/>
  <c r="K56" i="1"/>
  <c r="L56" i="1"/>
  <c r="M56" i="1" s="1"/>
  <c r="K66" i="1"/>
  <c r="L66" i="1"/>
  <c r="M66" i="1" s="1"/>
  <c r="K64" i="1"/>
  <c r="L64" i="1"/>
  <c r="M64" i="1" s="1"/>
  <c r="K57" i="1"/>
  <c r="L57" i="1"/>
  <c r="O57" i="1" s="1"/>
  <c r="K62" i="1"/>
  <c r="L62" i="1"/>
  <c r="M62" i="1" s="1"/>
  <c r="K60" i="1"/>
  <c r="L60" i="1"/>
  <c r="M60" i="1" s="1"/>
  <c r="K54" i="1"/>
  <c r="L54" i="1"/>
  <c r="M54" i="1" s="1"/>
  <c r="K52" i="1"/>
  <c r="L52" i="1"/>
  <c r="M52" i="1" s="1"/>
  <c r="K58" i="1"/>
  <c r="L58" i="1"/>
  <c r="K45" i="1"/>
  <c r="L45" i="1"/>
  <c r="O45" i="1" s="1"/>
  <c r="K48" i="1"/>
  <c r="L48" i="1"/>
  <c r="M48" i="1" s="1"/>
  <c r="K55" i="1"/>
  <c r="L55" i="1"/>
  <c r="M55" i="1" s="1"/>
  <c r="K41" i="1"/>
  <c r="L41" i="1"/>
  <c r="O41" i="1" s="1"/>
  <c r="K49" i="1"/>
  <c r="L49" i="1"/>
  <c r="O49" i="1" s="1"/>
  <c r="K50" i="1"/>
  <c r="L50" i="1"/>
  <c r="K46" i="1"/>
  <c r="L46" i="1"/>
  <c r="K44" i="1"/>
  <c r="L44" i="1"/>
  <c r="M44" i="1" s="1"/>
  <c r="K53" i="1"/>
  <c r="L53" i="1"/>
  <c r="K42" i="1"/>
  <c r="L42" i="1"/>
  <c r="K51" i="1"/>
  <c r="L51" i="1"/>
  <c r="K38" i="1"/>
  <c r="L38" i="1"/>
  <c r="M38" i="1" s="1"/>
  <c r="K47" i="1"/>
  <c r="L47" i="1"/>
  <c r="M47" i="1" s="1"/>
  <c r="I106" i="1"/>
  <c r="W67" i="1"/>
  <c r="X67" i="1"/>
  <c r="W65" i="1"/>
  <c r="X65" i="1"/>
  <c r="W63" i="1"/>
  <c r="X63" i="1"/>
  <c r="W59" i="1"/>
  <c r="X59" i="1"/>
  <c r="W61" i="1"/>
  <c r="X61" i="1"/>
  <c r="W68" i="1"/>
  <c r="X68" i="1"/>
  <c r="W56" i="1"/>
  <c r="X56" i="1"/>
  <c r="W66" i="1"/>
  <c r="X66" i="1"/>
  <c r="W64" i="1"/>
  <c r="X64" i="1"/>
  <c r="W57" i="1"/>
  <c r="X57" i="1"/>
  <c r="W62" i="1"/>
  <c r="X62" i="1"/>
  <c r="W60" i="1"/>
  <c r="X60" i="1"/>
  <c r="W54" i="1"/>
  <c r="X54" i="1"/>
  <c r="W52" i="1"/>
  <c r="X52" i="1"/>
  <c r="W58" i="1"/>
  <c r="X58" i="1"/>
  <c r="W45" i="1"/>
  <c r="X45" i="1"/>
  <c r="W48" i="1"/>
  <c r="X48" i="1"/>
  <c r="W55" i="1"/>
  <c r="X55" i="1"/>
  <c r="W41" i="1"/>
  <c r="X41" i="1"/>
  <c r="W49" i="1"/>
  <c r="X49" i="1"/>
  <c r="W50" i="1"/>
  <c r="X50" i="1"/>
  <c r="W46" i="1"/>
  <c r="X46" i="1"/>
  <c r="W44" i="1"/>
  <c r="X44" i="1"/>
  <c r="W53" i="1"/>
  <c r="X53" i="1"/>
  <c r="W42" i="1"/>
  <c r="X42" i="1"/>
  <c r="W51" i="1"/>
  <c r="X51" i="1"/>
  <c r="W38" i="1"/>
  <c r="X38" i="1"/>
  <c r="W47" i="1"/>
  <c r="X47" i="1"/>
  <c r="W36" i="1"/>
  <c r="X36" i="1"/>
  <c r="W43" i="1"/>
  <c r="X43" i="1"/>
  <c r="W34" i="1"/>
  <c r="X34" i="1"/>
  <c r="W39" i="1"/>
  <c r="X39" i="1"/>
  <c r="W32" i="1"/>
  <c r="X32" i="1"/>
  <c r="W40" i="1"/>
  <c r="X40" i="1"/>
  <c r="W29" i="1"/>
  <c r="X29" i="1"/>
  <c r="W37" i="1"/>
  <c r="X37" i="1"/>
  <c r="W30" i="1"/>
  <c r="X30" i="1"/>
  <c r="W28" i="1"/>
  <c r="X28" i="1"/>
  <c r="W35" i="1"/>
  <c r="X35" i="1"/>
  <c r="W33" i="1"/>
  <c r="X33" i="1"/>
  <c r="W25" i="1"/>
  <c r="X25" i="1"/>
  <c r="W31" i="1"/>
  <c r="X31" i="1"/>
  <c r="W23" i="1"/>
  <c r="X23" i="1"/>
  <c r="W27" i="1"/>
  <c r="X27" i="1"/>
  <c r="W21" i="1"/>
  <c r="X21" i="1"/>
  <c r="W26" i="1"/>
  <c r="X26" i="1"/>
  <c r="W19" i="1"/>
  <c r="X19" i="1"/>
  <c r="W17" i="1"/>
  <c r="X17" i="1"/>
  <c r="W24" i="1"/>
  <c r="X24" i="1"/>
  <c r="W15" i="1"/>
  <c r="X15" i="1"/>
  <c r="W22" i="1"/>
  <c r="X22" i="1"/>
  <c r="W20" i="1"/>
  <c r="X20" i="1"/>
  <c r="W13" i="1"/>
  <c r="X13" i="1"/>
  <c r="W18" i="1"/>
  <c r="X18" i="1"/>
  <c r="W11" i="1"/>
  <c r="X11" i="1"/>
  <c r="W16" i="1"/>
  <c r="X16" i="1"/>
  <c r="W9" i="1"/>
  <c r="X9" i="1"/>
  <c r="W14" i="1"/>
  <c r="X14" i="1"/>
  <c r="W8" i="1"/>
  <c r="X8" i="1"/>
  <c r="W12" i="1"/>
  <c r="X12" i="1"/>
  <c r="W6" i="1"/>
  <c r="X6" i="1"/>
  <c r="W10" i="1"/>
  <c r="X10" i="1"/>
  <c r="W4" i="1"/>
  <c r="X4" i="1"/>
  <c r="W7" i="1"/>
  <c r="X7" i="1"/>
  <c r="W5" i="1"/>
  <c r="X5" i="1"/>
  <c r="W3" i="1"/>
  <c r="X3" i="1"/>
  <c r="V93" i="1" l="1"/>
  <c r="S93" i="1" s="1"/>
  <c r="V84" i="1"/>
  <c r="S84" i="1" s="1"/>
  <c r="V77" i="1"/>
  <c r="S77" i="1" s="1"/>
  <c r="V100" i="1"/>
  <c r="S100" i="1" s="1"/>
  <c r="V104" i="1"/>
  <c r="S104" i="1" s="1"/>
  <c r="V101" i="1"/>
  <c r="S101" i="1" s="1"/>
  <c r="V92" i="1"/>
  <c r="S92" i="1" s="1"/>
  <c r="V85" i="1"/>
  <c r="S85" i="1" s="1"/>
  <c r="V76" i="1"/>
  <c r="S76" i="1" s="1"/>
  <c r="V69" i="1"/>
  <c r="S69" i="1" s="1"/>
  <c r="K36" i="1"/>
  <c r="L36" i="1"/>
  <c r="M36" i="1" s="1"/>
  <c r="K43" i="1"/>
  <c r="L43" i="1"/>
  <c r="M43" i="1" s="1"/>
  <c r="K34" i="1"/>
  <c r="L34" i="1"/>
  <c r="M34" i="1" s="1"/>
  <c r="K39" i="1"/>
  <c r="L39" i="1"/>
  <c r="K32" i="1"/>
  <c r="L32" i="1"/>
  <c r="M32" i="1" s="1"/>
  <c r="K40" i="1"/>
  <c r="L40" i="1"/>
  <c r="K29" i="1"/>
  <c r="L29" i="1"/>
  <c r="K37" i="1"/>
  <c r="L37" i="1"/>
  <c r="M37" i="1" s="1"/>
  <c r="K30" i="1"/>
  <c r="L30" i="1"/>
  <c r="K28" i="1"/>
  <c r="L28" i="1"/>
  <c r="M28" i="1" s="1"/>
  <c r="K35" i="1"/>
  <c r="L35" i="1"/>
  <c r="O35" i="1" s="1"/>
  <c r="K33" i="1"/>
  <c r="L33" i="1"/>
  <c r="M33" i="1" s="1"/>
  <c r="K25" i="1"/>
  <c r="L25" i="1"/>
  <c r="M25" i="1" s="1"/>
  <c r="K31" i="1"/>
  <c r="L31" i="1"/>
  <c r="M31" i="1" s="1"/>
  <c r="K23" i="1"/>
  <c r="L23" i="1"/>
  <c r="O23" i="1" s="1"/>
  <c r="K27" i="1"/>
  <c r="L27" i="1"/>
  <c r="O27" i="1" s="1"/>
  <c r="K21" i="1"/>
  <c r="L21" i="1"/>
  <c r="O21" i="1" s="1"/>
  <c r="K26" i="1"/>
  <c r="L26" i="1"/>
  <c r="M26" i="1" s="1"/>
  <c r="K19" i="1"/>
  <c r="L19" i="1"/>
  <c r="M19" i="1" s="1"/>
  <c r="K17" i="1"/>
  <c r="L17" i="1"/>
  <c r="M17" i="1" s="1"/>
  <c r="K24" i="1"/>
  <c r="L24" i="1"/>
  <c r="M24" i="1" s="1"/>
  <c r="K15" i="1"/>
  <c r="L15" i="1"/>
  <c r="M15" i="1" s="1"/>
  <c r="K22" i="1"/>
  <c r="L22" i="1"/>
  <c r="M22" i="1" s="1"/>
  <c r="K20" i="1"/>
  <c r="L20" i="1"/>
  <c r="M20" i="1" s="1"/>
  <c r="K13" i="1"/>
  <c r="L13" i="1"/>
  <c r="M13" i="1" s="1"/>
  <c r="K18" i="1"/>
  <c r="L18" i="1"/>
  <c r="M18" i="1" s="1"/>
  <c r="K11" i="1"/>
  <c r="L11" i="1"/>
  <c r="M11" i="1" s="1"/>
  <c r="K16" i="1"/>
  <c r="L16" i="1"/>
  <c r="M16" i="1" s="1"/>
  <c r="K9" i="1"/>
  <c r="L9" i="1"/>
  <c r="M9" i="1" s="1"/>
  <c r="K14" i="1"/>
  <c r="L14" i="1"/>
  <c r="M14" i="1" s="1"/>
  <c r="K8" i="1"/>
  <c r="L8" i="1"/>
  <c r="M8" i="1" s="1"/>
  <c r="L12" i="1"/>
  <c r="K6" i="1"/>
  <c r="L6" i="1"/>
  <c r="M6" i="1" s="1"/>
  <c r="K10" i="1"/>
  <c r="L10" i="1"/>
  <c r="M10" i="1" s="1"/>
  <c r="K4" i="1"/>
  <c r="L4" i="1"/>
  <c r="M4" i="1" s="1"/>
  <c r="K7" i="1"/>
  <c r="L7" i="1"/>
  <c r="M7" i="1" s="1"/>
  <c r="K5" i="1"/>
  <c r="L5" i="1"/>
  <c r="M5" i="1" s="1"/>
  <c r="K3" i="1"/>
  <c r="L3" i="1"/>
  <c r="O3" i="1" s="1"/>
  <c r="O39" i="1" l="1"/>
  <c r="O29" i="1"/>
  <c r="M12" i="1"/>
  <c r="K12" i="1"/>
  <c r="J110" i="1"/>
  <c r="R45" i="1"/>
  <c r="T45" i="1"/>
  <c r="U45" i="1"/>
  <c r="R48" i="1"/>
  <c r="T48" i="1"/>
  <c r="U48" i="1"/>
  <c r="R55" i="1"/>
  <c r="T55" i="1"/>
  <c r="U55" i="1"/>
  <c r="R41" i="1"/>
  <c r="T41" i="1"/>
  <c r="U41" i="1"/>
  <c r="R49" i="1"/>
  <c r="T49" i="1"/>
  <c r="U49" i="1"/>
  <c r="R50" i="1"/>
  <c r="T50" i="1"/>
  <c r="U50" i="1"/>
  <c r="R46" i="1"/>
  <c r="T46" i="1"/>
  <c r="U46" i="1"/>
  <c r="R44" i="1"/>
  <c r="T44" i="1"/>
  <c r="U44" i="1"/>
  <c r="R53" i="1"/>
  <c r="T53" i="1"/>
  <c r="U53" i="1"/>
  <c r="R42" i="1"/>
  <c r="T42" i="1"/>
  <c r="U42" i="1"/>
  <c r="R51" i="1"/>
  <c r="T51" i="1"/>
  <c r="U51" i="1"/>
  <c r="R38" i="1"/>
  <c r="T38" i="1"/>
  <c r="U38" i="1"/>
  <c r="R47" i="1"/>
  <c r="T47" i="1"/>
  <c r="U47" i="1"/>
  <c r="R36" i="1"/>
  <c r="T36" i="1"/>
  <c r="U36" i="1"/>
  <c r="R43" i="1"/>
  <c r="T43" i="1"/>
  <c r="U43" i="1"/>
  <c r="R34" i="1"/>
  <c r="T34" i="1"/>
  <c r="U34" i="1"/>
  <c r="R39" i="1"/>
  <c r="T39" i="1"/>
  <c r="U39" i="1"/>
  <c r="R32" i="1"/>
  <c r="T32" i="1"/>
  <c r="U32" i="1"/>
  <c r="R40" i="1"/>
  <c r="T40" i="1"/>
  <c r="U40" i="1"/>
  <c r="R29" i="1"/>
  <c r="T29" i="1"/>
  <c r="U29" i="1"/>
  <c r="R37" i="1"/>
  <c r="T37" i="1"/>
  <c r="U37" i="1"/>
  <c r="R30" i="1"/>
  <c r="T30" i="1"/>
  <c r="U30" i="1"/>
  <c r="R28" i="1"/>
  <c r="T28" i="1"/>
  <c r="U28" i="1"/>
  <c r="R35" i="1"/>
  <c r="T35" i="1"/>
  <c r="U35" i="1"/>
  <c r="R33" i="1"/>
  <c r="T33" i="1"/>
  <c r="U33" i="1"/>
  <c r="R25" i="1"/>
  <c r="T25" i="1"/>
  <c r="U25" i="1"/>
  <c r="R31" i="1"/>
  <c r="T31" i="1"/>
  <c r="U31" i="1"/>
  <c r="R23" i="1"/>
  <c r="T23" i="1"/>
  <c r="U23" i="1"/>
  <c r="R27" i="1"/>
  <c r="T27" i="1"/>
  <c r="U27" i="1"/>
  <c r="R21" i="1"/>
  <c r="T21" i="1"/>
  <c r="U21" i="1"/>
  <c r="R26" i="1"/>
  <c r="T26" i="1"/>
  <c r="U26" i="1"/>
  <c r="R19" i="1"/>
  <c r="T19" i="1"/>
  <c r="U19" i="1"/>
  <c r="R17" i="1"/>
  <c r="T17" i="1"/>
  <c r="U17" i="1"/>
  <c r="R24" i="1"/>
  <c r="T24" i="1"/>
  <c r="U24" i="1"/>
  <c r="R15" i="1"/>
  <c r="T15" i="1"/>
  <c r="U15" i="1"/>
  <c r="R22" i="1"/>
  <c r="T22" i="1"/>
  <c r="U22" i="1"/>
  <c r="R20" i="1"/>
  <c r="T20" i="1"/>
  <c r="U20" i="1"/>
  <c r="R13" i="1"/>
  <c r="T13" i="1"/>
  <c r="U13" i="1"/>
  <c r="R18" i="1"/>
  <c r="T18" i="1"/>
  <c r="U18" i="1"/>
  <c r="R11" i="1"/>
  <c r="T11" i="1"/>
  <c r="U11" i="1"/>
  <c r="R16" i="1"/>
  <c r="T16" i="1"/>
  <c r="U16" i="1"/>
  <c r="R9" i="1"/>
  <c r="T9" i="1"/>
  <c r="U9" i="1"/>
  <c r="R14" i="1"/>
  <c r="T14" i="1"/>
  <c r="U14" i="1"/>
  <c r="R8" i="1"/>
  <c r="T8" i="1"/>
  <c r="U8" i="1"/>
  <c r="R12" i="1"/>
  <c r="T12" i="1"/>
  <c r="U12" i="1"/>
  <c r="R6" i="1"/>
  <c r="T6" i="1"/>
  <c r="U6" i="1"/>
  <c r="R10" i="1"/>
  <c r="T10" i="1"/>
  <c r="U10" i="1"/>
  <c r="R4" i="1"/>
  <c r="T4" i="1"/>
  <c r="U4" i="1"/>
  <c r="R7" i="1"/>
  <c r="T7" i="1"/>
  <c r="U7" i="1"/>
  <c r="R5" i="1"/>
  <c r="T5" i="1"/>
  <c r="U5" i="1"/>
  <c r="R3" i="1"/>
  <c r="T3" i="1"/>
  <c r="U3" i="1"/>
  <c r="V49" i="1" l="1"/>
  <c r="S49" i="1" s="1"/>
  <c r="V50" i="1"/>
  <c r="S50" i="1" s="1"/>
  <c r="V7" i="1"/>
  <c r="S7" i="1" s="1"/>
  <c r="V16" i="1"/>
  <c r="S16" i="1" s="1"/>
  <c r="V30" i="1"/>
  <c r="S30" i="1" s="1"/>
  <c r="V32" i="1"/>
  <c r="S32" i="1" s="1"/>
  <c r="V42" i="1"/>
  <c r="S42" i="1" s="1"/>
  <c r="V5" i="1"/>
  <c r="S5" i="1" s="1"/>
  <c r="V9" i="1"/>
  <c r="S9" i="1" s="1"/>
  <c r="V24" i="1"/>
  <c r="S24" i="1" s="1"/>
  <c r="V31" i="1"/>
  <c r="S31" i="1" s="1"/>
  <c r="V48" i="1"/>
  <c r="S48" i="1" s="1"/>
  <c r="V22" i="1"/>
  <c r="S22" i="1" s="1"/>
  <c r="V37" i="1"/>
  <c r="S37" i="1" s="1"/>
  <c r="V47" i="1"/>
  <c r="S47" i="1" s="1"/>
  <c r="V20" i="1"/>
  <c r="S20" i="1" s="1"/>
  <c r="V27" i="1"/>
  <c r="S27" i="1" s="1"/>
  <c r="V41" i="1"/>
  <c r="S41" i="1" s="1"/>
  <c r="V55" i="1"/>
  <c r="S55" i="1" s="1"/>
  <c r="V3" i="1"/>
  <c r="S3" i="1" s="1"/>
  <c r="V14" i="1"/>
  <c r="S14" i="1" s="1"/>
  <c r="V36" i="1"/>
  <c r="S36" i="1" s="1"/>
  <c r="V15" i="1"/>
  <c r="S15" i="1" s="1"/>
  <c r="V23" i="1"/>
  <c r="S23" i="1" s="1"/>
  <c r="V12" i="1"/>
  <c r="S12" i="1" s="1"/>
  <c r="V8" i="1"/>
  <c r="S8" i="1" s="1"/>
  <c r="V17" i="1"/>
  <c r="S17" i="1" s="1"/>
  <c r="V25" i="1"/>
  <c r="S25" i="1" s="1"/>
  <c r="V29" i="1"/>
  <c r="S29" i="1" s="1"/>
  <c r="V40" i="1"/>
  <c r="S40" i="1" s="1"/>
  <c r="V38" i="1"/>
  <c r="S38" i="1" s="1"/>
  <c r="V51" i="1"/>
  <c r="S51" i="1" s="1"/>
  <c r="V45" i="1"/>
  <c r="S45" i="1" s="1"/>
  <c r="V4" i="1"/>
  <c r="S4" i="1" s="1"/>
  <c r="V18" i="1"/>
  <c r="S18" i="1" s="1"/>
  <c r="V13" i="1"/>
  <c r="S13" i="1" s="1"/>
  <c r="V19" i="1"/>
  <c r="S19" i="1" s="1"/>
  <c r="V35" i="1"/>
  <c r="S35" i="1" s="1"/>
  <c r="V28" i="1"/>
  <c r="S28" i="1" s="1"/>
  <c r="V39" i="1"/>
  <c r="S39" i="1" s="1"/>
  <c r="V44" i="1"/>
  <c r="S44" i="1" s="1"/>
  <c r="V46" i="1"/>
  <c r="S46" i="1" s="1"/>
  <c r="V10" i="1"/>
  <c r="S10" i="1" s="1"/>
  <c r="V6" i="1"/>
  <c r="S6" i="1" s="1"/>
  <c r="V11" i="1"/>
  <c r="S11" i="1" s="1"/>
  <c r="V26" i="1"/>
  <c r="S26" i="1" s="1"/>
  <c r="V21" i="1"/>
  <c r="S21" i="1" s="1"/>
  <c r="V33" i="1"/>
  <c r="S33" i="1" s="1"/>
  <c r="V34" i="1"/>
  <c r="S34" i="1" s="1"/>
  <c r="V43" i="1"/>
  <c r="S43" i="1" s="1"/>
  <c r="V53" i="1"/>
  <c r="S53" i="1" s="1"/>
  <c r="K100" i="1"/>
  <c r="L100" i="1"/>
  <c r="M100" i="1" s="1"/>
  <c r="J112" i="1" l="1"/>
  <c r="J109" i="1"/>
  <c r="J111" i="1" l="1"/>
  <c r="J108" i="1"/>
  <c r="J113" i="1" s="1"/>
  <c r="R63" i="1"/>
  <c r="R58" i="1"/>
  <c r="R67" i="1"/>
  <c r="R65" i="1"/>
  <c r="R54" i="1"/>
  <c r="R62" i="1"/>
  <c r="R59" i="1"/>
  <c r="R64" i="1"/>
  <c r="R68" i="1"/>
  <c r="R57" i="1"/>
  <c r="R61" i="1"/>
  <c r="R56" i="1"/>
  <c r="R52" i="1"/>
  <c r="R60" i="1"/>
  <c r="R66" i="1"/>
  <c r="L53" i="3"/>
  <c r="L54" i="3" s="1"/>
  <c r="A1" i="1" l="1"/>
  <c r="T63" i="1" l="1"/>
  <c r="U63" i="1"/>
  <c r="T58" i="1"/>
  <c r="U58" i="1"/>
  <c r="T67" i="1"/>
  <c r="U67" i="1"/>
  <c r="T65" i="1"/>
  <c r="U65" i="1"/>
  <c r="T54" i="1"/>
  <c r="U54" i="1"/>
  <c r="T62" i="1"/>
  <c r="U62" i="1"/>
  <c r="T59" i="1"/>
  <c r="U59" i="1"/>
  <c r="T64" i="1"/>
  <c r="U64" i="1"/>
  <c r="T68" i="1"/>
  <c r="U68" i="1"/>
  <c r="T57" i="1"/>
  <c r="U57" i="1"/>
  <c r="T61" i="1"/>
  <c r="U61" i="1"/>
  <c r="T56" i="1"/>
  <c r="U56" i="1"/>
  <c r="T52" i="1"/>
  <c r="U52" i="1"/>
  <c r="T60" i="1"/>
  <c r="U60" i="1"/>
  <c r="T66" i="1"/>
  <c r="U66" i="1"/>
  <c r="V61" i="1" l="1"/>
  <c r="S61" i="1" s="1"/>
  <c r="V66" i="1"/>
  <c r="S66" i="1" s="1"/>
  <c r="V56" i="1"/>
  <c r="S56" i="1" s="1"/>
  <c r="V64" i="1"/>
  <c r="S64" i="1" s="1"/>
  <c r="V59" i="1"/>
  <c r="S59" i="1" s="1"/>
  <c r="V54" i="1"/>
  <c r="S54" i="1" s="1"/>
  <c r="V65" i="1"/>
  <c r="S65" i="1" s="1"/>
  <c r="V57" i="1"/>
  <c r="S57" i="1" s="1"/>
  <c r="V62" i="1"/>
  <c r="S62" i="1" s="1"/>
  <c r="V58" i="1"/>
  <c r="S58" i="1" s="1"/>
  <c r="V67" i="1"/>
  <c r="S67" i="1" s="1"/>
  <c r="V60" i="1"/>
  <c r="S60" i="1" s="1"/>
  <c r="V68" i="1"/>
  <c r="S68" i="1" s="1"/>
  <c r="V63" i="1"/>
  <c r="S63" i="1" s="1"/>
  <c r="V52" i="1"/>
  <c r="S52" i="1" s="1"/>
  <c r="N110" i="1"/>
  <c r="M110" i="1"/>
  <c r="L110" i="1"/>
  <c r="M112" i="1" l="1"/>
  <c r="M109" i="1"/>
  <c r="N112" i="1"/>
  <c r="L112" i="1"/>
  <c r="L109" i="1"/>
  <c r="N109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<sst xmlns="http://schemas.openxmlformats.org/spreadsheetml/2006/main" count="879" uniqueCount="345">
  <si>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</si>
  <si>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</si>
  <si>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</si>
  <si>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</si>
  <si>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</si>
  <si>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</si>
  <si>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</si>
  <si>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</si>
  <si>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204:143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</si>
  <si>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</si>
  <si>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</si>
  <si>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</si>
  <si>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</si>
  <si>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</si>
  <si>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</si>
  <si>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</si>
  <si>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</si>
  <si>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</si>
  <si>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</si>
  <si>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</si>
  <si>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204:233308</t>
  </si>
  <si>
    <t>204:147</t>
  </si>
  <si>
    <t>204:158</t>
  </si>
  <si>
    <t>Total Completed PTC runs (%)</t>
  </si>
  <si>
    <t>204:150</t>
  </si>
  <si>
    <t>Color Legend</t>
  </si>
  <si>
    <t>Trip Start MP</t>
  </si>
  <si>
    <t>Trip End MP</t>
  </si>
  <si>
    <t>Trip Distance</t>
  </si>
  <si>
    <t>Concerning?</t>
  </si>
  <si>
    <t>Comments</t>
  </si>
  <si>
    <t>Operating Date</t>
  </si>
  <si>
    <t>Train Run with multiple inits</t>
  </si>
  <si>
    <t>Train Run where PTC was Cut Out during some or all of the trip</t>
  </si>
  <si>
    <t>Train Run with other issues. See comments for more details</t>
  </si>
  <si>
    <t>Onboard Software Version</t>
  </si>
  <si>
    <t>Training enforcement</t>
  </si>
  <si>
    <t>Possible System Enforcement</t>
  </si>
  <si>
    <t>N</t>
  </si>
  <si>
    <t>Increasing Mileposts (1)</t>
  </si>
  <si>
    <t>Form based authority (4)</t>
  </si>
  <si>
    <t>TRACK WARRANT AUTHORITY</t>
  </si>
  <si>
    <t>Predictive Enforcement (2)</t>
  </si>
  <si>
    <t>Decreasing Mileposts (2)</t>
  </si>
  <si>
    <t>rtdc.l.rtdc.4026:itc</t>
  </si>
  <si>
    <t>rtdc.l.rtdc.4017:itc</t>
  </si>
  <si>
    <t>rtdc.l.rtdc.4044:itc</t>
  </si>
  <si>
    <t>Y</t>
  </si>
  <si>
    <t>Track device (7)</t>
  </si>
  <si>
    <t>Signal based authority (5)</t>
  </si>
  <si>
    <t>SIGNAL</t>
  </si>
  <si>
    <t>Speed (6)</t>
  </si>
  <si>
    <t>PERMANENT SPEED RESTRICTION</t>
  </si>
  <si>
    <t>rtdc.l.rtdc.4039:itc</t>
  </si>
  <si>
    <t>Bulletin (2)</t>
  </si>
  <si>
    <t>GRADE CROSSING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</si>
  <si>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</si>
  <si>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</si>
  <si>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</si>
  <si>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</si>
  <si>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</si>
  <si>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</si>
  <si>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</si>
  <si>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</si>
  <si>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</si>
  <si>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</si>
  <si>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</si>
  <si>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</si>
  <si>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DE.1.0.6.0</t>
  </si>
  <si>
    <t>204:768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</si>
  <si>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</si>
  <si>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</si>
  <si>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</si>
  <si>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</si>
  <si>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</si>
  <si>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</si>
  <si>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</si>
  <si>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SWITCH UNKNOWN</t>
  </si>
  <si>
    <t>rtdc.l.rtdc.4009:itc</t>
  </si>
  <si>
    <t>rtdc.l.rtdc.4042:itc</t>
  </si>
  <si>
    <t>204:232673</t>
  </si>
  <si>
    <t>204:165</t>
  </si>
  <si>
    <t>204:233282</t>
  </si>
  <si>
    <t>Threshold for Pink Highlight (Slow Run) (mins)</t>
  </si>
  <si>
    <t>Married Pair</t>
  </si>
  <si>
    <t>204:743</t>
  </si>
  <si>
    <t>204:697</t>
  </si>
  <si>
    <t>204:232672</t>
  </si>
  <si>
    <t>204:748</t>
  </si>
  <si>
    <t>204:233312</t>
  </si>
  <si>
    <t>204:737</t>
  </si>
  <si>
    <t>Routing @ 61st</t>
  </si>
  <si>
    <t>204:145</t>
  </si>
  <si>
    <t>204:138</t>
  </si>
  <si>
    <t>204:141</t>
  </si>
  <si>
    <t>204:232711</t>
  </si>
  <si>
    <t>204:149</t>
  </si>
  <si>
    <t>204:755</t>
  </si>
  <si>
    <t>204:232687</t>
  </si>
  <si>
    <t>204:233297</t>
  </si>
  <si>
    <t>204:232679</t>
  </si>
  <si>
    <t>204:774</t>
  </si>
  <si>
    <t>204:233306</t>
  </si>
  <si>
    <t>204:233326</t>
  </si>
  <si>
    <t>204:759</t>
  </si>
  <si>
    <t>204:152</t>
  </si>
  <si>
    <t>204:766</t>
  </si>
  <si>
    <t>204:127784</t>
  </si>
  <si>
    <t>204:232670</t>
  </si>
  <si>
    <t>204:752</t>
  </si>
  <si>
    <t>204:232664</t>
  </si>
  <si>
    <t>204:123</t>
  </si>
  <si>
    <t>204:754</t>
  </si>
  <si>
    <t>204:233329</t>
  </si>
  <si>
    <t>204:232690</t>
  </si>
  <si>
    <t>204:233331</t>
  </si>
  <si>
    <t>204:161</t>
  </si>
  <si>
    <t>204:232652</t>
  </si>
  <si>
    <t>204:232644</t>
  </si>
  <si>
    <t>204:721</t>
  </si>
  <si>
    <t>rtdc.l.rtdc.4014:itc</t>
  </si>
  <si>
    <t>rtdc.l.rtdc.4023:itc</t>
  </si>
  <si>
    <t>Eagle P3 Braking Events - 2016-04-23</t>
  </si>
  <si>
    <t>111-23</t>
  </si>
  <si>
    <t>rtdc.l.rtdc.4020:itc</t>
  </si>
  <si>
    <t>113-23</t>
  </si>
  <si>
    <t>114-23</t>
  </si>
  <si>
    <t>rtdc.l.rtdc.4015:itc</t>
  </si>
  <si>
    <t>120-23</t>
  </si>
  <si>
    <t>129-23</t>
  </si>
  <si>
    <t>rtdc.l.rtdc.4011:itc</t>
  </si>
  <si>
    <t>135-23</t>
  </si>
  <si>
    <t>126-23</t>
  </si>
  <si>
    <t>128-23</t>
  </si>
  <si>
    <t>130-23</t>
  </si>
  <si>
    <t>rtdc.l.rtdc.4028:itc</t>
  </si>
  <si>
    <t>136-23</t>
  </si>
  <si>
    <t>149-23</t>
  </si>
  <si>
    <t>144-23</t>
  </si>
  <si>
    <t>148-23</t>
  </si>
  <si>
    <t>157-23</t>
  </si>
  <si>
    <t>159-23</t>
  </si>
  <si>
    <t>158-23</t>
  </si>
  <si>
    <t>169-23</t>
  </si>
  <si>
    <t>156-23</t>
  </si>
  <si>
    <t>162-23</t>
  </si>
  <si>
    <t>rtdc.l.rtdc.4037:itc</t>
  </si>
  <si>
    <t>160-23</t>
  </si>
  <si>
    <t>rtdc.l.rtdc.4029:itc</t>
  </si>
  <si>
    <t>165-23</t>
  </si>
  <si>
    <t>171-23</t>
  </si>
  <si>
    <t>173-23</t>
  </si>
  <si>
    <t>177-23</t>
  </si>
  <si>
    <t>185-23</t>
  </si>
  <si>
    <t>176-23</t>
  </si>
  <si>
    <t>187-23</t>
  </si>
  <si>
    <t>rtdc.l.rtdc.4007:itc</t>
  </si>
  <si>
    <t>189-23</t>
  </si>
  <si>
    <t>184-23</t>
  </si>
  <si>
    <t>186-23</t>
  </si>
  <si>
    <t>199-23</t>
  </si>
  <si>
    <t>190-23</t>
  </si>
  <si>
    <t>192-23</t>
  </si>
  <si>
    <t>196-23</t>
  </si>
  <si>
    <t>202-23</t>
  </si>
  <si>
    <t>217-23</t>
  </si>
  <si>
    <t>223-23</t>
  </si>
  <si>
    <t>229-23</t>
  </si>
  <si>
    <t>EX 11-23</t>
  </si>
  <si>
    <t>Training - Form C</t>
  </si>
  <si>
    <t>Training - Early Arrival</t>
  </si>
  <si>
    <t>Training - Speed Restrictions</t>
  </si>
  <si>
    <t>Routing @ DIA</t>
  </si>
  <si>
    <t>Routing @ 40th</t>
  </si>
  <si>
    <t>Training - crept up to stop aspect</t>
  </si>
  <si>
    <t>Routing @ Pena</t>
  </si>
  <si>
    <t>Premature downgrade at EC1443RH 150-2T 2S</t>
  </si>
  <si>
    <t>Premature downgrade at EC1497RH 143-1T 1N</t>
  </si>
  <si>
    <t>Training - Track Warrant at DUS/DIA</t>
  </si>
  <si>
    <t>228-23</t>
  </si>
  <si>
    <t>204:232677</t>
  </si>
  <si>
    <t>204:128332</t>
  </si>
  <si>
    <t>226-23</t>
  </si>
  <si>
    <t>204:232717</t>
  </si>
  <si>
    <t>204:712</t>
  </si>
  <si>
    <t>204:233270</t>
  </si>
  <si>
    <t>224-23</t>
  </si>
  <si>
    <t>204:232790</t>
  </si>
  <si>
    <t>204:761</t>
  </si>
  <si>
    <t>204:107456</t>
  </si>
  <si>
    <t>222-23</t>
  </si>
  <si>
    <t>227-23</t>
  </si>
  <si>
    <t>204:730</t>
  </si>
  <si>
    <t>204:233347</t>
  </si>
  <si>
    <t>EX5-23</t>
  </si>
  <si>
    <t>204:232709</t>
  </si>
  <si>
    <t>204:81</t>
  </si>
  <si>
    <t>220-23</t>
  </si>
  <si>
    <t>204:233320</t>
  </si>
  <si>
    <t>218-23</t>
  </si>
  <si>
    <t>204:232669</t>
  </si>
  <si>
    <t>204:757</t>
  </si>
  <si>
    <t>204:233349</t>
  </si>
  <si>
    <t>216-23</t>
  </si>
  <si>
    <t>221-23</t>
  </si>
  <si>
    <t>204:746</t>
  </si>
  <si>
    <t>204:233314</t>
  </si>
  <si>
    <t>212-23</t>
  </si>
  <si>
    <t>204:232668</t>
  </si>
  <si>
    <t>219-23</t>
  </si>
  <si>
    <t>204:708</t>
  </si>
  <si>
    <t>204-23</t>
  </si>
  <si>
    <t>204:160</t>
  </si>
  <si>
    <t>213-23</t>
  </si>
  <si>
    <t>204:233302</t>
  </si>
  <si>
    <t>200-23</t>
  </si>
  <si>
    <t>204:139</t>
  </si>
  <si>
    <t>198-23</t>
  </si>
  <si>
    <t>204:735</t>
  </si>
  <si>
    <t>205-23</t>
  </si>
  <si>
    <t>204:775</t>
  </si>
  <si>
    <t>204:233334</t>
  </si>
  <si>
    <t>203-23</t>
  </si>
  <si>
    <t>204:744</t>
  </si>
  <si>
    <t>204:232713</t>
  </si>
  <si>
    <t>204:109</t>
  </si>
  <si>
    <t>201-23</t>
  </si>
  <si>
    <t>204:233310</t>
  </si>
  <si>
    <t>204:232732</t>
  </si>
  <si>
    <t>188-23</t>
  </si>
  <si>
    <t>204:232660</t>
  </si>
  <si>
    <t>204:127</t>
  </si>
  <si>
    <t>197-23</t>
  </si>
  <si>
    <t>204:675</t>
  </si>
  <si>
    <t>204:233357</t>
  </si>
  <si>
    <t>193-23</t>
  </si>
  <si>
    <t>204:688</t>
  </si>
  <si>
    <t>204:233370</t>
  </si>
  <si>
    <t>191-23</t>
  </si>
  <si>
    <t>204:233291</t>
  </si>
  <si>
    <t>204:232658</t>
  </si>
  <si>
    <t>204:183</t>
  </si>
  <si>
    <t>182-23</t>
  </si>
  <si>
    <t>204:232641</t>
  </si>
  <si>
    <t>204:63</t>
  </si>
  <si>
    <t>204:2517</t>
  </si>
  <si>
    <t>204:233293</t>
  </si>
  <si>
    <t>178-23</t>
  </si>
  <si>
    <t>204:232742</t>
  </si>
  <si>
    <t>174-23</t>
  </si>
  <si>
    <t>204:153930</t>
  </si>
  <si>
    <t>204:232770</t>
  </si>
  <si>
    <t>204:1025</t>
  </si>
  <si>
    <t>172-23</t>
  </si>
  <si>
    <t>204:136</t>
  </si>
  <si>
    <t>183-23</t>
  </si>
  <si>
    <t>204:701</t>
  </si>
  <si>
    <t>204:233286</t>
  </si>
  <si>
    <t>179-23</t>
  </si>
  <si>
    <t>204:233397</t>
  </si>
  <si>
    <t>204:128337</t>
  </si>
  <si>
    <t>204:233332</t>
  </si>
  <si>
    <t>175-23</t>
  </si>
  <si>
    <t>204:233318</t>
  </si>
  <si>
    <t>170-23</t>
  </si>
  <si>
    <t>168-23</t>
  </si>
  <si>
    <t>204:61</t>
  </si>
  <si>
    <t>204:724</t>
  </si>
  <si>
    <t>204:106498</t>
  </si>
  <si>
    <t>204:132</t>
  </si>
  <si>
    <t>164-23</t>
  </si>
  <si>
    <t>204:232630</t>
  </si>
  <si>
    <t>204:127794</t>
  </si>
  <si>
    <t>204:158236</t>
  </si>
  <si>
    <t>204:233261</t>
  </si>
  <si>
    <t>204:128335</t>
  </si>
  <si>
    <t>204:132860</t>
  </si>
  <si>
    <t>204:232698</t>
  </si>
  <si>
    <t>204:146489</t>
  </si>
  <si>
    <t>204:118</t>
  </si>
  <si>
    <t>204:19193</t>
  </si>
  <si>
    <t>204:192266</t>
  </si>
  <si>
    <t>204:120619</t>
  </si>
  <si>
    <t>204:232656</t>
  </si>
  <si>
    <t>204:1082</t>
  </si>
  <si>
    <t>163-23</t>
  </si>
  <si>
    <t>204:233341</t>
  </si>
  <si>
    <t>154-23</t>
  </si>
  <si>
    <t>150-23</t>
  </si>
  <si>
    <t>204:134</t>
  </si>
  <si>
    <t>204:19195</t>
  </si>
  <si>
    <t>204:233283</t>
  </si>
  <si>
    <t>204:232479</t>
  </si>
  <si>
    <t>146-23</t>
  </si>
  <si>
    <t>204:153911</t>
  </si>
  <si>
    <t>155-23</t>
  </si>
  <si>
    <t>204:233311</t>
  </si>
  <si>
    <t>204:232370</t>
  </si>
  <si>
    <t>151-23</t>
  </si>
  <si>
    <t>204:215659</t>
  </si>
  <si>
    <t>204:233119</t>
  </si>
  <si>
    <t>140-23</t>
  </si>
  <si>
    <t>147-23</t>
  </si>
  <si>
    <t>204:36714</t>
  </si>
  <si>
    <t>134-23</t>
  </si>
  <si>
    <t>204:232078</t>
  </si>
  <si>
    <t>143-23</t>
  </si>
  <si>
    <t>141-23</t>
  </si>
  <si>
    <t>132-23</t>
  </si>
  <si>
    <t>137-23</t>
  </si>
  <si>
    <t>204:715</t>
  </si>
  <si>
    <t>204:233305</t>
  </si>
  <si>
    <t>133-23</t>
  </si>
  <si>
    <t>204:233317</t>
  </si>
  <si>
    <t>131-23</t>
  </si>
  <si>
    <t>204:233324</t>
  </si>
  <si>
    <t>204:231941</t>
  </si>
  <si>
    <t>118-23</t>
  </si>
  <si>
    <t>127-23</t>
  </si>
  <si>
    <t>204:233304</t>
  </si>
  <si>
    <t>116-23</t>
  </si>
  <si>
    <t>204:232685</t>
  </si>
  <si>
    <t>123-23</t>
  </si>
  <si>
    <t>204:1481</t>
  </si>
  <si>
    <t>204:232681</t>
  </si>
  <si>
    <t>119-23</t>
  </si>
  <si>
    <t>204:233285</t>
  </si>
  <si>
    <t>112-23</t>
  </si>
  <si>
    <t>115-23</t>
  </si>
  <si>
    <t>204:765</t>
  </si>
  <si>
    <t>204:189442</t>
  </si>
  <si>
    <t>Routing @ 78th</t>
  </si>
  <si>
    <t>Routing at 40th</t>
  </si>
  <si>
    <t>Double paired with 31/32, Wi-MAX issues resulted</t>
  </si>
  <si>
    <t>Onboard - Comparator Issue</t>
  </si>
  <si>
    <t>Onboard - Comparator Issue caused TMC to fail</t>
  </si>
  <si>
    <t>Onboard - GPS issues at DUS</t>
  </si>
  <si>
    <t>Onboard - GPS Issues</t>
  </si>
  <si>
    <t>Premature downgrade from 270 to 0 at ML1443</t>
  </si>
  <si>
    <t>Double paired with 25/26, Wi-MAX issues resulted</t>
  </si>
  <si>
    <t>Hard to say what happened here… logs don't say much, was this train used as a rescue train?</t>
  </si>
  <si>
    <t>Routing at Chambers</t>
  </si>
  <si>
    <t>Wi-MAX outage from double married pair</t>
  </si>
  <si>
    <t>Training - legitimate stop aspect from ML</t>
  </si>
  <si>
    <t>Legitimate stop aspect at ML, driver was warned for &gt; 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</si>
</sst>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4" borderId="5" xfId="0" applyFill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/>
    <xf numFmtId="1" fontId="0" fillId="0" borderId="10" xfId="0" applyNumberFormat="1" applyFill="1" applyBorder="1"/>
    <xf numFmtId="0" fontId="0" fillId="0" borderId="1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" fontId="0" fillId="0" borderId="15" xfId="0" applyNumberFormat="1" applyFill="1" applyBorder="1" applyAlignment="1">
      <alignment horizontal="left"/>
    </xf>
    <xf numFmtId="0" fontId="0" fillId="2" borderId="5" xfId="0" applyFill="1" applyBorder="1"/>
    <xf numFmtId="0" fontId="0" fillId="3" borderId="5" xfId="0" applyFill="1" applyBorder="1"/>
    <xf numFmtId="0" fontId="1" fillId="0" borderId="5" xfId="0" applyFont="1" applyBorder="1"/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20" fontId="1" fillId="0" borderId="12" xfId="0" applyNumberFormat="1" applyFont="1" applyFill="1" applyBorder="1" applyAlignment="1">
      <alignment horizontal="left" vertical="center" wrapText="1"/>
    </xf>
    <xf numFmtId="1" fontId="1" fillId="0" borderId="12" xfId="0" applyNumberFormat="1" applyFont="1" applyBorder="1" applyAlignment="1">
      <alignment horizontal="left" vertical="center" wrapText="1"/>
    </xf>
    <xf numFmtId="1" fontId="1" fillId="0" borderId="13" xfId="0" applyNumberFormat="1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167" fontId="0" fillId="0" borderId="0" xfId="0" applyNumberFormat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2" borderId="18" xfId="0" applyFill="1" applyBorder="1"/>
    <xf numFmtId="0" fontId="0" fillId="2" borderId="19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/>
    </xf>
    <xf numFmtId="0" fontId="4" fillId="0" borderId="16" xfId="0" applyFont="1" applyBorder="1" applyAlignment="1">
      <alignment horizontal="center" wrapText="1"/>
    </xf>
    <xf numFmtId="166" fontId="5" fillId="0" borderId="17" xfId="0" applyNumberFormat="1" applyFont="1" applyBorder="1" applyAlignment="1">
      <alignment horizontal="center" vertical="center" wrapText="1"/>
    </xf>
    <xf numFmtId="167" fontId="1" fillId="0" borderId="12" xfId="0" applyNumberFormat="1" applyFont="1" applyBorder="1" applyAlignment="1">
      <alignment horizontal="left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vertical="center"/>
    </xf>
    <xf numFmtId="2" fontId="1" fillId="0" borderId="12" xfId="0" applyNumberFormat="1" applyFont="1" applyBorder="1" applyAlignment="1">
      <alignment horizontal="left" vertical="center" wrapText="1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 applyBorder="1" applyAlignment="1">
      <alignment horizontal="center" wrapText="1"/>
    </xf>
    <xf numFmtId="0" fontId="0" fillId="0" borderId="21" xfId="0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167" fontId="0" fillId="0" borderId="22" xfId="0" applyNumberFormat="1" applyFill="1" applyBorder="1" applyAlignment="1">
      <alignment horizontal="left"/>
    </xf>
    <xf numFmtId="2" fontId="0" fillId="0" borderId="22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left"/>
    </xf>
    <xf numFmtId="1" fontId="0" fillId="0" borderId="22" xfId="0" applyNumberFormat="1" applyFill="1" applyBorder="1" applyAlignment="1">
      <alignment horizontal="left"/>
    </xf>
    <xf numFmtId="166" fontId="0" fillId="0" borderId="23" xfId="0" applyNumberFormat="1" applyBorder="1" applyAlignment="1">
      <alignment horizontal="center" wrapText="1"/>
    </xf>
    <xf numFmtId="166" fontId="0" fillId="0" borderId="24" xfId="0" applyNumberForma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3"/>
  <sheetViews>
    <sheetView showGridLines="0" zoomScale="90" zoomScaleNormal="90" workbookViewId="0">
      <selection activeCell="P3" sqref="P3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32" customWidth="1"/>
    <col min="6" max="6" width="20.140625" style="32" customWidth="1"/>
    <col min="7" max="7" width="18.42578125" style="64" hidden="1" customWidth="1"/>
    <col min="8" max="8" width="3.140625" style="32" hidden="1" customWidth="1"/>
    <col min="9" max="9" width="19.7109375" style="32" customWidth="1"/>
    <col min="10" max="10" width="8.7109375" customWidth="1"/>
    <col min="11" max="11" width="10" bestFit="1" customWidth="1"/>
    <col min="12" max="12" width="9.5703125" style="1" customWidth="1"/>
    <col min="13" max="13" width="8.85546875" style="4" customWidth="1"/>
    <col min="14" max="14" width="9.140625" style="4"/>
    <col min="15" max="15" width="6" style="4" customWidth="1"/>
    <col min="16" max="16" width="29.28515625" customWidth="1"/>
    <col min="17" max="17" width="4.28515625" customWidth="1"/>
    <col min="18" max="18" width="6.7109375" customWidth="1"/>
    <col min="19" max="19" width="10.140625" customWidth="1"/>
    <col min="23" max="23" width="9.140625" style="46"/>
    <col min="24" max="24" width="17.85546875" style="46" customWidth="1"/>
    <col min="26" max="26" width="12.42578125" customWidth="1"/>
    <col min="27" max="27" width="58.85546875" customWidth="1"/>
    <col min="28" max="28" width="15.85546875" customWidth="1"/>
  </cols>
  <sheetData>
    <row r="1" spans="1:89" ht="57.75" customHeight="1" thickBot="1" x14ac:dyDescent="0.35">
      <c r="A1" s="79" t="str">
        <f>"Eagle P3 System Performance - "&amp;TEXT(Z2,"yyyy-mm-dd")</f>
        <v>Eagle P3 System Performance - 2016-04-23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Z1" s="50" t="s">
        <v>31</v>
      </c>
      <c r="AB1" s="59" t="s">
        <v>83</v>
      </c>
    </row>
    <row r="2" spans="1:89" s="12" customFormat="1" ht="69" customHeight="1" thickBot="1" x14ac:dyDescent="0.3">
      <c r="A2" s="26" t="s">
        <v>0</v>
      </c>
      <c r="B2" s="27" t="s">
        <v>75</v>
      </c>
      <c r="C2" s="27" t="s">
        <v>35</v>
      </c>
      <c r="D2" s="27" t="s">
        <v>1</v>
      </c>
      <c r="E2" s="52" t="s">
        <v>2</v>
      </c>
      <c r="F2" s="52" t="s">
        <v>3</v>
      </c>
      <c r="G2" s="61" t="s">
        <v>4</v>
      </c>
      <c r="H2" s="52" t="s">
        <v>5</v>
      </c>
      <c r="I2" s="52" t="s">
        <v>6</v>
      </c>
      <c r="J2" s="27" t="s">
        <v>7</v>
      </c>
      <c r="K2" s="27" t="s">
        <v>84</v>
      </c>
      <c r="L2" s="28" t="s">
        <v>9</v>
      </c>
      <c r="M2" s="27" t="s">
        <v>72</v>
      </c>
      <c r="N2" s="29" t="s">
        <v>73</v>
      </c>
      <c r="O2" s="30" t="s">
        <v>19</v>
      </c>
      <c r="P2" s="31" t="s">
        <v>30</v>
      </c>
      <c r="Q2" s="11"/>
      <c r="R2" s="15" t="s">
        <v>76</v>
      </c>
      <c r="S2" s="15" t="s">
        <v>29</v>
      </c>
      <c r="T2" s="15" t="s">
        <v>26</v>
      </c>
      <c r="U2" s="15" t="s">
        <v>27</v>
      </c>
      <c r="V2" s="15" t="s">
        <v>28</v>
      </c>
      <c r="W2" s="48" t="s">
        <v>70</v>
      </c>
      <c r="X2" s="48" t="s">
        <v>71</v>
      </c>
      <c r="Y2" s="11"/>
      <c r="Z2" s="51">
        <v>42483</v>
      </c>
      <c r="AA2" s="11"/>
      <c r="AB2" s="60">
        <v>50</v>
      </c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</row>
    <row r="3" spans="1:89" s="2" customFormat="1" x14ac:dyDescent="0.25">
      <c r="A3" s="18" t="s">
        <v>123</v>
      </c>
      <c r="B3" s="19">
        <v>4014</v>
      </c>
      <c r="C3" s="19" t="s">
        <v>68</v>
      </c>
      <c r="D3" s="19" t="s">
        <v>109</v>
      </c>
      <c r="E3" s="53">
        <v>42483.200925925928</v>
      </c>
      <c r="F3" s="53">
        <v>42483.204074074078</v>
      </c>
      <c r="G3" s="62">
        <v>4</v>
      </c>
      <c r="H3" s="53" t="s">
        <v>330</v>
      </c>
      <c r="I3" s="53">
        <v>42483.23809027778</v>
      </c>
      <c r="J3" s="19">
        <v>3</v>
      </c>
      <c r="K3" s="19" t="str">
        <f t="shared" ref="K3:K11" si="0">IF(ISEVEN(B3),(B3-1)&amp;"/"&amp;B3,B3&amp;"/"&amp;(B3+1))</f>
        <v>4013/4014</v>
      </c>
      <c r="L3" s="20">
        <f t="shared" ref="L3:L34" si="1">I3-F3</f>
        <v>3.4016203702776693E-2</v>
      </c>
      <c r="M3" s="21"/>
      <c r="N3" s="21"/>
      <c r="O3" s="21">
        <f>$L3*24*60</f>
        <v>48.983333331998438</v>
      </c>
      <c r="P3" s="17" t="s">
        <v>333</v>
      </c>
      <c r="R3" s="16" t="str">
        <f t="shared" ref="R3:R3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https://search-rtdc-monitor-bjffxe2xuh6vdkpspy63sjmuny.us-east-1.es.amazonaws.com/_plugin/kibana/#/discover/Steve-Slow-Train-Analysis-(2080s-and-2083s)?_g=(refreshInterval:(display:Off,section:0,value:0),time:(from:'2016-04-23 04:48:20-0600',mode:absolute,to:'2016-04-23 05:43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S3" s="16" t="str">
        <f t="shared" ref="S3:S34" si="3">IF(V3&lt;23,"Y","N")</f>
        <v>Y</v>
      </c>
      <c r="T3" s="16">
        <f t="shared" ref="T3:T34" si="4">RIGHT(D3,LEN(D3)-4)/10000</f>
        <v>7.5200000000000003E-2</v>
      </c>
      <c r="U3" s="16">
        <f t="shared" ref="U3:U34" si="5">RIGHT(H3,LEN(H3)-4)/10000</f>
        <v>18.944199999999999</v>
      </c>
      <c r="V3" s="16">
        <f t="shared" ref="V3:V34" si="6">ABS(U3-T3)</f>
        <v>18.869</v>
      </c>
      <c r="W3" s="49">
        <f>VLOOKUP(A3,Enforcements!$C$3:$J$24,8,0)</f>
        <v>64006</v>
      </c>
      <c r="X3" s="49" t="str">
        <f>VLOOKUP(A3,Enforcements!$C$3:$J$24,3,0)</f>
        <v>GRADE CROSSING</v>
      </c>
    </row>
    <row r="4" spans="1:89" s="2" customFormat="1" x14ac:dyDescent="0.25">
      <c r="A4" s="18" t="s">
        <v>327</v>
      </c>
      <c r="B4" s="19">
        <v>4026</v>
      </c>
      <c r="C4" s="19" t="s">
        <v>68</v>
      </c>
      <c r="D4" s="19" t="s">
        <v>118</v>
      </c>
      <c r="E4" s="53">
        <v>42483.25277777778</v>
      </c>
      <c r="F4" s="53">
        <v>42483.253819444442</v>
      </c>
      <c r="G4" s="62">
        <v>1</v>
      </c>
      <c r="H4" s="53" t="s">
        <v>92</v>
      </c>
      <c r="I4" s="53">
        <v>42483.284560185188</v>
      </c>
      <c r="J4" s="19">
        <v>0</v>
      </c>
      <c r="K4" s="19" t="str">
        <f t="shared" si="0"/>
        <v>4025/4026</v>
      </c>
      <c r="L4" s="20">
        <f t="shared" si="1"/>
        <v>3.0740740745386574E-2</v>
      </c>
      <c r="M4" s="21">
        <f t="shared" ref="M4:M20" si="7">$L4*24*60</f>
        <v>44.266666673356667</v>
      </c>
      <c r="N4" s="21"/>
      <c r="O4" s="22"/>
      <c r="P4" s="17"/>
      <c r="R4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06:03:00-0600',mode:absolute,to:'2016-04-23 06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4" s="16" t="str">
        <f t="shared" si="3"/>
        <v>N</v>
      </c>
      <c r="T4" s="16">
        <f t="shared" si="4"/>
        <v>23.264399999999998</v>
      </c>
      <c r="U4" s="16">
        <f t="shared" si="5"/>
        <v>1.4500000000000001E-2</v>
      </c>
      <c r="V4" s="16">
        <f t="shared" si="6"/>
        <v>23.249899999999997</v>
      </c>
      <c r="W4" s="49" t="e">
        <f>VLOOKUP(A4,Enforcements!$C$3:$J$24,8,0)</f>
        <v>#N/A</v>
      </c>
      <c r="X4" s="49" t="e">
        <f>VLOOKUP(A4,Enforcements!$C$3:$J$24,3,0)</f>
        <v>#N/A</v>
      </c>
    </row>
    <row r="5" spans="1:89" s="2" customFormat="1" x14ac:dyDescent="0.25">
      <c r="A5" s="18" t="s">
        <v>125</v>
      </c>
      <c r="B5" s="19">
        <v>4020</v>
      </c>
      <c r="C5" s="19" t="s">
        <v>68</v>
      </c>
      <c r="D5" s="19" t="s">
        <v>329</v>
      </c>
      <c r="E5" s="53">
        <v>42483.210416666669</v>
      </c>
      <c r="F5" s="53">
        <v>42483.211400462962</v>
      </c>
      <c r="G5" s="62">
        <v>1</v>
      </c>
      <c r="H5" s="53" t="s">
        <v>296</v>
      </c>
      <c r="I5" s="53">
        <v>42483.24790509259</v>
      </c>
      <c r="J5" s="19">
        <v>1</v>
      </c>
      <c r="K5" s="19" t="str">
        <f t="shared" si="0"/>
        <v>4019/4020</v>
      </c>
      <c r="L5" s="20">
        <f t="shared" si="1"/>
        <v>3.6504629628325347E-2</v>
      </c>
      <c r="M5" s="21">
        <f t="shared" si="7"/>
        <v>52.566666664788499</v>
      </c>
      <c r="N5" s="21"/>
      <c r="O5" s="22"/>
      <c r="P5" s="17"/>
      <c r="R5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05:02:00-0600',mode:absolute,to:'2016-04-23 05:57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5" s="16" t="str">
        <f t="shared" si="3"/>
        <v>N</v>
      </c>
      <c r="T5" s="16">
        <f t="shared" si="4"/>
        <v>7.6499999999999999E-2</v>
      </c>
      <c r="U5" s="16">
        <f t="shared" si="5"/>
        <v>23.331099999999999</v>
      </c>
      <c r="V5" s="16">
        <f t="shared" si="6"/>
        <v>23.2546</v>
      </c>
      <c r="W5" s="49">
        <f>VLOOKUP(A5,Enforcements!$C$3:$J$24,8,0)</f>
        <v>224231</v>
      </c>
      <c r="X5" s="49" t="str">
        <f>VLOOKUP(A5,Enforcements!$C$3:$J$24,3,0)</f>
        <v>SIGNAL</v>
      </c>
    </row>
    <row r="6" spans="1:89" s="2" customFormat="1" x14ac:dyDescent="0.25">
      <c r="A6" s="18" t="s">
        <v>126</v>
      </c>
      <c r="B6" s="19">
        <v>4017</v>
      </c>
      <c r="C6" s="19" t="s">
        <v>68</v>
      </c>
      <c r="D6" s="19" t="s">
        <v>324</v>
      </c>
      <c r="E6" s="53">
        <v>42483.265138888892</v>
      </c>
      <c r="F6" s="53">
        <v>42483.266226851854</v>
      </c>
      <c r="G6" s="62">
        <v>1</v>
      </c>
      <c r="H6" s="53" t="s">
        <v>212</v>
      </c>
      <c r="I6" s="53">
        <v>42483.296203703707</v>
      </c>
      <c r="J6" s="19">
        <v>1</v>
      </c>
      <c r="K6" s="19" t="str">
        <f t="shared" si="0"/>
        <v>4017/4018</v>
      </c>
      <c r="L6" s="20">
        <f t="shared" si="1"/>
        <v>2.99768518525525E-2</v>
      </c>
      <c r="M6" s="21">
        <f t="shared" si="7"/>
        <v>43.166666667675599</v>
      </c>
      <c r="N6" s="21"/>
      <c r="O6" s="22"/>
      <c r="P6" s="17"/>
      <c r="R6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06:20:48-0600',mode:absolute,to:'2016-04-23 07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6" s="16" t="str">
        <f t="shared" si="3"/>
        <v>N</v>
      </c>
      <c r="T6" s="16">
        <f t="shared" si="4"/>
        <v>23.2681</v>
      </c>
      <c r="U6" s="16">
        <f t="shared" si="5"/>
        <v>1.6E-2</v>
      </c>
      <c r="V6" s="16">
        <f t="shared" si="6"/>
        <v>23.252100000000002</v>
      </c>
      <c r="W6" s="49">
        <f>VLOOKUP(A6,Enforcements!$C$3:$J$24,8,0)</f>
        <v>127587</v>
      </c>
      <c r="X6" s="49" t="str">
        <f>VLOOKUP(A6,Enforcements!$C$3:$J$24,3,0)</f>
        <v>SIGNAL</v>
      </c>
    </row>
    <row r="7" spans="1:89" s="2" customFormat="1" x14ac:dyDescent="0.25">
      <c r="A7" s="18" t="s">
        <v>328</v>
      </c>
      <c r="B7" s="19">
        <v>4009</v>
      </c>
      <c r="C7" s="19" t="s">
        <v>68</v>
      </c>
      <c r="D7" s="19" t="s">
        <v>69</v>
      </c>
      <c r="E7" s="53">
        <v>42483.227407407408</v>
      </c>
      <c r="F7" s="53">
        <v>42483.228506944448</v>
      </c>
      <c r="G7" s="62">
        <v>1</v>
      </c>
      <c r="H7" s="53" t="s">
        <v>313</v>
      </c>
      <c r="I7" s="53">
        <v>42483.255254629628</v>
      </c>
      <c r="J7" s="19">
        <v>0</v>
      </c>
      <c r="K7" s="19" t="str">
        <f t="shared" si="0"/>
        <v>4009/4010</v>
      </c>
      <c r="L7" s="20">
        <f t="shared" si="1"/>
        <v>2.6747685180453118E-2</v>
      </c>
      <c r="M7" s="21">
        <f t="shared" si="7"/>
        <v>38.51666665985249</v>
      </c>
      <c r="N7" s="21"/>
      <c r="O7" s="22"/>
      <c r="P7" s="17"/>
      <c r="R7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05:26:28-0600',mode:absolute,to:'2016-04-23 06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7" s="16" t="str">
        <f t="shared" si="3"/>
        <v>N</v>
      </c>
      <c r="T7" s="16">
        <f t="shared" si="4"/>
        <v>7.6799999999999993E-2</v>
      </c>
      <c r="U7" s="16">
        <f t="shared" si="5"/>
        <v>23.331700000000001</v>
      </c>
      <c r="V7" s="16">
        <f t="shared" si="6"/>
        <v>23.254900000000003</v>
      </c>
      <c r="W7" s="49" t="e">
        <f>VLOOKUP(A7,Enforcements!$C$3:$J$24,8,0)</f>
        <v>#N/A</v>
      </c>
      <c r="X7" s="49" t="e">
        <f>VLOOKUP(A7,Enforcements!$C$3:$J$24,3,0)</f>
        <v>#N/A</v>
      </c>
    </row>
    <row r="8" spans="1:89" s="2" customFormat="1" x14ac:dyDescent="0.25">
      <c r="A8" s="18" t="s">
        <v>320</v>
      </c>
      <c r="B8" s="19">
        <v>4039</v>
      </c>
      <c r="C8" s="19" t="s">
        <v>68</v>
      </c>
      <c r="D8" s="19" t="s">
        <v>321</v>
      </c>
      <c r="E8" s="53">
        <v>42483.278645833336</v>
      </c>
      <c r="F8" s="53">
        <v>42483.279560185183</v>
      </c>
      <c r="G8" s="62">
        <v>1</v>
      </c>
      <c r="H8" s="53" t="s">
        <v>96</v>
      </c>
      <c r="I8" s="53">
        <v>42483.308425925927</v>
      </c>
      <c r="J8" s="19">
        <v>0</v>
      </c>
      <c r="K8" s="19" t="str">
        <f t="shared" si="0"/>
        <v>4039/4040</v>
      </c>
      <c r="L8" s="20">
        <f t="shared" si="1"/>
        <v>2.8865740743640345E-2</v>
      </c>
      <c r="M8" s="21">
        <f t="shared" si="7"/>
        <v>41.566666670842096</v>
      </c>
      <c r="N8" s="21"/>
      <c r="O8" s="22"/>
      <c r="P8" s="17"/>
      <c r="R8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06:40:15-0600',mode:absolute,to:'2016-04-23 07:25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8" s="16" t="str">
        <f t="shared" si="3"/>
        <v>N</v>
      </c>
      <c r="T8" s="16">
        <f t="shared" si="4"/>
        <v>23.2685</v>
      </c>
      <c r="U8" s="16">
        <f t="shared" si="5"/>
        <v>1.49E-2</v>
      </c>
      <c r="V8" s="16">
        <f t="shared" si="6"/>
        <v>23.253599999999999</v>
      </c>
      <c r="W8" s="49" t="e">
        <f>VLOOKUP(A8,Enforcements!$C$3:$J$24,8,0)</f>
        <v>#N/A</v>
      </c>
      <c r="X8" s="49" t="e">
        <f>VLOOKUP(A8,Enforcements!$C$3:$J$24,3,0)</f>
        <v>#N/A</v>
      </c>
    </row>
    <row r="9" spans="1:89" s="2" customFormat="1" x14ac:dyDescent="0.25">
      <c r="A9" s="18" t="s">
        <v>317</v>
      </c>
      <c r="B9" s="19">
        <v>4037</v>
      </c>
      <c r="C9" s="19" t="s">
        <v>68</v>
      </c>
      <c r="D9" s="19" t="s">
        <v>240</v>
      </c>
      <c r="E9" s="53">
        <v>42483.291574074072</v>
      </c>
      <c r="F9" s="53">
        <v>42483.293414351851</v>
      </c>
      <c r="G9" s="62">
        <v>2</v>
      </c>
      <c r="H9" s="53" t="s">
        <v>92</v>
      </c>
      <c r="I9" s="53">
        <v>42483.320717592593</v>
      </c>
      <c r="J9" s="19">
        <v>0</v>
      </c>
      <c r="K9" s="19" t="str">
        <f t="shared" si="0"/>
        <v>4037/4038</v>
      </c>
      <c r="L9" s="20">
        <f t="shared" si="1"/>
        <v>2.7303240742185153E-2</v>
      </c>
      <c r="M9" s="21">
        <f t="shared" si="7"/>
        <v>39.31666666874662</v>
      </c>
      <c r="N9" s="21"/>
      <c r="O9" s="22"/>
      <c r="P9" s="17"/>
      <c r="R9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06:58:52-0600',mode:absolute,to:'2016-04-23 07:42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S9" s="16" t="str">
        <f t="shared" si="3"/>
        <v>N</v>
      </c>
      <c r="T9" s="16">
        <f t="shared" si="4"/>
        <v>23.265799999999999</v>
      </c>
      <c r="U9" s="16">
        <f t="shared" si="5"/>
        <v>1.4500000000000001E-2</v>
      </c>
      <c r="V9" s="16">
        <f t="shared" si="6"/>
        <v>23.251299999999997</v>
      </c>
      <c r="W9" s="49" t="e">
        <f>VLOOKUP(A9,Enforcements!$C$3:$J$24,8,0)</f>
        <v>#N/A</v>
      </c>
      <c r="X9" s="49" t="e">
        <f>VLOOKUP(A9,Enforcements!$C$3:$J$24,3,0)</f>
        <v>#N/A</v>
      </c>
    </row>
    <row r="10" spans="1:89" s="2" customFormat="1" x14ac:dyDescent="0.25">
      <c r="A10" s="18" t="s">
        <v>325</v>
      </c>
      <c r="B10" s="19">
        <v>4007</v>
      </c>
      <c r="C10" s="19" t="s">
        <v>68</v>
      </c>
      <c r="D10" s="19" t="s">
        <v>119</v>
      </c>
      <c r="E10" s="53">
        <v>42483.257048611114</v>
      </c>
      <c r="F10" s="53">
        <v>42483.258344907408</v>
      </c>
      <c r="G10" s="62">
        <v>1</v>
      </c>
      <c r="H10" s="53" t="s">
        <v>326</v>
      </c>
      <c r="I10" s="53">
        <v>42483.288391203707</v>
      </c>
      <c r="J10" s="19">
        <v>0</v>
      </c>
      <c r="K10" s="19" t="str">
        <f t="shared" si="0"/>
        <v>4007/4008</v>
      </c>
      <c r="L10" s="20">
        <f t="shared" si="1"/>
        <v>3.0046296298678499E-2</v>
      </c>
      <c r="M10" s="21">
        <f t="shared" si="7"/>
        <v>43.266666670097038</v>
      </c>
      <c r="N10" s="21"/>
      <c r="O10" s="22"/>
      <c r="P10" s="17"/>
      <c r="R10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06:09:09-0600',mode:absolute,to:'2016-04-23 06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S10" s="16" t="str">
        <f t="shared" si="3"/>
        <v>N</v>
      </c>
      <c r="T10" s="16">
        <f t="shared" si="4"/>
        <v>7.2099999999999997E-2</v>
      </c>
      <c r="U10" s="16">
        <f t="shared" si="5"/>
        <v>23.328499999999998</v>
      </c>
      <c r="V10" s="16">
        <f t="shared" si="6"/>
        <v>23.256399999999999</v>
      </c>
      <c r="W10" s="49" t="e">
        <f>VLOOKUP(A10,Enforcements!$C$3:$J$24,8,0)</f>
        <v>#N/A</v>
      </c>
      <c r="X10" s="49" t="e">
        <f>VLOOKUP(A10,Enforcements!$C$3:$J$24,3,0)</f>
        <v>#N/A</v>
      </c>
    </row>
    <row r="11" spans="1:89" s="2" customFormat="1" x14ac:dyDescent="0.25">
      <c r="A11" s="18" t="s">
        <v>128</v>
      </c>
      <c r="B11" s="19">
        <v>4015</v>
      </c>
      <c r="C11" s="19" t="s">
        <v>68</v>
      </c>
      <c r="D11" s="19" t="s">
        <v>243</v>
      </c>
      <c r="E11" s="53">
        <v>42483.297534722224</v>
      </c>
      <c r="F11" s="53">
        <v>42483.301122685189</v>
      </c>
      <c r="G11" s="62">
        <v>5</v>
      </c>
      <c r="H11" s="53" t="s">
        <v>22</v>
      </c>
      <c r="I11" s="53">
        <v>42483.329780092594</v>
      </c>
      <c r="J11" s="19">
        <v>1</v>
      </c>
      <c r="K11" s="19" t="str">
        <f t="shared" si="0"/>
        <v>4015/4016</v>
      </c>
      <c r="L11" s="20">
        <f t="shared" si="1"/>
        <v>2.8657407405262347E-2</v>
      </c>
      <c r="M11" s="21">
        <f t="shared" si="7"/>
        <v>41.26666666357778</v>
      </c>
      <c r="N11" s="21"/>
      <c r="O11" s="22"/>
      <c r="P11" s="17"/>
      <c r="R11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07:07:27-0600',mode:absolute,to:'2016-04-23 07:55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S11" s="16" t="str">
        <f t="shared" si="3"/>
        <v>N</v>
      </c>
      <c r="T11" s="16">
        <f t="shared" si="4"/>
        <v>23.264099999999999</v>
      </c>
      <c r="U11" s="16">
        <f t="shared" si="5"/>
        <v>1.5800000000000002E-2</v>
      </c>
      <c r="V11" s="16">
        <f t="shared" si="6"/>
        <v>23.2483</v>
      </c>
      <c r="W11" s="49">
        <f>VLOOKUP(A11,Enforcements!$C$3:$J$24,8,0)</f>
        <v>231147</v>
      </c>
      <c r="X11" s="49" t="str">
        <f>VLOOKUP(A11,Enforcements!$C$3:$J$24,3,0)</f>
        <v>SIGNAL</v>
      </c>
    </row>
    <row r="12" spans="1:89" s="2" customFormat="1" x14ac:dyDescent="0.25">
      <c r="A12" s="18" t="s">
        <v>322</v>
      </c>
      <c r="B12" s="19">
        <v>4029</v>
      </c>
      <c r="C12" s="19" t="s">
        <v>68</v>
      </c>
      <c r="D12" s="19" t="s">
        <v>323</v>
      </c>
      <c r="E12" s="53">
        <v>42483.269780092596</v>
      </c>
      <c r="F12" s="53">
        <v>42483.270914351851</v>
      </c>
      <c r="G12" s="62">
        <v>1</v>
      </c>
      <c r="H12" s="53" t="s">
        <v>102</v>
      </c>
      <c r="I12" s="53">
        <v>42483.301620370374</v>
      </c>
      <c r="J12" s="19">
        <v>0</v>
      </c>
      <c r="K12" s="21">
        <f>$L12*24*60</f>
        <v>44.216666672145948</v>
      </c>
      <c r="L12" s="20">
        <f t="shared" si="1"/>
        <v>3.0706018522323575E-2</v>
      </c>
      <c r="M12" s="21">
        <f t="shared" si="7"/>
        <v>44.216666672145948</v>
      </c>
      <c r="N12" s="21"/>
      <c r="O12" s="22"/>
      <c r="P12" s="17"/>
      <c r="R12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06:27:29-0600',mode:absolute,to:'2016-04-23 07:15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12" s="16" t="str">
        <f t="shared" si="3"/>
        <v>N</v>
      </c>
      <c r="T12" s="16">
        <f t="shared" si="4"/>
        <v>0.14810000000000001</v>
      </c>
      <c r="U12" s="16">
        <f t="shared" si="5"/>
        <v>23.3306</v>
      </c>
      <c r="V12" s="16">
        <f t="shared" si="6"/>
        <v>23.182500000000001</v>
      </c>
      <c r="W12" s="49" t="e">
        <f>VLOOKUP(A12,Enforcements!$C$3:$J$24,8,0)</f>
        <v>#N/A</v>
      </c>
      <c r="X12" s="49" t="e">
        <f>VLOOKUP(A12,Enforcements!$C$3:$J$24,3,0)</f>
        <v>#N/A</v>
      </c>
    </row>
    <row r="13" spans="1:89" s="2" customFormat="1" x14ac:dyDescent="0.25">
      <c r="A13" s="18" t="s">
        <v>132</v>
      </c>
      <c r="B13" s="19">
        <v>4026</v>
      </c>
      <c r="C13" s="19" t="s">
        <v>68</v>
      </c>
      <c r="D13" s="19" t="s">
        <v>87</v>
      </c>
      <c r="E13" s="53">
        <v>42483.324571759258</v>
      </c>
      <c r="F13" s="53">
        <v>42483.326863425929</v>
      </c>
      <c r="G13" s="62">
        <v>3</v>
      </c>
      <c r="H13" s="53" t="s">
        <v>96</v>
      </c>
      <c r="I13" s="53">
        <v>42483.358634259261</v>
      </c>
      <c r="J13" s="19">
        <v>1</v>
      </c>
      <c r="K13" s="19" t="str">
        <f t="shared" ref="K13:K44" si="8">IF(ISEVEN(B13),(B13-1)&amp;"/"&amp;B13,B13&amp;"/"&amp;(B13+1))</f>
        <v>4025/4026</v>
      </c>
      <c r="L13" s="20">
        <f t="shared" si="1"/>
        <v>3.1770833331393078E-2</v>
      </c>
      <c r="M13" s="21">
        <f t="shared" si="7"/>
        <v>45.749999997206032</v>
      </c>
      <c r="N13" s="21"/>
      <c r="O13" s="22"/>
      <c r="P13" s="17"/>
      <c r="R13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07:46:23-0600',mode:absolute,to:'2016-04-23 08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13" s="16" t="str">
        <f t="shared" si="3"/>
        <v>N</v>
      </c>
      <c r="T13" s="16">
        <f t="shared" si="4"/>
        <v>23.267199999999999</v>
      </c>
      <c r="U13" s="16">
        <f t="shared" si="5"/>
        <v>1.49E-2</v>
      </c>
      <c r="V13" s="16">
        <f t="shared" si="6"/>
        <v>23.252299999999998</v>
      </c>
      <c r="W13" s="49">
        <f>VLOOKUP(A13,Enforcements!$C$3:$J$24,8,0)</f>
        <v>15167</v>
      </c>
      <c r="X13" s="49" t="str">
        <f>VLOOKUP(A13,Enforcements!$C$3:$J$24,3,0)</f>
        <v>PERMANENT SPEED RESTRICTION</v>
      </c>
    </row>
    <row r="14" spans="1:89" s="2" customFormat="1" x14ac:dyDescent="0.25">
      <c r="A14" s="18" t="s">
        <v>318</v>
      </c>
      <c r="B14" s="19">
        <v>4020</v>
      </c>
      <c r="C14" s="19" t="s">
        <v>68</v>
      </c>
      <c r="D14" s="19" t="s">
        <v>201</v>
      </c>
      <c r="E14" s="53">
        <v>42483.288182870368</v>
      </c>
      <c r="F14" s="53">
        <v>42483.289363425924</v>
      </c>
      <c r="G14" s="62">
        <v>1</v>
      </c>
      <c r="H14" s="53" t="s">
        <v>319</v>
      </c>
      <c r="I14" s="53">
        <v>42483.318541666667</v>
      </c>
      <c r="J14" s="19">
        <v>0</v>
      </c>
      <c r="K14" s="19" t="str">
        <f t="shared" si="8"/>
        <v>4019/4020</v>
      </c>
      <c r="L14" s="20">
        <f t="shared" si="1"/>
        <v>2.9178240743931383E-2</v>
      </c>
      <c r="M14" s="21">
        <f t="shared" si="7"/>
        <v>42.016666671261191</v>
      </c>
      <c r="N14" s="21"/>
      <c r="O14" s="22"/>
      <c r="P14" s="17"/>
      <c r="R14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06:53:59-0600',mode:absolute,to:'2016-04-23 07:39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14" s="16" t="str">
        <f t="shared" si="3"/>
        <v>N</v>
      </c>
      <c r="T14" s="16">
        <f t="shared" si="4"/>
        <v>7.5700000000000003E-2</v>
      </c>
      <c r="U14" s="16">
        <f t="shared" si="5"/>
        <v>23.330400000000001</v>
      </c>
      <c r="V14" s="16">
        <f t="shared" si="6"/>
        <v>23.2547</v>
      </c>
      <c r="W14" s="49" t="e">
        <f>VLOOKUP(A14,Enforcements!$C$3:$J$24,8,0)</f>
        <v>#N/A</v>
      </c>
      <c r="X14" s="49" t="e">
        <f>VLOOKUP(A14,Enforcements!$C$3:$J$24,3,0)</f>
        <v>#N/A</v>
      </c>
    </row>
    <row r="15" spans="1:89" s="2" customFormat="1" x14ac:dyDescent="0.25">
      <c r="A15" s="18" t="s">
        <v>133</v>
      </c>
      <c r="B15" s="19">
        <v>4017</v>
      </c>
      <c r="C15" s="19" t="s">
        <v>68</v>
      </c>
      <c r="D15" s="19" t="s">
        <v>180</v>
      </c>
      <c r="E15" s="53">
        <v>42483.34207175926</v>
      </c>
      <c r="F15" s="53">
        <v>42483.343182870369</v>
      </c>
      <c r="G15" s="62">
        <v>1</v>
      </c>
      <c r="H15" s="53" t="s">
        <v>24</v>
      </c>
      <c r="I15" s="53">
        <v>42483.371168981481</v>
      </c>
      <c r="J15" s="19">
        <v>1</v>
      </c>
      <c r="K15" s="19" t="str">
        <f t="shared" si="8"/>
        <v>4017/4018</v>
      </c>
      <c r="L15" s="20">
        <f t="shared" si="1"/>
        <v>2.7986111112113576E-2</v>
      </c>
      <c r="M15" s="21">
        <f t="shared" si="7"/>
        <v>40.30000000144355</v>
      </c>
      <c r="N15" s="21"/>
      <c r="O15" s="22"/>
      <c r="P15" s="17"/>
      <c r="R15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08:11:35-0600',mode:absolute,to:'2016-04-23 08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15" s="16" t="str">
        <f t="shared" si="3"/>
        <v>N</v>
      </c>
      <c r="T15" s="16">
        <f t="shared" si="4"/>
        <v>23.267700000000001</v>
      </c>
      <c r="U15" s="16">
        <f t="shared" si="5"/>
        <v>1.4999999999999999E-2</v>
      </c>
      <c r="V15" s="16">
        <f t="shared" si="6"/>
        <v>23.252700000000001</v>
      </c>
      <c r="W15" s="49" t="e">
        <f>VLOOKUP(A15,Enforcements!$C$3:$J$24,8,0)</f>
        <v>#N/A</v>
      </c>
      <c r="X15" s="49" t="e">
        <f>VLOOKUP(A15,Enforcements!$C$3:$J$24,3,0)</f>
        <v>#N/A</v>
      </c>
    </row>
    <row r="16" spans="1:89" s="2" customFormat="1" x14ac:dyDescent="0.25">
      <c r="A16" s="18" t="s">
        <v>129</v>
      </c>
      <c r="B16" s="19">
        <v>4009</v>
      </c>
      <c r="C16" s="19" t="s">
        <v>68</v>
      </c>
      <c r="D16" s="19" t="s">
        <v>109</v>
      </c>
      <c r="E16" s="53">
        <v>42483.298935185187</v>
      </c>
      <c r="F16" s="53">
        <v>42483.299710648149</v>
      </c>
      <c r="G16" s="62">
        <v>1</v>
      </c>
      <c r="H16" s="53" t="s">
        <v>316</v>
      </c>
      <c r="I16" s="53">
        <v>42483.337395833332</v>
      </c>
      <c r="J16" s="19">
        <v>2</v>
      </c>
      <c r="K16" s="19" t="str">
        <f t="shared" si="8"/>
        <v>4009/4010</v>
      </c>
      <c r="L16" s="20">
        <f t="shared" si="1"/>
        <v>3.7685185183363501E-2</v>
      </c>
      <c r="M16" s="21">
        <f t="shared" si="7"/>
        <v>54.266666664043441</v>
      </c>
      <c r="N16" s="21"/>
      <c r="O16" s="22"/>
      <c r="P16" s="17"/>
      <c r="R16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07:09:28-0600',mode:absolute,to:'2016-04-23 08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16" s="16" t="str">
        <f t="shared" si="3"/>
        <v>N</v>
      </c>
      <c r="T16" s="16">
        <f t="shared" si="4"/>
        <v>7.5200000000000003E-2</v>
      </c>
      <c r="U16" s="16">
        <f t="shared" si="5"/>
        <v>23.194099999999999</v>
      </c>
      <c r="V16" s="16">
        <f t="shared" si="6"/>
        <v>23.1189</v>
      </c>
      <c r="W16" s="49">
        <f>VLOOKUP(A16,Enforcements!$C$3:$J$24,8,0)</f>
        <v>232107</v>
      </c>
      <c r="X16" s="49" t="str">
        <f>VLOOKUP(A16,Enforcements!$C$3:$J$24,3,0)</f>
        <v>PERMANENT SPEED RESTRICTION</v>
      </c>
    </row>
    <row r="17" spans="1:24" s="2" customFormat="1" x14ac:dyDescent="0.25">
      <c r="A17" s="18" t="s">
        <v>134</v>
      </c>
      <c r="B17" s="19">
        <v>4039</v>
      </c>
      <c r="C17" s="19" t="s">
        <v>68</v>
      </c>
      <c r="D17" s="19" t="s">
        <v>230</v>
      </c>
      <c r="E17" s="53">
        <v>42483.348715277774</v>
      </c>
      <c r="F17" s="53">
        <v>42483.354386574072</v>
      </c>
      <c r="G17" s="62">
        <v>8</v>
      </c>
      <c r="H17" s="53" t="s">
        <v>8</v>
      </c>
      <c r="I17" s="53">
        <v>42483.381967592592</v>
      </c>
      <c r="J17" s="19">
        <v>1</v>
      </c>
      <c r="K17" s="19" t="str">
        <f t="shared" si="8"/>
        <v>4039/4040</v>
      </c>
      <c r="L17" s="20">
        <f t="shared" si="1"/>
        <v>2.7581018519413192E-2</v>
      </c>
      <c r="M17" s="21">
        <f t="shared" si="7"/>
        <v>39.716666667954996</v>
      </c>
      <c r="N17" s="21"/>
      <c r="O17" s="22"/>
      <c r="P17" s="17"/>
      <c r="R17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08:21:09-0600',mode:absolute,to:'2016-04-23 09:11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17" s="16" t="str">
        <f t="shared" si="3"/>
        <v>N</v>
      </c>
      <c r="T17" s="16">
        <f t="shared" si="4"/>
        <v>23.265999999999998</v>
      </c>
      <c r="U17" s="16">
        <f t="shared" si="5"/>
        <v>1.43E-2</v>
      </c>
      <c r="V17" s="16">
        <f t="shared" si="6"/>
        <v>23.2517</v>
      </c>
      <c r="W17" s="49" t="e">
        <f>VLOOKUP(A17,Enforcements!$C$3:$J$24,8,0)</f>
        <v>#N/A</v>
      </c>
      <c r="X17" s="49" t="e">
        <f>VLOOKUP(A17,Enforcements!$C$3:$J$24,3,0)</f>
        <v>#N/A</v>
      </c>
    </row>
    <row r="18" spans="1:24" s="2" customFormat="1" x14ac:dyDescent="0.25">
      <c r="A18" s="18" t="s">
        <v>314</v>
      </c>
      <c r="B18" s="19">
        <v>4044</v>
      </c>
      <c r="C18" s="19" t="s">
        <v>68</v>
      </c>
      <c r="D18" s="19" t="s">
        <v>101</v>
      </c>
      <c r="E18" s="53">
        <v>42483.310833333337</v>
      </c>
      <c r="F18" s="53">
        <v>42483.313252314816</v>
      </c>
      <c r="G18" s="62">
        <v>3</v>
      </c>
      <c r="H18" s="53" t="s">
        <v>315</v>
      </c>
      <c r="I18" s="53">
        <v>42483.341134259259</v>
      </c>
      <c r="J18" s="19">
        <v>0</v>
      </c>
      <c r="K18" s="19" t="str">
        <f t="shared" si="8"/>
        <v>4043/4044</v>
      </c>
      <c r="L18" s="20">
        <f t="shared" si="1"/>
        <v>2.7881944442924578E-2</v>
      </c>
      <c r="M18" s="21">
        <f t="shared" si="7"/>
        <v>40.149999997811392</v>
      </c>
      <c r="N18" s="21"/>
      <c r="O18" s="22"/>
      <c r="P18" s="17"/>
      <c r="R18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07:26:36-0600',mode:absolute,to:'2016-04-23 08:12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8" s="16" t="str">
        <f t="shared" si="3"/>
        <v>N</v>
      </c>
      <c r="T18" s="16">
        <f t="shared" si="4"/>
        <v>7.7399999999999997E-2</v>
      </c>
      <c r="U18" s="16">
        <f t="shared" si="5"/>
        <v>23.3324</v>
      </c>
      <c r="V18" s="16">
        <f t="shared" si="6"/>
        <v>23.254999999999999</v>
      </c>
      <c r="W18" s="49" t="e">
        <f>VLOOKUP(A18,Enforcements!$C$3:$J$24,8,0)</f>
        <v>#N/A</v>
      </c>
      <c r="X18" s="49" t="e">
        <f>VLOOKUP(A18,Enforcements!$C$3:$J$24,3,0)</f>
        <v>#N/A</v>
      </c>
    </row>
    <row r="19" spans="1:24" s="2" customFormat="1" x14ac:dyDescent="0.25">
      <c r="A19" s="18" t="s">
        <v>308</v>
      </c>
      <c r="B19" s="19">
        <v>4037</v>
      </c>
      <c r="C19" s="19" t="s">
        <v>68</v>
      </c>
      <c r="D19" s="19" t="s">
        <v>108</v>
      </c>
      <c r="E19" s="53">
        <v>42483.363229166665</v>
      </c>
      <c r="F19" s="53">
        <v>42483.36445601852</v>
      </c>
      <c r="G19" s="62">
        <v>1</v>
      </c>
      <c r="H19" s="53" t="s">
        <v>92</v>
      </c>
      <c r="I19" s="53">
        <v>42483.39366898148</v>
      </c>
      <c r="J19" s="19">
        <v>0</v>
      </c>
      <c r="K19" s="19" t="str">
        <f t="shared" si="8"/>
        <v>4037/4038</v>
      </c>
      <c r="L19" s="20">
        <f t="shared" si="1"/>
        <v>2.9212962959718425E-2</v>
      </c>
      <c r="M19" s="21">
        <f t="shared" si="7"/>
        <v>42.066666661994532</v>
      </c>
      <c r="N19" s="21"/>
      <c r="O19" s="22"/>
      <c r="P19" s="17"/>
      <c r="R19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08:42:03-0600',mode:absolute,to:'2016-04-23 09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S19" s="16" t="str">
        <f t="shared" si="3"/>
        <v>N</v>
      </c>
      <c r="T19" s="16">
        <f t="shared" si="4"/>
        <v>23.266999999999999</v>
      </c>
      <c r="U19" s="16">
        <f t="shared" si="5"/>
        <v>1.4500000000000001E-2</v>
      </c>
      <c r="V19" s="16">
        <f t="shared" si="6"/>
        <v>23.252499999999998</v>
      </c>
      <c r="W19" s="49" t="e">
        <f>VLOOKUP(A19,Enforcements!$C$3:$J$24,8,0)</f>
        <v>#N/A</v>
      </c>
      <c r="X19" s="49" t="e">
        <f>VLOOKUP(A19,Enforcements!$C$3:$J$24,3,0)</f>
        <v>#N/A</v>
      </c>
    </row>
    <row r="20" spans="1:24" s="2" customFormat="1" x14ac:dyDescent="0.25">
      <c r="A20" s="18" t="s">
        <v>312</v>
      </c>
      <c r="B20" s="19">
        <v>4007</v>
      </c>
      <c r="C20" s="19" t="s">
        <v>68</v>
      </c>
      <c r="D20" s="19" t="s">
        <v>69</v>
      </c>
      <c r="E20" s="53">
        <v>42483.324062500003</v>
      </c>
      <c r="F20" s="53">
        <v>42483.325682870367</v>
      </c>
      <c r="G20" s="62">
        <v>2</v>
      </c>
      <c r="H20" s="53" t="s">
        <v>313</v>
      </c>
      <c r="I20" s="53">
        <v>42483.358738425923</v>
      </c>
      <c r="J20" s="19">
        <v>0</v>
      </c>
      <c r="K20" s="19" t="str">
        <f t="shared" si="8"/>
        <v>4007/4008</v>
      </c>
      <c r="L20" s="20">
        <f t="shared" si="1"/>
        <v>3.3055555555620231E-2</v>
      </c>
      <c r="M20" s="21">
        <f t="shared" si="7"/>
        <v>47.600000000093132</v>
      </c>
      <c r="N20" s="21"/>
      <c r="O20" s="22"/>
      <c r="P20" s="17"/>
      <c r="R20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07:45:39-0600',mode:absolute,to:'2016-04-23 08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S20" s="16" t="str">
        <f t="shared" si="3"/>
        <v>N</v>
      </c>
      <c r="T20" s="16">
        <f t="shared" si="4"/>
        <v>7.6799999999999993E-2</v>
      </c>
      <c r="U20" s="16">
        <f t="shared" si="5"/>
        <v>23.331700000000001</v>
      </c>
      <c r="V20" s="16">
        <f t="shared" si="6"/>
        <v>23.254900000000003</v>
      </c>
      <c r="W20" s="49" t="e">
        <f>VLOOKUP(A20,Enforcements!$C$3:$J$24,8,0)</f>
        <v>#N/A</v>
      </c>
      <c r="X20" s="49" t="e">
        <f>VLOOKUP(A20,Enforcements!$C$3:$J$24,3,0)</f>
        <v>#N/A</v>
      </c>
    </row>
    <row r="21" spans="1:24" s="2" customFormat="1" x14ac:dyDescent="0.25">
      <c r="A21" s="18" t="s">
        <v>304</v>
      </c>
      <c r="B21" s="19">
        <v>4015</v>
      </c>
      <c r="C21" s="19" t="s">
        <v>68</v>
      </c>
      <c r="D21" s="19" t="s">
        <v>117</v>
      </c>
      <c r="E21" s="53">
        <v>42483.367627314816</v>
      </c>
      <c r="F21" s="53">
        <v>42483.369629629633</v>
      </c>
      <c r="G21" s="62">
        <v>2</v>
      </c>
      <c r="H21" s="53" t="s">
        <v>305</v>
      </c>
      <c r="I21" s="53">
        <v>42483.37394675926</v>
      </c>
      <c r="J21" s="19">
        <v>0</v>
      </c>
      <c r="K21" s="19" t="str">
        <f t="shared" si="8"/>
        <v>4015/4016</v>
      </c>
      <c r="L21" s="20">
        <f t="shared" si="1"/>
        <v>4.3171296274522319E-3</v>
      </c>
      <c r="M21" s="21"/>
      <c r="N21" s="21"/>
      <c r="O21" s="21">
        <f>$L21*24*60</f>
        <v>6.216666663531214</v>
      </c>
      <c r="P21" s="17" t="s">
        <v>172</v>
      </c>
      <c r="R21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08:48:23-0600',mode:absolute,to:'2016-04-23 08:59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S21" s="16" t="str">
        <f t="shared" si="3"/>
        <v>Y</v>
      </c>
      <c r="T21" s="16">
        <f t="shared" si="4"/>
        <v>23.2652</v>
      </c>
      <c r="U21" s="16">
        <f t="shared" si="5"/>
        <v>23.207799999999999</v>
      </c>
      <c r="V21" s="16">
        <f t="shared" si="6"/>
        <v>5.7400000000001228E-2</v>
      </c>
      <c r="W21" s="49" t="e">
        <f>VLOOKUP(A21,Enforcements!$C$3:$J$24,8,0)</f>
        <v>#N/A</v>
      </c>
      <c r="X21" s="49" t="e">
        <f>VLOOKUP(A21,Enforcements!$C$3:$J$24,3,0)</f>
        <v>#N/A</v>
      </c>
    </row>
    <row r="22" spans="1:24" s="2" customFormat="1" x14ac:dyDescent="0.25">
      <c r="A22" s="18" t="s">
        <v>131</v>
      </c>
      <c r="B22" s="19">
        <v>4011</v>
      </c>
      <c r="C22" s="19" t="s">
        <v>68</v>
      </c>
      <c r="D22" s="19" t="s">
        <v>97</v>
      </c>
      <c r="E22" s="53">
        <v>42483.334224537037</v>
      </c>
      <c r="F22" s="53">
        <v>42483.336342592593</v>
      </c>
      <c r="G22" s="62">
        <v>3</v>
      </c>
      <c r="H22" s="53" t="s">
        <v>311</v>
      </c>
      <c r="I22" s="53">
        <v>42483.363483796296</v>
      </c>
      <c r="J22" s="19">
        <v>1</v>
      </c>
      <c r="K22" s="19" t="str">
        <f t="shared" si="8"/>
        <v>4011/4012</v>
      </c>
      <c r="L22" s="20">
        <f t="shared" si="1"/>
        <v>2.7141203703649808E-2</v>
      </c>
      <c r="M22" s="21">
        <f>$L22*24*60</f>
        <v>39.083333333255723</v>
      </c>
      <c r="N22" s="21"/>
      <c r="O22" s="22"/>
      <c r="P22" s="17"/>
      <c r="R22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08:00:17-0600',mode:absolute,to:'2016-04-23 08:44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S22" s="16" t="str">
        <f t="shared" si="3"/>
        <v>N</v>
      </c>
      <c r="T22" s="16">
        <f t="shared" si="4"/>
        <v>7.5499999999999998E-2</v>
      </c>
      <c r="U22" s="16">
        <f t="shared" si="5"/>
        <v>23.330500000000001</v>
      </c>
      <c r="V22" s="16">
        <f t="shared" si="6"/>
        <v>23.254999999999999</v>
      </c>
      <c r="W22" s="49">
        <f>VLOOKUP(A22,Enforcements!$C$3:$J$24,8,0)</f>
        <v>86214</v>
      </c>
      <c r="X22" s="49" t="str">
        <f>VLOOKUP(A22,Enforcements!$C$3:$J$24,3,0)</f>
        <v>GRADE CROSSING</v>
      </c>
    </row>
    <row r="23" spans="1:24" s="2" customFormat="1" x14ac:dyDescent="0.25">
      <c r="A23" s="18" t="s">
        <v>136</v>
      </c>
      <c r="B23" s="19">
        <v>4028</v>
      </c>
      <c r="C23" s="19" t="s">
        <v>68</v>
      </c>
      <c r="D23" s="19" t="s">
        <v>110</v>
      </c>
      <c r="E23" s="53">
        <v>42483.375902777778</v>
      </c>
      <c r="F23" s="53">
        <v>42483.378634259258</v>
      </c>
      <c r="G23" s="62">
        <v>3</v>
      </c>
      <c r="H23" s="53" t="s">
        <v>303</v>
      </c>
      <c r="I23" s="53">
        <v>42483.402337962965</v>
      </c>
      <c r="J23" s="19">
        <v>0</v>
      </c>
      <c r="K23" s="19" t="str">
        <f t="shared" si="8"/>
        <v>4027/4028</v>
      </c>
      <c r="L23" s="20">
        <f t="shared" si="1"/>
        <v>2.3703703707724344E-2</v>
      </c>
      <c r="M23" s="21"/>
      <c r="N23" s="21"/>
      <c r="O23" s="21">
        <f>$L23*24*60</f>
        <v>34.133333339123055</v>
      </c>
      <c r="P23" s="17" t="s">
        <v>335</v>
      </c>
      <c r="R23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09:00:18-0600',mode:absolute,to:'2016-04-23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23" s="16" t="str">
        <f t="shared" si="3"/>
        <v>Y</v>
      </c>
      <c r="T23" s="16">
        <f t="shared" si="4"/>
        <v>23.266400000000001</v>
      </c>
      <c r="U23" s="16">
        <f t="shared" si="5"/>
        <v>3.6714000000000002</v>
      </c>
      <c r="V23" s="16">
        <f t="shared" si="6"/>
        <v>19.594999999999999</v>
      </c>
      <c r="W23" s="49">
        <f>VLOOKUP(A23,Enforcements!$C$3:$J$24,8,0)</f>
        <v>36657</v>
      </c>
      <c r="X23" s="49" t="str">
        <f>VLOOKUP(A23,Enforcements!$C$3:$J$24,3,0)</f>
        <v>SIGNAL</v>
      </c>
    </row>
    <row r="24" spans="1:24" s="2" customFormat="1" x14ac:dyDescent="0.25">
      <c r="A24" s="18" t="s">
        <v>309</v>
      </c>
      <c r="B24" s="19">
        <v>4029</v>
      </c>
      <c r="C24" s="19" t="s">
        <v>68</v>
      </c>
      <c r="D24" s="19" t="s">
        <v>310</v>
      </c>
      <c r="E24" s="53">
        <v>42483.340937499997</v>
      </c>
      <c r="F24" s="53">
        <v>42483.343611111108</v>
      </c>
      <c r="G24" s="62">
        <v>3</v>
      </c>
      <c r="H24" s="53" t="s">
        <v>227</v>
      </c>
      <c r="I24" s="53">
        <v>42483.37059027778</v>
      </c>
      <c r="J24" s="19">
        <v>0</v>
      </c>
      <c r="K24" s="19" t="str">
        <f t="shared" si="8"/>
        <v>4029/4030</v>
      </c>
      <c r="L24" s="20">
        <f t="shared" si="1"/>
        <v>2.697916667239042E-2</v>
      </c>
      <c r="M24" s="21">
        <f>$L24*24*60</f>
        <v>38.850000008242205</v>
      </c>
      <c r="N24" s="21"/>
      <c r="O24" s="22"/>
      <c r="P24" s="17"/>
      <c r="R24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08:09:57-0600',mode:absolute,to:'2016-04-23 08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24" s="16" t="str">
        <f t="shared" si="3"/>
        <v>N</v>
      </c>
      <c r="T24" s="16">
        <f t="shared" si="4"/>
        <v>7.1499999999999994E-2</v>
      </c>
      <c r="U24" s="16">
        <f t="shared" si="5"/>
        <v>23.331</v>
      </c>
      <c r="V24" s="16">
        <f t="shared" si="6"/>
        <v>23.259499999999999</v>
      </c>
      <c r="W24" s="49" t="e">
        <f>VLOOKUP(A24,Enforcements!$C$3:$J$24,8,0)</f>
        <v>#N/A</v>
      </c>
      <c r="X24" s="49" t="e">
        <f>VLOOKUP(A24,Enforcements!$C$3:$J$24,3,0)</f>
        <v>#N/A</v>
      </c>
    </row>
    <row r="25" spans="1:24" s="2" customFormat="1" x14ac:dyDescent="0.25">
      <c r="A25" s="18" t="s">
        <v>301</v>
      </c>
      <c r="B25" s="19">
        <v>4026</v>
      </c>
      <c r="C25" s="19" t="s">
        <v>68</v>
      </c>
      <c r="D25" s="19" t="s">
        <v>87</v>
      </c>
      <c r="E25" s="53">
        <v>42483.400462962964</v>
      </c>
      <c r="F25" s="53">
        <v>42483.401990740742</v>
      </c>
      <c r="G25" s="62">
        <v>2</v>
      </c>
      <c r="H25" s="53" t="s">
        <v>24</v>
      </c>
      <c r="I25" s="53">
        <v>42483.433946759258</v>
      </c>
      <c r="J25" s="19">
        <v>0</v>
      </c>
      <c r="K25" s="19" t="str">
        <f t="shared" si="8"/>
        <v>4025/4026</v>
      </c>
      <c r="L25" s="20">
        <f t="shared" si="1"/>
        <v>3.195601851621177E-2</v>
      </c>
      <c r="M25" s="21">
        <f>$L25*24*60</f>
        <v>46.016666663344949</v>
      </c>
      <c r="N25" s="21"/>
      <c r="O25" s="22"/>
      <c r="P25" s="17"/>
      <c r="R25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09:35:40-0600',mode:absolute,to:'2016-04-23 10:25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25" s="16" t="str">
        <f t="shared" si="3"/>
        <v>N</v>
      </c>
      <c r="T25" s="16">
        <f t="shared" si="4"/>
        <v>23.267199999999999</v>
      </c>
      <c r="U25" s="16">
        <f t="shared" si="5"/>
        <v>1.4999999999999999E-2</v>
      </c>
      <c r="V25" s="16">
        <f t="shared" si="6"/>
        <v>23.252199999999998</v>
      </c>
      <c r="W25" s="49" t="e">
        <f>VLOOKUP(A25,Enforcements!$C$3:$J$24,8,0)</f>
        <v>#N/A</v>
      </c>
      <c r="X25" s="49" t="e">
        <f>VLOOKUP(A25,Enforcements!$C$3:$J$24,3,0)</f>
        <v>#N/A</v>
      </c>
    </row>
    <row r="26" spans="1:24" s="2" customFormat="1" x14ac:dyDescent="0.25">
      <c r="A26" s="18" t="s">
        <v>307</v>
      </c>
      <c r="B26" s="19">
        <v>4020</v>
      </c>
      <c r="C26" s="19" t="s">
        <v>68</v>
      </c>
      <c r="D26" s="19" t="s">
        <v>85</v>
      </c>
      <c r="E26" s="53">
        <v>42483.362951388888</v>
      </c>
      <c r="F26" s="53">
        <v>42483.364745370367</v>
      </c>
      <c r="G26" s="62">
        <v>2</v>
      </c>
      <c r="H26" s="53" t="s">
        <v>20</v>
      </c>
      <c r="I26" s="53">
        <v>42483.391180555554</v>
      </c>
      <c r="J26" s="19">
        <v>0</v>
      </c>
      <c r="K26" s="19" t="str">
        <f t="shared" si="8"/>
        <v>4019/4020</v>
      </c>
      <c r="L26" s="20">
        <f t="shared" si="1"/>
        <v>2.6435185187438037E-2</v>
      </c>
      <c r="M26" s="21">
        <f>$L26*24*60</f>
        <v>38.066666669910774</v>
      </c>
      <c r="N26" s="21"/>
      <c r="O26" s="22"/>
      <c r="P26" s="17"/>
      <c r="R26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08:41:39-0600',mode:absolute,to:'2016-04-23 09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26" s="16" t="str">
        <f t="shared" si="3"/>
        <v>N</v>
      </c>
      <c r="T26" s="16">
        <f t="shared" si="4"/>
        <v>7.4300000000000005E-2</v>
      </c>
      <c r="U26" s="16">
        <f t="shared" si="5"/>
        <v>23.3308</v>
      </c>
      <c r="V26" s="16">
        <f t="shared" si="6"/>
        <v>23.256499999999999</v>
      </c>
      <c r="W26" s="49" t="e">
        <f>VLOOKUP(A26,Enforcements!$C$3:$J$24,8,0)</f>
        <v>#N/A</v>
      </c>
      <c r="X26" s="49" t="e">
        <f>VLOOKUP(A26,Enforcements!$C$3:$J$24,3,0)</f>
        <v>#N/A</v>
      </c>
    </row>
    <row r="27" spans="1:24" s="2" customFormat="1" x14ac:dyDescent="0.25">
      <c r="A27" s="18" t="s">
        <v>306</v>
      </c>
      <c r="B27" s="19">
        <v>4009</v>
      </c>
      <c r="C27" s="19" t="s">
        <v>68</v>
      </c>
      <c r="D27" s="19" t="s">
        <v>112</v>
      </c>
      <c r="E27" s="53">
        <v>42483.373391203706</v>
      </c>
      <c r="F27" s="53">
        <v>42483.37462962963</v>
      </c>
      <c r="G27" s="62">
        <v>1</v>
      </c>
      <c r="H27" s="53" t="s">
        <v>69</v>
      </c>
      <c r="I27" s="53">
        <v>42483.385034722225</v>
      </c>
      <c r="J27" s="19">
        <v>0</v>
      </c>
      <c r="K27" s="19" t="str">
        <f t="shared" si="8"/>
        <v>4009/4010</v>
      </c>
      <c r="L27" s="20">
        <f t="shared" si="1"/>
        <v>1.0405092594737653E-2</v>
      </c>
      <c r="M27" s="21"/>
      <c r="N27" s="21"/>
      <c r="O27" s="21">
        <f>$L27*24*60</f>
        <v>14.98333333642222</v>
      </c>
      <c r="P27" s="17" t="s">
        <v>336</v>
      </c>
      <c r="R27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08:56:41-0600',mode:absolute,to:'2016-04-23 09:15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27" s="16" t="str">
        <f t="shared" si="3"/>
        <v>Y</v>
      </c>
      <c r="T27" s="16">
        <f t="shared" si="4"/>
        <v>7.5399999999999995E-2</v>
      </c>
      <c r="U27" s="16">
        <f t="shared" si="5"/>
        <v>7.6799999999999993E-2</v>
      </c>
      <c r="V27" s="16">
        <f t="shared" si="6"/>
        <v>1.3999999999999985E-3</v>
      </c>
      <c r="W27" s="49" t="e">
        <f>VLOOKUP(A27,Enforcements!$C$3:$J$24,8,0)</f>
        <v>#N/A</v>
      </c>
      <c r="X27" s="49" t="e">
        <f>VLOOKUP(A27,Enforcements!$C$3:$J$24,3,0)</f>
        <v>#N/A</v>
      </c>
    </row>
    <row r="28" spans="1:24" s="2" customFormat="1" x14ac:dyDescent="0.25">
      <c r="A28" s="18" t="s">
        <v>138</v>
      </c>
      <c r="B28" s="19">
        <v>4039</v>
      </c>
      <c r="C28" s="19" t="s">
        <v>68</v>
      </c>
      <c r="D28" s="19" t="s">
        <v>95</v>
      </c>
      <c r="E28" s="53">
        <v>42483.420173611114</v>
      </c>
      <c r="F28" s="53">
        <v>42483.421354166669</v>
      </c>
      <c r="G28" s="62">
        <v>1</v>
      </c>
      <c r="H28" s="53" t="s">
        <v>93</v>
      </c>
      <c r="I28" s="53">
        <v>42483.452499999999</v>
      </c>
      <c r="J28" s="19">
        <v>1</v>
      </c>
      <c r="K28" s="19" t="str">
        <f t="shared" si="8"/>
        <v>4039/4040</v>
      </c>
      <c r="L28" s="20">
        <f t="shared" si="1"/>
        <v>3.1145833330811001E-2</v>
      </c>
      <c r="M28" s="21">
        <f>$L28*24*60</f>
        <v>44.849999996367842</v>
      </c>
      <c r="N28" s="21"/>
      <c r="O28" s="22"/>
      <c r="P28" s="17"/>
      <c r="R28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10:04:03-0600',mode:absolute,to:'2016-04-23 10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28" s="16" t="str">
        <f t="shared" si="3"/>
        <v>N</v>
      </c>
      <c r="T28" s="16">
        <f t="shared" si="4"/>
        <v>23.271100000000001</v>
      </c>
      <c r="U28" s="16">
        <f t="shared" si="5"/>
        <v>1.38E-2</v>
      </c>
      <c r="V28" s="16">
        <f t="shared" si="6"/>
        <v>23.257300000000001</v>
      </c>
      <c r="W28" s="49" t="e">
        <f>VLOOKUP(A28,Enforcements!$C$3:$J$24,8,0)</f>
        <v>#N/A</v>
      </c>
      <c r="X28" s="49" t="e">
        <f>VLOOKUP(A28,Enforcements!$C$3:$J$24,3,0)</f>
        <v>#N/A</v>
      </c>
    </row>
    <row r="29" spans="1:24" s="2" customFormat="1" x14ac:dyDescent="0.25">
      <c r="A29" s="18" t="s">
        <v>293</v>
      </c>
      <c r="B29" s="19">
        <v>4037</v>
      </c>
      <c r="C29" s="19" t="s">
        <v>68</v>
      </c>
      <c r="D29" s="19" t="s">
        <v>294</v>
      </c>
      <c r="E29" s="53">
        <v>42483.444814814815</v>
      </c>
      <c r="F29" s="53">
        <v>42483.445381944446</v>
      </c>
      <c r="G29" s="62">
        <v>0</v>
      </c>
      <c r="H29" s="53" t="s">
        <v>94</v>
      </c>
      <c r="I29" s="53">
        <v>42483.467349537037</v>
      </c>
      <c r="J29" s="19">
        <v>0</v>
      </c>
      <c r="K29" s="19" t="str">
        <f t="shared" si="8"/>
        <v>4037/4038</v>
      </c>
      <c r="L29" s="20">
        <f t="shared" si="1"/>
        <v>2.1967592590954155E-2</v>
      </c>
      <c r="M29" s="21"/>
      <c r="N29" s="21"/>
      <c r="O29" s="21">
        <f>($L29+L30)*24*60</f>
        <v>36.166666665812954</v>
      </c>
      <c r="P29" s="17" t="s">
        <v>172</v>
      </c>
      <c r="R29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10:39:32-0600',mode:absolute,to:'2016-04-23 11:13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S29" s="16" t="str">
        <f t="shared" si="3"/>
        <v>Y</v>
      </c>
      <c r="T29" s="16">
        <f t="shared" si="4"/>
        <v>15.3911</v>
      </c>
      <c r="U29" s="16">
        <f t="shared" si="5"/>
        <v>1.41E-2</v>
      </c>
      <c r="V29" s="16">
        <f t="shared" si="6"/>
        <v>15.377000000000001</v>
      </c>
      <c r="W29" s="49" t="e">
        <f>VLOOKUP(A29,Enforcements!$C$3:$J$24,8,0)</f>
        <v>#N/A</v>
      </c>
      <c r="X29" s="49" t="e">
        <f>VLOOKUP(A29,Enforcements!$C$3:$J$24,3,0)</f>
        <v>#N/A</v>
      </c>
    </row>
    <row r="30" spans="1:24" s="2" customFormat="1" x14ac:dyDescent="0.25">
      <c r="A30" s="18" t="s">
        <v>293</v>
      </c>
      <c r="B30" s="19">
        <v>4037</v>
      </c>
      <c r="C30" s="19" t="s">
        <v>68</v>
      </c>
      <c r="D30" s="19" t="s">
        <v>117</v>
      </c>
      <c r="E30" s="53">
        <v>42483.430810185186</v>
      </c>
      <c r="F30" s="53">
        <v>42483.432395833333</v>
      </c>
      <c r="G30" s="62">
        <v>2</v>
      </c>
      <c r="H30" s="53" t="s">
        <v>297</v>
      </c>
      <c r="I30" s="53">
        <v>42483.435543981483</v>
      </c>
      <c r="J30" s="19">
        <v>0</v>
      </c>
      <c r="K30" s="19" t="str">
        <f t="shared" si="8"/>
        <v>4037/4038</v>
      </c>
      <c r="L30" s="20">
        <f t="shared" si="1"/>
        <v>3.1481481491937302E-3</v>
      </c>
      <c r="M30" s="21"/>
      <c r="N30" s="21"/>
      <c r="O30" s="22"/>
      <c r="P30" s="17"/>
      <c r="R30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10:19:22-0600',mode:absolute,to:'2016-04-23 10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S30" s="16" t="str">
        <f t="shared" si="3"/>
        <v>Y</v>
      </c>
      <c r="T30" s="16">
        <f t="shared" si="4"/>
        <v>23.2652</v>
      </c>
      <c r="U30" s="16">
        <f t="shared" si="5"/>
        <v>23.236999999999998</v>
      </c>
      <c r="V30" s="16">
        <f t="shared" si="6"/>
        <v>2.8200000000001779E-2</v>
      </c>
      <c r="W30" s="49" t="e">
        <f>VLOOKUP(A30,Enforcements!$C$3:$J$24,8,0)</f>
        <v>#N/A</v>
      </c>
      <c r="X30" s="49" t="e">
        <f>VLOOKUP(A30,Enforcements!$C$3:$J$24,3,0)</f>
        <v>#N/A</v>
      </c>
    </row>
    <row r="31" spans="1:24" s="2" customFormat="1" x14ac:dyDescent="0.25">
      <c r="A31" s="18" t="s">
        <v>302</v>
      </c>
      <c r="B31" s="19">
        <v>4007</v>
      </c>
      <c r="C31" s="19" t="s">
        <v>68</v>
      </c>
      <c r="D31" s="19" t="s">
        <v>85</v>
      </c>
      <c r="E31" s="53">
        <v>42483.397627314815</v>
      </c>
      <c r="F31" s="53">
        <v>42483.398784722223</v>
      </c>
      <c r="G31" s="62">
        <v>1</v>
      </c>
      <c r="H31" s="53" t="s">
        <v>246</v>
      </c>
      <c r="I31" s="53">
        <v>42483.42628472222</v>
      </c>
      <c r="J31" s="19">
        <v>0</v>
      </c>
      <c r="K31" s="19" t="str">
        <f t="shared" si="8"/>
        <v>4007/4008</v>
      </c>
      <c r="L31" s="20">
        <f t="shared" si="1"/>
        <v>2.749999999650754E-2</v>
      </c>
      <c r="M31" s="21">
        <f>$L31*24*60</f>
        <v>39.599999994970858</v>
      </c>
      <c r="N31" s="21"/>
      <c r="O31" s="22"/>
      <c r="P31" s="17"/>
      <c r="R31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09:31:35-0600',mode:absolute,to:'2016-04-23 10:14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S31" s="16" t="str">
        <f t="shared" si="3"/>
        <v>N</v>
      </c>
      <c r="T31" s="16">
        <f t="shared" si="4"/>
        <v>7.4300000000000005E-2</v>
      </c>
      <c r="U31" s="16">
        <f t="shared" si="5"/>
        <v>23.3293</v>
      </c>
      <c r="V31" s="16">
        <f t="shared" si="6"/>
        <v>23.254999999999999</v>
      </c>
      <c r="W31" s="49" t="e">
        <f>VLOOKUP(A31,Enforcements!$C$3:$J$24,8,0)</f>
        <v>#N/A</v>
      </c>
      <c r="X31" s="49" t="e">
        <f>VLOOKUP(A31,Enforcements!$C$3:$J$24,3,0)</f>
        <v>#N/A</v>
      </c>
    </row>
    <row r="32" spans="1:24" s="2" customFormat="1" x14ac:dyDescent="0.25">
      <c r="A32" s="18" t="s">
        <v>139</v>
      </c>
      <c r="B32" s="19">
        <v>4015</v>
      </c>
      <c r="C32" s="19" t="s">
        <v>68</v>
      </c>
      <c r="D32" s="19" t="s">
        <v>292</v>
      </c>
      <c r="E32" s="53">
        <v>42483.445601851854</v>
      </c>
      <c r="F32" s="53">
        <v>42483.446770833332</v>
      </c>
      <c r="G32" s="62">
        <v>1</v>
      </c>
      <c r="H32" s="53" t="s">
        <v>21</v>
      </c>
      <c r="I32" s="53">
        <v>42483.475162037037</v>
      </c>
      <c r="J32" s="19">
        <v>1</v>
      </c>
      <c r="K32" s="19" t="str">
        <f t="shared" si="8"/>
        <v>4015/4016</v>
      </c>
      <c r="L32" s="20">
        <f t="shared" si="1"/>
        <v>2.8391203704813961E-2</v>
      </c>
      <c r="M32" s="21">
        <f>$L32*24*60</f>
        <v>40.883333334932104</v>
      </c>
      <c r="N32" s="21"/>
      <c r="O32" s="22"/>
      <c r="P32" s="17"/>
      <c r="R32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10:40:40-0600',mode:absolute,to:'2016-04-23 11:25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S32" s="16" t="str">
        <f t="shared" si="3"/>
        <v>N</v>
      </c>
      <c r="T32" s="16">
        <f t="shared" si="4"/>
        <v>23.247900000000001</v>
      </c>
      <c r="U32" s="16">
        <f t="shared" si="5"/>
        <v>1.47E-2</v>
      </c>
      <c r="V32" s="16">
        <f t="shared" si="6"/>
        <v>23.2332</v>
      </c>
      <c r="W32" s="49" t="e">
        <f>VLOOKUP(A32,Enforcements!$C$3:$J$24,8,0)</f>
        <v>#N/A</v>
      </c>
      <c r="X32" s="49" t="e">
        <f>VLOOKUP(A32,Enforcements!$C$3:$J$24,3,0)</f>
        <v>#N/A</v>
      </c>
    </row>
    <row r="33" spans="1:27" s="2" customFormat="1" x14ac:dyDescent="0.25">
      <c r="A33" s="18" t="s">
        <v>137</v>
      </c>
      <c r="B33" s="19">
        <v>4011</v>
      </c>
      <c r="C33" s="19" t="s">
        <v>68</v>
      </c>
      <c r="D33" s="19" t="s">
        <v>256</v>
      </c>
      <c r="E33" s="53">
        <v>42483.409259259257</v>
      </c>
      <c r="F33" s="53">
        <v>42483.410231481481</v>
      </c>
      <c r="G33" s="62">
        <v>1</v>
      </c>
      <c r="H33" s="53" t="s">
        <v>300</v>
      </c>
      <c r="I33" s="53">
        <v>42483.440682870372</v>
      </c>
      <c r="J33" s="19">
        <v>1</v>
      </c>
      <c r="K33" s="19" t="str">
        <f t="shared" si="8"/>
        <v>4011/4012</v>
      </c>
      <c r="L33" s="20">
        <f t="shared" si="1"/>
        <v>3.0451388891378883E-2</v>
      </c>
      <c r="M33" s="21">
        <f>$L33*24*60</f>
        <v>43.850000003585592</v>
      </c>
      <c r="N33" s="21"/>
      <c r="O33" s="22"/>
      <c r="P33" s="17"/>
      <c r="R33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09:48:20-0600',mode:absolute,to:'2016-04-23 10:35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S33" s="16" t="str">
        <f t="shared" si="3"/>
        <v>N</v>
      </c>
      <c r="T33" s="16">
        <f t="shared" si="4"/>
        <v>7.0099999999999996E-2</v>
      </c>
      <c r="U33" s="16">
        <f t="shared" si="5"/>
        <v>23.311900000000001</v>
      </c>
      <c r="V33" s="16">
        <f t="shared" si="6"/>
        <v>23.241800000000001</v>
      </c>
      <c r="W33" s="49" t="e">
        <f>VLOOKUP(A33,Enforcements!$C$3:$J$24,8,0)</f>
        <v>#N/A</v>
      </c>
      <c r="X33" s="49" t="e">
        <f>VLOOKUP(A33,Enforcements!$C$3:$J$24,3,0)</f>
        <v>#N/A</v>
      </c>
    </row>
    <row r="34" spans="1:27" s="2" customFormat="1" x14ac:dyDescent="0.25">
      <c r="A34" s="18" t="s">
        <v>288</v>
      </c>
      <c r="B34" s="19">
        <v>4028</v>
      </c>
      <c r="C34" s="19" t="s">
        <v>68</v>
      </c>
      <c r="D34" s="19" t="s">
        <v>283</v>
      </c>
      <c r="E34" s="53">
        <v>42483.455694444441</v>
      </c>
      <c r="F34" s="53">
        <v>42483.456504629627</v>
      </c>
      <c r="G34" s="62">
        <v>1</v>
      </c>
      <c r="H34" s="53" t="s">
        <v>289</v>
      </c>
      <c r="I34" s="53">
        <v>42483.486550925925</v>
      </c>
      <c r="J34" s="19">
        <v>0</v>
      </c>
      <c r="K34" s="19" t="str">
        <f t="shared" si="8"/>
        <v>4027/4028</v>
      </c>
      <c r="L34" s="20">
        <f t="shared" si="1"/>
        <v>3.0046296298678499E-2</v>
      </c>
      <c r="M34" s="21">
        <f>$L34*24*60</f>
        <v>43.266666670097038</v>
      </c>
      <c r="N34" s="21"/>
      <c r="O34" s="22"/>
      <c r="P34" s="17"/>
      <c r="R34" s="16" t="str">
        <f t="shared" si="2"/>
        <v>https://search-rtdc-monitor-bjffxe2xuh6vdkpspy63sjmuny.us-east-1.es.amazonaws.com/_plugin/kibana/#/discover/Steve-Slow-Train-Analysis-(2080s-and-2083s)?_g=(refreshInterval:(display:Off,section:0,value:0),time:(from:'2016-04-23 10:55:12-0600',mode:absolute,to:'2016-04-23 11:41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34" s="16" t="str">
        <f t="shared" si="3"/>
        <v>N</v>
      </c>
      <c r="T34" s="16">
        <f t="shared" si="4"/>
        <v>23.265599999999999</v>
      </c>
      <c r="U34" s="16">
        <f t="shared" si="5"/>
        <v>1.34E-2</v>
      </c>
      <c r="V34" s="16">
        <f t="shared" si="6"/>
        <v>23.252199999999998</v>
      </c>
      <c r="W34" s="49" t="e">
        <f>VLOOKUP(A34,Enforcements!$C$3:$J$24,8,0)</f>
        <v>#N/A</v>
      </c>
      <c r="X34" s="49" t="e">
        <f>VLOOKUP(A34,Enforcements!$C$3:$J$24,3,0)</f>
        <v>#N/A</v>
      </c>
    </row>
    <row r="35" spans="1:27" s="2" customFormat="1" x14ac:dyDescent="0.25">
      <c r="A35" s="18" t="s">
        <v>298</v>
      </c>
      <c r="B35" s="19">
        <v>4029</v>
      </c>
      <c r="C35" s="19" t="s">
        <v>68</v>
      </c>
      <c r="D35" s="19" t="s">
        <v>106</v>
      </c>
      <c r="E35" s="53">
        <v>42483.41679398148</v>
      </c>
      <c r="F35" s="53">
        <v>42483.417847222219</v>
      </c>
      <c r="G35" s="62">
        <v>1</v>
      </c>
      <c r="H35" s="53" t="s">
        <v>299</v>
      </c>
      <c r="I35" s="53">
        <v>42483.444016203706</v>
      </c>
      <c r="J35" s="19">
        <v>0</v>
      </c>
      <c r="K35" s="19" t="str">
        <f t="shared" si="8"/>
        <v>4029/4030</v>
      </c>
      <c r="L35" s="20">
        <f t="shared" ref="L35:L66" si="9">I35-F35</f>
        <v>2.6168981486989651E-2</v>
      </c>
      <c r="M35" s="21"/>
      <c r="N35" s="21"/>
      <c r="O35" s="21">
        <f>$L35*24*60</f>
        <v>37.683333341265097</v>
      </c>
      <c r="P35" s="17" t="s">
        <v>331</v>
      </c>
      <c r="R35" s="16" t="str">
        <f t="shared" ref="R35:R68" si="10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https://search-rtdc-monitor-bjffxe2xuh6vdkpspy63sjmuny.us-east-1.es.amazonaws.com/_plugin/kibana/#/discover/Steve-Slow-Train-Analysis-(2080s-and-2083s)?_g=(refreshInterval:(display:Off,section:0,value:0),time:(from:'2016-04-23 09:59:11-0600',mode:absolute,to:'2016-04-23 10:40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35" s="16" t="str">
        <f t="shared" ref="S35:S68" si="11">IF(V35&lt;23,"Y","N")</f>
        <v>Y</v>
      </c>
      <c r="T35" s="16">
        <f t="shared" ref="T35:T68" si="12">RIGHT(D35,LEN(D35)-4)/10000</f>
        <v>7.6600000000000001E-2</v>
      </c>
      <c r="U35" s="16">
        <f t="shared" ref="U35:U68" si="13">RIGHT(H35,LEN(H35)-4)/10000</f>
        <v>21.565899999999999</v>
      </c>
      <c r="V35" s="16">
        <f t="shared" ref="V35:V66" si="14">ABS(U35-T35)</f>
        <v>21.4893</v>
      </c>
      <c r="W35" s="49" t="e">
        <f>VLOOKUP(A35,Enforcements!$C$3:$J$24,8,0)</f>
        <v>#N/A</v>
      </c>
      <c r="X35" s="49" t="e">
        <f>VLOOKUP(A35,Enforcements!$C$3:$J$24,3,0)</f>
        <v>#N/A</v>
      </c>
    </row>
    <row r="36" spans="1:27" s="2" customFormat="1" x14ac:dyDescent="0.25">
      <c r="A36" s="18" t="s">
        <v>287</v>
      </c>
      <c r="B36" s="19">
        <v>4026</v>
      </c>
      <c r="C36" s="19" t="s">
        <v>68</v>
      </c>
      <c r="D36" s="19" t="s">
        <v>110</v>
      </c>
      <c r="E36" s="53">
        <v>42483.475081018521</v>
      </c>
      <c r="F36" s="53">
        <v>42483.476053240738</v>
      </c>
      <c r="G36" s="62">
        <v>1</v>
      </c>
      <c r="H36" s="53" t="s">
        <v>24</v>
      </c>
      <c r="I36" s="53">
        <v>42483.505011574074</v>
      </c>
      <c r="J36" s="19">
        <v>0</v>
      </c>
      <c r="K36" s="19" t="str">
        <f t="shared" si="8"/>
        <v>4025/4026</v>
      </c>
      <c r="L36" s="20">
        <f t="shared" si="9"/>
        <v>2.8958333336049691E-2</v>
      </c>
      <c r="M36" s="21">
        <f>$L36*24*60</f>
        <v>41.700000003911555</v>
      </c>
      <c r="N36" s="21"/>
      <c r="O36" s="22"/>
      <c r="P36" s="17"/>
      <c r="R36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11:23:07-0600',mode:absolute,to:'2016-04-23 12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36" s="16" t="str">
        <f t="shared" si="11"/>
        <v>N</v>
      </c>
      <c r="T36" s="16">
        <f t="shared" si="12"/>
        <v>23.266400000000001</v>
      </c>
      <c r="U36" s="16">
        <f t="shared" si="13"/>
        <v>1.4999999999999999E-2</v>
      </c>
      <c r="V36" s="16">
        <f t="shared" si="14"/>
        <v>23.2514</v>
      </c>
      <c r="W36" s="49" t="e">
        <f>VLOOKUP(A36,Enforcements!$C$3:$J$24,8,0)</f>
        <v>#N/A</v>
      </c>
      <c r="X36" s="49" t="e">
        <f>VLOOKUP(A36,Enforcements!$C$3:$J$24,3,0)</f>
        <v>#N/A</v>
      </c>
    </row>
    <row r="37" spans="1:27" s="2" customFormat="1" x14ac:dyDescent="0.25">
      <c r="A37" s="18" t="s">
        <v>295</v>
      </c>
      <c r="B37" s="19">
        <v>4020</v>
      </c>
      <c r="C37" s="19" t="s">
        <v>68</v>
      </c>
      <c r="D37" s="19" t="s">
        <v>97</v>
      </c>
      <c r="E37" s="53">
        <v>42483.438333333332</v>
      </c>
      <c r="F37" s="53">
        <v>42483.439687500002</v>
      </c>
      <c r="G37" s="62">
        <v>1</v>
      </c>
      <c r="H37" s="53" t="s">
        <v>296</v>
      </c>
      <c r="I37" s="53">
        <v>42483.466886574075</v>
      </c>
      <c r="J37" s="19">
        <v>0</v>
      </c>
      <c r="K37" s="19" t="str">
        <f t="shared" si="8"/>
        <v>4019/4020</v>
      </c>
      <c r="L37" s="20">
        <f t="shared" si="9"/>
        <v>2.7199074072996154E-2</v>
      </c>
      <c r="M37" s="21">
        <f>$L37*24*60</f>
        <v>39.166666665114462</v>
      </c>
      <c r="N37" s="21"/>
      <c r="O37" s="22"/>
      <c r="P37" s="17"/>
      <c r="R37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10:30:12-0600',mode:absolute,to:'2016-04-23 11:13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37" s="16" t="str">
        <f t="shared" si="11"/>
        <v>N</v>
      </c>
      <c r="T37" s="16">
        <f t="shared" si="12"/>
        <v>7.5499999999999998E-2</v>
      </c>
      <c r="U37" s="16">
        <f t="shared" si="13"/>
        <v>23.331099999999999</v>
      </c>
      <c r="V37" s="16">
        <f t="shared" si="14"/>
        <v>23.255599999999998</v>
      </c>
      <c r="W37" s="49" t="e">
        <f>VLOOKUP(A37,Enforcements!$C$3:$J$24,8,0)</f>
        <v>#N/A</v>
      </c>
      <c r="X37" s="49" t="e">
        <f>VLOOKUP(A37,Enforcements!$C$3:$J$24,3,0)</f>
        <v>#N/A</v>
      </c>
      <c r="Z37" s="25" t="s">
        <v>25</v>
      </c>
      <c r="AA37" s="13"/>
    </row>
    <row r="38" spans="1:27" s="2" customFormat="1" x14ac:dyDescent="0.25">
      <c r="A38" s="18" t="s">
        <v>144</v>
      </c>
      <c r="B38" s="19">
        <v>4023</v>
      </c>
      <c r="C38" s="19" t="s">
        <v>68</v>
      </c>
      <c r="D38" s="19" t="s">
        <v>283</v>
      </c>
      <c r="E38" s="53">
        <v>42483.482974537037</v>
      </c>
      <c r="F38" s="53">
        <v>42483.484027777777</v>
      </c>
      <c r="G38" s="62">
        <v>1</v>
      </c>
      <c r="H38" s="53" t="s">
        <v>284</v>
      </c>
      <c r="I38" s="53">
        <v>42483.520648148151</v>
      </c>
      <c r="J38" s="19">
        <v>1</v>
      </c>
      <c r="K38" s="19" t="str">
        <f t="shared" si="8"/>
        <v>4023/4024</v>
      </c>
      <c r="L38" s="20">
        <f t="shared" si="9"/>
        <v>3.6620370374293998E-2</v>
      </c>
      <c r="M38" s="21">
        <f>$L38*24*60</f>
        <v>52.733333338983357</v>
      </c>
      <c r="N38" s="21"/>
      <c r="O38" s="22"/>
      <c r="P38" s="17"/>
      <c r="R38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11:34:29-0600',mode:absolute,to:'2016-04-23 12:30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S38" s="16" t="str">
        <f t="shared" si="11"/>
        <v>N</v>
      </c>
      <c r="T38" s="16">
        <f t="shared" si="12"/>
        <v>23.265599999999999</v>
      </c>
      <c r="U38" s="16">
        <f t="shared" si="13"/>
        <v>0.1082</v>
      </c>
      <c r="V38" s="16">
        <f t="shared" si="14"/>
        <v>23.157399999999999</v>
      </c>
      <c r="W38" s="49" t="e">
        <f>VLOOKUP(A38,Enforcements!$C$3:$J$24,8,0)</f>
        <v>#N/A</v>
      </c>
      <c r="X38" s="49" t="e">
        <f>VLOOKUP(A38,Enforcements!$C$3:$J$24,3,0)</f>
        <v>#N/A</v>
      </c>
      <c r="Z38" s="23"/>
      <c r="AA38" s="13" t="s">
        <v>32</v>
      </c>
    </row>
    <row r="39" spans="1:27" s="2" customFormat="1" x14ac:dyDescent="0.25">
      <c r="A39" s="18" t="s">
        <v>140</v>
      </c>
      <c r="B39" s="19">
        <v>4042</v>
      </c>
      <c r="C39" s="19" t="s">
        <v>68</v>
      </c>
      <c r="D39" s="19" t="s">
        <v>290</v>
      </c>
      <c r="E39" s="53">
        <v>42483.452175925922</v>
      </c>
      <c r="F39" s="53">
        <v>42483.452939814815</v>
      </c>
      <c r="G39" s="62">
        <v>1</v>
      </c>
      <c r="H39" s="53" t="s">
        <v>291</v>
      </c>
      <c r="I39" s="53">
        <v>42483.477175925924</v>
      </c>
      <c r="J39" s="19">
        <v>0</v>
      </c>
      <c r="K39" s="19" t="str">
        <f t="shared" si="8"/>
        <v>4041/4042</v>
      </c>
      <c r="L39" s="20">
        <f t="shared" si="9"/>
        <v>2.4236111108621117E-2</v>
      </c>
      <c r="M39" s="21"/>
      <c r="N39" s="21"/>
      <c r="O39" s="21">
        <f>($L39+L40)*24*60</f>
        <v>37.333333332790062</v>
      </c>
      <c r="P39" s="17" t="s">
        <v>337</v>
      </c>
      <c r="R39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10:50:08-0600',mode:absolute,to:'2016-04-23 11:28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39" s="16" t="str">
        <f t="shared" si="11"/>
        <v>Y</v>
      </c>
      <c r="T39" s="16">
        <f t="shared" si="12"/>
        <v>1.9195</v>
      </c>
      <c r="U39" s="16">
        <f t="shared" si="13"/>
        <v>23.328299999999999</v>
      </c>
      <c r="V39" s="16">
        <f t="shared" si="14"/>
        <v>21.408799999999999</v>
      </c>
      <c r="W39" s="49" t="e">
        <f>VLOOKUP(A39,Enforcements!$C$3:$J$24,8,0)</f>
        <v>#N/A</v>
      </c>
      <c r="X39" s="49" t="e">
        <f>VLOOKUP(A39,Enforcements!$C$3:$J$24,3,0)</f>
        <v>#N/A</v>
      </c>
      <c r="Z39" s="24"/>
      <c r="AA39" s="13" t="s">
        <v>33</v>
      </c>
    </row>
    <row r="40" spans="1:27" s="2" customFormat="1" x14ac:dyDescent="0.25">
      <c r="A40" s="18" t="s">
        <v>140</v>
      </c>
      <c r="B40" s="19">
        <v>4042</v>
      </c>
      <c r="C40" s="19" t="s">
        <v>68</v>
      </c>
      <c r="D40" s="19" t="s">
        <v>90</v>
      </c>
      <c r="E40" s="53">
        <v>42483.444398148145</v>
      </c>
      <c r="F40" s="53">
        <v>42483.445844907408</v>
      </c>
      <c r="G40" s="62">
        <v>2</v>
      </c>
      <c r="H40" s="53" t="s">
        <v>104</v>
      </c>
      <c r="I40" s="53">
        <v>42483.447534722225</v>
      </c>
      <c r="J40" s="19">
        <v>0</v>
      </c>
      <c r="K40" s="19" t="str">
        <f t="shared" si="8"/>
        <v>4041/4042</v>
      </c>
      <c r="L40" s="20">
        <f t="shared" si="9"/>
        <v>1.6898148169275373E-3</v>
      </c>
      <c r="M40" s="21"/>
      <c r="N40" s="21"/>
      <c r="O40" s="22"/>
      <c r="P40" s="17"/>
      <c r="R40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10:38:56-0600',mode:absolute,to:'2016-04-23 10:45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S40" s="16" t="str">
        <f t="shared" si="11"/>
        <v>Y</v>
      </c>
      <c r="T40" s="16">
        <f t="shared" si="12"/>
        <v>7.3700000000000002E-2</v>
      </c>
      <c r="U40" s="16">
        <f t="shared" si="13"/>
        <v>7.5899999999999995E-2</v>
      </c>
      <c r="V40" s="16">
        <f t="shared" si="14"/>
        <v>2.1999999999999936E-3</v>
      </c>
      <c r="W40" s="49" t="e">
        <f>VLOOKUP(A40,Enforcements!$C$3:$J$24,8,0)</f>
        <v>#N/A</v>
      </c>
      <c r="X40" s="49" t="e">
        <f>VLOOKUP(A40,Enforcements!$C$3:$J$24,3,0)</f>
        <v>#N/A</v>
      </c>
      <c r="Z40" s="14"/>
      <c r="AA40" s="13" t="s">
        <v>34</v>
      </c>
    </row>
    <row r="41" spans="1:27" s="2" customFormat="1" x14ac:dyDescent="0.25">
      <c r="A41" s="18" t="s">
        <v>142</v>
      </c>
      <c r="B41" s="19">
        <v>4039</v>
      </c>
      <c r="C41" s="19" t="s">
        <v>68</v>
      </c>
      <c r="D41" s="19" t="s">
        <v>272</v>
      </c>
      <c r="E41" s="53">
        <v>42483.526817129627</v>
      </c>
      <c r="F41" s="53">
        <v>42483.527812499997</v>
      </c>
      <c r="G41" s="62">
        <v>1</v>
      </c>
      <c r="H41" s="53" t="s">
        <v>93</v>
      </c>
      <c r="I41" s="53">
        <v>42483.546388888892</v>
      </c>
      <c r="J41" s="19">
        <v>0</v>
      </c>
      <c r="K41" s="19" t="str">
        <f t="shared" si="8"/>
        <v>4039/4040</v>
      </c>
      <c r="L41" s="20">
        <f t="shared" si="9"/>
        <v>1.8576388894871343E-2</v>
      </c>
      <c r="M41" s="21"/>
      <c r="N41" s="21"/>
      <c r="O41" s="21">
        <f>($L41+L42)*24*60</f>
        <v>46.616666677873582</v>
      </c>
      <c r="P41" s="17" t="s">
        <v>175</v>
      </c>
      <c r="R41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12:37:37-0600',mode:absolute,to:'2016-04-23 13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41" s="16" t="str">
        <f t="shared" si="11"/>
        <v>Y</v>
      </c>
      <c r="T41" s="16">
        <f t="shared" si="12"/>
        <v>12.779400000000001</v>
      </c>
      <c r="U41" s="16">
        <f t="shared" si="13"/>
        <v>1.38E-2</v>
      </c>
      <c r="V41" s="16">
        <f t="shared" si="14"/>
        <v>12.765600000000001</v>
      </c>
      <c r="W41" s="49">
        <f>VLOOKUP(A41,Enforcements!$C$3:$J$24,8,0)</f>
        <v>191723</v>
      </c>
      <c r="X41" s="49" t="str">
        <f>VLOOKUP(A41,Enforcements!$C$3:$J$24,3,0)</f>
        <v>SIGNAL</v>
      </c>
    </row>
    <row r="42" spans="1:27" s="2" customFormat="1" x14ac:dyDescent="0.25">
      <c r="A42" s="18" t="s">
        <v>142</v>
      </c>
      <c r="B42" s="19">
        <v>4039</v>
      </c>
      <c r="C42" s="19" t="s">
        <v>68</v>
      </c>
      <c r="D42" s="19" t="s">
        <v>240</v>
      </c>
      <c r="E42" s="53">
        <v>42483.49658564815</v>
      </c>
      <c r="F42" s="53">
        <v>42483.497453703705</v>
      </c>
      <c r="G42" s="62">
        <v>1</v>
      </c>
      <c r="H42" s="53" t="s">
        <v>281</v>
      </c>
      <c r="I42" s="53">
        <v>42483.511250000003</v>
      </c>
      <c r="J42" s="19">
        <v>2</v>
      </c>
      <c r="K42" s="19" t="str">
        <f t="shared" si="8"/>
        <v>4039/4040</v>
      </c>
      <c r="L42" s="20">
        <f t="shared" si="9"/>
        <v>1.3796296298096422E-2</v>
      </c>
      <c r="M42" s="21"/>
      <c r="N42" s="21"/>
      <c r="O42" s="22"/>
      <c r="P42" s="17"/>
      <c r="R42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11:54:05-0600',mode:absolute,to:'2016-04-23 12:17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42" s="16" t="str">
        <f t="shared" si="11"/>
        <v>Y</v>
      </c>
      <c r="T42" s="16">
        <f t="shared" si="12"/>
        <v>23.265799999999999</v>
      </c>
      <c r="U42" s="16">
        <f t="shared" si="13"/>
        <v>19.226600000000001</v>
      </c>
      <c r="V42" s="16">
        <f t="shared" si="14"/>
        <v>4.0391999999999975</v>
      </c>
      <c r="W42" s="49">
        <f>VLOOKUP(A42,Enforcements!$C$3:$J$24,8,0)</f>
        <v>191723</v>
      </c>
      <c r="X42" s="49" t="str">
        <f>VLOOKUP(A42,Enforcements!$C$3:$J$24,3,0)</f>
        <v>SIGNAL</v>
      </c>
    </row>
    <row r="43" spans="1:27" s="2" customFormat="1" x14ac:dyDescent="0.25">
      <c r="A43" s="18" t="s">
        <v>141</v>
      </c>
      <c r="B43" s="19">
        <v>4044</v>
      </c>
      <c r="C43" s="19" t="s">
        <v>68</v>
      </c>
      <c r="D43" s="19" t="s">
        <v>205</v>
      </c>
      <c r="E43" s="53">
        <v>42483.456377314818</v>
      </c>
      <c r="F43" s="53">
        <v>42483.457766203705</v>
      </c>
      <c r="G43" s="62">
        <v>1</v>
      </c>
      <c r="H43" s="53" t="s">
        <v>82</v>
      </c>
      <c r="I43" s="53">
        <v>42483.485335648147</v>
      </c>
      <c r="J43" s="19">
        <v>1</v>
      </c>
      <c r="K43" s="19" t="str">
        <f t="shared" si="8"/>
        <v>4043/4044</v>
      </c>
      <c r="L43" s="20">
        <f t="shared" si="9"/>
        <v>2.7569444442633539E-2</v>
      </c>
      <c r="M43" s="21">
        <f>$L43*24*60</f>
        <v>39.699999997392297</v>
      </c>
      <c r="N43" s="21"/>
      <c r="O43" s="22"/>
      <c r="P43" s="17"/>
      <c r="R43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10:56:11-0600',mode:absolute,to:'2016-04-23 11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43" s="16" t="str">
        <f t="shared" si="11"/>
        <v>N</v>
      </c>
      <c r="T43" s="16">
        <f t="shared" si="12"/>
        <v>7.46E-2</v>
      </c>
      <c r="U43" s="16">
        <f t="shared" si="13"/>
        <v>23.328199999999999</v>
      </c>
      <c r="V43" s="16">
        <f t="shared" si="14"/>
        <v>23.253599999999999</v>
      </c>
      <c r="W43" s="49" t="e">
        <f>VLOOKUP(A43,Enforcements!$C$3:$J$24,8,0)</f>
        <v>#N/A</v>
      </c>
      <c r="X43" s="49" t="e">
        <f>VLOOKUP(A43,Enforcements!$C$3:$J$24,3,0)</f>
        <v>#N/A</v>
      </c>
    </row>
    <row r="44" spans="1:27" s="2" customFormat="1" x14ac:dyDescent="0.25">
      <c r="A44" s="18" t="s">
        <v>147</v>
      </c>
      <c r="B44" s="19">
        <v>4037</v>
      </c>
      <c r="C44" s="19" t="s">
        <v>68</v>
      </c>
      <c r="D44" s="19" t="s">
        <v>180</v>
      </c>
      <c r="E44" s="53">
        <v>42483.510659722226</v>
      </c>
      <c r="F44" s="53">
        <v>42483.511759259258</v>
      </c>
      <c r="G44" s="62">
        <v>1</v>
      </c>
      <c r="H44" s="53" t="s">
        <v>279</v>
      </c>
      <c r="I44" s="53">
        <v>42483.558472222219</v>
      </c>
      <c r="J44" s="19">
        <v>1</v>
      </c>
      <c r="K44" s="19" t="str">
        <f t="shared" si="8"/>
        <v>4037/4038</v>
      </c>
      <c r="L44" s="20">
        <f t="shared" si="9"/>
        <v>4.6712962961464655E-2</v>
      </c>
      <c r="M44" s="21">
        <f>$L44*24*60</f>
        <v>67.266666664509103</v>
      </c>
      <c r="N44" s="21"/>
      <c r="O44" s="22"/>
      <c r="P44" s="17"/>
      <c r="R44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12:14:21-0600',mode:absolute,to:'2016-04-23 13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S44" s="16" t="str">
        <f t="shared" si="11"/>
        <v>N</v>
      </c>
      <c r="T44" s="16">
        <f t="shared" si="12"/>
        <v>23.267700000000001</v>
      </c>
      <c r="U44" s="16">
        <f t="shared" si="13"/>
        <v>1.18E-2</v>
      </c>
      <c r="V44" s="16">
        <f t="shared" si="14"/>
        <v>23.2559</v>
      </c>
      <c r="W44" s="49">
        <f>VLOOKUP(A44,Enforcements!$C$3:$J$24,8,0)</f>
        <v>157300</v>
      </c>
      <c r="X44" s="49" t="str">
        <f>VLOOKUP(A44,Enforcements!$C$3:$J$24,3,0)</f>
        <v>SIGNAL</v>
      </c>
    </row>
    <row r="45" spans="1:27" s="2" customFormat="1" x14ac:dyDescent="0.25">
      <c r="A45" s="18" t="s">
        <v>145</v>
      </c>
      <c r="B45" s="19">
        <v>4015</v>
      </c>
      <c r="C45" s="19" t="s">
        <v>68</v>
      </c>
      <c r="D45" s="19" t="s">
        <v>107</v>
      </c>
      <c r="E45" s="53">
        <v>42483.544965277775</v>
      </c>
      <c r="F45" s="53">
        <v>42483.546122685184</v>
      </c>
      <c r="G45" s="62">
        <v>1</v>
      </c>
      <c r="H45" s="53" t="s">
        <v>269</v>
      </c>
      <c r="I45" s="53">
        <v>42483.565289351849</v>
      </c>
      <c r="J45" s="19">
        <v>1</v>
      </c>
      <c r="K45" s="19" t="str">
        <f t="shared" ref="K45:K76" si="15">IF(ISEVEN(B45),(B45-1)&amp;"/"&amp;B45,B45&amp;"/"&amp;(B45+1))</f>
        <v>4015/4016</v>
      </c>
      <c r="L45" s="20">
        <f t="shared" si="9"/>
        <v>1.9166666665114462E-2</v>
      </c>
      <c r="M45" s="21"/>
      <c r="N45" s="21"/>
      <c r="O45" s="21">
        <f>($L45+L46)*24*60</f>
        <v>69.099999996833503</v>
      </c>
      <c r="P45" s="17" t="s">
        <v>338</v>
      </c>
      <c r="R45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13:03:45-0600',mode:absolute,to:'2016-04-23 13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S45" s="16" t="str">
        <f t="shared" si="11"/>
        <v>Y</v>
      </c>
      <c r="T45" s="16">
        <f t="shared" si="12"/>
        <v>12.7784</v>
      </c>
      <c r="U45" s="16">
        <f t="shared" si="13"/>
        <v>1.32E-2</v>
      </c>
      <c r="V45" s="16">
        <f t="shared" si="14"/>
        <v>12.7652</v>
      </c>
      <c r="W45" s="49">
        <f>VLOOKUP(A45,Enforcements!$C$3:$J$24,8,0)</f>
        <v>198256</v>
      </c>
      <c r="X45" s="49" t="str">
        <f>VLOOKUP(A45,Enforcements!$C$3:$J$24,3,0)</f>
        <v>SIGNAL</v>
      </c>
    </row>
    <row r="46" spans="1:27" s="2" customFormat="1" x14ac:dyDescent="0.25">
      <c r="A46" s="18" t="s">
        <v>145</v>
      </c>
      <c r="B46" s="19">
        <v>4015</v>
      </c>
      <c r="C46" s="19" t="s">
        <v>68</v>
      </c>
      <c r="D46" s="19" t="s">
        <v>277</v>
      </c>
      <c r="E46" s="53">
        <v>42483.511759259258</v>
      </c>
      <c r="F46" s="53">
        <v>42483.513067129628</v>
      </c>
      <c r="G46" s="62">
        <v>1</v>
      </c>
      <c r="H46" s="53" t="s">
        <v>278</v>
      </c>
      <c r="I46" s="53">
        <v>42483.541886574072</v>
      </c>
      <c r="J46" s="19">
        <v>2</v>
      </c>
      <c r="K46" s="19" t="str">
        <f t="shared" si="15"/>
        <v>4015/4016</v>
      </c>
      <c r="L46" s="20">
        <f t="shared" si="9"/>
        <v>2.8819444443797693E-2</v>
      </c>
      <c r="M46" s="21"/>
      <c r="N46" s="21"/>
      <c r="O46" s="22"/>
      <c r="P46" s="17"/>
      <c r="R46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12:15:56-0600',mode:absolute,to:'2016-04-23 13:01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S46" s="16" t="str">
        <f t="shared" si="11"/>
        <v>Y</v>
      </c>
      <c r="T46" s="16">
        <f t="shared" si="12"/>
        <v>23.2698</v>
      </c>
      <c r="U46" s="16">
        <f t="shared" si="13"/>
        <v>14.648899999999999</v>
      </c>
      <c r="V46" s="16">
        <f t="shared" si="14"/>
        <v>8.6209000000000007</v>
      </c>
      <c r="W46" s="49">
        <f>VLOOKUP(A46,Enforcements!$C$3:$J$24,8,0)</f>
        <v>198256</v>
      </c>
      <c r="X46" s="49" t="str">
        <f>VLOOKUP(A46,Enforcements!$C$3:$J$24,3,0)</f>
        <v>SIGNAL</v>
      </c>
    </row>
    <row r="47" spans="1:27" s="2" customFormat="1" x14ac:dyDescent="0.25">
      <c r="A47" s="18" t="s">
        <v>285</v>
      </c>
      <c r="B47" s="19">
        <v>4011</v>
      </c>
      <c r="C47" s="19" t="s">
        <v>68</v>
      </c>
      <c r="D47" s="19" t="s">
        <v>86</v>
      </c>
      <c r="E47" s="53">
        <v>42483.478136574071</v>
      </c>
      <c r="F47" s="53">
        <v>42483.481030092589</v>
      </c>
      <c r="G47" s="62">
        <v>4</v>
      </c>
      <c r="H47" s="53" t="s">
        <v>286</v>
      </c>
      <c r="I47" s="53">
        <v>42483.508958333332</v>
      </c>
      <c r="J47" s="19">
        <v>0</v>
      </c>
      <c r="K47" s="19" t="str">
        <f t="shared" si="15"/>
        <v>4011/4012</v>
      </c>
      <c r="L47" s="20">
        <f t="shared" si="9"/>
        <v>2.792824074276723E-2</v>
      </c>
      <c r="M47" s="21">
        <f>$L47*24*60</f>
        <v>40.216666669584811</v>
      </c>
      <c r="N47" s="21"/>
      <c r="O47" s="22"/>
      <c r="P47" s="17"/>
      <c r="R47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11:27:31-0600',mode:absolute,to:'2016-04-23 12:13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S47" s="16" t="str">
        <f t="shared" si="11"/>
        <v>N</v>
      </c>
      <c r="T47" s="16">
        <f t="shared" si="12"/>
        <v>6.9699999999999998E-2</v>
      </c>
      <c r="U47" s="16">
        <f t="shared" si="13"/>
        <v>23.334099999999999</v>
      </c>
      <c r="V47" s="16">
        <f t="shared" si="14"/>
        <v>23.264399999999998</v>
      </c>
      <c r="W47" s="49" t="e">
        <f>VLOOKUP(A47,Enforcements!$C$3:$J$24,8,0)</f>
        <v>#N/A</v>
      </c>
      <c r="X47" s="49" t="e">
        <f>VLOOKUP(A47,Enforcements!$C$3:$J$24,3,0)</f>
        <v>#N/A</v>
      </c>
    </row>
    <row r="48" spans="1:27" s="2" customFormat="1" x14ac:dyDescent="0.25">
      <c r="A48" s="18" t="s">
        <v>270</v>
      </c>
      <c r="B48" s="19">
        <v>4028</v>
      </c>
      <c r="C48" s="19" t="s">
        <v>68</v>
      </c>
      <c r="D48" s="19" t="s">
        <v>271</v>
      </c>
      <c r="E48" s="53">
        <v>42483.537581018521</v>
      </c>
      <c r="F48" s="53">
        <v>42483.538680555554</v>
      </c>
      <c r="G48" s="62">
        <v>1</v>
      </c>
      <c r="H48" s="53" t="s">
        <v>81</v>
      </c>
      <c r="I48" s="53">
        <v>42483.571967592594</v>
      </c>
      <c r="J48" s="19">
        <v>0</v>
      </c>
      <c r="K48" s="19" t="str">
        <f t="shared" si="15"/>
        <v>4027/4028</v>
      </c>
      <c r="L48" s="20">
        <f t="shared" si="9"/>
        <v>3.3287037040281575E-2</v>
      </c>
      <c r="M48" s="21">
        <f>$L48*24*60</f>
        <v>47.933333338005468</v>
      </c>
      <c r="N48" s="21"/>
      <c r="O48" s="22"/>
      <c r="P48" s="17"/>
      <c r="R48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12:53:07-0600',mode:absolute,to:'2016-04-23 13:44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48" s="16" t="str">
        <f t="shared" si="11"/>
        <v>N</v>
      </c>
      <c r="T48" s="16">
        <f t="shared" si="12"/>
        <v>23.263000000000002</v>
      </c>
      <c r="U48" s="16">
        <f t="shared" si="13"/>
        <v>1.6500000000000001E-2</v>
      </c>
      <c r="V48" s="16">
        <f t="shared" si="14"/>
        <v>23.246500000000001</v>
      </c>
      <c r="W48" s="49" t="e">
        <f>VLOOKUP(A48,Enforcements!$C$3:$J$24,8,0)</f>
        <v>#N/A</v>
      </c>
      <c r="X48" s="49" t="e">
        <f>VLOOKUP(A48,Enforcements!$C$3:$J$24,3,0)</f>
        <v>#N/A</v>
      </c>
    </row>
    <row r="49" spans="1:24" s="2" customFormat="1" x14ac:dyDescent="0.25">
      <c r="A49" s="18" t="s">
        <v>149</v>
      </c>
      <c r="B49" s="19">
        <v>4029</v>
      </c>
      <c r="C49" s="19" t="s">
        <v>68</v>
      </c>
      <c r="D49" s="19" t="s">
        <v>273</v>
      </c>
      <c r="E49" s="53">
        <v>42483.523773148147</v>
      </c>
      <c r="F49" s="53">
        <v>42483.524409722224</v>
      </c>
      <c r="G49" s="62">
        <v>0</v>
      </c>
      <c r="H49" s="53" t="s">
        <v>274</v>
      </c>
      <c r="I49" s="53">
        <v>42483.531597222223</v>
      </c>
      <c r="J49" s="19">
        <v>0</v>
      </c>
      <c r="K49" s="19" t="str">
        <f t="shared" si="15"/>
        <v>4029/4030</v>
      </c>
      <c r="L49" s="20">
        <f t="shared" si="9"/>
        <v>7.1874999994179234E-3</v>
      </c>
      <c r="M49" s="21"/>
      <c r="N49" s="21"/>
      <c r="O49" s="21">
        <f>SUM(L49:L51)*24*60</f>
        <v>42.399999999906868</v>
      </c>
      <c r="P49" s="17" t="s">
        <v>334</v>
      </c>
      <c r="R49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12:33:14-0600',mode:absolute,to:'2016-04-23 12:46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49" s="16" t="str">
        <f t="shared" si="11"/>
        <v>Y</v>
      </c>
      <c r="T49" s="16">
        <f t="shared" si="12"/>
        <v>15.823600000000001</v>
      </c>
      <c r="U49" s="16">
        <f t="shared" si="13"/>
        <v>23.3261</v>
      </c>
      <c r="V49" s="16">
        <f t="shared" si="14"/>
        <v>7.5024999999999995</v>
      </c>
      <c r="W49" s="49" t="e">
        <f>VLOOKUP(A49,Enforcements!$C$3:$J$24,8,0)</f>
        <v>#N/A</v>
      </c>
      <c r="X49" s="49" t="e">
        <f>VLOOKUP(A49,Enforcements!$C$3:$J$24,3,0)</f>
        <v>#N/A</v>
      </c>
    </row>
    <row r="50" spans="1:24" s="2" customFormat="1" x14ac:dyDescent="0.25">
      <c r="A50" s="18" t="s">
        <v>149</v>
      </c>
      <c r="B50" s="19">
        <v>4029</v>
      </c>
      <c r="C50" s="19" t="s">
        <v>68</v>
      </c>
      <c r="D50" s="19" t="s">
        <v>275</v>
      </c>
      <c r="E50" s="53">
        <v>42483.512615740743</v>
      </c>
      <c r="F50" s="53">
        <v>42483.513182870367</v>
      </c>
      <c r="G50" s="62">
        <v>0</v>
      </c>
      <c r="H50" s="53" t="s">
        <v>276</v>
      </c>
      <c r="I50" s="53">
        <v>42483.515393518515</v>
      </c>
      <c r="J50" s="19">
        <v>0</v>
      </c>
      <c r="K50" s="19" t="str">
        <f t="shared" si="15"/>
        <v>4029/4030</v>
      </c>
      <c r="L50" s="20">
        <f t="shared" si="9"/>
        <v>2.2106481483206153E-3</v>
      </c>
      <c r="M50" s="21"/>
      <c r="N50" s="21"/>
      <c r="O50" s="22"/>
      <c r="P50" s="17"/>
      <c r="R50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12:17:10-0600',mode:absolute,to:'2016-04-23 12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50" s="16" t="str">
        <f t="shared" si="11"/>
        <v>Y</v>
      </c>
      <c r="T50" s="16">
        <f t="shared" si="12"/>
        <v>12.833500000000001</v>
      </c>
      <c r="U50" s="16">
        <f t="shared" si="13"/>
        <v>13.286</v>
      </c>
      <c r="V50" s="16">
        <f t="shared" si="14"/>
        <v>0.45249999999999879</v>
      </c>
      <c r="W50" s="49" t="e">
        <f>VLOOKUP(A50,Enforcements!$C$3:$J$24,8,0)</f>
        <v>#N/A</v>
      </c>
      <c r="X50" s="49" t="e">
        <f>VLOOKUP(A50,Enforcements!$C$3:$J$24,3,0)</f>
        <v>#N/A</v>
      </c>
    </row>
    <row r="51" spans="1:24" s="2" customFormat="1" x14ac:dyDescent="0.25">
      <c r="A51" s="18" t="s">
        <v>149</v>
      </c>
      <c r="B51" s="19">
        <v>4029</v>
      </c>
      <c r="C51" s="19" t="s">
        <v>68</v>
      </c>
      <c r="D51" s="19" t="s">
        <v>104</v>
      </c>
      <c r="E51" s="53">
        <v>42483.488587962966</v>
      </c>
      <c r="F51" s="53">
        <v>42483.490115740744</v>
      </c>
      <c r="G51" s="62">
        <v>2</v>
      </c>
      <c r="H51" s="53" t="s">
        <v>282</v>
      </c>
      <c r="I51" s="53">
        <v>42483.510162037041</v>
      </c>
      <c r="J51" s="19">
        <v>0</v>
      </c>
      <c r="K51" s="19" t="str">
        <f t="shared" si="15"/>
        <v>4029/4030</v>
      </c>
      <c r="L51" s="20">
        <f t="shared" si="9"/>
        <v>2.0046296296641231E-2</v>
      </c>
      <c r="M51" s="21"/>
      <c r="N51" s="21"/>
      <c r="O51" s="22"/>
      <c r="P51" s="17"/>
      <c r="R51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11:42:34-0600',mode:absolute,to:'2016-04-23 12:15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51" s="16" t="str">
        <f t="shared" si="11"/>
        <v>Y</v>
      </c>
      <c r="T51" s="16">
        <f t="shared" si="12"/>
        <v>7.5899999999999995E-2</v>
      </c>
      <c r="U51" s="16">
        <f t="shared" si="13"/>
        <v>12.0619</v>
      </c>
      <c r="V51" s="16">
        <f t="shared" si="14"/>
        <v>11.985999999999999</v>
      </c>
      <c r="W51" s="49" t="e">
        <f>VLOOKUP(A51,Enforcements!$C$3:$J$24,8,0)</f>
        <v>#N/A</v>
      </c>
      <c r="X51" s="49" t="e">
        <f>VLOOKUP(A51,Enforcements!$C$3:$J$24,3,0)</f>
        <v>#N/A</v>
      </c>
    </row>
    <row r="52" spans="1:24" s="2" customFormat="1" x14ac:dyDescent="0.25">
      <c r="A52" s="18" t="s">
        <v>265</v>
      </c>
      <c r="B52" s="19">
        <v>4026</v>
      </c>
      <c r="C52" s="19" t="s">
        <v>68</v>
      </c>
      <c r="D52" s="19" t="s">
        <v>230</v>
      </c>
      <c r="E52" s="53">
        <v>42483.554583333331</v>
      </c>
      <c r="F52" s="53">
        <v>42483.556064814817</v>
      </c>
      <c r="G52" s="62">
        <v>2</v>
      </c>
      <c r="H52" s="53" t="s">
        <v>266</v>
      </c>
      <c r="I52" s="53">
        <v>42483.585787037038</v>
      </c>
      <c r="J52" s="19">
        <v>0</v>
      </c>
      <c r="K52" s="19" t="str">
        <f t="shared" si="15"/>
        <v>4025/4026</v>
      </c>
      <c r="L52" s="20">
        <f t="shared" si="9"/>
        <v>2.9722222221607808E-2</v>
      </c>
      <c r="M52" s="21">
        <f>$L52*24*60</f>
        <v>42.799999999115244</v>
      </c>
      <c r="N52" s="21"/>
      <c r="O52" s="22"/>
      <c r="P52" s="17"/>
      <c r="R52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13:17:36-0600',mode:absolute,to:'2016-04-23 14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52" s="16" t="str">
        <f t="shared" si="11"/>
        <v>N</v>
      </c>
      <c r="T52" s="16">
        <f t="shared" si="12"/>
        <v>23.265999999999998</v>
      </c>
      <c r="U52" s="16">
        <f t="shared" si="13"/>
        <v>6.1000000000000004E-3</v>
      </c>
      <c r="V52" s="16">
        <f t="shared" si="14"/>
        <v>23.259899999999998</v>
      </c>
      <c r="W52" s="49" t="e">
        <f>VLOOKUP(A52,Enforcements!$C$3:$J$24,8,0)</f>
        <v>#N/A</v>
      </c>
      <c r="X52" s="49" t="e">
        <f>VLOOKUP(A52,Enforcements!$C$3:$J$24,3,0)</f>
        <v>#N/A</v>
      </c>
    </row>
    <row r="53" spans="1:24" s="2" customFormat="1" x14ac:dyDescent="0.25">
      <c r="A53" s="18" t="s">
        <v>143</v>
      </c>
      <c r="B53" s="19">
        <v>4020</v>
      </c>
      <c r="C53" s="19" t="s">
        <v>68</v>
      </c>
      <c r="D53" s="19" t="s">
        <v>112</v>
      </c>
      <c r="E53" s="53">
        <v>42483.508356481485</v>
      </c>
      <c r="F53" s="53">
        <v>42483.509699074071</v>
      </c>
      <c r="G53" s="62">
        <v>1</v>
      </c>
      <c r="H53" s="53" t="s">
        <v>280</v>
      </c>
      <c r="I53" s="53">
        <v>42483.517152777778</v>
      </c>
      <c r="J53" s="19">
        <v>1</v>
      </c>
      <c r="K53" s="19" t="str">
        <f t="shared" si="15"/>
        <v>4019/4020</v>
      </c>
      <c r="L53" s="20">
        <f t="shared" si="9"/>
        <v>7.4537037071422674E-3</v>
      </c>
      <c r="M53" s="21"/>
      <c r="N53" s="21"/>
      <c r="O53" s="21">
        <f>$L53*24*60</f>
        <v>10.733333338284865</v>
      </c>
      <c r="P53" s="17" t="s">
        <v>339</v>
      </c>
      <c r="R53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12:11:02-0600',mode:absolute,to:'2016-04-23 12:25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53" s="16" t="str">
        <f t="shared" si="11"/>
        <v>Y</v>
      </c>
      <c r="T53" s="16">
        <f t="shared" si="12"/>
        <v>7.5399999999999995E-2</v>
      </c>
      <c r="U53" s="16">
        <f t="shared" si="13"/>
        <v>1.9193</v>
      </c>
      <c r="V53" s="16">
        <f t="shared" si="14"/>
        <v>1.8439000000000001</v>
      </c>
      <c r="W53" s="49">
        <f>VLOOKUP(A53,Enforcements!$C$3:$J$24,8,0)</f>
        <v>20617</v>
      </c>
      <c r="X53" s="49" t="str">
        <f>VLOOKUP(A53,Enforcements!$C$3:$J$24,3,0)</f>
        <v>SIGNAL</v>
      </c>
    </row>
    <row r="54" spans="1:24" s="2" customFormat="1" x14ac:dyDescent="0.25">
      <c r="A54" s="18" t="s">
        <v>264</v>
      </c>
      <c r="B54" s="19">
        <v>4017</v>
      </c>
      <c r="C54" s="19" t="s">
        <v>68</v>
      </c>
      <c r="D54" s="19" t="s">
        <v>240</v>
      </c>
      <c r="E54" s="53">
        <v>42483.560115740744</v>
      </c>
      <c r="F54" s="53">
        <v>42483.561342592591</v>
      </c>
      <c r="G54" s="62">
        <v>1</v>
      </c>
      <c r="H54" s="53" t="s">
        <v>21</v>
      </c>
      <c r="I54" s="53">
        <v>42483.592743055553</v>
      </c>
      <c r="J54" s="19">
        <v>0</v>
      </c>
      <c r="K54" s="19" t="str">
        <f t="shared" si="15"/>
        <v>4017/4018</v>
      </c>
      <c r="L54" s="20">
        <f t="shared" si="9"/>
        <v>3.1400462961755693E-2</v>
      </c>
      <c r="M54" s="21">
        <f>$L54*24*60</f>
        <v>45.216666664928198</v>
      </c>
      <c r="N54" s="21"/>
      <c r="O54" s="22"/>
      <c r="P54" s="17"/>
      <c r="R54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13:25:34-0600',mode:absolute,to:'2016-04-23 14:14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54" s="16" t="str">
        <f t="shared" si="11"/>
        <v>N</v>
      </c>
      <c r="T54" s="16">
        <f t="shared" si="12"/>
        <v>23.265799999999999</v>
      </c>
      <c r="U54" s="16">
        <f t="shared" si="13"/>
        <v>1.47E-2</v>
      </c>
      <c r="V54" s="16">
        <f t="shared" si="14"/>
        <v>23.251099999999997</v>
      </c>
      <c r="W54" s="49" t="e">
        <f>VLOOKUP(A54,Enforcements!$C$3:$J$24,8,0)</f>
        <v>#N/A</v>
      </c>
      <c r="X54" s="49" t="e">
        <f>VLOOKUP(A54,Enforcements!$C$3:$J$24,3,0)</f>
        <v>#N/A</v>
      </c>
    </row>
    <row r="55" spans="1:24" s="2" customFormat="1" x14ac:dyDescent="0.25">
      <c r="A55" s="18" t="s">
        <v>150</v>
      </c>
      <c r="B55" s="19">
        <v>4009</v>
      </c>
      <c r="C55" s="19" t="s">
        <v>68</v>
      </c>
      <c r="D55" s="19" t="s">
        <v>97</v>
      </c>
      <c r="E55" s="53">
        <v>42483.528993055559</v>
      </c>
      <c r="F55" s="53">
        <v>42483.529976851853</v>
      </c>
      <c r="G55" s="62">
        <v>1</v>
      </c>
      <c r="H55" s="53" t="s">
        <v>89</v>
      </c>
      <c r="I55" s="53">
        <v>42483.556956018518</v>
      </c>
      <c r="J55" s="19">
        <v>1</v>
      </c>
      <c r="K55" s="19" t="str">
        <f t="shared" si="15"/>
        <v>4009/4010</v>
      </c>
      <c r="L55" s="20">
        <f t="shared" si="9"/>
        <v>2.6979166665114462E-2</v>
      </c>
      <c r="M55" s="21">
        <f>$L55*24*60</f>
        <v>38.849999997764826</v>
      </c>
      <c r="N55" s="21"/>
      <c r="O55" s="22"/>
      <c r="P55" s="17"/>
      <c r="R55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12:40:45-0600',mode:absolute,to:'2016-04-23 13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55" s="16" t="str">
        <f t="shared" si="11"/>
        <v>N</v>
      </c>
      <c r="T55" s="16">
        <f t="shared" si="12"/>
        <v>7.5499999999999998E-2</v>
      </c>
      <c r="U55" s="16">
        <f t="shared" si="13"/>
        <v>23.331199999999999</v>
      </c>
      <c r="V55" s="16">
        <f t="shared" si="14"/>
        <v>23.255699999999997</v>
      </c>
      <c r="W55" s="49" t="e">
        <f>VLOOKUP(A55,Enforcements!$C$3:$J$24,8,0)</f>
        <v>#N/A</v>
      </c>
      <c r="X55" s="49" t="e">
        <f>VLOOKUP(A55,Enforcements!$C$3:$J$24,3,0)</f>
        <v>#N/A</v>
      </c>
    </row>
    <row r="56" spans="1:24" s="2" customFormat="1" x14ac:dyDescent="0.25">
      <c r="A56" s="18" t="s">
        <v>253</v>
      </c>
      <c r="B56" s="19">
        <v>4039</v>
      </c>
      <c r="C56" s="19" t="s">
        <v>68</v>
      </c>
      <c r="D56" s="19" t="s">
        <v>87</v>
      </c>
      <c r="E56" s="53">
        <v>42483.591956018521</v>
      </c>
      <c r="F56" s="53">
        <v>42483.592858796299</v>
      </c>
      <c r="G56" s="62">
        <v>1</v>
      </c>
      <c r="H56" s="53" t="s">
        <v>254</v>
      </c>
      <c r="I56" s="53">
        <v>42483.624988425923</v>
      </c>
      <c r="J56" s="19">
        <v>0</v>
      </c>
      <c r="K56" s="19" t="str">
        <f t="shared" si="15"/>
        <v>4039/4040</v>
      </c>
      <c r="L56" s="20">
        <f t="shared" si="9"/>
        <v>3.2129629624250811E-2</v>
      </c>
      <c r="M56" s="21">
        <f>$L56*24*60</f>
        <v>46.266666658921167</v>
      </c>
      <c r="N56" s="21"/>
      <c r="O56" s="22"/>
      <c r="P56" s="17"/>
      <c r="R56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14:11:25-0600',mode:absolute,to:'2016-04-23 15:00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56" s="16" t="str">
        <f t="shared" si="11"/>
        <v>N</v>
      </c>
      <c r="T56" s="16">
        <f t="shared" si="12"/>
        <v>23.267199999999999</v>
      </c>
      <c r="U56" s="16">
        <f t="shared" si="13"/>
        <v>1.3599999999999999E-2</v>
      </c>
      <c r="V56" s="16">
        <f t="shared" si="14"/>
        <v>23.253599999999999</v>
      </c>
      <c r="W56" s="49" t="e">
        <f>VLOOKUP(A56,Enforcements!$C$3:$J$24,8,0)</f>
        <v>#N/A</v>
      </c>
      <c r="X56" s="49" t="e">
        <f>VLOOKUP(A56,Enforcements!$C$3:$J$24,3,0)</f>
        <v>#N/A</v>
      </c>
    </row>
    <row r="57" spans="1:24" s="2" customFormat="1" x14ac:dyDescent="0.25">
      <c r="A57" s="18" t="s">
        <v>151</v>
      </c>
      <c r="B57" s="19">
        <v>4044</v>
      </c>
      <c r="C57" s="19" t="s">
        <v>68</v>
      </c>
      <c r="D57" s="19" t="s">
        <v>260</v>
      </c>
      <c r="E57" s="53">
        <v>42483.575509259259</v>
      </c>
      <c r="F57" s="53">
        <v>42483.57613425926</v>
      </c>
      <c r="G57" s="62">
        <v>0</v>
      </c>
      <c r="H57" s="53" t="s">
        <v>89</v>
      </c>
      <c r="I57" s="53">
        <v>42483.588182870371</v>
      </c>
      <c r="J57" s="19">
        <v>2</v>
      </c>
      <c r="K57" s="19" t="str">
        <f t="shared" si="15"/>
        <v>4043/4044</v>
      </c>
      <c r="L57" s="20">
        <f t="shared" si="9"/>
        <v>1.2048611111822538E-2</v>
      </c>
      <c r="M57" s="21"/>
      <c r="N57" s="21"/>
      <c r="O57" s="21">
        <f>SUM($L57:L58)*24*60</f>
        <v>44.183333331020549</v>
      </c>
      <c r="P57" s="17" t="s">
        <v>332</v>
      </c>
      <c r="R57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13:47:44-0600',mode:absolute,to:'2016-04-23 14:07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57" s="16" t="str">
        <f t="shared" si="11"/>
        <v>Y</v>
      </c>
      <c r="T57" s="16">
        <f t="shared" si="12"/>
        <v>12.8337</v>
      </c>
      <c r="U57" s="16">
        <f t="shared" si="13"/>
        <v>23.331199999999999</v>
      </c>
      <c r="V57" s="16">
        <f t="shared" si="14"/>
        <v>10.497499999999999</v>
      </c>
      <c r="W57" s="49">
        <f>VLOOKUP(A57,Enforcements!$C$3:$J$24,8,0)</f>
        <v>232107</v>
      </c>
      <c r="X57" s="49" t="str">
        <f>VLOOKUP(A57,Enforcements!$C$3:$J$24,3,0)</f>
        <v>PERMANENT SPEED RESTRICTION</v>
      </c>
    </row>
    <row r="58" spans="1:24" s="2" customFormat="1" x14ac:dyDescent="0.25">
      <c r="A58" s="18" t="s">
        <v>151</v>
      </c>
      <c r="B58" s="19">
        <v>4044</v>
      </c>
      <c r="C58" s="19" t="s">
        <v>68</v>
      </c>
      <c r="D58" s="19" t="s">
        <v>267</v>
      </c>
      <c r="E58" s="53">
        <v>42483.55028935185</v>
      </c>
      <c r="F58" s="53">
        <v>42483.551608796297</v>
      </c>
      <c r="G58" s="62">
        <v>1</v>
      </c>
      <c r="H58" s="53" t="s">
        <v>268</v>
      </c>
      <c r="I58" s="53">
        <v>42483.570243055554</v>
      </c>
      <c r="J58" s="19">
        <v>0</v>
      </c>
      <c r="K58" s="19" t="str">
        <f t="shared" si="15"/>
        <v>4043/4044</v>
      </c>
      <c r="L58" s="20">
        <f t="shared" si="9"/>
        <v>1.8634259256941732E-2</v>
      </c>
      <c r="M58" s="21"/>
      <c r="N58" s="21"/>
      <c r="O58" s="22"/>
      <c r="P58" s="17"/>
      <c r="R58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13:11:25-0600',mode:absolute,to:'2016-04-23 13:42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58" s="16" t="str">
        <f t="shared" si="11"/>
        <v>Y</v>
      </c>
      <c r="T58" s="16">
        <f t="shared" si="12"/>
        <v>7.2400000000000006E-2</v>
      </c>
      <c r="U58" s="16">
        <f t="shared" si="13"/>
        <v>10.649800000000001</v>
      </c>
      <c r="V58" s="16">
        <f t="shared" si="14"/>
        <v>10.577400000000001</v>
      </c>
      <c r="W58" s="49">
        <f>VLOOKUP(A58,Enforcements!$C$3:$J$24,8,0)</f>
        <v>232107</v>
      </c>
      <c r="X58" s="49" t="str">
        <f>VLOOKUP(A58,Enforcements!$C$3:$J$24,3,0)</f>
        <v>PERMANENT SPEED RESTRICTION</v>
      </c>
    </row>
    <row r="59" spans="1:24" s="2" customFormat="1" ht="15.75" thickBot="1" x14ac:dyDescent="0.3">
      <c r="A59" s="66" t="s">
        <v>249</v>
      </c>
      <c r="B59" s="67">
        <v>4037</v>
      </c>
      <c r="C59" s="67" t="s">
        <v>68</v>
      </c>
      <c r="D59" s="67" t="s">
        <v>250</v>
      </c>
      <c r="E59" s="68">
        <v>42483.613726851851</v>
      </c>
      <c r="F59" s="68">
        <v>42483.614745370367</v>
      </c>
      <c r="G59" s="69">
        <v>1</v>
      </c>
      <c r="H59" s="68" t="s">
        <v>92</v>
      </c>
      <c r="I59" s="68">
        <v>42483.639513888891</v>
      </c>
      <c r="J59" s="67">
        <v>0</v>
      </c>
      <c r="K59" s="19" t="str">
        <f t="shared" si="15"/>
        <v>4037/4038</v>
      </c>
      <c r="L59" s="20">
        <f t="shared" si="9"/>
        <v>2.4768518524069805E-2</v>
      </c>
      <c r="M59" s="21"/>
      <c r="N59" s="71"/>
      <c r="O59" s="21">
        <f>$L59*24*60</f>
        <v>35.666666674660519</v>
      </c>
      <c r="P59" s="17" t="s">
        <v>340</v>
      </c>
      <c r="R59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14:42:46-0600',mode:absolute,to:'2016-04-23 15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S59" s="16" t="str">
        <f t="shared" si="11"/>
        <v>Y</v>
      </c>
      <c r="T59" s="16">
        <f t="shared" si="12"/>
        <v>15.393000000000001</v>
      </c>
      <c r="U59" s="16">
        <f t="shared" si="13"/>
        <v>1.4500000000000001E-2</v>
      </c>
      <c r="V59" s="16">
        <f t="shared" si="14"/>
        <v>15.378500000000001</v>
      </c>
      <c r="W59" s="49" t="e">
        <f>VLOOKUP(A59,Enforcements!$C$3:$J$24,8,0)</f>
        <v>#N/A</v>
      </c>
      <c r="X59" s="49" t="e">
        <f>VLOOKUP(A59,Enforcements!$C$3:$J$24,3,0)</f>
        <v>#N/A</v>
      </c>
    </row>
    <row r="60" spans="1:24" s="2" customFormat="1" x14ac:dyDescent="0.25">
      <c r="A60" s="18" t="s">
        <v>262</v>
      </c>
      <c r="B60" s="19">
        <v>4007</v>
      </c>
      <c r="C60" s="19" t="s">
        <v>68</v>
      </c>
      <c r="D60" s="19" t="s">
        <v>218</v>
      </c>
      <c r="E60" s="53">
        <v>42483.565462962964</v>
      </c>
      <c r="F60" s="53">
        <v>42483.566481481481</v>
      </c>
      <c r="G60" s="62">
        <v>1</v>
      </c>
      <c r="H60" s="53" t="s">
        <v>263</v>
      </c>
      <c r="I60" s="53">
        <v>42483.598564814813</v>
      </c>
      <c r="J60" s="19">
        <v>0</v>
      </c>
      <c r="K60" s="19" t="str">
        <f t="shared" si="15"/>
        <v>4007/4008</v>
      </c>
      <c r="L60" s="20">
        <f t="shared" si="9"/>
        <v>3.2083333331684116E-2</v>
      </c>
      <c r="M60" s="21">
        <f t="shared" ref="M60:M100" si="16">$L60*24*60</f>
        <v>46.199999997625127</v>
      </c>
      <c r="N60" s="21"/>
      <c r="O60" s="22"/>
      <c r="P60" s="17"/>
      <c r="R60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13:33:16-0600',mode:absolute,to:'2016-04-23 14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S60" s="16" t="str">
        <f t="shared" si="11"/>
        <v>N</v>
      </c>
      <c r="T60" s="16">
        <f t="shared" si="12"/>
        <v>7.3499999999999996E-2</v>
      </c>
      <c r="U60" s="16">
        <f t="shared" si="13"/>
        <v>23.331800000000001</v>
      </c>
      <c r="V60" s="16">
        <f t="shared" si="14"/>
        <v>23.258300000000002</v>
      </c>
      <c r="W60" s="49" t="e">
        <f>VLOOKUP(A60,Enforcements!$C$3:$J$24,8,0)</f>
        <v>#N/A</v>
      </c>
      <c r="X60" s="49" t="e">
        <f>VLOOKUP(A60,Enforcements!$C$3:$J$24,3,0)</f>
        <v>#N/A</v>
      </c>
    </row>
    <row r="61" spans="1:24" s="2" customFormat="1" x14ac:dyDescent="0.25">
      <c r="A61" s="18" t="s">
        <v>154</v>
      </c>
      <c r="B61" s="19">
        <v>4015</v>
      </c>
      <c r="C61" s="19" t="s">
        <v>68</v>
      </c>
      <c r="D61" s="19" t="s">
        <v>251</v>
      </c>
      <c r="E61" s="53">
        <v>42483.60465277778</v>
      </c>
      <c r="F61" s="53">
        <v>42483.605636574073</v>
      </c>
      <c r="G61" s="62">
        <v>1</v>
      </c>
      <c r="H61" s="53" t="s">
        <v>252</v>
      </c>
      <c r="I61" s="53">
        <v>42483.646122685182</v>
      </c>
      <c r="J61" s="19">
        <v>2</v>
      </c>
      <c r="K61" s="19" t="str">
        <f t="shared" si="15"/>
        <v>4015/4016</v>
      </c>
      <c r="L61" s="20">
        <f t="shared" si="9"/>
        <v>4.0486111109203193E-2</v>
      </c>
      <c r="M61" s="21">
        <f t="shared" si="16"/>
        <v>58.299999997252598</v>
      </c>
      <c r="N61" s="21"/>
      <c r="O61" s="22"/>
      <c r="P61" s="17"/>
      <c r="R61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14:29:42-0600',mode:absolute,to:'2016-04-23 15:31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S61" s="16" t="str">
        <f t="shared" si="11"/>
        <v>N</v>
      </c>
      <c r="T61" s="16">
        <f t="shared" si="12"/>
        <v>23.277000000000001</v>
      </c>
      <c r="U61" s="16">
        <f t="shared" si="13"/>
        <v>0.10249999999999999</v>
      </c>
      <c r="V61" s="16">
        <f t="shared" si="14"/>
        <v>23.174500000000002</v>
      </c>
      <c r="W61" s="49" t="e">
        <f>VLOOKUP(A61,Enforcements!$C$3:$J$24,8,0)</f>
        <v>#N/A</v>
      </c>
      <c r="X61" s="49" t="e">
        <f>VLOOKUP(A61,Enforcements!$C$3:$J$24,3,0)</f>
        <v>#N/A</v>
      </c>
    </row>
    <row r="62" spans="1:24" s="2" customFormat="1" x14ac:dyDescent="0.25">
      <c r="A62" s="18" t="s">
        <v>152</v>
      </c>
      <c r="B62" s="19">
        <v>4011</v>
      </c>
      <c r="C62" s="19" t="s">
        <v>68</v>
      </c>
      <c r="D62" s="19" t="s">
        <v>109</v>
      </c>
      <c r="E62" s="53">
        <v>42483.571180555555</v>
      </c>
      <c r="F62" s="53">
        <v>42483.572268518517</v>
      </c>
      <c r="G62" s="62">
        <v>1</v>
      </c>
      <c r="H62" s="53" t="s">
        <v>261</v>
      </c>
      <c r="I62" s="53">
        <v>42483.600752314815</v>
      </c>
      <c r="J62" s="19">
        <v>1</v>
      </c>
      <c r="K62" s="19" t="str">
        <f t="shared" si="15"/>
        <v>4011/4012</v>
      </c>
      <c r="L62" s="20">
        <f t="shared" si="9"/>
        <v>2.8483796297223307E-2</v>
      </c>
      <c r="M62" s="21">
        <f t="shared" si="16"/>
        <v>41.016666668001562</v>
      </c>
      <c r="N62" s="21"/>
      <c r="O62" s="22"/>
      <c r="P62" s="17"/>
      <c r="R62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13:41:30-0600',mode:absolute,to:'2016-04-23 14:26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S62" s="16" t="str">
        <f t="shared" si="11"/>
        <v>N</v>
      </c>
      <c r="T62" s="16">
        <f t="shared" si="12"/>
        <v>7.5200000000000003E-2</v>
      </c>
      <c r="U62" s="16">
        <f t="shared" si="13"/>
        <v>23.333200000000001</v>
      </c>
      <c r="V62" s="16">
        <f t="shared" si="14"/>
        <v>23.258000000000003</v>
      </c>
      <c r="W62" s="49">
        <f>VLOOKUP(A62,Enforcements!$C$3:$J$24,8,0)</f>
        <v>149694</v>
      </c>
      <c r="X62" s="49" t="str">
        <f>VLOOKUP(A62,Enforcements!$C$3:$J$24,3,0)</f>
        <v>SIGNAL</v>
      </c>
    </row>
    <row r="63" spans="1:24" s="2" customFormat="1" x14ac:dyDescent="0.25">
      <c r="A63" s="18" t="s">
        <v>247</v>
      </c>
      <c r="B63" s="19">
        <v>4028</v>
      </c>
      <c r="C63" s="19" t="s">
        <v>68</v>
      </c>
      <c r="D63" s="19" t="s">
        <v>248</v>
      </c>
      <c r="E63" s="53">
        <v>42483.619027777779</v>
      </c>
      <c r="F63" s="53">
        <v>42483.619826388887</v>
      </c>
      <c r="G63" s="62">
        <v>1</v>
      </c>
      <c r="H63" s="53">
        <v>8.5395833333333329</v>
      </c>
      <c r="I63" s="53">
        <v>42483.653460648151</v>
      </c>
      <c r="J63" s="19">
        <v>0</v>
      </c>
      <c r="K63" s="19" t="str">
        <f t="shared" si="15"/>
        <v>4027/4028</v>
      </c>
      <c r="L63" s="20">
        <f t="shared" si="9"/>
        <v>3.3634259263635613E-2</v>
      </c>
      <c r="M63" s="21">
        <f t="shared" si="16"/>
        <v>48.433333339635283</v>
      </c>
      <c r="N63" s="21"/>
      <c r="O63" s="22"/>
      <c r="P63" s="17"/>
      <c r="R63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14:50:24-0600',mode:absolute,to:'2016-04-23 15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63" s="16" t="str">
        <f t="shared" si="11"/>
        <v>N</v>
      </c>
      <c r="T63" s="16">
        <f t="shared" si="12"/>
        <v>23.2742</v>
      </c>
      <c r="U63" s="16">
        <f t="shared" si="13"/>
        <v>95833333.333299994</v>
      </c>
      <c r="V63" s="16">
        <f t="shared" si="14"/>
        <v>95833310.059099987</v>
      </c>
      <c r="W63" s="49" t="e">
        <f>VLOOKUP(A63,Enforcements!$C$3:$J$24,8,0)</f>
        <v>#N/A</v>
      </c>
      <c r="X63" s="49" t="e">
        <f>VLOOKUP(A63,Enforcements!$C$3:$J$24,3,0)</f>
        <v>#N/A</v>
      </c>
    </row>
    <row r="64" spans="1:24" s="2" customFormat="1" x14ac:dyDescent="0.25">
      <c r="A64" s="18" t="s">
        <v>258</v>
      </c>
      <c r="B64" s="19">
        <v>4029</v>
      </c>
      <c r="C64" s="19" t="s">
        <v>68</v>
      </c>
      <c r="D64" s="19" t="s">
        <v>69</v>
      </c>
      <c r="E64" s="53">
        <v>42483.576481481483</v>
      </c>
      <c r="F64" s="53">
        <v>42483.577384259261</v>
      </c>
      <c r="G64" s="62">
        <v>1</v>
      </c>
      <c r="H64" s="53" t="s">
        <v>259</v>
      </c>
      <c r="I64" s="53">
        <v>42483.610462962963</v>
      </c>
      <c r="J64" s="19">
        <v>0</v>
      </c>
      <c r="K64" s="19" t="str">
        <f t="shared" si="15"/>
        <v>4029/4030</v>
      </c>
      <c r="L64" s="20">
        <f t="shared" si="9"/>
        <v>3.3078703701903578E-2</v>
      </c>
      <c r="M64" s="21">
        <f t="shared" si="16"/>
        <v>47.633333330741152</v>
      </c>
      <c r="N64" s="21"/>
      <c r="O64" s="22"/>
      <c r="P64" s="17"/>
      <c r="R64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13:49:08-0600',mode:absolute,to:'2016-04-23 14:40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64" s="16" t="str">
        <f t="shared" si="11"/>
        <v>N</v>
      </c>
      <c r="T64" s="16">
        <f t="shared" si="12"/>
        <v>7.6799999999999993E-2</v>
      </c>
      <c r="U64" s="16">
        <f t="shared" si="13"/>
        <v>23.339700000000001</v>
      </c>
      <c r="V64" s="16">
        <f t="shared" si="14"/>
        <v>23.262900000000002</v>
      </c>
      <c r="W64" s="49" t="e">
        <f>VLOOKUP(A64,Enforcements!$C$3:$J$24,8,0)</f>
        <v>#N/A</v>
      </c>
      <c r="X64" s="49" t="e">
        <f>VLOOKUP(A64,Enforcements!$C$3:$J$24,3,0)</f>
        <v>#N/A</v>
      </c>
    </row>
    <row r="65" spans="1:24" s="2" customFormat="1" x14ac:dyDescent="0.25">
      <c r="A65" s="18" t="s">
        <v>242</v>
      </c>
      <c r="B65" s="19">
        <v>4026</v>
      </c>
      <c r="C65" s="19" t="s">
        <v>68</v>
      </c>
      <c r="D65" s="19" t="s">
        <v>243</v>
      </c>
      <c r="E65" s="53">
        <v>42483.630624999998</v>
      </c>
      <c r="F65" s="53">
        <v>42483.631944444445</v>
      </c>
      <c r="G65" s="62">
        <v>1</v>
      </c>
      <c r="H65" s="53" t="s">
        <v>244</v>
      </c>
      <c r="I65" s="53">
        <v>42483.672881944447</v>
      </c>
      <c r="J65" s="19">
        <v>0</v>
      </c>
      <c r="K65" s="19" t="str">
        <f t="shared" si="15"/>
        <v>4025/4026</v>
      </c>
      <c r="L65" s="20">
        <f t="shared" si="9"/>
        <v>4.093750000174623E-2</v>
      </c>
      <c r="M65" s="21">
        <f t="shared" si="16"/>
        <v>58.950000002514571</v>
      </c>
      <c r="N65" s="21"/>
      <c r="O65" s="21"/>
      <c r="P65" s="17"/>
      <c r="R65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15:07:06-0600',mode:absolute,to:'2016-04-23 16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65" s="16" t="str">
        <f t="shared" si="11"/>
        <v>N</v>
      </c>
      <c r="T65" s="16">
        <f t="shared" si="12"/>
        <v>23.264099999999999</v>
      </c>
      <c r="U65" s="16">
        <f t="shared" si="13"/>
        <v>6.3E-3</v>
      </c>
      <c r="V65" s="16">
        <f t="shared" si="14"/>
        <v>23.2578</v>
      </c>
      <c r="W65" s="49" t="e">
        <f>VLOOKUP(A65,Enforcements!$C$3:$J$24,8,0)</f>
        <v>#N/A</v>
      </c>
      <c r="X65" s="49" t="e">
        <f>VLOOKUP(A65,Enforcements!$C$3:$J$24,3,0)</f>
        <v>#N/A</v>
      </c>
    </row>
    <row r="66" spans="1:24" s="2" customFormat="1" x14ac:dyDescent="0.25">
      <c r="A66" s="18" t="s">
        <v>255</v>
      </c>
      <c r="B66" s="19">
        <v>4020</v>
      </c>
      <c r="C66" s="19" t="s">
        <v>68</v>
      </c>
      <c r="D66" s="19" t="s">
        <v>256</v>
      </c>
      <c r="E66" s="53">
        <v>42483.590775462966</v>
      </c>
      <c r="F66" s="53">
        <v>42483.592152777775</v>
      </c>
      <c r="G66" s="62">
        <v>1</v>
      </c>
      <c r="H66" s="53" t="s">
        <v>257</v>
      </c>
      <c r="I66" s="53">
        <v>42483.626331018517</v>
      </c>
      <c r="J66" s="19">
        <v>0</v>
      </c>
      <c r="K66" s="19" t="str">
        <f t="shared" si="15"/>
        <v>4019/4020</v>
      </c>
      <c r="L66" s="20">
        <f t="shared" si="9"/>
        <v>3.4178240741312038E-2</v>
      </c>
      <c r="M66" s="21">
        <f t="shared" si="16"/>
        <v>49.216666667489335</v>
      </c>
      <c r="N66" s="21"/>
      <c r="O66" s="21"/>
      <c r="P66" s="17"/>
      <c r="R66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14:09:43-0600',mode:absolute,to:'2016-04-23 15:02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66" s="16" t="str">
        <f t="shared" si="11"/>
        <v>N</v>
      </c>
      <c r="T66" s="16">
        <f t="shared" si="12"/>
        <v>7.0099999999999996E-2</v>
      </c>
      <c r="U66" s="16">
        <f t="shared" si="13"/>
        <v>23.328600000000002</v>
      </c>
      <c r="V66" s="16">
        <f t="shared" si="14"/>
        <v>23.258500000000002</v>
      </c>
      <c r="W66" s="49" t="e">
        <f>VLOOKUP(A66,Enforcements!$C$3:$J$24,8,0)</f>
        <v>#N/A</v>
      </c>
      <c r="X66" s="49" t="e">
        <f>VLOOKUP(A66,Enforcements!$C$3:$J$24,3,0)</f>
        <v>#N/A</v>
      </c>
    </row>
    <row r="67" spans="1:24" s="2" customFormat="1" ht="15.75" thickBot="1" x14ac:dyDescent="0.3">
      <c r="A67" s="18" t="s">
        <v>158</v>
      </c>
      <c r="B67" s="19">
        <v>4017</v>
      </c>
      <c r="C67" s="19" t="s">
        <v>68</v>
      </c>
      <c r="D67" s="19" t="s">
        <v>240</v>
      </c>
      <c r="E67" s="53">
        <v>42483.641365740739</v>
      </c>
      <c r="F67" s="53">
        <v>42483.642731481479</v>
      </c>
      <c r="G67" s="62">
        <v>1</v>
      </c>
      <c r="H67" s="53" t="s">
        <v>241</v>
      </c>
      <c r="I67" s="53">
        <v>42483.684340277781</v>
      </c>
      <c r="J67" s="19">
        <v>2</v>
      </c>
      <c r="K67" s="67" t="str">
        <f t="shared" si="15"/>
        <v>4017/4018</v>
      </c>
      <c r="L67" s="70">
        <f t="shared" ref="L67:L98" si="17">I67-F67</f>
        <v>4.1608796302170958E-2</v>
      </c>
      <c r="M67" s="21">
        <f t="shared" si="16"/>
        <v>59.91666667512618</v>
      </c>
      <c r="N67" s="21"/>
      <c r="O67" s="22"/>
      <c r="P67" s="17"/>
      <c r="R67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15:22:34-0600',mode:absolute,to:'2016-04-23 16:26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67" s="16" t="str">
        <f t="shared" si="11"/>
        <v>N</v>
      </c>
      <c r="T67" s="16">
        <f t="shared" si="12"/>
        <v>23.265799999999999</v>
      </c>
      <c r="U67" s="16">
        <f t="shared" si="13"/>
        <v>1.83E-2</v>
      </c>
      <c r="V67" s="16">
        <f t="shared" ref="V67:V68" si="18">ABS(U67-T67)</f>
        <v>23.247499999999999</v>
      </c>
      <c r="W67" s="49">
        <f>VLOOKUP(A67,Enforcements!$C$3:$J$24,8,0)</f>
        <v>15167</v>
      </c>
      <c r="X67" s="49" t="str">
        <f>VLOOKUP(A67,Enforcements!$C$3:$J$24,3,0)</f>
        <v>PERMANENT SPEED RESTRICTION</v>
      </c>
    </row>
    <row r="68" spans="1:24" s="2" customFormat="1" ht="15.75" thickBot="1" x14ac:dyDescent="0.3">
      <c r="A68" s="18" t="s">
        <v>153</v>
      </c>
      <c r="B68" s="19">
        <v>4009</v>
      </c>
      <c r="C68" s="19" t="s">
        <v>68</v>
      </c>
      <c r="D68" s="19" t="s">
        <v>69</v>
      </c>
      <c r="E68" s="53">
        <v>42483.597962962966</v>
      </c>
      <c r="F68" s="53">
        <v>42483.599166666667</v>
      </c>
      <c r="G68" s="62">
        <v>1</v>
      </c>
      <c r="H68" s="53" t="s">
        <v>99</v>
      </c>
      <c r="I68" s="53">
        <v>42483.636134259257</v>
      </c>
      <c r="J68" s="19">
        <v>1</v>
      </c>
      <c r="K68" s="67" t="str">
        <f t="shared" si="15"/>
        <v>4009/4010</v>
      </c>
      <c r="L68" s="70">
        <f t="shared" si="17"/>
        <v>3.6967592590372078E-2</v>
      </c>
      <c r="M68" s="21">
        <f t="shared" si="16"/>
        <v>53.233333330135792</v>
      </c>
      <c r="N68" s="21"/>
      <c r="O68" s="22"/>
      <c r="P68" s="17"/>
      <c r="R68" s="16" t="str">
        <f t="shared" si="10"/>
        <v>https://search-rtdc-monitor-bjffxe2xuh6vdkpspy63sjmuny.us-east-1.es.amazonaws.com/_plugin/kibana/#/discover/Steve-Slow-Train-Analysis-(2080s-and-2083s)?_g=(refreshInterval:(display:Off,section:0,value:0),time:(from:'2016-04-23 14:20:04-0600',mode:absolute,to:'2016-04-23 15:17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68" s="16" t="str">
        <f t="shared" si="11"/>
        <v>N</v>
      </c>
      <c r="T68" s="16">
        <f t="shared" si="12"/>
        <v>7.6799999999999993E-2</v>
      </c>
      <c r="U68" s="16">
        <f t="shared" si="13"/>
        <v>23.329699999999999</v>
      </c>
      <c r="V68" s="16">
        <f t="shared" si="18"/>
        <v>23.2529</v>
      </c>
      <c r="W68" s="49" t="e">
        <f>VLOOKUP(A68,Enforcements!$C$3:$J$24,8,0)</f>
        <v>#N/A</v>
      </c>
      <c r="X68" s="49" t="e">
        <f>VLOOKUP(A68,Enforcements!$C$3:$J$24,3,0)</f>
        <v>#N/A</v>
      </c>
    </row>
    <row r="69" spans="1:24" s="2" customFormat="1" ht="15.75" thickBot="1" x14ac:dyDescent="0.3">
      <c r="A69" s="18" t="s">
        <v>159</v>
      </c>
      <c r="B69" s="19">
        <v>4039</v>
      </c>
      <c r="C69" s="19" t="s">
        <v>68</v>
      </c>
      <c r="D69" s="19" t="s">
        <v>80</v>
      </c>
      <c r="E69" s="53">
        <v>42483.662557870368</v>
      </c>
      <c r="F69" s="53">
        <v>42483.663402777776</v>
      </c>
      <c r="G69" s="62">
        <v>1</v>
      </c>
      <c r="H69" s="53" t="s">
        <v>21</v>
      </c>
      <c r="I69" s="53">
        <v>42483.697060185186</v>
      </c>
      <c r="J69" s="19">
        <v>1</v>
      </c>
      <c r="K69" s="67" t="str">
        <f t="shared" si="15"/>
        <v>4039/4040</v>
      </c>
      <c r="L69" s="70">
        <f t="shared" si="17"/>
        <v>3.365740740991896E-2</v>
      </c>
      <c r="M69" s="21">
        <f t="shared" si="16"/>
        <v>48.466666670283303</v>
      </c>
      <c r="N69" s="21"/>
      <c r="O69" s="22"/>
      <c r="P69" s="17"/>
      <c r="R69" s="16" t="str">
        <f t="shared" ref="R69:R105" si="19"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https://search-rtdc-monitor-bjffxe2xuh6vdkpspy63sjmuny.us-east-1.es.amazonaws.com/_plugin/kibana/#/discover/Steve-Slow-Train-Analysis-(2080s-and-2083s)?_g=(refreshInterval:(display:Off,section:0,value:0),time:(from:'2016-04-23 15:53:05-0600',mode:absolute,to:'2016-04-23 16:44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69" s="16" t="str">
        <f t="shared" ref="S69:S105" si="20">IF(V69&lt;23,"Y","N")</f>
        <v>N</v>
      </c>
      <c r="T69" s="16">
        <f t="shared" ref="T69:T105" si="21">RIGHT(D69,LEN(D69)-4)/10000</f>
        <v>23.267299999999999</v>
      </c>
      <c r="U69" s="16">
        <f t="shared" ref="U69:U105" si="22">RIGHT(H69,LEN(H69)-4)/10000</f>
        <v>1.47E-2</v>
      </c>
      <c r="V69" s="16">
        <f t="shared" ref="V69:V105" si="23">ABS(U69-T69)</f>
        <v>23.252599999999997</v>
      </c>
      <c r="W69" s="49" t="e">
        <f>VLOOKUP(A69,Enforcements!$C$3:$J$24,8,0)</f>
        <v>#N/A</v>
      </c>
      <c r="X69" s="49" t="e">
        <f>VLOOKUP(A69,Enforcements!$C$3:$J$24,3,0)</f>
        <v>#N/A</v>
      </c>
    </row>
    <row r="70" spans="1:24" s="2" customFormat="1" ht="15.75" thickBot="1" x14ac:dyDescent="0.3">
      <c r="A70" s="18" t="s">
        <v>155</v>
      </c>
      <c r="B70" s="19">
        <v>4044</v>
      </c>
      <c r="C70" s="19" t="s">
        <v>68</v>
      </c>
      <c r="D70" s="19" t="s">
        <v>245</v>
      </c>
      <c r="E70" s="53">
        <v>42483.629247685189</v>
      </c>
      <c r="F70" s="53">
        <v>42483.631539351853</v>
      </c>
      <c r="G70" s="62">
        <v>3</v>
      </c>
      <c r="H70" s="53" t="s">
        <v>246</v>
      </c>
      <c r="I70" s="53">
        <v>42483.658460648148</v>
      </c>
      <c r="J70" s="19">
        <v>1</v>
      </c>
      <c r="K70" s="67" t="str">
        <f t="shared" si="15"/>
        <v>4043/4044</v>
      </c>
      <c r="L70" s="70">
        <f t="shared" si="17"/>
        <v>2.6921296295768116E-2</v>
      </c>
      <c r="M70" s="21">
        <f t="shared" si="16"/>
        <v>38.766666665906087</v>
      </c>
      <c r="N70" s="21"/>
      <c r="O70" s="22"/>
      <c r="P70" s="17"/>
      <c r="R70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15:05:07-0600',mode:absolute,to:'2016-04-23 15:49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70" s="16" t="str">
        <f t="shared" si="20"/>
        <v>N</v>
      </c>
      <c r="T70" s="16">
        <f t="shared" si="21"/>
        <v>0.25169999999999998</v>
      </c>
      <c r="U70" s="16">
        <f t="shared" si="22"/>
        <v>23.3293</v>
      </c>
      <c r="V70" s="16">
        <f t="shared" si="23"/>
        <v>23.0776</v>
      </c>
      <c r="W70" s="49" t="e">
        <f>VLOOKUP(A70,Enforcements!$C$3:$J$24,8,0)</f>
        <v>#N/A</v>
      </c>
      <c r="X70" s="49" t="e">
        <f>VLOOKUP(A70,Enforcements!$C$3:$J$24,3,0)</f>
        <v>#N/A</v>
      </c>
    </row>
    <row r="71" spans="1:24" s="2" customFormat="1" ht="15.75" thickBot="1" x14ac:dyDescent="0.3">
      <c r="A71" s="18" t="s">
        <v>229</v>
      </c>
      <c r="B71" s="19">
        <v>4037</v>
      </c>
      <c r="C71" s="19" t="s">
        <v>68</v>
      </c>
      <c r="D71" s="19" t="s">
        <v>230</v>
      </c>
      <c r="E71" s="53">
        <v>42483.684004629627</v>
      </c>
      <c r="F71" s="53">
        <v>42483.685162037036</v>
      </c>
      <c r="G71" s="62">
        <v>1</v>
      </c>
      <c r="H71" s="53" t="s">
        <v>231</v>
      </c>
      <c r="I71" s="53">
        <v>42483.719027777777</v>
      </c>
      <c r="J71" s="19">
        <v>0</v>
      </c>
      <c r="K71" s="67" t="str">
        <f t="shared" si="15"/>
        <v>4037/4038</v>
      </c>
      <c r="L71" s="70">
        <f t="shared" si="17"/>
        <v>3.3865740741021E-2</v>
      </c>
      <c r="M71" s="21">
        <f t="shared" si="16"/>
        <v>48.76666666707024</v>
      </c>
      <c r="N71" s="21"/>
      <c r="O71" s="22"/>
      <c r="P71" s="17"/>
      <c r="R71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16:23:58-0600',mode:absolute,to:'2016-04-23 17:16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S71" s="16" t="str">
        <f t="shared" si="20"/>
        <v>N</v>
      </c>
      <c r="T71" s="16">
        <f t="shared" si="21"/>
        <v>23.265999999999998</v>
      </c>
      <c r="U71" s="16">
        <f t="shared" si="22"/>
        <v>1.2699999999999999E-2</v>
      </c>
      <c r="V71" s="16">
        <f t="shared" si="23"/>
        <v>23.253299999999999</v>
      </c>
      <c r="W71" s="49" t="e">
        <f>VLOOKUP(A71,Enforcements!$C$3:$J$24,8,0)</f>
        <v>#N/A</v>
      </c>
      <c r="X71" s="49" t="e">
        <f>VLOOKUP(A71,Enforcements!$C$3:$J$24,3,0)</f>
        <v>#N/A</v>
      </c>
    </row>
    <row r="72" spans="1:24" s="2" customFormat="1" ht="15.75" thickBot="1" x14ac:dyDescent="0.3">
      <c r="A72" s="18" t="s">
        <v>157</v>
      </c>
      <c r="B72" s="19">
        <v>4007</v>
      </c>
      <c r="C72" s="19" t="s">
        <v>68</v>
      </c>
      <c r="D72" s="19" t="s">
        <v>106</v>
      </c>
      <c r="E72" s="53">
        <v>42483.643391203703</v>
      </c>
      <c r="F72" s="53">
        <v>42483.644479166665</v>
      </c>
      <c r="G72" s="62">
        <v>1</v>
      </c>
      <c r="H72" s="53" t="s">
        <v>239</v>
      </c>
      <c r="I72" s="53">
        <v>42483.677673611113</v>
      </c>
      <c r="J72" s="19">
        <v>1</v>
      </c>
      <c r="K72" s="67" t="str">
        <f t="shared" si="15"/>
        <v>4007/4008</v>
      </c>
      <c r="L72" s="70">
        <f t="shared" si="17"/>
        <v>3.3194444447872229E-2</v>
      </c>
      <c r="M72" s="21">
        <f t="shared" si="16"/>
        <v>47.80000000493601</v>
      </c>
      <c r="N72" s="21"/>
      <c r="O72" s="22"/>
      <c r="P72" s="17"/>
      <c r="R72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15:25:29-0600',mode:absolute,to:'2016-04-23 16:16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S72" s="16" t="str">
        <f t="shared" si="20"/>
        <v>N</v>
      </c>
      <c r="T72" s="16">
        <f t="shared" si="21"/>
        <v>7.6600000000000001E-2</v>
      </c>
      <c r="U72" s="16">
        <f t="shared" si="22"/>
        <v>23.3291</v>
      </c>
      <c r="V72" s="16">
        <f t="shared" si="23"/>
        <v>23.252500000000001</v>
      </c>
      <c r="W72" s="49" t="e">
        <f>VLOOKUP(A72,Enforcements!$C$3:$J$24,8,0)</f>
        <v>#N/A</v>
      </c>
      <c r="X72" s="49" t="e">
        <f>VLOOKUP(A72,Enforcements!$C$3:$J$24,3,0)</f>
        <v>#N/A</v>
      </c>
    </row>
    <row r="73" spans="1:24" s="2" customFormat="1" ht="15.75" thickBot="1" x14ac:dyDescent="0.3">
      <c r="A73" s="18" t="s">
        <v>161</v>
      </c>
      <c r="B73" s="19">
        <v>4015</v>
      </c>
      <c r="C73" s="19" t="s">
        <v>68</v>
      </c>
      <c r="D73" s="19" t="s">
        <v>114</v>
      </c>
      <c r="E73" s="53">
        <v>42483.686354166668</v>
      </c>
      <c r="F73" s="53">
        <v>42483.6871875</v>
      </c>
      <c r="G73" s="62">
        <v>1</v>
      </c>
      <c r="H73" s="53" t="s">
        <v>116</v>
      </c>
      <c r="I73" s="53">
        <v>42483.723900462966</v>
      </c>
      <c r="J73" s="19">
        <v>1</v>
      </c>
      <c r="K73" s="67" t="str">
        <f t="shared" si="15"/>
        <v>4015/4016</v>
      </c>
      <c r="L73" s="70">
        <f t="shared" si="17"/>
        <v>3.6712962966703344E-2</v>
      </c>
      <c r="M73" s="21">
        <f t="shared" si="16"/>
        <v>52.866666672052816</v>
      </c>
      <c r="N73" s="21"/>
      <c r="O73" s="22"/>
      <c r="P73" s="17"/>
      <c r="R73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16:27:21-0600',mode:absolute,to:'2016-04-23 17:23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S73" s="16" t="str">
        <f t="shared" si="20"/>
        <v>N</v>
      </c>
      <c r="T73" s="16">
        <f t="shared" si="21"/>
        <v>23.268999999999998</v>
      </c>
      <c r="U73" s="16">
        <f t="shared" si="22"/>
        <v>1.61E-2</v>
      </c>
      <c r="V73" s="16">
        <f t="shared" si="23"/>
        <v>23.252899999999997</v>
      </c>
      <c r="W73" s="49" t="e">
        <f>VLOOKUP(A73,Enforcements!$C$3:$J$24,8,0)</f>
        <v>#N/A</v>
      </c>
      <c r="X73" s="49" t="e">
        <f>VLOOKUP(A73,Enforcements!$C$3:$J$24,3,0)</f>
        <v>#N/A</v>
      </c>
    </row>
    <row r="74" spans="1:24" s="2" customFormat="1" ht="15.75" thickBot="1" x14ac:dyDescent="0.3">
      <c r="A74" s="18" t="s">
        <v>238</v>
      </c>
      <c r="B74" s="19">
        <v>4011</v>
      </c>
      <c r="C74" s="19" t="s">
        <v>68</v>
      </c>
      <c r="D74" s="19" t="s">
        <v>88</v>
      </c>
      <c r="E74" s="53">
        <v>42483.652604166666</v>
      </c>
      <c r="F74" s="53">
        <v>42483.653912037036</v>
      </c>
      <c r="G74" s="62">
        <v>1</v>
      </c>
      <c r="H74" s="53" t="s">
        <v>206</v>
      </c>
      <c r="I74" s="53">
        <v>42483.683969907404</v>
      </c>
      <c r="J74" s="19">
        <v>0</v>
      </c>
      <c r="K74" s="67" t="str">
        <f t="shared" si="15"/>
        <v>4011/4012</v>
      </c>
      <c r="L74" s="70">
        <f t="shared" si="17"/>
        <v>3.0057870368182193E-2</v>
      </c>
      <c r="M74" s="21">
        <f t="shared" si="16"/>
        <v>43.283333330182359</v>
      </c>
      <c r="N74" s="21"/>
      <c r="O74" s="22"/>
      <c r="P74" s="17"/>
      <c r="R74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15:38:45-0600',mode:absolute,to:'2016-04-23 16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S74" s="16" t="str">
        <f t="shared" si="20"/>
        <v>N</v>
      </c>
      <c r="T74" s="16">
        <f t="shared" si="21"/>
        <v>7.4800000000000005E-2</v>
      </c>
      <c r="U74" s="16">
        <f t="shared" si="22"/>
        <v>23.331399999999999</v>
      </c>
      <c r="V74" s="16">
        <f t="shared" si="23"/>
        <v>23.256599999999999</v>
      </c>
      <c r="W74" s="49" t="e">
        <f>VLOOKUP(A74,Enforcements!$C$3:$J$24,8,0)</f>
        <v>#N/A</v>
      </c>
      <c r="X74" s="49" t="e">
        <f>VLOOKUP(A74,Enforcements!$C$3:$J$24,3,0)</f>
        <v>#N/A</v>
      </c>
    </row>
    <row r="75" spans="1:24" s="2" customFormat="1" ht="15.75" thickBot="1" x14ac:dyDescent="0.3">
      <c r="A75" s="18" t="s">
        <v>162</v>
      </c>
      <c r="B75" s="19">
        <v>4028</v>
      </c>
      <c r="C75" s="19" t="s">
        <v>68</v>
      </c>
      <c r="D75" s="19" t="s">
        <v>228</v>
      </c>
      <c r="E75" s="53">
        <v>42483.699780092589</v>
      </c>
      <c r="F75" s="53">
        <v>42483.700520833336</v>
      </c>
      <c r="G75" s="62">
        <v>1</v>
      </c>
      <c r="H75" s="53" t="s">
        <v>105</v>
      </c>
      <c r="I75" s="53">
        <v>42483.739664351851</v>
      </c>
      <c r="J75" s="19">
        <v>1</v>
      </c>
      <c r="K75" s="67" t="str">
        <f t="shared" si="15"/>
        <v>4027/4028</v>
      </c>
      <c r="L75" s="70">
        <f t="shared" si="17"/>
        <v>3.9143518515629694E-2</v>
      </c>
      <c r="M75" s="21">
        <f t="shared" si="16"/>
        <v>56.366666662506759</v>
      </c>
      <c r="N75" s="21"/>
      <c r="O75" s="22"/>
      <c r="P75" s="17"/>
      <c r="R75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16:46:41-0600',mode:absolute,to:'2016-04-23 17:46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75" s="16" t="str">
        <f t="shared" si="20"/>
        <v>N</v>
      </c>
      <c r="T75" s="16">
        <f t="shared" si="21"/>
        <v>23.273199999999999</v>
      </c>
      <c r="U75" s="16">
        <f t="shared" si="22"/>
        <v>1.52E-2</v>
      </c>
      <c r="V75" s="16">
        <f t="shared" si="23"/>
        <v>23.257999999999999</v>
      </c>
      <c r="W75" s="49">
        <f>VLOOKUP(A75,Enforcements!$C$3:$J$24,8,0)</f>
        <v>42961</v>
      </c>
      <c r="X75" s="49" t="str">
        <f>VLOOKUP(A75,Enforcements!$C$3:$J$24,3,0)</f>
        <v>GRADE CROSSING</v>
      </c>
    </row>
    <row r="76" spans="1:24" s="2" customFormat="1" ht="15.75" thickBot="1" x14ac:dyDescent="0.3">
      <c r="A76" s="18" t="s">
        <v>235</v>
      </c>
      <c r="B76" s="19">
        <v>4029</v>
      </c>
      <c r="C76" s="19" t="s">
        <v>68</v>
      </c>
      <c r="D76" s="19" t="s">
        <v>236</v>
      </c>
      <c r="E76" s="53">
        <v>42483.663680555554</v>
      </c>
      <c r="F76" s="53">
        <v>42483.66479166667</v>
      </c>
      <c r="G76" s="62">
        <v>1</v>
      </c>
      <c r="H76" s="53" t="s">
        <v>237</v>
      </c>
      <c r="I76" s="53">
        <v>42483.6952662037</v>
      </c>
      <c r="J76" s="19">
        <v>0</v>
      </c>
      <c r="K76" s="67" t="str">
        <f t="shared" si="15"/>
        <v>4029/4030</v>
      </c>
      <c r="L76" s="70">
        <f t="shared" si="17"/>
        <v>3.0474537030386273E-2</v>
      </c>
      <c r="M76" s="21">
        <f t="shared" si="16"/>
        <v>43.883333323756233</v>
      </c>
      <c r="N76" s="21"/>
      <c r="O76" s="22"/>
      <c r="P76" s="17"/>
      <c r="R76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15:54:42-0600',mode:absolute,to:'2016-04-23 16:42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76" s="16" t="str">
        <f t="shared" si="20"/>
        <v>N</v>
      </c>
      <c r="T76" s="16">
        <f t="shared" si="21"/>
        <v>6.88E-2</v>
      </c>
      <c r="U76" s="16">
        <f t="shared" si="22"/>
        <v>23.337</v>
      </c>
      <c r="V76" s="16">
        <f t="shared" si="23"/>
        <v>23.2682</v>
      </c>
      <c r="W76" s="49" t="e">
        <f>VLOOKUP(A76,Enforcements!$C$3:$J$24,8,0)</f>
        <v>#N/A</v>
      </c>
      <c r="X76" s="49" t="e">
        <f>VLOOKUP(A76,Enforcements!$C$3:$J$24,3,0)</f>
        <v>#N/A</v>
      </c>
    </row>
    <row r="77" spans="1:24" s="2" customFormat="1" ht="15.75" thickBot="1" x14ac:dyDescent="0.3">
      <c r="A77" s="18" t="s">
        <v>163</v>
      </c>
      <c r="B77" s="19">
        <v>4026</v>
      </c>
      <c r="C77" s="19" t="s">
        <v>68</v>
      </c>
      <c r="D77" s="19" t="s">
        <v>224</v>
      </c>
      <c r="E77" s="53">
        <v>42483.723425925928</v>
      </c>
      <c r="F77" s="53">
        <v>42483.724664351852</v>
      </c>
      <c r="G77" s="62">
        <v>1</v>
      </c>
      <c r="H77" s="53" t="s">
        <v>225</v>
      </c>
      <c r="I77" s="53">
        <v>42483.764988425923</v>
      </c>
      <c r="J77" s="19">
        <v>1</v>
      </c>
      <c r="K77" s="67" t="str">
        <f t="shared" ref="K77:K105" si="24">IF(ISEVEN(B77),(B77-1)&amp;"/"&amp;B77,B77&amp;"/"&amp;(B77+1))</f>
        <v>4025/4026</v>
      </c>
      <c r="L77" s="70">
        <f t="shared" si="17"/>
        <v>4.0324074070667848E-2</v>
      </c>
      <c r="M77" s="21">
        <f t="shared" si="16"/>
        <v>58.066666661761701</v>
      </c>
      <c r="N77" s="21"/>
      <c r="O77" s="22"/>
      <c r="P77" s="17"/>
      <c r="R77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17:20:44-0600',mode:absolute,to:'2016-04-23 18:22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77" s="16" t="str">
        <f t="shared" si="20"/>
        <v>N</v>
      </c>
      <c r="T77" s="16">
        <f t="shared" si="21"/>
        <v>23.2713</v>
      </c>
      <c r="U77" s="16">
        <f t="shared" si="22"/>
        <v>1.09E-2</v>
      </c>
      <c r="V77" s="16">
        <f t="shared" si="23"/>
        <v>23.260400000000001</v>
      </c>
      <c r="W77" s="49" t="e">
        <f>VLOOKUP(A77,Enforcements!$C$3:$J$24,8,0)</f>
        <v>#N/A</v>
      </c>
      <c r="X77" s="49" t="e">
        <f>VLOOKUP(A77,Enforcements!$C$3:$J$24,3,0)</f>
        <v>#N/A</v>
      </c>
    </row>
    <row r="78" spans="1:24" s="2" customFormat="1" ht="15.75" thickBot="1" x14ac:dyDescent="0.3">
      <c r="A78" s="18" t="s">
        <v>232</v>
      </c>
      <c r="B78" s="19">
        <v>4020</v>
      </c>
      <c r="C78" s="19" t="s">
        <v>68</v>
      </c>
      <c r="D78" s="19" t="s">
        <v>233</v>
      </c>
      <c r="E78" s="53">
        <v>42483.6796412037</v>
      </c>
      <c r="F78" s="53">
        <v>42483.680937500001</v>
      </c>
      <c r="G78" s="62">
        <v>1</v>
      </c>
      <c r="H78" s="53" t="s">
        <v>234</v>
      </c>
      <c r="I78" s="53">
        <v>42483.717627314814</v>
      </c>
      <c r="J78" s="19">
        <v>0</v>
      </c>
      <c r="K78" s="67" t="str">
        <f t="shared" si="24"/>
        <v>4019/4020</v>
      </c>
      <c r="L78" s="70">
        <f t="shared" si="17"/>
        <v>3.6689814813144039E-2</v>
      </c>
      <c r="M78" s="21">
        <f t="shared" si="16"/>
        <v>52.833333330927417</v>
      </c>
      <c r="N78" s="21"/>
      <c r="O78" s="22"/>
      <c r="P78" s="17"/>
      <c r="R78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16:17:41-0600',mode:absolute,to:'2016-04-23 17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78" s="16" t="str">
        <f t="shared" si="20"/>
        <v>N</v>
      </c>
      <c r="T78" s="16">
        <f t="shared" si="21"/>
        <v>6.7500000000000004E-2</v>
      </c>
      <c r="U78" s="16">
        <f t="shared" si="22"/>
        <v>23.335699999999999</v>
      </c>
      <c r="V78" s="16">
        <f t="shared" si="23"/>
        <v>23.2682</v>
      </c>
      <c r="W78" s="49" t="e">
        <f>VLOOKUP(A78,Enforcements!$C$3:$J$24,8,0)</f>
        <v>#N/A</v>
      </c>
      <c r="X78" s="49" t="e">
        <f>VLOOKUP(A78,Enforcements!$C$3:$J$24,3,0)</f>
        <v>#N/A</v>
      </c>
    </row>
    <row r="79" spans="1:24" s="2" customFormat="1" ht="15.75" thickBot="1" x14ac:dyDescent="0.3">
      <c r="A79" s="18" t="s">
        <v>217</v>
      </c>
      <c r="B79" s="19">
        <v>4017</v>
      </c>
      <c r="C79" s="19" t="s">
        <v>68</v>
      </c>
      <c r="D79" s="19" t="s">
        <v>117</v>
      </c>
      <c r="E79" s="53">
        <v>42483.733402777776</v>
      </c>
      <c r="F79" s="53">
        <v>42483.734189814815</v>
      </c>
      <c r="G79" s="62">
        <v>1</v>
      </c>
      <c r="H79" s="53" t="s">
        <v>218</v>
      </c>
      <c r="I79" s="53">
        <v>42483.766435185185</v>
      </c>
      <c r="J79" s="19">
        <v>0</v>
      </c>
      <c r="K79" s="67" t="str">
        <f t="shared" si="24"/>
        <v>4017/4018</v>
      </c>
      <c r="L79" s="70">
        <f t="shared" si="17"/>
        <v>3.2245370370219462E-2</v>
      </c>
      <c r="M79" s="21">
        <f t="shared" si="16"/>
        <v>46.433333333116025</v>
      </c>
      <c r="N79" s="21"/>
      <c r="O79" s="21"/>
      <c r="P79" s="17"/>
      <c r="R79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17:35:06-0600',mode:absolute,to:'2016-04-23 18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79" s="16" t="str">
        <f t="shared" si="20"/>
        <v>N</v>
      </c>
      <c r="T79" s="16">
        <f t="shared" si="21"/>
        <v>23.2652</v>
      </c>
      <c r="U79" s="16">
        <f t="shared" si="22"/>
        <v>7.3499999999999996E-2</v>
      </c>
      <c r="V79" s="16">
        <f t="shared" si="23"/>
        <v>23.191700000000001</v>
      </c>
      <c r="W79" s="49" t="e">
        <f>VLOOKUP(A79,Enforcements!$C$3:$J$24,8,0)</f>
        <v>#N/A</v>
      </c>
      <c r="X79" s="49" t="e">
        <f>VLOOKUP(A79,Enforcements!$C$3:$J$24,3,0)</f>
        <v>#N/A</v>
      </c>
    </row>
    <row r="80" spans="1:24" s="2" customFormat="1" ht="15.75" thickBot="1" x14ac:dyDescent="0.3">
      <c r="A80" s="18" t="s">
        <v>160</v>
      </c>
      <c r="B80" s="19">
        <v>4009</v>
      </c>
      <c r="C80" s="19" t="s">
        <v>68</v>
      </c>
      <c r="D80" s="19" t="s">
        <v>86</v>
      </c>
      <c r="E80" s="53">
        <v>42483.690115740741</v>
      </c>
      <c r="F80" s="53">
        <v>42483.691076388888</v>
      </c>
      <c r="G80" s="62">
        <v>1</v>
      </c>
      <c r="H80" s="53" t="s">
        <v>206</v>
      </c>
      <c r="I80" s="53">
        <v>42483.723541666666</v>
      </c>
      <c r="J80" s="19">
        <v>1</v>
      </c>
      <c r="K80" s="67" t="str">
        <f t="shared" si="24"/>
        <v>4009/4010</v>
      </c>
      <c r="L80" s="70">
        <f t="shared" si="17"/>
        <v>3.2465277778101154E-2</v>
      </c>
      <c r="M80" s="21">
        <f t="shared" si="16"/>
        <v>46.750000000465661</v>
      </c>
      <c r="N80" s="21"/>
      <c r="O80" s="22"/>
      <c r="P80" s="17"/>
      <c r="R80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16:32:46-0600',mode:absolute,to:'2016-04-23 17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80" s="16" t="str">
        <f t="shared" si="20"/>
        <v>N</v>
      </c>
      <c r="T80" s="16">
        <f t="shared" si="21"/>
        <v>6.9699999999999998E-2</v>
      </c>
      <c r="U80" s="16">
        <f t="shared" si="22"/>
        <v>23.331399999999999</v>
      </c>
      <c r="V80" s="16">
        <f t="shared" si="23"/>
        <v>23.261699999999998</v>
      </c>
      <c r="W80" s="49" t="e">
        <f>VLOOKUP(A80,Enforcements!$C$3:$J$24,8,0)</f>
        <v>#N/A</v>
      </c>
      <c r="X80" s="49" t="e">
        <f>VLOOKUP(A80,Enforcements!$C$3:$J$24,3,0)</f>
        <v>#N/A</v>
      </c>
    </row>
    <row r="81" spans="1:24" s="2" customFormat="1" ht="15.75" thickBot="1" x14ac:dyDescent="0.3">
      <c r="A81" s="18" t="s">
        <v>215</v>
      </c>
      <c r="B81" s="19">
        <v>4039</v>
      </c>
      <c r="C81" s="19" t="s">
        <v>68</v>
      </c>
      <c r="D81" s="19" t="s">
        <v>180</v>
      </c>
      <c r="E81" s="53">
        <v>42483.740266203706</v>
      </c>
      <c r="F81" s="53">
        <v>42483.74114583333</v>
      </c>
      <c r="G81" s="62">
        <v>1</v>
      </c>
      <c r="H81" s="53" t="s">
        <v>216</v>
      </c>
      <c r="I81" s="53">
        <v>42483.780358796299</v>
      </c>
      <c r="J81" s="19">
        <v>0</v>
      </c>
      <c r="K81" s="67" t="str">
        <f t="shared" si="24"/>
        <v>4039/4040</v>
      </c>
      <c r="L81" s="70">
        <f t="shared" si="17"/>
        <v>3.9212962969031651E-2</v>
      </c>
      <c r="M81" s="21">
        <f t="shared" si="16"/>
        <v>56.466666675405577</v>
      </c>
      <c r="N81" s="21"/>
      <c r="O81" s="22"/>
      <c r="P81" s="17"/>
      <c r="R81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17:44:59-0600',mode:absolute,to:'2016-04-23 18:44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81" s="16" t="str">
        <f t="shared" si="20"/>
        <v>N</v>
      </c>
      <c r="T81" s="16">
        <f t="shared" si="21"/>
        <v>23.267700000000001</v>
      </c>
      <c r="U81" s="16">
        <f t="shared" si="22"/>
        <v>1.3899999999999999E-2</v>
      </c>
      <c r="V81" s="16">
        <f t="shared" si="23"/>
        <v>23.253800000000002</v>
      </c>
      <c r="W81" s="49" t="e">
        <f>VLOOKUP(A81,Enforcements!$C$3:$J$24,8,0)</f>
        <v>#N/A</v>
      </c>
      <c r="X81" s="49" t="e">
        <f>VLOOKUP(A81,Enforcements!$C$3:$J$24,3,0)</f>
        <v>#N/A</v>
      </c>
    </row>
    <row r="82" spans="1:24" s="2" customFormat="1" ht="15.75" thickBot="1" x14ac:dyDescent="0.3">
      <c r="A82" s="18" t="s">
        <v>226</v>
      </c>
      <c r="B82" s="19">
        <v>4044</v>
      </c>
      <c r="C82" s="19" t="s">
        <v>68</v>
      </c>
      <c r="D82" s="19" t="s">
        <v>223</v>
      </c>
      <c r="E82" s="53">
        <v>42483.704733796294</v>
      </c>
      <c r="F82" s="53">
        <v>42483.705682870372</v>
      </c>
      <c r="G82" s="62">
        <v>1</v>
      </c>
      <c r="H82" s="53" t="s">
        <v>227</v>
      </c>
      <c r="I82" s="53">
        <v>42483.735555555555</v>
      </c>
      <c r="J82" s="19">
        <v>0</v>
      </c>
      <c r="K82" s="67" t="str">
        <f t="shared" si="24"/>
        <v>4043/4044</v>
      </c>
      <c r="L82" s="70">
        <f t="shared" si="17"/>
        <v>2.9872685183363501E-2</v>
      </c>
      <c r="M82" s="21">
        <f t="shared" si="16"/>
        <v>43.016666664043441</v>
      </c>
      <c r="N82" s="21"/>
      <c r="O82" s="22"/>
      <c r="P82" s="17"/>
      <c r="R82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16:53:49-0600',mode:absolute,to:'2016-04-23 17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82" s="16" t="str">
        <f t="shared" si="20"/>
        <v>N</v>
      </c>
      <c r="T82" s="16">
        <f t="shared" si="21"/>
        <v>7.4399999999999994E-2</v>
      </c>
      <c r="U82" s="16">
        <f t="shared" si="22"/>
        <v>23.331</v>
      </c>
      <c r="V82" s="16">
        <f t="shared" si="23"/>
        <v>23.256599999999999</v>
      </c>
      <c r="W82" s="49" t="e">
        <f>VLOOKUP(A82,Enforcements!$C$3:$J$24,8,0)</f>
        <v>#N/A</v>
      </c>
      <c r="X82" s="49" t="e">
        <f>VLOOKUP(A82,Enforcements!$C$3:$J$24,3,0)</f>
        <v>#N/A</v>
      </c>
    </row>
    <row r="83" spans="1:24" s="2" customFormat="1" ht="15.75" thickBot="1" x14ac:dyDescent="0.3">
      <c r="A83" s="18" t="s">
        <v>164</v>
      </c>
      <c r="B83" s="19">
        <v>4037</v>
      </c>
      <c r="C83" s="19" t="s">
        <v>68</v>
      </c>
      <c r="D83" s="19" t="s">
        <v>100</v>
      </c>
      <c r="E83" s="53">
        <v>42483.760833333334</v>
      </c>
      <c r="F83" s="53">
        <v>42483.761944444443</v>
      </c>
      <c r="G83" s="62">
        <v>1</v>
      </c>
      <c r="H83" s="53" t="s">
        <v>212</v>
      </c>
      <c r="I83" s="53">
        <v>42483.801261574074</v>
      </c>
      <c r="J83" s="19">
        <v>1</v>
      </c>
      <c r="K83" s="67" t="str">
        <f t="shared" si="24"/>
        <v>4037/4038</v>
      </c>
      <c r="L83" s="70">
        <f t="shared" si="17"/>
        <v>3.9317129630944692E-2</v>
      </c>
      <c r="M83" s="21">
        <f t="shared" si="16"/>
        <v>56.616666668560356</v>
      </c>
      <c r="N83" s="21"/>
      <c r="O83" s="22"/>
      <c r="P83" s="17"/>
      <c r="R83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18:14:36-0600',mode:absolute,to:'2016-04-23 19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S83" s="16" t="str">
        <f t="shared" si="20"/>
        <v>N</v>
      </c>
      <c r="T83" s="16">
        <f t="shared" si="21"/>
        <v>23.267900000000001</v>
      </c>
      <c r="U83" s="16">
        <f t="shared" si="22"/>
        <v>1.6E-2</v>
      </c>
      <c r="V83" s="16">
        <f t="shared" si="23"/>
        <v>23.251900000000003</v>
      </c>
      <c r="W83" s="49">
        <f>VLOOKUP(A83,Enforcements!$C$3:$J$24,8,0)</f>
        <v>42961</v>
      </c>
      <c r="X83" s="49" t="str">
        <f>VLOOKUP(A83,Enforcements!$C$3:$J$24,3,0)</f>
        <v>GRADE CROSSING</v>
      </c>
    </row>
    <row r="84" spans="1:24" s="2" customFormat="1" ht="15.75" thickBot="1" x14ac:dyDescent="0.3">
      <c r="A84" s="18" t="s">
        <v>222</v>
      </c>
      <c r="B84" s="19">
        <v>4007</v>
      </c>
      <c r="C84" s="19" t="s">
        <v>68</v>
      </c>
      <c r="D84" s="19" t="s">
        <v>223</v>
      </c>
      <c r="E84" s="53">
        <v>42483.723032407404</v>
      </c>
      <c r="F84" s="53">
        <v>42483.725613425922</v>
      </c>
      <c r="G84" s="62">
        <v>3</v>
      </c>
      <c r="H84" s="53" t="s">
        <v>113</v>
      </c>
      <c r="I84" s="53">
        <v>42483.757199074076</v>
      </c>
      <c r="J84" s="19">
        <v>0</v>
      </c>
      <c r="K84" s="67" t="str">
        <f t="shared" si="24"/>
        <v>4007/4008</v>
      </c>
      <c r="L84" s="70">
        <f t="shared" si="17"/>
        <v>3.1585648153850343E-2</v>
      </c>
      <c r="M84" s="21">
        <f t="shared" si="16"/>
        <v>45.483333341544494</v>
      </c>
      <c r="N84" s="21"/>
      <c r="O84" s="22"/>
      <c r="P84" s="17"/>
      <c r="R84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17:20:10-0600',mode:absolute,to:'2016-04-23 18:11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S84" s="16" t="str">
        <f t="shared" si="20"/>
        <v>N</v>
      </c>
      <c r="T84" s="16">
        <f t="shared" si="21"/>
        <v>7.4399999999999994E-2</v>
      </c>
      <c r="U84" s="16">
        <f t="shared" si="22"/>
        <v>23.332899999999999</v>
      </c>
      <c r="V84" s="16">
        <f t="shared" si="23"/>
        <v>23.258499999999998</v>
      </c>
      <c r="W84" s="49" t="e">
        <f>VLOOKUP(A84,Enforcements!$C$3:$J$24,8,0)</f>
        <v>#N/A</v>
      </c>
      <c r="X84" s="49" t="e">
        <f>VLOOKUP(A84,Enforcements!$C$3:$J$24,3,0)</f>
        <v>#N/A</v>
      </c>
    </row>
    <row r="85" spans="1:24" s="2" customFormat="1" ht="15.75" thickBot="1" x14ac:dyDescent="0.3">
      <c r="A85" s="18" t="s">
        <v>211</v>
      </c>
      <c r="B85" s="19">
        <v>4015</v>
      </c>
      <c r="C85" s="19" t="s">
        <v>68</v>
      </c>
      <c r="D85" s="19" t="s">
        <v>100</v>
      </c>
      <c r="E85" s="53">
        <v>42483.766458333332</v>
      </c>
      <c r="F85" s="53">
        <v>42483.767280092594</v>
      </c>
      <c r="G85" s="62">
        <v>1</v>
      </c>
      <c r="H85" s="53" t="s">
        <v>116</v>
      </c>
      <c r="I85" s="53">
        <v>42483.802905092591</v>
      </c>
      <c r="J85" s="19">
        <v>0</v>
      </c>
      <c r="K85" s="67" t="str">
        <f t="shared" si="24"/>
        <v>4015/4016</v>
      </c>
      <c r="L85" s="70">
        <f t="shared" si="17"/>
        <v>3.5624999996798579E-2</v>
      </c>
      <c r="M85" s="21">
        <f t="shared" si="16"/>
        <v>51.299999995389953</v>
      </c>
      <c r="N85" s="21"/>
      <c r="O85" s="22"/>
      <c r="P85" s="17"/>
      <c r="R85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18:22:42-0600',mode:absolute,to:'2016-04-23 19:17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S85" s="16" t="str">
        <f t="shared" si="20"/>
        <v>N</v>
      </c>
      <c r="T85" s="16">
        <f t="shared" si="21"/>
        <v>23.267900000000001</v>
      </c>
      <c r="U85" s="16">
        <f t="shared" si="22"/>
        <v>1.61E-2</v>
      </c>
      <c r="V85" s="16">
        <f t="shared" si="23"/>
        <v>23.251799999999999</v>
      </c>
      <c r="W85" s="49" t="e">
        <f>VLOOKUP(A85,Enforcements!$C$3:$J$24,8,0)</f>
        <v>#N/A</v>
      </c>
      <c r="X85" s="49" t="e">
        <f>VLOOKUP(A85,Enforcements!$C$3:$J$24,3,0)</f>
        <v>#N/A</v>
      </c>
    </row>
    <row r="86" spans="1:24" s="2" customFormat="1" ht="15.75" thickBot="1" x14ac:dyDescent="0.3">
      <c r="A86" s="18" t="s">
        <v>219</v>
      </c>
      <c r="B86" s="19">
        <v>4011</v>
      </c>
      <c r="C86" s="19" t="s">
        <v>68</v>
      </c>
      <c r="D86" s="19" t="s">
        <v>220</v>
      </c>
      <c r="E86" s="53">
        <v>42483.727997685186</v>
      </c>
      <c r="F86" s="53">
        <v>42483.729837962965</v>
      </c>
      <c r="G86" s="62">
        <v>2</v>
      </c>
      <c r="H86" s="53" t="s">
        <v>221</v>
      </c>
      <c r="I86" s="53">
        <v>42483.763854166667</v>
      </c>
      <c r="J86" s="19">
        <v>0</v>
      </c>
      <c r="K86" s="67" t="str">
        <f t="shared" si="24"/>
        <v>4011/4012</v>
      </c>
      <c r="L86" s="70">
        <f t="shared" si="17"/>
        <v>3.4016203702776693E-2</v>
      </c>
      <c r="M86" s="21">
        <f t="shared" si="16"/>
        <v>48.983333331998438</v>
      </c>
      <c r="N86" s="21"/>
      <c r="O86" s="22"/>
      <c r="P86" s="17"/>
      <c r="R86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17:27:19-0600',mode:absolute,to:'2016-04-23 18:20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S86" s="16" t="str">
        <f t="shared" si="20"/>
        <v>N</v>
      </c>
      <c r="T86" s="16">
        <f t="shared" si="21"/>
        <v>7.7499999999999999E-2</v>
      </c>
      <c r="U86" s="16">
        <f t="shared" si="22"/>
        <v>23.333400000000001</v>
      </c>
      <c r="V86" s="16">
        <f t="shared" si="23"/>
        <v>23.2559</v>
      </c>
      <c r="W86" s="49" t="e">
        <f>VLOOKUP(A86,Enforcements!$C$3:$J$24,8,0)</f>
        <v>#N/A</v>
      </c>
      <c r="X86" s="49" t="e">
        <f>VLOOKUP(A86,Enforcements!$C$3:$J$24,3,0)</f>
        <v>#N/A</v>
      </c>
    </row>
    <row r="87" spans="1:24" s="2" customFormat="1" ht="15.75" thickBot="1" x14ac:dyDescent="0.3">
      <c r="A87" s="18" t="s">
        <v>207</v>
      </c>
      <c r="B87" s="19">
        <v>4028</v>
      </c>
      <c r="C87" s="19" t="s">
        <v>68</v>
      </c>
      <c r="D87" s="19" t="s">
        <v>208</v>
      </c>
      <c r="E87" s="53">
        <v>42483.781238425923</v>
      </c>
      <c r="F87" s="53">
        <v>42483.782685185186</v>
      </c>
      <c r="G87" s="62">
        <v>2</v>
      </c>
      <c r="H87" s="53" t="s">
        <v>93</v>
      </c>
      <c r="I87" s="53">
        <v>42483.815949074073</v>
      </c>
      <c r="J87" s="19">
        <v>0</v>
      </c>
      <c r="K87" s="67" t="str">
        <f t="shared" si="24"/>
        <v>4027/4028</v>
      </c>
      <c r="L87" s="70">
        <f t="shared" si="17"/>
        <v>3.326388888672227E-2</v>
      </c>
      <c r="M87" s="21">
        <f t="shared" si="16"/>
        <v>47.899999996880069</v>
      </c>
      <c r="N87" s="21"/>
      <c r="O87" s="22"/>
      <c r="P87" s="17"/>
      <c r="R87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18:43:59-0600',mode:absolute,to:'2016-04-23 19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87" s="16" t="str">
        <f t="shared" si="20"/>
        <v>N</v>
      </c>
      <c r="T87" s="16">
        <f t="shared" si="21"/>
        <v>23.2668</v>
      </c>
      <c r="U87" s="16">
        <f t="shared" si="22"/>
        <v>1.38E-2</v>
      </c>
      <c r="V87" s="16">
        <f t="shared" si="23"/>
        <v>23.253</v>
      </c>
      <c r="W87" s="49" t="e">
        <f>VLOOKUP(A87,Enforcements!$C$3:$J$24,8,0)</f>
        <v>#N/A</v>
      </c>
      <c r="X87" s="49" t="e">
        <f>VLOOKUP(A87,Enforcements!$C$3:$J$24,3,0)</f>
        <v>#N/A</v>
      </c>
    </row>
    <row r="88" spans="1:24" s="2" customFormat="1" ht="15.75" thickBot="1" x14ac:dyDescent="0.3">
      <c r="A88" s="18" t="s">
        <v>213</v>
      </c>
      <c r="B88" s="19">
        <v>4029</v>
      </c>
      <c r="C88" s="19" t="s">
        <v>68</v>
      </c>
      <c r="D88" s="19" t="s">
        <v>101</v>
      </c>
      <c r="E88" s="53">
        <v>42483.74318287037</v>
      </c>
      <c r="F88" s="53">
        <v>42483.744525462964</v>
      </c>
      <c r="G88" s="62">
        <v>1</v>
      </c>
      <c r="H88" s="53" t="s">
        <v>214</v>
      </c>
      <c r="I88" s="53">
        <v>42483.775891203702</v>
      </c>
      <c r="J88" s="19">
        <v>0</v>
      </c>
      <c r="K88" s="67" t="str">
        <f t="shared" si="24"/>
        <v>4029/4030</v>
      </c>
      <c r="L88" s="70">
        <f t="shared" si="17"/>
        <v>3.1365740738692693E-2</v>
      </c>
      <c r="M88" s="21">
        <f t="shared" si="16"/>
        <v>45.166666663717479</v>
      </c>
      <c r="N88" s="21"/>
      <c r="O88" s="22"/>
      <c r="P88" s="17"/>
      <c r="R88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17:49:11-0600',mode:absolute,to:'2016-04-23 18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88" s="16" t="str">
        <f t="shared" si="20"/>
        <v>N</v>
      </c>
      <c r="T88" s="16">
        <f t="shared" si="21"/>
        <v>7.7399999999999997E-2</v>
      </c>
      <c r="U88" s="16">
        <f t="shared" si="22"/>
        <v>23.330200000000001</v>
      </c>
      <c r="V88" s="16">
        <f t="shared" si="23"/>
        <v>23.252800000000001</v>
      </c>
      <c r="W88" s="49" t="e">
        <f>VLOOKUP(A88,Enforcements!$C$3:$J$24,8,0)</f>
        <v>#N/A</v>
      </c>
      <c r="X88" s="49" t="e">
        <f>VLOOKUP(A88,Enforcements!$C$3:$J$24,3,0)</f>
        <v>#N/A</v>
      </c>
    </row>
    <row r="89" spans="1:24" s="2" customFormat="1" ht="15.75" thickBot="1" x14ac:dyDescent="0.3">
      <c r="A89" s="18" t="s">
        <v>203</v>
      </c>
      <c r="B89" s="19">
        <v>4026</v>
      </c>
      <c r="C89" s="19" t="s">
        <v>68</v>
      </c>
      <c r="D89" s="19" t="s">
        <v>98</v>
      </c>
      <c r="E89" s="53">
        <v>42483.804629629631</v>
      </c>
      <c r="F89" s="53">
        <v>42483.805763888886</v>
      </c>
      <c r="G89" s="62">
        <v>1</v>
      </c>
      <c r="H89" s="53" t="s">
        <v>22</v>
      </c>
      <c r="I89" s="53">
        <v>42483.833958333336</v>
      </c>
      <c r="J89" s="19">
        <v>0</v>
      </c>
      <c r="K89" s="67" t="str">
        <f t="shared" si="24"/>
        <v>4025/4026</v>
      </c>
      <c r="L89" s="70">
        <f t="shared" si="17"/>
        <v>2.8194444450491574E-2</v>
      </c>
      <c r="M89" s="21">
        <f t="shared" si="16"/>
        <v>40.600000008707866</v>
      </c>
      <c r="N89" s="21"/>
      <c r="O89" s="22"/>
      <c r="P89" s="17"/>
      <c r="R89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19:17:40-0600',mode:absolute,to:'2016-04-23 20:01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S89" s="16" t="str">
        <f t="shared" si="20"/>
        <v>N</v>
      </c>
      <c r="T89" s="16">
        <f t="shared" si="21"/>
        <v>23.268699999999999</v>
      </c>
      <c r="U89" s="16">
        <f t="shared" si="22"/>
        <v>1.5800000000000002E-2</v>
      </c>
      <c r="V89" s="16">
        <f t="shared" si="23"/>
        <v>23.2529</v>
      </c>
      <c r="W89" s="49" t="e">
        <f>VLOOKUP(A89,Enforcements!$C$3:$J$24,8,0)</f>
        <v>#N/A</v>
      </c>
      <c r="X89" s="49" t="e">
        <f>VLOOKUP(A89,Enforcements!$C$3:$J$24,3,0)</f>
        <v>#N/A</v>
      </c>
    </row>
    <row r="90" spans="1:24" s="2" customFormat="1" ht="15.75" thickBot="1" x14ac:dyDescent="0.3">
      <c r="A90" s="18" t="s">
        <v>165</v>
      </c>
      <c r="B90" s="19">
        <v>4020</v>
      </c>
      <c r="C90" s="19" t="s">
        <v>68</v>
      </c>
      <c r="D90" s="19" t="s">
        <v>97</v>
      </c>
      <c r="E90" s="53">
        <v>42483.771145833336</v>
      </c>
      <c r="F90" s="53">
        <v>42483.775543981479</v>
      </c>
      <c r="G90" s="62">
        <v>6</v>
      </c>
      <c r="H90" s="53" t="s">
        <v>115</v>
      </c>
      <c r="I90" s="53">
        <v>42483.800821759258</v>
      </c>
      <c r="J90" s="19">
        <v>1</v>
      </c>
      <c r="K90" s="67" t="str">
        <f t="shared" si="24"/>
        <v>4019/4020</v>
      </c>
      <c r="L90" s="70">
        <f t="shared" si="17"/>
        <v>2.527777777868323E-2</v>
      </c>
      <c r="M90" s="21">
        <f t="shared" si="16"/>
        <v>36.400000001303852</v>
      </c>
      <c r="N90" s="21"/>
      <c r="O90" s="22"/>
      <c r="P90" s="17"/>
      <c r="R90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18:29:27-0600',mode:absolute,to:'2016-04-23 19:14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S90" s="16" t="str">
        <f t="shared" si="20"/>
        <v>N</v>
      </c>
      <c r="T90" s="16">
        <f t="shared" si="21"/>
        <v>7.5499999999999998E-2</v>
      </c>
      <c r="U90" s="16">
        <f t="shared" si="22"/>
        <v>23.333100000000002</v>
      </c>
      <c r="V90" s="16">
        <f t="shared" si="23"/>
        <v>23.2576</v>
      </c>
      <c r="W90" s="49" t="e">
        <f>VLOOKUP(A90,Enforcements!$C$3:$J$24,8,0)</f>
        <v>#N/A</v>
      </c>
      <c r="X90" s="49" t="e">
        <f>VLOOKUP(A90,Enforcements!$C$3:$J$24,3,0)</f>
        <v>#N/A</v>
      </c>
    </row>
    <row r="91" spans="1:24" s="2" customFormat="1" ht="15.75" thickBot="1" x14ac:dyDescent="0.3">
      <c r="A91" s="18" t="s">
        <v>199</v>
      </c>
      <c r="B91" s="19">
        <v>4017</v>
      </c>
      <c r="C91" s="19" t="s">
        <v>68</v>
      </c>
      <c r="D91" s="19" t="s">
        <v>200</v>
      </c>
      <c r="E91" s="53">
        <v>42483.813668981478</v>
      </c>
      <c r="F91" s="53">
        <v>42483.814756944441</v>
      </c>
      <c r="G91" s="62">
        <v>1</v>
      </c>
      <c r="H91" s="53" t="s">
        <v>111</v>
      </c>
      <c r="I91" s="53">
        <v>42483.845949074072</v>
      </c>
      <c r="J91" s="19">
        <v>0</v>
      </c>
      <c r="K91" s="67" t="str">
        <f t="shared" si="24"/>
        <v>4017/4018</v>
      </c>
      <c r="L91" s="70">
        <f t="shared" si="17"/>
        <v>3.1192129630653653E-2</v>
      </c>
      <c r="M91" s="21">
        <f t="shared" si="16"/>
        <v>44.916666668141261</v>
      </c>
      <c r="N91" s="21"/>
      <c r="O91" s="22"/>
      <c r="P91" s="17"/>
      <c r="R91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19:30:41-0600',mode:absolute,to:'2016-04-23 20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91" s="16" t="str">
        <f t="shared" si="20"/>
        <v>N</v>
      </c>
      <c r="T91" s="16">
        <f t="shared" si="21"/>
        <v>23.2669</v>
      </c>
      <c r="U91" s="16">
        <f t="shared" si="22"/>
        <v>1.23E-2</v>
      </c>
      <c r="V91" s="16">
        <f t="shared" si="23"/>
        <v>23.2546</v>
      </c>
      <c r="W91" s="49" t="e">
        <f>VLOOKUP(A91,Enforcements!$C$3:$J$24,8,0)</f>
        <v>#N/A</v>
      </c>
      <c r="X91" s="49" t="e">
        <f>VLOOKUP(A91,Enforcements!$C$3:$J$24,3,0)</f>
        <v>#N/A</v>
      </c>
    </row>
    <row r="92" spans="1:24" s="2" customFormat="1" ht="15.75" thickBot="1" x14ac:dyDescent="0.3">
      <c r="A92" s="18" t="s">
        <v>209</v>
      </c>
      <c r="B92" s="19">
        <v>4009</v>
      </c>
      <c r="C92" s="19" t="s">
        <v>68</v>
      </c>
      <c r="D92" s="19" t="s">
        <v>210</v>
      </c>
      <c r="E92" s="53">
        <v>42483.776064814818</v>
      </c>
      <c r="F92" s="53">
        <v>42483.777557870373</v>
      </c>
      <c r="G92" s="62">
        <v>2</v>
      </c>
      <c r="H92" s="53" t="s">
        <v>103</v>
      </c>
      <c r="I92" s="53">
        <v>42483.808136574073</v>
      </c>
      <c r="J92" s="19">
        <v>0</v>
      </c>
      <c r="K92" s="67" t="str">
        <f t="shared" si="24"/>
        <v>4009/4010</v>
      </c>
      <c r="L92" s="70">
        <f t="shared" si="17"/>
        <v>3.0578703699575271E-2</v>
      </c>
      <c r="M92" s="21">
        <f t="shared" si="16"/>
        <v>44.033333327388391</v>
      </c>
      <c r="N92" s="21"/>
      <c r="O92" s="22"/>
      <c r="P92" s="17"/>
      <c r="R92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18:36:32-0600',mode:absolute,to:'2016-04-23 19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92" s="16" t="str">
        <f t="shared" si="20"/>
        <v>N</v>
      </c>
      <c r="T92" s="16">
        <f t="shared" si="21"/>
        <v>7.0800000000000002E-2</v>
      </c>
      <c r="U92" s="16">
        <f t="shared" si="22"/>
        <v>23.332599999999999</v>
      </c>
      <c r="V92" s="16">
        <f t="shared" si="23"/>
        <v>23.261800000000001</v>
      </c>
      <c r="W92" s="49" t="e">
        <f>VLOOKUP(A92,Enforcements!$C$3:$J$24,8,0)</f>
        <v>#N/A</v>
      </c>
      <c r="X92" s="49" t="e">
        <f>VLOOKUP(A92,Enforcements!$C$3:$J$24,3,0)</f>
        <v>#N/A</v>
      </c>
    </row>
    <row r="93" spans="1:24" s="2" customFormat="1" ht="15.75" thickBot="1" x14ac:dyDescent="0.3">
      <c r="A93" s="18" t="s">
        <v>197</v>
      </c>
      <c r="B93" s="19">
        <v>4039</v>
      </c>
      <c r="C93" s="19" t="s">
        <v>68</v>
      </c>
      <c r="D93" s="19" t="s">
        <v>180</v>
      </c>
      <c r="E93" s="53">
        <v>42483.824930555558</v>
      </c>
      <c r="F93" s="53">
        <v>42483.826331018521</v>
      </c>
      <c r="G93" s="62">
        <v>2</v>
      </c>
      <c r="H93" s="53" t="s">
        <v>8</v>
      </c>
      <c r="I93" s="53">
        <v>42483.860902777778</v>
      </c>
      <c r="J93" s="19">
        <v>0</v>
      </c>
      <c r="K93" s="67" t="str">
        <f t="shared" si="24"/>
        <v>4039/4040</v>
      </c>
      <c r="L93" s="70">
        <f t="shared" si="17"/>
        <v>3.457175925723277E-2</v>
      </c>
      <c r="M93" s="21">
        <f t="shared" si="16"/>
        <v>49.783333330415189</v>
      </c>
      <c r="N93" s="21"/>
      <c r="O93" s="22"/>
      <c r="P93" s="17"/>
      <c r="R93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19:46:54-0600',mode:absolute,to:'2016-04-23 20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93" s="16" t="str">
        <f t="shared" si="20"/>
        <v>N</v>
      </c>
      <c r="T93" s="16">
        <f t="shared" si="21"/>
        <v>23.267700000000001</v>
      </c>
      <c r="U93" s="16">
        <f t="shared" si="22"/>
        <v>1.43E-2</v>
      </c>
      <c r="V93" s="16">
        <f t="shared" si="23"/>
        <v>23.253400000000003</v>
      </c>
      <c r="W93" s="49" t="e">
        <f>VLOOKUP(A93,Enforcements!$C$3:$J$24,8,0)</f>
        <v>#N/A</v>
      </c>
      <c r="X93" s="49" t="e">
        <f>VLOOKUP(A93,Enforcements!$C$3:$J$24,3,0)</f>
        <v>#N/A</v>
      </c>
    </row>
    <row r="94" spans="1:24" s="2" customFormat="1" ht="15.75" thickBot="1" x14ac:dyDescent="0.3">
      <c r="A94" s="18" t="s">
        <v>204</v>
      </c>
      <c r="B94" s="19">
        <v>4044</v>
      </c>
      <c r="C94" s="19" t="s">
        <v>68</v>
      </c>
      <c r="D94" s="19" t="s">
        <v>205</v>
      </c>
      <c r="E94" s="53">
        <v>42483.788275462961</v>
      </c>
      <c r="F94" s="53">
        <v>42483.789421296293</v>
      </c>
      <c r="G94" s="62">
        <v>1</v>
      </c>
      <c r="H94" s="53" t="s">
        <v>206</v>
      </c>
      <c r="I94" s="53">
        <v>42483.820902777778</v>
      </c>
      <c r="J94" s="19">
        <v>0</v>
      </c>
      <c r="K94" s="67" t="str">
        <f t="shared" si="24"/>
        <v>4043/4044</v>
      </c>
      <c r="L94" s="70">
        <f t="shared" si="17"/>
        <v>3.1481481484661344E-2</v>
      </c>
      <c r="M94" s="21">
        <f t="shared" si="16"/>
        <v>45.333333337912336</v>
      </c>
      <c r="N94" s="21"/>
      <c r="O94" s="22"/>
      <c r="P94" s="17"/>
      <c r="R94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18:54:07-0600',mode:absolute,to:'2016-04-23 19:43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94" s="16" t="str">
        <f t="shared" si="20"/>
        <v>N</v>
      </c>
      <c r="T94" s="16">
        <f t="shared" si="21"/>
        <v>7.46E-2</v>
      </c>
      <c r="U94" s="16">
        <f t="shared" si="22"/>
        <v>23.331399999999999</v>
      </c>
      <c r="V94" s="16">
        <f t="shared" si="23"/>
        <v>23.256799999999998</v>
      </c>
      <c r="W94" s="49" t="e">
        <f>VLOOKUP(A94,Enforcements!$C$3:$J$24,8,0)</f>
        <v>#N/A</v>
      </c>
      <c r="X94" s="49" t="e">
        <f>VLOOKUP(A94,Enforcements!$C$3:$J$24,3,0)</f>
        <v>#N/A</v>
      </c>
    </row>
    <row r="95" spans="1:24" s="2" customFormat="1" ht="15.75" thickBot="1" x14ac:dyDescent="0.3">
      <c r="A95" s="18" t="s">
        <v>190</v>
      </c>
      <c r="B95" s="19">
        <v>4028</v>
      </c>
      <c r="C95" s="19" t="s">
        <v>68</v>
      </c>
      <c r="D95" s="19" t="s">
        <v>180</v>
      </c>
      <c r="E95" s="53">
        <v>42483.857152777775</v>
      </c>
      <c r="F95" s="53">
        <v>42483.858506944445</v>
      </c>
      <c r="G95" s="62">
        <v>1</v>
      </c>
      <c r="H95" s="53" t="s">
        <v>22</v>
      </c>
      <c r="I95" s="53">
        <v>42483.891631944447</v>
      </c>
      <c r="J95" s="19">
        <v>0</v>
      </c>
      <c r="K95" s="67" t="str">
        <f t="shared" si="24"/>
        <v>4027/4028</v>
      </c>
      <c r="L95" s="70">
        <f t="shared" si="17"/>
        <v>3.312500000174623E-2</v>
      </c>
      <c r="M95" s="21">
        <f t="shared" si="16"/>
        <v>47.700000002514571</v>
      </c>
      <c r="N95" s="21"/>
      <c r="O95" s="22"/>
      <c r="P95" s="17"/>
      <c r="R95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20:33:18-0600',mode:absolute,to:'2016-04-23 21:24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S95" s="16" t="str">
        <f t="shared" si="20"/>
        <v>N</v>
      </c>
      <c r="T95" s="16">
        <f t="shared" si="21"/>
        <v>23.267700000000001</v>
      </c>
      <c r="U95" s="16">
        <f t="shared" si="22"/>
        <v>1.5800000000000002E-2</v>
      </c>
      <c r="V95" s="16">
        <f t="shared" si="23"/>
        <v>23.251900000000003</v>
      </c>
      <c r="W95" s="49" t="e">
        <f>VLOOKUP(A95,Enforcements!$C$3:$J$24,8,0)</f>
        <v>#N/A</v>
      </c>
      <c r="X95" s="49" t="e">
        <f>VLOOKUP(A95,Enforcements!$C$3:$J$24,3,0)</f>
        <v>#N/A</v>
      </c>
    </row>
    <row r="96" spans="1:24" s="2" customFormat="1" ht="15.75" thickBot="1" x14ac:dyDescent="0.3">
      <c r="A96" s="18" t="s">
        <v>166</v>
      </c>
      <c r="B96" s="19">
        <v>4029</v>
      </c>
      <c r="C96" s="19" t="s">
        <v>68</v>
      </c>
      <c r="D96" s="19" t="s">
        <v>188</v>
      </c>
      <c r="E96" s="53">
        <v>42483.819004629629</v>
      </c>
      <c r="F96" s="53">
        <v>42483.8200462963</v>
      </c>
      <c r="G96" s="62">
        <v>1</v>
      </c>
      <c r="H96" s="53" t="s">
        <v>198</v>
      </c>
      <c r="I96" s="53">
        <v>42483.851377314815</v>
      </c>
      <c r="J96" s="19">
        <v>1</v>
      </c>
      <c r="K96" s="67" t="str">
        <f t="shared" si="24"/>
        <v>4029/4030</v>
      </c>
      <c r="L96" s="70">
        <f t="shared" si="17"/>
        <v>3.1331018515629694E-2</v>
      </c>
      <c r="M96" s="21">
        <f t="shared" si="16"/>
        <v>45.116666662506759</v>
      </c>
      <c r="N96" s="21"/>
      <c r="O96" s="22"/>
      <c r="P96" s="17"/>
      <c r="R96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19:38:22-0600',mode:absolute,to:'2016-04-23 20:26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S96" s="16" t="str">
        <f t="shared" si="20"/>
        <v>N</v>
      </c>
      <c r="T96" s="16">
        <f t="shared" si="21"/>
        <v>7.6100000000000001E-2</v>
      </c>
      <c r="U96" s="16">
        <f t="shared" si="22"/>
        <v>23.332000000000001</v>
      </c>
      <c r="V96" s="16">
        <f t="shared" si="23"/>
        <v>23.2559</v>
      </c>
      <c r="W96" s="49" t="e">
        <f>VLOOKUP(A96,Enforcements!$C$3:$J$24,8,0)</f>
        <v>#N/A</v>
      </c>
      <c r="X96" s="49" t="e">
        <f>VLOOKUP(A96,Enforcements!$C$3:$J$24,3,0)</f>
        <v>#N/A</v>
      </c>
    </row>
    <row r="97" spans="1:24" s="2" customFormat="1" ht="15.75" thickBot="1" x14ac:dyDescent="0.3">
      <c r="A97" s="18" t="s">
        <v>186</v>
      </c>
      <c r="B97" s="19">
        <v>4032</v>
      </c>
      <c r="C97" s="19" t="s">
        <v>68</v>
      </c>
      <c r="D97" s="19" t="s">
        <v>187</v>
      </c>
      <c r="E97" s="53">
        <v>42483.87699074074</v>
      </c>
      <c r="F97" s="53">
        <v>42483.878657407404</v>
      </c>
      <c r="G97" s="62">
        <v>2</v>
      </c>
      <c r="H97" s="53" t="s">
        <v>21</v>
      </c>
      <c r="I97" s="53">
        <v>42483.90552083333</v>
      </c>
      <c r="J97" s="19">
        <v>0</v>
      </c>
      <c r="K97" s="67" t="str">
        <f t="shared" si="24"/>
        <v>4031/4032</v>
      </c>
      <c r="L97" s="70">
        <f t="shared" si="17"/>
        <v>2.6863425926421769E-2</v>
      </c>
      <c r="M97" s="21">
        <f t="shared" si="16"/>
        <v>38.683333334047347</v>
      </c>
      <c r="N97" s="21"/>
      <c r="O97" s="22"/>
      <c r="P97" s="17"/>
      <c r="R97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21:01:52-0600',mode:absolute,to:'2016-04-23 21:44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S97" s="16" t="str">
        <f t="shared" si="20"/>
        <v>N</v>
      </c>
      <c r="T97" s="16">
        <f t="shared" si="21"/>
        <v>23.279</v>
      </c>
      <c r="U97" s="16">
        <f t="shared" si="22"/>
        <v>1.47E-2</v>
      </c>
      <c r="V97" s="16">
        <f t="shared" si="23"/>
        <v>23.264299999999999</v>
      </c>
      <c r="W97" s="49" t="e">
        <f>VLOOKUP(A97,Enforcements!$C$3:$J$24,8,0)</f>
        <v>#N/A</v>
      </c>
      <c r="X97" s="49" t="e">
        <f>VLOOKUP(A97,Enforcements!$C$3:$J$24,3,0)</f>
        <v>#N/A</v>
      </c>
    </row>
    <row r="98" spans="1:24" s="2" customFormat="1" ht="15.75" thickBot="1" x14ac:dyDescent="0.3">
      <c r="A98" s="18" t="s">
        <v>182</v>
      </c>
      <c r="B98" s="19">
        <v>4017</v>
      </c>
      <c r="C98" s="19" t="s">
        <v>68</v>
      </c>
      <c r="D98" s="19" t="s">
        <v>183</v>
      </c>
      <c r="E98" s="53">
        <v>42483.88863425926</v>
      </c>
      <c r="F98" s="53">
        <v>42483.889652777776</v>
      </c>
      <c r="G98" s="62">
        <v>1</v>
      </c>
      <c r="H98" s="53" t="s">
        <v>105</v>
      </c>
      <c r="I98" s="53">
        <v>42483.919317129628</v>
      </c>
      <c r="J98" s="19">
        <v>0</v>
      </c>
      <c r="K98" s="67" t="str">
        <f t="shared" si="24"/>
        <v>4017/4018</v>
      </c>
      <c r="L98" s="70">
        <f t="shared" si="17"/>
        <v>2.9664351852261461E-2</v>
      </c>
      <c r="M98" s="21">
        <f t="shared" si="16"/>
        <v>42.716666667256504</v>
      </c>
      <c r="N98" s="21"/>
      <c r="O98" s="22"/>
      <c r="P98" s="17"/>
      <c r="R98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21:18:38-0600',mode:absolute,to:'2016-04-23 22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S98" s="16" t="str">
        <f t="shared" si="20"/>
        <v>N</v>
      </c>
      <c r="T98" s="16">
        <f t="shared" si="21"/>
        <v>23.271699999999999</v>
      </c>
      <c r="U98" s="16">
        <f t="shared" si="22"/>
        <v>1.52E-2</v>
      </c>
      <c r="V98" s="16">
        <f t="shared" si="23"/>
        <v>23.256499999999999</v>
      </c>
      <c r="W98" s="49" t="e">
        <f>VLOOKUP(A98,Enforcements!$C$3:$J$24,8,0)</f>
        <v>#N/A</v>
      </c>
      <c r="X98" s="49" t="e">
        <f>VLOOKUP(A98,Enforcements!$C$3:$J$24,3,0)</f>
        <v>#N/A</v>
      </c>
    </row>
    <row r="99" spans="1:24" s="2" customFormat="1" ht="15.75" thickBot="1" x14ac:dyDescent="0.3">
      <c r="A99" s="18" t="s">
        <v>191</v>
      </c>
      <c r="B99" s="19">
        <v>4009</v>
      </c>
      <c r="C99" s="19" t="s">
        <v>68</v>
      </c>
      <c r="D99" s="19" t="s">
        <v>192</v>
      </c>
      <c r="E99" s="53">
        <v>42483.849814814814</v>
      </c>
      <c r="F99" s="53">
        <v>42483.850937499999</v>
      </c>
      <c r="G99" s="62">
        <v>1</v>
      </c>
      <c r="H99" s="53" t="s">
        <v>193</v>
      </c>
      <c r="I99" s="53">
        <v>42483.879733796297</v>
      </c>
      <c r="J99" s="19">
        <v>0</v>
      </c>
      <c r="K99" s="67" t="str">
        <f t="shared" si="24"/>
        <v>4009/4010</v>
      </c>
      <c r="L99" s="70">
        <f t="shared" ref="L99:L105" si="25">I99-F99</f>
        <v>2.8796296297514345E-2</v>
      </c>
      <c r="M99" s="21">
        <f t="shared" si="16"/>
        <v>41.466666668420658</v>
      </c>
      <c r="N99" s="21"/>
      <c r="O99" s="22"/>
      <c r="P99" s="17"/>
      <c r="R99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20:22:44-0600',mode:absolute,to:'2016-04-23 21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S99" s="16" t="str">
        <f t="shared" si="20"/>
        <v>N</v>
      </c>
      <c r="T99" s="16">
        <f t="shared" si="21"/>
        <v>7.2999999999999995E-2</v>
      </c>
      <c r="U99" s="16">
        <f t="shared" si="22"/>
        <v>23.334700000000002</v>
      </c>
      <c r="V99" s="16">
        <f t="shared" si="23"/>
        <v>23.261700000000001</v>
      </c>
      <c r="W99" s="49" t="e">
        <f>VLOOKUP(A99,Enforcements!$C$3:$J$24,8,0)</f>
        <v>#N/A</v>
      </c>
      <c r="X99" s="49" t="e">
        <f>VLOOKUP(A99,Enforcements!$C$3:$J$24,3,0)</f>
        <v>#N/A</v>
      </c>
    </row>
    <row r="100" spans="1:24" s="2" customFormat="1" ht="15.75" thickBot="1" x14ac:dyDescent="0.3">
      <c r="A100" s="18" t="s">
        <v>179</v>
      </c>
      <c r="B100" s="19">
        <v>4039</v>
      </c>
      <c r="C100" s="19" t="s">
        <v>68</v>
      </c>
      <c r="D100" s="19" t="s">
        <v>180</v>
      </c>
      <c r="E100" s="53">
        <v>42483.913900462961</v>
      </c>
      <c r="F100" s="53">
        <v>42483.915034722224</v>
      </c>
      <c r="G100" s="62">
        <v>1</v>
      </c>
      <c r="H100" s="53" t="s">
        <v>92</v>
      </c>
      <c r="I100" s="53">
        <v>42483.946099537039</v>
      </c>
      <c r="J100" s="19">
        <v>0</v>
      </c>
      <c r="K100" s="67" t="str">
        <f t="shared" si="24"/>
        <v>4039/4040</v>
      </c>
      <c r="L100" s="70">
        <f t="shared" si="25"/>
        <v>3.1064814815181307E-2</v>
      </c>
      <c r="M100" s="21">
        <f t="shared" si="16"/>
        <v>44.733333333861083</v>
      </c>
      <c r="N100" s="21"/>
      <c r="O100" s="22"/>
      <c r="P100" s="17"/>
      <c r="R100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21:55:01-0600',mode:absolute,to:'2016-04-23 22:43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S100" s="16" t="str">
        <f t="shared" si="20"/>
        <v>N</v>
      </c>
      <c r="T100" s="16">
        <f t="shared" si="21"/>
        <v>23.267700000000001</v>
      </c>
      <c r="U100" s="16">
        <f t="shared" si="22"/>
        <v>1.4500000000000001E-2</v>
      </c>
      <c r="V100" s="16">
        <f t="shared" si="23"/>
        <v>23.2532</v>
      </c>
      <c r="W100" s="49" t="e">
        <f>VLOOKUP(A100,Enforcements!$C$3:$J$24,8,0)</f>
        <v>#N/A</v>
      </c>
      <c r="X100" s="49" t="e">
        <f>VLOOKUP(A100,Enforcements!$C$3:$J$24,3,0)</f>
        <v>#N/A</v>
      </c>
    </row>
    <row r="101" spans="1:24" s="2" customFormat="1" ht="15.75" thickBot="1" x14ac:dyDescent="0.3">
      <c r="A101" s="18" t="s">
        <v>167</v>
      </c>
      <c r="B101" s="19">
        <v>4044</v>
      </c>
      <c r="C101" s="19" t="s">
        <v>68</v>
      </c>
      <c r="D101" s="19" t="s">
        <v>181</v>
      </c>
      <c r="E101" s="53">
        <v>42483.897881944446</v>
      </c>
      <c r="F101" s="53">
        <v>42483.898796296293</v>
      </c>
      <c r="G101" s="62">
        <v>1</v>
      </c>
      <c r="H101" s="53" t="s">
        <v>89</v>
      </c>
      <c r="I101" s="53">
        <v>42483.909131944441</v>
      </c>
      <c r="J101" s="19">
        <v>1</v>
      </c>
      <c r="K101" s="67" t="str">
        <f t="shared" si="24"/>
        <v>4043/4044</v>
      </c>
      <c r="L101" s="70">
        <f t="shared" si="25"/>
        <v>1.0335648148611654E-2</v>
      </c>
      <c r="M101" s="21"/>
      <c r="N101" s="21"/>
      <c r="O101" s="21">
        <f>($L101+L102)*24*60</f>
        <v>52.800000000279397</v>
      </c>
      <c r="P101" s="17" t="s">
        <v>341</v>
      </c>
      <c r="R101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21:31:57-0600',mode:absolute,to:'2016-04-23 21:50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01" s="16" t="str">
        <f t="shared" si="20"/>
        <v>Y</v>
      </c>
      <c r="T101" s="16">
        <f t="shared" si="21"/>
        <v>12.8332</v>
      </c>
      <c r="U101" s="16">
        <f t="shared" si="22"/>
        <v>23.331199999999999</v>
      </c>
      <c r="V101" s="16">
        <f t="shared" si="23"/>
        <v>10.497999999999999</v>
      </c>
      <c r="W101" s="49" t="e">
        <f>VLOOKUP(A101,Enforcements!$C$3:$J$24,8,0)</f>
        <v>#N/A</v>
      </c>
      <c r="X101" s="49" t="e">
        <f>VLOOKUP(A101,Enforcements!$C$3:$J$24,3,0)</f>
        <v>#N/A</v>
      </c>
    </row>
    <row r="102" spans="1:24" s="2" customFormat="1" ht="15.75" thickBot="1" x14ac:dyDescent="0.3">
      <c r="A102" s="18" t="s">
        <v>167</v>
      </c>
      <c r="B102" s="19">
        <v>4044</v>
      </c>
      <c r="C102" s="19" t="s">
        <v>68</v>
      </c>
      <c r="D102" s="19" t="s">
        <v>188</v>
      </c>
      <c r="E102" s="53">
        <v>42483.866944444446</v>
      </c>
      <c r="F102" s="53">
        <v>42483.868136574078</v>
      </c>
      <c r="G102" s="62">
        <v>1</v>
      </c>
      <c r="H102" s="53" t="s">
        <v>189</v>
      </c>
      <c r="I102" s="53">
        <v>42483.894467592596</v>
      </c>
      <c r="J102" s="19">
        <v>0</v>
      </c>
      <c r="K102" s="67" t="str">
        <f t="shared" si="24"/>
        <v>4043/4044</v>
      </c>
      <c r="L102" s="70">
        <f t="shared" si="25"/>
        <v>2.6331018518249039E-2</v>
      </c>
      <c r="M102" s="21"/>
      <c r="N102" s="21"/>
      <c r="O102" s="22"/>
      <c r="P102" s="17"/>
      <c r="R102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20:47:24-0600',mode:absolute,to:'2016-04-23 21:29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S102" s="16" t="str">
        <f t="shared" si="20"/>
        <v>Y</v>
      </c>
      <c r="T102" s="16">
        <f t="shared" si="21"/>
        <v>7.6100000000000001E-2</v>
      </c>
      <c r="U102" s="16">
        <f t="shared" si="22"/>
        <v>10.7456</v>
      </c>
      <c r="V102" s="16">
        <f t="shared" si="23"/>
        <v>10.669499999999999</v>
      </c>
      <c r="W102" s="49" t="e">
        <f>VLOOKUP(A102,Enforcements!$C$3:$J$24,8,0)</f>
        <v>#N/A</v>
      </c>
      <c r="X102" s="49" t="e">
        <f>VLOOKUP(A102,Enforcements!$C$3:$J$24,3,0)</f>
        <v>#N/A</v>
      </c>
    </row>
    <row r="103" spans="1:24" s="2" customFormat="1" ht="15.75" thickBot="1" x14ac:dyDescent="0.3">
      <c r="A103" s="18" t="s">
        <v>168</v>
      </c>
      <c r="B103" s="19">
        <v>4011</v>
      </c>
      <c r="C103" s="19" t="s">
        <v>68</v>
      </c>
      <c r="D103" s="19" t="s">
        <v>184</v>
      </c>
      <c r="E103" s="53">
        <v>42483.883310185185</v>
      </c>
      <c r="F103" s="53">
        <v>42483.884513888886</v>
      </c>
      <c r="G103" s="62">
        <v>1</v>
      </c>
      <c r="H103" s="53" t="s">
        <v>185</v>
      </c>
      <c r="I103" s="53">
        <v>42483.925127314818</v>
      </c>
      <c r="J103" s="19">
        <v>1</v>
      </c>
      <c r="K103" s="67" t="str">
        <f t="shared" si="24"/>
        <v>4011/4012</v>
      </c>
      <c r="L103" s="70">
        <f t="shared" si="25"/>
        <v>4.0613425931951497E-2</v>
      </c>
      <c r="M103" s="21">
        <f>$L103*24*60</f>
        <v>58.483333342010155</v>
      </c>
      <c r="N103" s="21"/>
      <c r="O103" s="22"/>
      <c r="P103" s="17"/>
      <c r="R103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21:10:58-0600',mode:absolute,to:'2016-04-23 22:13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S103" s="16" t="str">
        <f t="shared" si="20"/>
        <v>N</v>
      </c>
      <c r="T103" s="16">
        <f t="shared" si="21"/>
        <v>7.1199999999999999E-2</v>
      </c>
      <c r="U103" s="16">
        <f t="shared" si="22"/>
        <v>23.327000000000002</v>
      </c>
      <c r="V103" s="16">
        <f t="shared" si="23"/>
        <v>23.255800000000001</v>
      </c>
      <c r="W103" s="49" t="e">
        <f>VLOOKUP(A103,Enforcements!$C$3:$J$24,8,0)</f>
        <v>#N/A</v>
      </c>
      <c r="X103" s="49" t="e">
        <f>VLOOKUP(A103,Enforcements!$C$3:$J$24,3,0)</f>
        <v>#N/A</v>
      </c>
    </row>
    <row r="104" spans="1:24" s="2" customFormat="1" ht="15.75" thickBot="1" x14ac:dyDescent="0.3">
      <c r="A104" s="18" t="s">
        <v>194</v>
      </c>
      <c r="B104" s="19">
        <v>4015</v>
      </c>
      <c r="C104" s="19" t="s">
        <v>68</v>
      </c>
      <c r="D104" s="19" t="s">
        <v>195</v>
      </c>
      <c r="E104" s="53">
        <v>42483.844097222223</v>
      </c>
      <c r="F104" s="53">
        <v>42483.845520833333</v>
      </c>
      <c r="G104" s="62">
        <v>2</v>
      </c>
      <c r="H104" s="53" t="s">
        <v>196</v>
      </c>
      <c r="I104" s="53">
        <v>42483.877638888887</v>
      </c>
      <c r="J104" s="19">
        <v>0</v>
      </c>
      <c r="K104" s="67" t="str">
        <f t="shared" si="24"/>
        <v>4015/4016</v>
      </c>
      <c r="L104" s="70">
        <f t="shared" si="25"/>
        <v>3.2118055554747116E-2</v>
      </c>
      <c r="M104" s="21">
        <f>$L104*24*60</f>
        <v>46.249999998835847</v>
      </c>
      <c r="N104" s="21"/>
      <c r="O104" s="22"/>
      <c r="P104" s="17"/>
      <c r="R104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20:14:30-0600',mode:absolute,to:'2016-04-23 21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S104" s="16" t="str">
        <f t="shared" si="20"/>
        <v>N</v>
      </c>
      <c r="T104" s="16">
        <f t="shared" si="21"/>
        <v>23.270900000000001</v>
      </c>
      <c r="U104" s="16">
        <f t="shared" si="22"/>
        <v>8.0999999999999996E-3</v>
      </c>
      <c r="V104" s="16">
        <f t="shared" si="23"/>
        <v>23.262800000000002</v>
      </c>
      <c r="W104" s="49" t="e">
        <f>VLOOKUP(A104,Enforcements!$C$3:$J$24,8,0)</f>
        <v>#N/A</v>
      </c>
      <c r="X104" s="49" t="e">
        <f>VLOOKUP(A104,Enforcements!$C$3:$J$24,3,0)</f>
        <v>#N/A</v>
      </c>
    </row>
    <row r="105" spans="1:24" s="2" customFormat="1" ht="15.75" thickBot="1" x14ac:dyDescent="0.3">
      <c r="A105" s="18" t="s">
        <v>194</v>
      </c>
      <c r="B105" s="19">
        <v>4011</v>
      </c>
      <c r="C105" s="19" t="s">
        <v>68</v>
      </c>
      <c r="D105" s="19" t="s">
        <v>201</v>
      </c>
      <c r="E105" s="53">
        <v>42483.805949074071</v>
      </c>
      <c r="F105" s="53">
        <v>42483.80740740741</v>
      </c>
      <c r="G105" s="62">
        <v>2</v>
      </c>
      <c r="H105" s="53" t="s">
        <v>202</v>
      </c>
      <c r="I105" s="53">
        <v>42483.841412037036</v>
      </c>
      <c r="J105" s="19">
        <v>0</v>
      </c>
      <c r="K105" s="67" t="str">
        <f t="shared" si="24"/>
        <v>4011/4012</v>
      </c>
      <c r="L105" s="70">
        <f t="shared" si="25"/>
        <v>3.400462962599704E-2</v>
      </c>
      <c r="M105" s="21">
        <f>$L105*24*60</f>
        <v>48.966666661435738</v>
      </c>
      <c r="N105" s="21"/>
      <c r="O105" s="22"/>
      <c r="P105" s="17"/>
      <c r="R105" s="16" t="str">
        <f t="shared" si="19"/>
        <v>https://search-rtdc-monitor-bjffxe2xuh6vdkpspy63sjmuny.us-east-1.es.amazonaws.com/_plugin/kibana/#/discover/Steve-Slow-Train-Analysis-(2080s-and-2083s)?_g=(refreshInterval:(display:Off,section:0,value:0),time:(from:'2016-04-23 19:19:34-0600',mode:absolute,to:'2016-04-23 20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S105" s="16" t="str">
        <f t="shared" si="20"/>
        <v>N</v>
      </c>
      <c r="T105" s="16">
        <f t="shared" si="21"/>
        <v>7.5700000000000003E-2</v>
      </c>
      <c r="U105" s="16">
        <f t="shared" si="22"/>
        <v>23.334900000000001</v>
      </c>
      <c r="V105" s="16">
        <f t="shared" si="23"/>
        <v>23.2592</v>
      </c>
      <c r="W105" s="49" t="e">
        <f>VLOOKUP(A105,Enforcements!$C$3:$J$24,8,0)</f>
        <v>#N/A</v>
      </c>
      <c r="X105" s="49" t="e">
        <f>VLOOKUP(A105,Enforcements!$C$3:$J$24,3,0)</f>
        <v>#N/A</v>
      </c>
    </row>
    <row r="106" spans="1:24" s="2" customFormat="1" ht="15.75" thickBot="1" x14ac:dyDescent="0.3">
      <c r="E106" s="54"/>
      <c r="F106" s="54"/>
      <c r="G106" s="63"/>
      <c r="H106" s="54"/>
      <c r="I106" s="72">
        <f>Z2</f>
        <v>42483</v>
      </c>
      <c r="J106" s="73"/>
      <c r="K106" s="65"/>
      <c r="L106" s="74" t="s">
        <v>9</v>
      </c>
      <c r="M106" s="75"/>
      <c r="N106" s="76"/>
      <c r="O106" s="5"/>
      <c r="W106" s="47"/>
      <c r="X106" s="47"/>
    </row>
    <row r="107" spans="1:24" s="2" customFormat="1" ht="15.75" thickBot="1" x14ac:dyDescent="0.3">
      <c r="E107" s="54"/>
      <c r="F107" s="54"/>
      <c r="G107" s="63"/>
      <c r="H107" s="54"/>
      <c r="I107" s="77" t="s">
        <v>11</v>
      </c>
      <c r="J107" s="78"/>
      <c r="K107" s="58"/>
      <c r="L107" s="9" t="s">
        <v>12</v>
      </c>
      <c r="M107" s="6" t="s">
        <v>13</v>
      </c>
      <c r="N107" s="7" t="s">
        <v>14</v>
      </c>
      <c r="O107" s="5"/>
      <c r="W107" s="47"/>
      <c r="X107" s="47"/>
    </row>
    <row r="108" spans="1:24" s="2" customFormat="1" ht="15.75" thickBot="1" x14ac:dyDescent="0.3">
      <c r="E108" s="54"/>
      <c r="F108" s="54"/>
      <c r="G108" s="63"/>
      <c r="H108" s="54"/>
      <c r="I108" s="55" t="s">
        <v>15</v>
      </c>
      <c r="J108" s="3">
        <f>COUNT(M3:O105)</f>
        <v>95</v>
      </c>
      <c r="K108" s="3"/>
      <c r="L108" s="9" t="s">
        <v>16</v>
      </c>
      <c r="M108" s="6" t="s">
        <v>16</v>
      </c>
      <c r="N108" s="7" t="s">
        <v>16</v>
      </c>
      <c r="O108" s="5"/>
      <c r="W108" s="47"/>
      <c r="X108" s="47"/>
    </row>
    <row r="109" spans="1:24" s="2" customFormat="1" ht="15.75" thickBot="1" x14ac:dyDescent="0.3">
      <c r="E109" s="54"/>
      <c r="F109" s="54"/>
      <c r="G109" s="63"/>
      <c r="H109" s="54"/>
      <c r="I109" s="55" t="s">
        <v>18</v>
      </c>
      <c r="J109" s="3">
        <f>COUNT(M3:M105)</f>
        <v>81</v>
      </c>
      <c r="K109" s="3"/>
      <c r="L109" s="10">
        <f>AVERAGE(M3:M105)</f>
        <v>46.094238683452005</v>
      </c>
      <c r="M109" s="6">
        <f>MIN(M3:M105)</f>
        <v>36.400000001303852</v>
      </c>
      <c r="N109" s="7">
        <f>MAX(M3:M105)</f>
        <v>67.266666664509103</v>
      </c>
      <c r="O109" s="5"/>
      <c r="W109" s="47"/>
      <c r="X109" s="47"/>
    </row>
    <row r="110" spans="1:24" ht="15.75" thickBot="1" x14ac:dyDescent="0.3">
      <c r="I110" s="56" t="s">
        <v>74</v>
      </c>
      <c r="J110" s="3">
        <f>COUNT(N3:N105)</f>
        <v>0</v>
      </c>
      <c r="K110" s="3"/>
      <c r="L110" s="10">
        <f>IFERROR(AVERAGE(N3:N105),0)</f>
        <v>0</v>
      </c>
      <c r="M110" s="6">
        <f>MIN(N3:N105)</f>
        <v>0</v>
      </c>
      <c r="N110" s="7">
        <f>MAX(N3:N105)</f>
        <v>0</v>
      </c>
    </row>
    <row r="111" spans="1:24" ht="15.75" thickBot="1" x14ac:dyDescent="0.3">
      <c r="I111" s="57" t="s">
        <v>10</v>
      </c>
      <c r="J111" s="3">
        <f>COUNT(O3:O105)</f>
        <v>14</v>
      </c>
      <c r="K111" s="3"/>
      <c r="L111" s="9" t="s">
        <v>16</v>
      </c>
      <c r="M111" s="6" t="s">
        <v>16</v>
      </c>
      <c r="N111" s="7" t="s">
        <v>16</v>
      </c>
    </row>
    <row r="112" spans="1:24" s="2" customFormat="1" ht="30.75" thickBot="1" x14ac:dyDescent="0.3">
      <c r="E112" s="54"/>
      <c r="F112" s="54"/>
      <c r="G112" s="63"/>
      <c r="H112" s="54"/>
      <c r="I112" s="55" t="s">
        <v>17</v>
      </c>
      <c r="J112" s="3">
        <f>COUNT(M3:N105)</f>
        <v>81</v>
      </c>
      <c r="K112" s="3"/>
      <c r="L112" s="10">
        <f>AVERAGE(M3:O105)</f>
        <v>44.743508772520151</v>
      </c>
      <c r="M112" s="6">
        <f>MIN(M3:N105)</f>
        <v>36.400000001303852</v>
      </c>
      <c r="N112" s="7">
        <f>MAX(M3:N105)</f>
        <v>67.266666664509103</v>
      </c>
      <c r="O112" s="5"/>
      <c r="W112" s="47"/>
      <c r="X112" s="47"/>
    </row>
    <row r="113" spans="9:11" ht="30.75" thickBot="1" x14ac:dyDescent="0.3">
      <c r="I113" s="55" t="s">
        <v>23</v>
      </c>
      <c r="J113" s="8">
        <f>J112/J108</f>
        <v>0.85263157894736841</v>
      </c>
      <c r="K113" s="8"/>
    </row>
  </sheetData>
  <sortState ref="A3:X106">
    <sortCondition ref="A3:A106"/>
  </sortState>
  <mergeCells count="4">
    <mergeCell ref="I106:J106"/>
    <mergeCell ref="L106:N106"/>
    <mergeCell ref="I107:J107"/>
    <mergeCell ref="A1:O1"/>
  </mergeCells>
  <conditionalFormatting sqref="S1:S1048576">
    <cfRule type="cellIs" dxfId="5" priority="7" operator="equal">
      <formula>"Y"</formula>
    </cfRule>
  </conditionalFormatting>
  <conditionalFormatting sqref="A3:P105">
    <cfRule type="expression" dxfId="4" priority="8">
      <formula>$M3&gt;$AB$2</formula>
    </cfRule>
    <cfRule type="expression" dxfId="3" priority="9">
      <formula>$O3&gt;0</formula>
    </cfRule>
    <cfRule type="expression" dxfId="2" priority="10">
      <formula>$N3&gt;0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showGridLines="0" tabSelected="1" zoomScale="85" zoomScaleNormal="85" workbookViewId="0">
      <selection activeCell="M24" sqref="M24"/>
    </sheetView>
  </sheetViews>
  <sheetFormatPr defaultRowHeight="15" x14ac:dyDescent="0.25"/>
  <cols>
    <col min="1" max="1" width="18.42578125" style="32" customWidth="1"/>
    <col min="2" max="2" width="17.5703125" customWidth="1"/>
    <col min="3" max="3" width="8.5703125" customWidth="1"/>
    <col min="4" max="4" width="26.5703125" customWidth="1"/>
    <col min="5" max="5" width="23.5703125" customWidth="1"/>
    <col min="6" max="6" width="7.5703125" customWidth="1"/>
    <col min="7" max="7" width="7.140625" customWidth="1"/>
    <col min="8" max="8" width="9" customWidth="1"/>
    <col min="9" max="9" width="25.140625" customWidth="1"/>
    <col min="10" max="10" width="10.85546875" customWidth="1"/>
    <col min="11" max="11" width="15" customWidth="1"/>
    <col min="12" max="12" width="6.42578125" customWidth="1"/>
    <col min="13" max="13" width="37.85546875" bestFit="1" customWidth="1"/>
  </cols>
  <sheetData>
    <row r="1" spans="1:13" s="44" customFormat="1" ht="15" customHeight="1" x14ac:dyDescent="0.25">
      <c r="A1" s="80" t="s">
        <v>122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45"/>
    </row>
    <row r="2" spans="1:13" s="2" customFormat="1" ht="90" x14ac:dyDescent="0.25">
      <c r="A2" s="43" t="s">
        <v>67</v>
      </c>
      <c r="B2" s="42" t="s">
        <v>66</v>
      </c>
      <c r="C2" s="42" t="s">
        <v>65</v>
      </c>
      <c r="D2" s="42" t="s">
        <v>64</v>
      </c>
      <c r="E2" s="42" t="s">
        <v>63</v>
      </c>
      <c r="F2" s="42" t="s">
        <v>62</v>
      </c>
      <c r="G2" s="42" t="s">
        <v>61</v>
      </c>
      <c r="H2" s="42" t="s">
        <v>60</v>
      </c>
      <c r="I2" s="42" t="s">
        <v>59</v>
      </c>
      <c r="J2" s="42" t="s">
        <v>58</v>
      </c>
      <c r="K2" s="42" t="s">
        <v>57</v>
      </c>
      <c r="L2" s="42" t="s">
        <v>56</v>
      </c>
      <c r="M2" s="42" t="s">
        <v>30</v>
      </c>
    </row>
    <row r="3" spans="1:13" s="37" customFormat="1" x14ac:dyDescent="0.25">
      <c r="A3" s="41">
        <v>42483.218761574077</v>
      </c>
      <c r="B3" s="40" t="s">
        <v>120</v>
      </c>
      <c r="C3" s="40" t="s">
        <v>123</v>
      </c>
      <c r="D3" s="40" t="s">
        <v>42</v>
      </c>
      <c r="E3" s="40" t="s">
        <v>55</v>
      </c>
      <c r="F3" s="40">
        <v>0</v>
      </c>
      <c r="G3" s="40">
        <v>284</v>
      </c>
      <c r="H3" s="40">
        <v>63893</v>
      </c>
      <c r="I3" s="40" t="s">
        <v>54</v>
      </c>
      <c r="J3" s="40">
        <v>64006</v>
      </c>
      <c r="K3" s="39" t="s">
        <v>39</v>
      </c>
      <c r="L3" s="38" t="s">
        <v>47</v>
      </c>
      <c r="M3" s="39" t="s">
        <v>342</v>
      </c>
    </row>
    <row r="4" spans="1:13" s="37" customFormat="1" x14ac:dyDescent="0.25">
      <c r="A4" s="41">
        <v>42483.348391203705</v>
      </c>
      <c r="B4" s="40" t="s">
        <v>130</v>
      </c>
      <c r="C4" s="40" t="s">
        <v>131</v>
      </c>
      <c r="D4" s="40" t="s">
        <v>42</v>
      </c>
      <c r="E4" s="40" t="s">
        <v>55</v>
      </c>
      <c r="F4" s="40">
        <v>270</v>
      </c>
      <c r="G4" s="40">
        <v>589</v>
      </c>
      <c r="H4" s="40">
        <v>84443</v>
      </c>
      <c r="I4" s="40" t="s">
        <v>54</v>
      </c>
      <c r="J4" s="40">
        <v>86214</v>
      </c>
      <c r="K4" s="39" t="s">
        <v>39</v>
      </c>
      <c r="L4" s="38" t="s">
        <v>38</v>
      </c>
      <c r="M4" s="39" t="s">
        <v>170</v>
      </c>
    </row>
    <row r="5" spans="1:13" s="37" customFormat="1" x14ac:dyDescent="0.25">
      <c r="A5" s="41">
        <v>42483.730254629627</v>
      </c>
      <c r="B5" s="40" t="s">
        <v>135</v>
      </c>
      <c r="C5" s="40" t="s">
        <v>162</v>
      </c>
      <c r="D5" s="40" t="s">
        <v>42</v>
      </c>
      <c r="E5" s="40" t="s">
        <v>55</v>
      </c>
      <c r="F5" s="40">
        <v>0</v>
      </c>
      <c r="G5" s="40">
        <v>80</v>
      </c>
      <c r="H5" s="40">
        <v>43114</v>
      </c>
      <c r="I5" s="40" t="s">
        <v>54</v>
      </c>
      <c r="J5" s="40">
        <v>42961</v>
      </c>
      <c r="K5" s="39" t="s">
        <v>43</v>
      </c>
      <c r="L5" s="38" t="s">
        <v>38</v>
      </c>
      <c r="M5" s="39" t="s">
        <v>169</v>
      </c>
    </row>
    <row r="6" spans="1:13" s="37" customFormat="1" x14ac:dyDescent="0.25">
      <c r="A6" s="41">
        <v>42483.78943287037</v>
      </c>
      <c r="B6" s="40" t="s">
        <v>146</v>
      </c>
      <c r="C6" s="40" t="s">
        <v>164</v>
      </c>
      <c r="D6" s="40" t="s">
        <v>42</v>
      </c>
      <c r="E6" s="40" t="s">
        <v>55</v>
      </c>
      <c r="F6" s="40">
        <v>0</v>
      </c>
      <c r="G6" s="40">
        <v>254</v>
      </c>
      <c r="H6" s="40">
        <v>44050</v>
      </c>
      <c r="I6" s="40" t="s">
        <v>54</v>
      </c>
      <c r="J6" s="40">
        <v>42961</v>
      </c>
      <c r="K6" s="39" t="s">
        <v>43</v>
      </c>
      <c r="L6" s="38" t="s">
        <v>38</v>
      </c>
      <c r="M6" s="39" t="s">
        <v>169</v>
      </c>
    </row>
    <row r="7" spans="1:13" s="37" customFormat="1" x14ac:dyDescent="0.25">
      <c r="A7" s="41">
        <v>42483.336909722224</v>
      </c>
      <c r="B7" s="40" t="s">
        <v>78</v>
      </c>
      <c r="C7" s="40" t="s">
        <v>129</v>
      </c>
      <c r="D7" s="40" t="s">
        <v>42</v>
      </c>
      <c r="E7" s="40" t="s">
        <v>52</v>
      </c>
      <c r="F7" s="40">
        <v>150</v>
      </c>
      <c r="G7" s="40">
        <v>124</v>
      </c>
      <c r="H7" s="40">
        <v>231684</v>
      </c>
      <c r="I7" s="40" t="s">
        <v>51</v>
      </c>
      <c r="J7" s="40">
        <v>232107</v>
      </c>
      <c r="K7" s="39" t="s">
        <v>39</v>
      </c>
      <c r="L7" s="38" t="s">
        <v>38</v>
      </c>
      <c r="M7" s="39" t="s">
        <v>171</v>
      </c>
    </row>
    <row r="8" spans="1:13" s="37" customFormat="1" x14ac:dyDescent="0.25">
      <c r="A8" s="41">
        <v>42483.355127314811</v>
      </c>
      <c r="B8" s="40" t="s">
        <v>44</v>
      </c>
      <c r="C8" s="40" t="s">
        <v>132</v>
      </c>
      <c r="D8" s="40" t="s">
        <v>42</v>
      </c>
      <c r="E8" s="40" t="s">
        <v>52</v>
      </c>
      <c r="F8" s="40">
        <v>450</v>
      </c>
      <c r="G8" s="40">
        <v>450</v>
      </c>
      <c r="H8" s="40">
        <v>17416</v>
      </c>
      <c r="I8" s="40" t="s">
        <v>51</v>
      </c>
      <c r="J8" s="40">
        <v>15167</v>
      </c>
      <c r="K8" s="39" t="s">
        <v>43</v>
      </c>
      <c r="L8" s="38" t="s">
        <v>38</v>
      </c>
      <c r="M8" s="39" t="s">
        <v>171</v>
      </c>
    </row>
    <row r="9" spans="1:13" s="37" customFormat="1" x14ac:dyDescent="0.25">
      <c r="A9" s="41">
        <v>42483.586875000001</v>
      </c>
      <c r="B9" s="40" t="s">
        <v>46</v>
      </c>
      <c r="C9" s="40" t="s">
        <v>151</v>
      </c>
      <c r="D9" s="40" t="s">
        <v>42</v>
      </c>
      <c r="E9" s="40" t="s">
        <v>52</v>
      </c>
      <c r="F9" s="40">
        <v>150</v>
      </c>
      <c r="G9" s="40">
        <v>132</v>
      </c>
      <c r="H9" s="40">
        <v>231699</v>
      </c>
      <c r="I9" s="40" t="s">
        <v>51</v>
      </c>
      <c r="J9" s="40">
        <v>232107</v>
      </c>
      <c r="K9" s="39" t="s">
        <v>39</v>
      </c>
      <c r="L9" s="38" t="s">
        <v>38</v>
      </c>
      <c r="M9" s="39" t="s">
        <v>171</v>
      </c>
    </row>
    <row r="10" spans="1:13" s="37" customFormat="1" x14ac:dyDescent="0.25">
      <c r="A10" s="41">
        <v>42483.680613425924</v>
      </c>
      <c r="B10" s="40" t="s">
        <v>45</v>
      </c>
      <c r="C10" s="40" t="s">
        <v>158</v>
      </c>
      <c r="D10" s="40" t="s">
        <v>42</v>
      </c>
      <c r="E10" s="40" t="s">
        <v>52</v>
      </c>
      <c r="F10" s="40">
        <v>450</v>
      </c>
      <c r="G10" s="40">
        <v>467</v>
      </c>
      <c r="H10" s="40">
        <v>17523</v>
      </c>
      <c r="I10" s="40" t="s">
        <v>51</v>
      </c>
      <c r="J10" s="40">
        <v>15167</v>
      </c>
      <c r="K10" s="39" t="s">
        <v>43</v>
      </c>
      <c r="L10" s="38" t="s">
        <v>38</v>
      </c>
      <c r="M10" s="39" t="s">
        <v>171</v>
      </c>
    </row>
    <row r="11" spans="1:13" s="37" customFormat="1" x14ac:dyDescent="0.25">
      <c r="A11" s="41">
        <v>42483.244189814817</v>
      </c>
      <c r="B11" s="40" t="s">
        <v>124</v>
      </c>
      <c r="C11" s="40" t="s">
        <v>125</v>
      </c>
      <c r="D11" s="40" t="s">
        <v>42</v>
      </c>
      <c r="E11" s="40" t="s">
        <v>50</v>
      </c>
      <c r="F11" s="40">
        <v>0</v>
      </c>
      <c r="G11" s="40">
        <v>352</v>
      </c>
      <c r="H11" s="40">
        <v>223520</v>
      </c>
      <c r="I11" s="40" t="s">
        <v>49</v>
      </c>
      <c r="J11" s="40">
        <v>224231</v>
      </c>
      <c r="K11" s="39" t="s">
        <v>39</v>
      </c>
      <c r="L11" s="38" t="s">
        <v>38</v>
      </c>
      <c r="M11" s="39" t="s">
        <v>343</v>
      </c>
    </row>
    <row r="12" spans="1:13" s="37" customFormat="1" x14ac:dyDescent="0.25">
      <c r="A12" s="41">
        <v>42483.27783564815</v>
      </c>
      <c r="B12" s="40" t="s">
        <v>45</v>
      </c>
      <c r="C12" s="40" t="s">
        <v>126</v>
      </c>
      <c r="D12" s="40" t="s">
        <v>42</v>
      </c>
      <c r="E12" s="40" t="s">
        <v>50</v>
      </c>
      <c r="F12" s="40">
        <v>0</v>
      </c>
      <c r="G12" s="40">
        <v>109</v>
      </c>
      <c r="H12" s="40">
        <v>127947</v>
      </c>
      <c r="I12" s="40" t="s">
        <v>49</v>
      </c>
      <c r="J12" s="40">
        <v>127587</v>
      </c>
      <c r="K12" s="39" t="s">
        <v>43</v>
      </c>
      <c r="L12" s="38" t="s">
        <v>38</v>
      </c>
      <c r="M12" s="39" t="s">
        <v>173</v>
      </c>
    </row>
    <row r="13" spans="1:13" s="37" customFormat="1" x14ac:dyDescent="0.25">
      <c r="A13" s="41">
        <v>42483.303356481483</v>
      </c>
      <c r="B13" s="40" t="s">
        <v>127</v>
      </c>
      <c r="C13" s="40" t="s">
        <v>128</v>
      </c>
      <c r="D13" s="40" t="s">
        <v>42</v>
      </c>
      <c r="E13" s="40" t="s">
        <v>50</v>
      </c>
      <c r="F13" s="40">
        <v>0</v>
      </c>
      <c r="G13" s="40">
        <v>96</v>
      </c>
      <c r="H13" s="40">
        <v>231266</v>
      </c>
      <c r="I13" s="40" t="s">
        <v>49</v>
      </c>
      <c r="J13" s="40">
        <v>231147</v>
      </c>
      <c r="K13" s="39" t="s">
        <v>43</v>
      </c>
      <c r="L13" s="38" t="s">
        <v>38</v>
      </c>
      <c r="M13" s="39" t="s">
        <v>172</v>
      </c>
    </row>
    <row r="14" spans="1:13" s="37" customFormat="1" x14ac:dyDescent="0.25">
      <c r="A14" s="41">
        <v>42483.402662037035</v>
      </c>
      <c r="B14" s="40" t="s">
        <v>135</v>
      </c>
      <c r="C14" s="40" t="s">
        <v>136</v>
      </c>
      <c r="D14" s="40" t="s">
        <v>42</v>
      </c>
      <c r="E14" s="40" t="s">
        <v>50</v>
      </c>
      <c r="F14" s="40">
        <v>0</v>
      </c>
      <c r="G14" s="40">
        <v>4</v>
      </c>
      <c r="H14" s="40">
        <v>36701</v>
      </c>
      <c r="I14" s="40" t="s">
        <v>49</v>
      </c>
      <c r="J14" s="40">
        <v>36657</v>
      </c>
      <c r="K14" s="39" t="s">
        <v>43</v>
      </c>
      <c r="L14" s="38" t="s">
        <v>38</v>
      </c>
      <c r="M14" s="39" t="s">
        <v>174</v>
      </c>
    </row>
    <row r="15" spans="1:13" s="37" customFormat="1" x14ac:dyDescent="0.25">
      <c r="A15" s="41">
        <v>42483.505601851852</v>
      </c>
      <c r="B15" s="40" t="s">
        <v>53</v>
      </c>
      <c r="C15" s="40" t="s">
        <v>142</v>
      </c>
      <c r="D15" s="40" t="s">
        <v>42</v>
      </c>
      <c r="E15" s="40" t="s">
        <v>50</v>
      </c>
      <c r="F15" s="40">
        <v>0</v>
      </c>
      <c r="G15" s="40">
        <v>234</v>
      </c>
      <c r="H15" s="40">
        <v>192832</v>
      </c>
      <c r="I15" s="40" t="s">
        <v>49</v>
      </c>
      <c r="J15" s="40">
        <v>191723</v>
      </c>
      <c r="K15" s="39" t="s">
        <v>43</v>
      </c>
      <c r="L15" s="38" t="s">
        <v>38</v>
      </c>
      <c r="M15" s="39" t="s">
        <v>175</v>
      </c>
    </row>
    <row r="16" spans="1:13" s="37" customFormat="1" x14ac:dyDescent="0.25">
      <c r="A16" s="41">
        <v>42483.511145833334</v>
      </c>
      <c r="B16" s="40" t="s">
        <v>53</v>
      </c>
      <c r="C16" s="40" t="s">
        <v>142</v>
      </c>
      <c r="D16" s="40" t="s">
        <v>42</v>
      </c>
      <c r="E16" s="40" t="s">
        <v>50</v>
      </c>
      <c r="F16" s="40">
        <v>0</v>
      </c>
      <c r="G16" s="40">
        <v>62</v>
      </c>
      <c r="H16" s="40">
        <v>192326</v>
      </c>
      <c r="I16" s="40" t="s">
        <v>49</v>
      </c>
      <c r="J16" s="40">
        <v>191723</v>
      </c>
      <c r="K16" s="39" t="s">
        <v>43</v>
      </c>
      <c r="L16" s="38" t="s">
        <v>38</v>
      </c>
      <c r="M16" s="39" t="s">
        <v>175</v>
      </c>
    </row>
    <row r="17" spans="1:13" s="37" customFormat="1" x14ac:dyDescent="0.25">
      <c r="A17" s="41">
        <v>42483.516747685186</v>
      </c>
      <c r="B17" s="40" t="s">
        <v>124</v>
      </c>
      <c r="C17" s="40" t="s">
        <v>143</v>
      </c>
      <c r="D17" s="40" t="s">
        <v>42</v>
      </c>
      <c r="E17" s="40" t="s">
        <v>50</v>
      </c>
      <c r="F17" s="40">
        <v>0</v>
      </c>
      <c r="G17" s="40">
        <v>295</v>
      </c>
      <c r="H17" s="40">
        <v>20336</v>
      </c>
      <c r="I17" s="40" t="s">
        <v>49</v>
      </c>
      <c r="J17" s="40">
        <v>20617</v>
      </c>
      <c r="K17" s="39" t="s">
        <v>39</v>
      </c>
      <c r="L17" s="38" t="s">
        <v>47</v>
      </c>
      <c r="M17" s="39" t="s">
        <v>342</v>
      </c>
    </row>
    <row r="18" spans="1:13" s="37" customFormat="1" x14ac:dyDescent="0.25">
      <c r="A18" s="41">
        <v>42483.522731481484</v>
      </c>
      <c r="B18" s="40" t="s">
        <v>127</v>
      </c>
      <c r="C18" s="40" t="s">
        <v>145</v>
      </c>
      <c r="D18" s="40" t="s">
        <v>42</v>
      </c>
      <c r="E18" s="40" t="s">
        <v>50</v>
      </c>
      <c r="F18" s="40">
        <v>0</v>
      </c>
      <c r="G18" s="40">
        <v>374</v>
      </c>
      <c r="H18" s="40">
        <v>200384</v>
      </c>
      <c r="I18" s="40" t="s">
        <v>49</v>
      </c>
      <c r="J18" s="40">
        <v>198256</v>
      </c>
      <c r="K18" s="39" t="s">
        <v>43</v>
      </c>
      <c r="L18" s="38" t="s">
        <v>38</v>
      </c>
      <c r="M18" s="39" t="s">
        <v>344</v>
      </c>
    </row>
    <row r="19" spans="1:13" s="37" customFormat="1" x14ac:dyDescent="0.25">
      <c r="A19" s="41">
        <v>42483.531122685185</v>
      </c>
      <c r="B19" s="40" t="s">
        <v>146</v>
      </c>
      <c r="C19" s="40" t="s">
        <v>147</v>
      </c>
      <c r="D19" s="40" t="s">
        <v>42</v>
      </c>
      <c r="E19" s="40" t="s">
        <v>50</v>
      </c>
      <c r="F19" s="40">
        <v>0</v>
      </c>
      <c r="G19" s="40">
        <v>539</v>
      </c>
      <c r="H19" s="40">
        <v>160209</v>
      </c>
      <c r="I19" s="40" t="s">
        <v>49</v>
      </c>
      <c r="J19" s="40">
        <v>157300</v>
      </c>
      <c r="K19" s="39" t="s">
        <v>43</v>
      </c>
      <c r="L19" s="38" t="s">
        <v>38</v>
      </c>
      <c r="M19" s="39" t="s">
        <v>91</v>
      </c>
    </row>
    <row r="20" spans="1:13" s="37" customFormat="1" x14ac:dyDescent="0.25">
      <c r="A20" s="41">
        <v>42483.541400462964</v>
      </c>
      <c r="B20" s="40" t="s">
        <v>127</v>
      </c>
      <c r="C20" s="40" t="s">
        <v>145</v>
      </c>
      <c r="D20" s="40" t="s">
        <v>42</v>
      </c>
      <c r="E20" s="40" t="s">
        <v>50</v>
      </c>
      <c r="F20" s="40">
        <v>0</v>
      </c>
      <c r="G20" s="40">
        <v>521</v>
      </c>
      <c r="H20" s="40">
        <v>148203</v>
      </c>
      <c r="I20" s="40" t="s">
        <v>49</v>
      </c>
      <c r="J20" s="40">
        <v>144312</v>
      </c>
      <c r="K20" s="39" t="s">
        <v>43</v>
      </c>
      <c r="L20" s="38" t="s">
        <v>47</v>
      </c>
      <c r="M20" s="39" t="s">
        <v>176</v>
      </c>
    </row>
    <row r="21" spans="1:13" s="37" customFormat="1" x14ac:dyDescent="0.25">
      <c r="A21" s="41">
        <v>42483.591944444444</v>
      </c>
      <c r="B21" s="40" t="s">
        <v>130</v>
      </c>
      <c r="C21" s="40" t="s">
        <v>152</v>
      </c>
      <c r="D21" s="40" t="s">
        <v>42</v>
      </c>
      <c r="E21" s="40" t="s">
        <v>50</v>
      </c>
      <c r="F21" s="40">
        <v>0</v>
      </c>
      <c r="G21" s="40">
        <v>574</v>
      </c>
      <c r="H21" s="40">
        <v>146083</v>
      </c>
      <c r="I21" s="40" t="s">
        <v>49</v>
      </c>
      <c r="J21" s="40">
        <v>149694</v>
      </c>
      <c r="K21" s="39" t="s">
        <v>39</v>
      </c>
      <c r="L21" s="38" t="s">
        <v>47</v>
      </c>
      <c r="M21" s="39" t="s">
        <v>177</v>
      </c>
    </row>
    <row r="22" spans="1:13" s="37" customFormat="1" x14ac:dyDescent="0.25">
      <c r="A22" s="41">
        <v>42483.208877314813</v>
      </c>
      <c r="B22" s="40" t="s">
        <v>120</v>
      </c>
      <c r="C22" s="40" t="s">
        <v>123</v>
      </c>
      <c r="D22" s="40" t="s">
        <v>42</v>
      </c>
      <c r="E22" s="40" t="s">
        <v>77</v>
      </c>
      <c r="F22" s="40">
        <v>0</v>
      </c>
      <c r="G22" s="40">
        <v>115</v>
      </c>
      <c r="H22" s="40">
        <v>1160</v>
      </c>
      <c r="I22" s="40" t="s">
        <v>48</v>
      </c>
      <c r="J22" s="40">
        <v>1692</v>
      </c>
      <c r="K22" s="39" t="s">
        <v>39</v>
      </c>
      <c r="L22" s="38" t="s">
        <v>47</v>
      </c>
      <c r="M22" s="39" t="s">
        <v>342</v>
      </c>
    </row>
    <row r="23" spans="1:13" s="37" customFormat="1" x14ac:dyDescent="0.25">
      <c r="A23" s="41">
        <v>42483.229074074072</v>
      </c>
      <c r="B23" s="40" t="s">
        <v>120</v>
      </c>
      <c r="C23" s="40" t="s">
        <v>123</v>
      </c>
      <c r="D23" s="40" t="s">
        <v>42</v>
      </c>
      <c r="E23" s="40" t="s">
        <v>77</v>
      </c>
      <c r="F23" s="40">
        <v>0</v>
      </c>
      <c r="G23" s="40">
        <v>546</v>
      </c>
      <c r="H23" s="40">
        <v>122349</v>
      </c>
      <c r="I23" s="40" t="s">
        <v>48</v>
      </c>
      <c r="J23" s="40">
        <v>126678</v>
      </c>
      <c r="K23" s="39" t="s">
        <v>39</v>
      </c>
      <c r="L23" s="38" t="s">
        <v>47</v>
      </c>
      <c r="M23" s="39" t="s">
        <v>342</v>
      </c>
    </row>
    <row r="24" spans="1:13" s="37" customFormat="1" x14ac:dyDescent="0.25">
      <c r="A24" s="41">
        <v>42483.237939814811</v>
      </c>
      <c r="B24" s="40" t="s">
        <v>120</v>
      </c>
      <c r="C24" s="40" t="s">
        <v>123</v>
      </c>
      <c r="D24" s="40" t="s">
        <v>42</v>
      </c>
      <c r="E24" s="40" t="s">
        <v>77</v>
      </c>
      <c r="F24" s="40">
        <v>0</v>
      </c>
      <c r="G24" s="40">
        <v>500</v>
      </c>
      <c r="H24" s="40">
        <v>187633</v>
      </c>
      <c r="I24" s="40" t="s">
        <v>48</v>
      </c>
      <c r="J24" s="40">
        <v>190834</v>
      </c>
      <c r="K24" s="39" t="s">
        <v>39</v>
      </c>
      <c r="L24" s="38" t="s">
        <v>47</v>
      </c>
      <c r="M24" s="39" t="s">
        <v>342</v>
      </c>
    </row>
    <row r="25" spans="1:13" s="37" customFormat="1" x14ac:dyDescent="0.25">
      <c r="A25" s="41">
        <v>42483.33730324074</v>
      </c>
      <c r="B25" s="40" t="s">
        <v>78</v>
      </c>
      <c r="C25" s="40" t="s">
        <v>129</v>
      </c>
      <c r="D25" s="40" t="s">
        <v>42</v>
      </c>
      <c r="E25" s="40" t="s">
        <v>41</v>
      </c>
      <c r="F25" s="40">
        <v>0</v>
      </c>
      <c r="G25" s="40">
        <v>6</v>
      </c>
      <c r="H25" s="40">
        <v>231924</v>
      </c>
      <c r="I25" s="40" t="s">
        <v>40</v>
      </c>
      <c r="J25" s="40">
        <v>233491</v>
      </c>
      <c r="K25" s="39" t="s">
        <v>39</v>
      </c>
      <c r="L25" s="38" t="s">
        <v>38</v>
      </c>
      <c r="M25" s="39" t="s">
        <v>178</v>
      </c>
    </row>
    <row r="26" spans="1:13" s="37" customFormat="1" x14ac:dyDescent="0.25">
      <c r="A26" s="41">
        <v>42483.370937500003</v>
      </c>
      <c r="B26" s="40" t="s">
        <v>45</v>
      </c>
      <c r="C26" s="40" t="s">
        <v>133</v>
      </c>
      <c r="D26" s="40" t="s">
        <v>42</v>
      </c>
      <c r="E26" s="40" t="s">
        <v>41</v>
      </c>
      <c r="F26" s="40">
        <v>0</v>
      </c>
      <c r="G26" s="40">
        <v>2</v>
      </c>
      <c r="H26" s="40">
        <v>129</v>
      </c>
      <c r="I26" s="40" t="s">
        <v>40</v>
      </c>
      <c r="J26" s="40">
        <v>1</v>
      </c>
      <c r="K26" s="39" t="s">
        <v>43</v>
      </c>
      <c r="L26" s="38" t="s">
        <v>38</v>
      </c>
      <c r="M26" s="39" t="s">
        <v>178</v>
      </c>
    </row>
    <row r="27" spans="1:13" s="37" customFormat="1" x14ac:dyDescent="0.25">
      <c r="A27" s="41">
        <v>42483.381851851853</v>
      </c>
      <c r="B27" s="40" t="s">
        <v>53</v>
      </c>
      <c r="C27" s="40" t="s">
        <v>134</v>
      </c>
      <c r="D27" s="40" t="s">
        <v>42</v>
      </c>
      <c r="E27" s="40" t="s">
        <v>41</v>
      </c>
      <c r="F27" s="40">
        <v>0</v>
      </c>
      <c r="G27" s="40">
        <v>5</v>
      </c>
      <c r="H27" s="40">
        <v>121</v>
      </c>
      <c r="I27" s="40" t="s">
        <v>40</v>
      </c>
      <c r="J27" s="40">
        <v>1</v>
      </c>
      <c r="K27" s="39" t="s">
        <v>43</v>
      </c>
      <c r="L27" s="38" t="s">
        <v>38</v>
      </c>
      <c r="M27" s="39" t="s">
        <v>178</v>
      </c>
    </row>
    <row r="28" spans="1:13" s="37" customFormat="1" x14ac:dyDescent="0.25">
      <c r="A28" s="41">
        <v>42483.440046296295</v>
      </c>
      <c r="B28" s="40" t="s">
        <v>130</v>
      </c>
      <c r="C28" s="40" t="s">
        <v>137</v>
      </c>
      <c r="D28" s="40" t="s">
        <v>42</v>
      </c>
      <c r="E28" s="40" t="s">
        <v>41</v>
      </c>
      <c r="F28" s="40">
        <v>0</v>
      </c>
      <c r="G28" s="40">
        <v>126</v>
      </c>
      <c r="H28" s="40">
        <v>232977</v>
      </c>
      <c r="I28" s="40" t="s">
        <v>40</v>
      </c>
      <c r="J28" s="40">
        <v>233491</v>
      </c>
      <c r="K28" s="39" t="s">
        <v>39</v>
      </c>
      <c r="L28" s="38" t="s">
        <v>38</v>
      </c>
      <c r="M28" s="39" t="s">
        <v>178</v>
      </c>
    </row>
    <row r="29" spans="1:13" s="37" customFormat="1" x14ac:dyDescent="0.25">
      <c r="A29" s="41">
        <v>42483.45239583333</v>
      </c>
      <c r="B29" s="40" t="s">
        <v>53</v>
      </c>
      <c r="C29" s="40" t="s">
        <v>138</v>
      </c>
      <c r="D29" s="40" t="s">
        <v>42</v>
      </c>
      <c r="E29" s="40" t="s">
        <v>41</v>
      </c>
      <c r="F29" s="40">
        <v>0</v>
      </c>
      <c r="G29" s="40">
        <v>39</v>
      </c>
      <c r="H29" s="40">
        <v>139</v>
      </c>
      <c r="I29" s="40" t="s">
        <v>40</v>
      </c>
      <c r="J29" s="40">
        <v>1</v>
      </c>
      <c r="K29" s="39" t="s">
        <v>43</v>
      </c>
      <c r="L29" s="38" t="s">
        <v>38</v>
      </c>
      <c r="M29" s="39" t="s">
        <v>178</v>
      </c>
    </row>
    <row r="30" spans="1:13" s="37" customFormat="1" x14ac:dyDescent="0.25">
      <c r="A30" s="41">
        <v>42483.475057870368</v>
      </c>
      <c r="B30" s="40" t="s">
        <v>127</v>
      </c>
      <c r="C30" s="40" t="s">
        <v>139</v>
      </c>
      <c r="D30" s="40" t="s">
        <v>42</v>
      </c>
      <c r="E30" s="40" t="s">
        <v>41</v>
      </c>
      <c r="F30" s="40">
        <v>0</v>
      </c>
      <c r="G30" s="40">
        <v>4</v>
      </c>
      <c r="H30" s="40">
        <v>116</v>
      </c>
      <c r="I30" s="40" t="s">
        <v>40</v>
      </c>
      <c r="J30" s="40">
        <v>1</v>
      </c>
      <c r="K30" s="39" t="s">
        <v>43</v>
      </c>
      <c r="L30" s="38" t="s">
        <v>38</v>
      </c>
      <c r="M30" s="39" t="s">
        <v>178</v>
      </c>
    </row>
    <row r="31" spans="1:13" s="37" customFormat="1" x14ac:dyDescent="0.25">
      <c r="A31" s="41">
        <v>42483.477129629631</v>
      </c>
      <c r="B31" s="40" t="s">
        <v>79</v>
      </c>
      <c r="C31" s="40" t="s">
        <v>140</v>
      </c>
      <c r="D31" s="40" t="s">
        <v>42</v>
      </c>
      <c r="E31" s="40" t="s">
        <v>41</v>
      </c>
      <c r="F31" s="40">
        <v>0</v>
      </c>
      <c r="G31" s="40">
        <v>9</v>
      </c>
      <c r="H31" s="40">
        <v>233314</v>
      </c>
      <c r="I31" s="40" t="s">
        <v>40</v>
      </c>
      <c r="J31" s="40">
        <v>233491</v>
      </c>
      <c r="K31" s="39" t="s">
        <v>39</v>
      </c>
      <c r="L31" s="38" t="s">
        <v>38</v>
      </c>
      <c r="M31" s="39" t="s">
        <v>178</v>
      </c>
    </row>
    <row r="32" spans="1:13" s="37" customFormat="1" x14ac:dyDescent="0.25">
      <c r="A32" s="41">
        <v>42483.485219907408</v>
      </c>
      <c r="B32" s="40" t="s">
        <v>46</v>
      </c>
      <c r="C32" s="40" t="s">
        <v>141</v>
      </c>
      <c r="D32" s="40" t="s">
        <v>42</v>
      </c>
      <c r="E32" s="40" t="s">
        <v>41</v>
      </c>
      <c r="F32" s="40">
        <v>0</v>
      </c>
      <c r="G32" s="40">
        <v>9</v>
      </c>
      <c r="H32" s="40">
        <v>233318</v>
      </c>
      <c r="I32" s="40" t="s">
        <v>40</v>
      </c>
      <c r="J32" s="40">
        <v>233491</v>
      </c>
      <c r="K32" s="39" t="s">
        <v>39</v>
      </c>
      <c r="L32" s="38" t="s">
        <v>38</v>
      </c>
      <c r="M32" s="39" t="s">
        <v>178</v>
      </c>
    </row>
    <row r="33" spans="1:13" s="37" customFormat="1" x14ac:dyDescent="0.25">
      <c r="A33" s="41">
        <v>42483.520567129628</v>
      </c>
      <c r="B33" s="40" t="s">
        <v>121</v>
      </c>
      <c r="C33" s="40" t="s">
        <v>144</v>
      </c>
      <c r="D33" s="40" t="s">
        <v>42</v>
      </c>
      <c r="E33" s="40" t="s">
        <v>41</v>
      </c>
      <c r="F33" s="40">
        <v>0</v>
      </c>
      <c r="G33" s="40">
        <v>74</v>
      </c>
      <c r="H33" s="40">
        <v>1154</v>
      </c>
      <c r="I33" s="40" t="s">
        <v>40</v>
      </c>
      <c r="J33" s="40">
        <v>839</v>
      </c>
      <c r="K33" s="39" t="s">
        <v>43</v>
      </c>
      <c r="L33" s="38" t="s">
        <v>38</v>
      </c>
      <c r="M33" s="39" t="s">
        <v>178</v>
      </c>
    </row>
    <row r="34" spans="1:13" s="37" customFormat="1" x14ac:dyDescent="0.25">
      <c r="A34" s="41">
        <v>42483.5315625</v>
      </c>
      <c r="B34" s="40" t="s">
        <v>148</v>
      </c>
      <c r="C34" s="40" t="s">
        <v>149</v>
      </c>
      <c r="D34" s="40" t="s">
        <v>42</v>
      </c>
      <c r="E34" s="40" t="s">
        <v>41</v>
      </c>
      <c r="F34" s="40">
        <v>0</v>
      </c>
      <c r="G34" s="40">
        <v>57</v>
      </c>
      <c r="H34" s="40">
        <v>233240</v>
      </c>
      <c r="I34" s="40" t="s">
        <v>40</v>
      </c>
      <c r="J34" s="40">
        <v>233491</v>
      </c>
      <c r="K34" s="39" t="s">
        <v>39</v>
      </c>
      <c r="L34" s="38" t="s">
        <v>38</v>
      </c>
      <c r="M34" s="39" t="s">
        <v>178</v>
      </c>
    </row>
    <row r="35" spans="1:13" s="37" customFormat="1" x14ac:dyDescent="0.25">
      <c r="A35" s="41">
        <v>42483.556840277779</v>
      </c>
      <c r="B35" s="40" t="s">
        <v>78</v>
      </c>
      <c r="C35" s="40" t="s">
        <v>150</v>
      </c>
      <c r="D35" s="40" t="s">
        <v>42</v>
      </c>
      <c r="E35" s="40" t="s">
        <v>41</v>
      </c>
      <c r="F35" s="40">
        <v>0</v>
      </c>
      <c r="G35" s="40">
        <v>4</v>
      </c>
      <c r="H35" s="40">
        <v>233345</v>
      </c>
      <c r="I35" s="40" t="s">
        <v>40</v>
      </c>
      <c r="J35" s="40">
        <v>233491</v>
      </c>
      <c r="K35" s="39" t="s">
        <v>39</v>
      </c>
      <c r="L35" s="38" t="s">
        <v>38</v>
      </c>
      <c r="M35" s="39" t="s">
        <v>178</v>
      </c>
    </row>
    <row r="36" spans="1:13" s="37" customFormat="1" x14ac:dyDescent="0.25">
      <c r="A36" s="41">
        <v>42483.565196759257</v>
      </c>
      <c r="B36" s="40" t="s">
        <v>127</v>
      </c>
      <c r="C36" s="40" t="s">
        <v>145</v>
      </c>
      <c r="D36" s="40" t="s">
        <v>42</v>
      </c>
      <c r="E36" s="40" t="s">
        <v>41</v>
      </c>
      <c r="F36" s="40">
        <v>0</v>
      </c>
      <c r="G36" s="40">
        <v>45</v>
      </c>
      <c r="H36" s="40">
        <v>136</v>
      </c>
      <c r="I36" s="40" t="s">
        <v>40</v>
      </c>
      <c r="J36" s="40">
        <v>1</v>
      </c>
      <c r="K36" s="39" t="s">
        <v>43</v>
      </c>
      <c r="L36" s="38" t="s">
        <v>38</v>
      </c>
      <c r="M36" s="39" t="s">
        <v>178</v>
      </c>
    </row>
    <row r="37" spans="1:13" s="37" customFormat="1" x14ac:dyDescent="0.25">
      <c r="A37" s="41">
        <v>42483.588078703702</v>
      </c>
      <c r="B37" s="40" t="s">
        <v>46</v>
      </c>
      <c r="C37" s="40" t="s">
        <v>151</v>
      </c>
      <c r="D37" s="40" t="s">
        <v>42</v>
      </c>
      <c r="E37" s="40" t="s">
        <v>41</v>
      </c>
      <c r="F37" s="40">
        <v>0</v>
      </c>
      <c r="G37" s="40">
        <v>9</v>
      </c>
      <c r="H37" s="40">
        <v>233342</v>
      </c>
      <c r="I37" s="40" t="s">
        <v>40</v>
      </c>
      <c r="J37" s="40">
        <v>233491</v>
      </c>
      <c r="K37" s="39" t="s">
        <v>39</v>
      </c>
      <c r="L37" s="38" t="s">
        <v>38</v>
      </c>
      <c r="M37" s="39" t="s">
        <v>178</v>
      </c>
    </row>
    <row r="38" spans="1:13" s="37" customFormat="1" x14ac:dyDescent="0.25">
      <c r="A38" s="41">
        <v>42483.636041666665</v>
      </c>
      <c r="B38" s="40" t="s">
        <v>78</v>
      </c>
      <c r="C38" s="40" t="s">
        <v>153</v>
      </c>
      <c r="D38" s="40" t="s">
        <v>42</v>
      </c>
      <c r="E38" s="40" t="s">
        <v>41</v>
      </c>
      <c r="F38" s="40">
        <v>0</v>
      </c>
      <c r="G38" s="40">
        <v>4</v>
      </c>
      <c r="H38" s="40">
        <v>233331</v>
      </c>
      <c r="I38" s="40" t="s">
        <v>40</v>
      </c>
      <c r="J38" s="40">
        <v>233491</v>
      </c>
      <c r="K38" s="40" t="s">
        <v>39</v>
      </c>
      <c r="L38" s="38" t="s">
        <v>38</v>
      </c>
      <c r="M38" s="39" t="s">
        <v>178</v>
      </c>
    </row>
    <row r="39" spans="1:13" s="37" customFormat="1" x14ac:dyDescent="0.25">
      <c r="A39" s="41">
        <v>42483.645671296297</v>
      </c>
      <c r="B39" s="40" t="s">
        <v>127</v>
      </c>
      <c r="C39" s="40" t="s">
        <v>154</v>
      </c>
      <c r="D39" s="40" t="s">
        <v>42</v>
      </c>
      <c r="E39" s="40" t="s">
        <v>41</v>
      </c>
      <c r="F39" s="40">
        <v>0</v>
      </c>
      <c r="G39" s="40">
        <v>3</v>
      </c>
      <c r="H39" s="40">
        <v>1041</v>
      </c>
      <c r="I39" s="40" t="s">
        <v>40</v>
      </c>
      <c r="J39" s="40">
        <v>1</v>
      </c>
      <c r="K39" s="39" t="s">
        <v>43</v>
      </c>
      <c r="L39" s="38" t="s">
        <v>38</v>
      </c>
      <c r="M39" s="39" t="s">
        <v>178</v>
      </c>
    </row>
    <row r="40" spans="1:13" s="37" customFormat="1" x14ac:dyDescent="0.25">
      <c r="A40" s="41">
        <v>42483.646018518521</v>
      </c>
      <c r="B40" s="40" t="s">
        <v>127</v>
      </c>
      <c r="C40" s="40" t="s">
        <v>154</v>
      </c>
      <c r="D40" s="40" t="s">
        <v>42</v>
      </c>
      <c r="E40" s="40" t="s">
        <v>41</v>
      </c>
      <c r="F40" s="40">
        <v>0</v>
      </c>
      <c r="G40" s="40">
        <v>3</v>
      </c>
      <c r="H40" s="40">
        <v>1018</v>
      </c>
      <c r="I40" s="40" t="s">
        <v>40</v>
      </c>
      <c r="J40" s="40">
        <v>1</v>
      </c>
      <c r="K40" s="39" t="s">
        <v>43</v>
      </c>
      <c r="L40" s="38" t="s">
        <v>38</v>
      </c>
      <c r="M40" s="39" t="s">
        <v>178</v>
      </c>
    </row>
    <row r="41" spans="1:13" s="37" customFormat="1" x14ac:dyDescent="0.25">
      <c r="A41" s="41">
        <v>42483.658356481479</v>
      </c>
      <c r="B41" s="40" t="s">
        <v>46</v>
      </c>
      <c r="C41" s="40" t="s">
        <v>155</v>
      </c>
      <c r="D41" s="40" t="s">
        <v>42</v>
      </c>
      <c r="E41" s="40" t="s">
        <v>41</v>
      </c>
      <c r="F41" s="40">
        <v>0</v>
      </c>
      <c r="G41" s="40">
        <v>6</v>
      </c>
      <c r="H41" s="40">
        <v>233321</v>
      </c>
      <c r="I41" s="40" t="s">
        <v>40</v>
      </c>
      <c r="J41" s="40">
        <v>233491</v>
      </c>
      <c r="K41" s="39" t="s">
        <v>39</v>
      </c>
      <c r="L41" s="38" t="s">
        <v>38</v>
      </c>
      <c r="M41" s="39" t="s">
        <v>178</v>
      </c>
    </row>
    <row r="42" spans="1:13" s="37" customFormat="1" x14ac:dyDescent="0.25">
      <c r="A42" s="41">
        <v>42483.677569444444</v>
      </c>
      <c r="B42" s="40" t="s">
        <v>156</v>
      </c>
      <c r="C42" s="40" t="s">
        <v>157</v>
      </c>
      <c r="D42" s="40" t="s">
        <v>42</v>
      </c>
      <c r="E42" s="40" t="s">
        <v>41</v>
      </c>
      <c r="F42" s="40">
        <v>0</v>
      </c>
      <c r="G42" s="40">
        <v>50</v>
      </c>
      <c r="H42" s="40">
        <v>233261</v>
      </c>
      <c r="I42" s="40" t="s">
        <v>40</v>
      </c>
      <c r="J42" s="40">
        <v>233491</v>
      </c>
      <c r="K42" s="39" t="s">
        <v>39</v>
      </c>
      <c r="L42" s="38" t="s">
        <v>38</v>
      </c>
      <c r="M42" s="39" t="s">
        <v>178</v>
      </c>
    </row>
    <row r="43" spans="1:13" s="37" customFormat="1" x14ac:dyDescent="0.25">
      <c r="A43" s="41">
        <v>42483.684062499997</v>
      </c>
      <c r="B43" s="40" t="s">
        <v>45</v>
      </c>
      <c r="C43" s="40" t="s">
        <v>158</v>
      </c>
      <c r="D43" s="40" t="s">
        <v>42</v>
      </c>
      <c r="E43" s="40" t="s">
        <v>41</v>
      </c>
      <c r="F43" s="40">
        <v>0</v>
      </c>
      <c r="G43" s="40">
        <v>60</v>
      </c>
      <c r="H43" s="40">
        <v>221</v>
      </c>
      <c r="I43" s="40" t="s">
        <v>40</v>
      </c>
      <c r="J43" s="40">
        <v>1</v>
      </c>
      <c r="K43" s="39" t="s">
        <v>43</v>
      </c>
      <c r="L43" s="38" t="s">
        <v>38</v>
      </c>
      <c r="M43" s="39" t="s">
        <v>178</v>
      </c>
    </row>
    <row r="44" spans="1:13" s="37" customFormat="1" x14ac:dyDescent="0.25">
      <c r="A44" s="41">
        <v>42483.696956018517</v>
      </c>
      <c r="B44" s="40" t="s">
        <v>53</v>
      </c>
      <c r="C44" s="40" t="s">
        <v>159</v>
      </c>
      <c r="D44" s="40" t="s">
        <v>42</v>
      </c>
      <c r="E44" s="40" t="s">
        <v>41</v>
      </c>
      <c r="F44" s="40">
        <v>0</v>
      </c>
      <c r="G44" s="40">
        <v>7</v>
      </c>
      <c r="H44" s="40">
        <v>118</v>
      </c>
      <c r="I44" s="40" t="s">
        <v>40</v>
      </c>
      <c r="J44" s="40">
        <v>1</v>
      </c>
      <c r="K44" s="39" t="s">
        <v>43</v>
      </c>
      <c r="L44" s="38" t="s">
        <v>38</v>
      </c>
      <c r="M44" s="39" t="s">
        <v>178</v>
      </c>
    </row>
    <row r="45" spans="1:13" s="37" customFormat="1" x14ac:dyDescent="0.25">
      <c r="A45" s="41">
        <v>42483.723437499997</v>
      </c>
      <c r="B45" s="40" t="s">
        <v>78</v>
      </c>
      <c r="C45" s="40" t="s">
        <v>160</v>
      </c>
      <c r="D45" s="40" t="s">
        <v>42</v>
      </c>
      <c r="E45" s="40" t="s">
        <v>41</v>
      </c>
      <c r="F45" s="40">
        <v>0</v>
      </c>
      <c r="G45" s="40">
        <v>4</v>
      </c>
      <c r="H45" s="40">
        <v>233347</v>
      </c>
      <c r="I45" s="40" t="s">
        <v>40</v>
      </c>
      <c r="J45" s="40">
        <v>233491</v>
      </c>
      <c r="K45" s="39" t="s">
        <v>39</v>
      </c>
      <c r="L45" s="38" t="s">
        <v>38</v>
      </c>
      <c r="M45" s="39" t="s">
        <v>178</v>
      </c>
    </row>
    <row r="46" spans="1:13" s="37" customFormat="1" x14ac:dyDescent="0.25">
      <c r="A46" s="41">
        <v>42483.723715277774</v>
      </c>
      <c r="B46" s="40" t="s">
        <v>127</v>
      </c>
      <c r="C46" s="40" t="s">
        <v>161</v>
      </c>
      <c r="D46" s="40" t="s">
        <v>42</v>
      </c>
      <c r="E46" s="40" t="s">
        <v>41</v>
      </c>
      <c r="F46" s="40">
        <v>0</v>
      </c>
      <c r="G46" s="40">
        <v>58</v>
      </c>
      <c r="H46" s="40">
        <v>200</v>
      </c>
      <c r="I46" s="40" t="s">
        <v>40</v>
      </c>
      <c r="J46" s="40">
        <v>1</v>
      </c>
      <c r="K46" s="39" t="s">
        <v>43</v>
      </c>
      <c r="L46" s="38" t="s">
        <v>38</v>
      </c>
      <c r="M46" s="39" t="s">
        <v>178</v>
      </c>
    </row>
    <row r="47" spans="1:13" s="37" customFormat="1" x14ac:dyDescent="0.25">
      <c r="A47" s="41">
        <v>42483.764490740738</v>
      </c>
      <c r="B47" s="40" t="s">
        <v>44</v>
      </c>
      <c r="C47" s="40" t="s">
        <v>163</v>
      </c>
      <c r="D47" s="40" t="s">
        <v>42</v>
      </c>
      <c r="E47" s="40" t="s">
        <v>41</v>
      </c>
      <c r="F47" s="40">
        <v>0</v>
      </c>
      <c r="G47" s="40">
        <v>39</v>
      </c>
      <c r="H47" s="40">
        <v>101</v>
      </c>
      <c r="I47" s="40" t="s">
        <v>40</v>
      </c>
      <c r="J47" s="40">
        <v>1</v>
      </c>
      <c r="K47" s="39" t="s">
        <v>43</v>
      </c>
      <c r="L47" s="38" t="s">
        <v>38</v>
      </c>
      <c r="M47" s="39" t="s">
        <v>178</v>
      </c>
    </row>
    <row r="48" spans="1:13" s="37" customFormat="1" x14ac:dyDescent="0.25">
      <c r="A48" s="41">
        <v>42483.800717592596</v>
      </c>
      <c r="B48" s="40" t="s">
        <v>124</v>
      </c>
      <c r="C48" s="40" t="s">
        <v>165</v>
      </c>
      <c r="D48" s="40" t="s">
        <v>42</v>
      </c>
      <c r="E48" s="40" t="s">
        <v>41</v>
      </c>
      <c r="F48" s="40">
        <v>0</v>
      </c>
      <c r="G48" s="40">
        <v>42</v>
      </c>
      <c r="H48" s="40">
        <v>233327</v>
      </c>
      <c r="I48" s="40" t="s">
        <v>40</v>
      </c>
      <c r="J48" s="40">
        <v>233491</v>
      </c>
      <c r="K48" s="39" t="s">
        <v>39</v>
      </c>
      <c r="L48" s="38" t="s">
        <v>38</v>
      </c>
      <c r="M48" s="39" t="s">
        <v>178</v>
      </c>
    </row>
    <row r="49" spans="1:13" s="37" customFormat="1" x14ac:dyDescent="0.25">
      <c r="A49" s="41">
        <v>42483.851273148146</v>
      </c>
      <c r="B49" s="40" t="s">
        <v>148</v>
      </c>
      <c r="C49" s="40" t="s">
        <v>166</v>
      </c>
      <c r="D49" s="40" t="s">
        <v>42</v>
      </c>
      <c r="E49" s="40" t="s">
        <v>41</v>
      </c>
      <c r="F49" s="40">
        <v>0</v>
      </c>
      <c r="G49" s="40">
        <v>7</v>
      </c>
      <c r="H49" s="40">
        <v>233341</v>
      </c>
      <c r="I49" s="40" t="s">
        <v>40</v>
      </c>
      <c r="J49" s="40">
        <v>233491</v>
      </c>
      <c r="K49" s="39" t="s">
        <v>39</v>
      </c>
      <c r="L49" s="38" t="s">
        <v>38</v>
      </c>
      <c r="M49" s="39" t="s">
        <v>178</v>
      </c>
    </row>
    <row r="50" spans="1:13" s="37" customFormat="1" x14ac:dyDescent="0.25">
      <c r="A50" s="41">
        <v>42483.90902777778</v>
      </c>
      <c r="B50" s="40" t="s">
        <v>46</v>
      </c>
      <c r="C50" s="40" t="s">
        <v>167</v>
      </c>
      <c r="D50" s="40" t="s">
        <v>42</v>
      </c>
      <c r="E50" s="40" t="s">
        <v>41</v>
      </c>
      <c r="F50" s="40">
        <v>0</v>
      </c>
      <c r="G50" s="40">
        <v>8</v>
      </c>
      <c r="H50" s="40">
        <v>233342</v>
      </c>
      <c r="I50" s="40" t="s">
        <v>40</v>
      </c>
      <c r="J50" s="40">
        <v>233491</v>
      </c>
      <c r="K50" s="39" t="s">
        <v>39</v>
      </c>
      <c r="L50" s="38" t="s">
        <v>38</v>
      </c>
      <c r="M50" s="39" t="s">
        <v>178</v>
      </c>
    </row>
    <row r="51" spans="1:13" s="37" customFormat="1" x14ac:dyDescent="0.25">
      <c r="A51" s="41">
        <v>42483.925034722219</v>
      </c>
      <c r="B51" s="40" t="s">
        <v>130</v>
      </c>
      <c r="C51" s="40" t="s">
        <v>168</v>
      </c>
      <c r="D51" s="40" t="s">
        <v>42</v>
      </c>
      <c r="E51" s="40" t="s">
        <v>41</v>
      </c>
      <c r="F51" s="40">
        <v>0</v>
      </c>
      <c r="G51" s="40">
        <v>9</v>
      </c>
      <c r="H51" s="40">
        <v>233301</v>
      </c>
      <c r="I51" s="40" t="s">
        <v>40</v>
      </c>
      <c r="J51" s="40">
        <v>233491</v>
      </c>
      <c r="K51" s="39" t="s">
        <v>39</v>
      </c>
      <c r="L51" s="38" t="s">
        <v>38</v>
      </c>
      <c r="M51" s="39" t="s">
        <v>178</v>
      </c>
    </row>
    <row r="52" spans="1:13" ht="15.75" thickBot="1" x14ac:dyDescent="0.3"/>
    <row r="53" spans="1:13" ht="45" x14ac:dyDescent="0.25">
      <c r="K53" s="36" t="s">
        <v>37</v>
      </c>
      <c r="L53" s="35">
        <f>COUNTIF(L3:L51,"=Y")</f>
        <v>7</v>
      </c>
    </row>
    <row r="54" spans="1:13" ht="30.75" thickBot="1" x14ac:dyDescent="0.3">
      <c r="K54" s="34" t="s">
        <v>36</v>
      </c>
      <c r="L54" s="33">
        <f>COUNTA(L3:L51)-L53</f>
        <v>42</v>
      </c>
    </row>
  </sheetData>
  <autoFilter ref="A2:M2">
    <sortState ref="A3:M51">
      <sortCondition ref="E2"/>
    </sortState>
  </autoFilter>
  <mergeCells count="1">
    <mergeCell ref="A1:L1"/>
  </mergeCells>
  <conditionalFormatting sqref="M2 L2:L1048576">
    <cfRule type="cellIs" dxfId="1" priority="3" operator="equal">
      <formula>"Y"</formula>
    </cfRule>
  </conditionalFormatting>
  <conditionalFormatting sqref="M4 B3:L51">
    <cfRule type="expression" dxfId="0" priority="2">
      <formula>$L3="Y"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Train Runs</vt:lpstr>
      <vt:lpstr>Enforcements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2016-04-25T21:43:18Z</dcterms:modified>
</cp:coreProperties>
</file>