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Analysis\2016-04-12 RTDC Report since 03-01\"/>
    </mc:Choice>
  </mc:AlternateContent>
  <bookViews>
    <workbookView xWindow="0" yWindow="0" windowWidth="25200" windowHeight="13860"/>
  </bookViews>
  <sheets>
    <sheet name="Train Runs" sheetId="1" r:id="rId1"/>
    <sheet name="Enforcements" sheetId="3" r:id="rId2"/>
  </sheets>
  <definedNames>
    <definedName name="_xlnm._FilterDatabase" localSheetId="1" hidden="1">Enforcements!$A$2:$M$2</definedName>
    <definedName name="_xlnm._FilterDatabase" localSheetId="0" hidden="1">'Train Runs'!$A$2:$X$2</definedName>
    <definedName name="Denver_Train_Runs_04122016" localSheetId="0">'Train Runs'!$A$2:$J$152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" i="1" l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X87" i="1"/>
  <c r="W88" i="1"/>
  <c r="X88" i="1"/>
  <c r="W89" i="1"/>
  <c r="X89" i="1"/>
  <c r="W90" i="1"/>
  <c r="X90" i="1"/>
  <c r="W91" i="1"/>
  <c r="X91" i="1"/>
  <c r="W92" i="1"/>
  <c r="X92" i="1"/>
  <c r="W93" i="1"/>
  <c r="X93" i="1"/>
  <c r="W94" i="1"/>
  <c r="X94" i="1"/>
  <c r="W95" i="1"/>
  <c r="X95" i="1"/>
  <c r="W96" i="1"/>
  <c r="X96" i="1"/>
  <c r="W97" i="1"/>
  <c r="X97" i="1"/>
  <c r="W98" i="1"/>
  <c r="X98" i="1"/>
  <c r="W99" i="1"/>
  <c r="X99" i="1"/>
  <c r="W100" i="1"/>
  <c r="X100" i="1"/>
  <c r="W101" i="1"/>
  <c r="X101" i="1"/>
  <c r="W102" i="1"/>
  <c r="X102" i="1"/>
  <c r="W103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X3" i="1"/>
  <c r="W3" i="1"/>
  <c r="M145" i="1" l="1"/>
  <c r="M146" i="1"/>
  <c r="M147" i="1"/>
  <c r="M148" i="1"/>
  <c r="M144" i="1"/>
  <c r="N142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27" i="1"/>
  <c r="O125" i="1"/>
  <c r="M123" i="1"/>
  <c r="M124" i="1"/>
  <c r="M122" i="1"/>
  <c r="O120" i="1"/>
  <c r="M121" i="1"/>
  <c r="O118" i="1"/>
  <c r="M113" i="1"/>
  <c r="M114" i="1"/>
  <c r="M115" i="1"/>
  <c r="M116" i="1"/>
  <c r="M117" i="1"/>
  <c r="M112" i="1"/>
  <c r="O111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82" i="1"/>
  <c r="O81" i="1"/>
  <c r="O80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61" i="1"/>
  <c r="O59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34" i="1"/>
  <c r="O33" i="1"/>
  <c r="O32" i="1"/>
  <c r="M24" i="1"/>
  <c r="M25" i="1"/>
  <c r="M26" i="1"/>
  <c r="M27" i="1"/>
  <c r="M28" i="1"/>
  <c r="M29" i="1"/>
  <c r="M30" i="1"/>
  <c r="M31" i="1"/>
  <c r="M23" i="1"/>
  <c r="O22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8" i="1"/>
  <c r="O7" i="1"/>
  <c r="M6" i="1"/>
  <c r="M5" i="1"/>
  <c r="N3" i="1"/>
  <c r="R17" i="1" l="1"/>
  <c r="T17" i="1"/>
  <c r="U17" i="1"/>
  <c r="V17" i="1" s="1"/>
  <c r="S17" i="1" s="1"/>
  <c r="R18" i="1"/>
  <c r="T18" i="1"/>
  <c r="U18" i="1"/>
  <c r="V18" i="1"/>
  <c r="S18" i="1" s="1"/>
  <c r="R19" i="1"/>
  <c r="S19" i="1"/>
  <c r="T19" i="1"/>
  <c r="U19" i="1"/>
  <c r="V19" i="1"/>
  <c r="R20" i="1"/>
  <c r="T20" i="1"/>
  <c r="U20" i="1"/>
  <c r="V20" i="1" s="1"/>
  <c r="S20" i="1" s="1"/>
  <c r="R21" i="1"/>
  <c r="T21" i="1"/>
  <c r="U21" i="1"/>
  <c r="V21" i="1" s="1"/>
  <c r="S21" i="1" s="1"/>
  <c r="R22" i="1"/>
  <c r="T22" i="1"/>
  <c r="U22" i="1"/>
  <c r="V22" i="1"/>
  <c r="S22" i="1" s="1"/>
  <c r="R23" i="1"/>
  <c r="S23" i="1"/>
  <c r="T23" i="1"/>
  <c r="U23" i="1"/>
  <c r="V23" i="1"/>
  <c r="R24" i="1"/>
  <c r="T24" i="1"/>
  <c r="U24" i="1"/>
  <c r="V24" i="1" s="1"/>
  <c r="S24" i="1" s="1"/>
  <c r="R25" i="1"/>
  <c r="T25" i="1"/>
  <c r="U25" i="1"/>
  <c r="V25" i="1" s="1"/>
  <c r="S25" i="1" s="1"/>
  <c r="R26" i="1"/>
  <c r="T26" i="1"/>
  <c r="U26" i="1"/>
  <c r="V26" i="1"/>
  <c r="S26" i="1" s="1"/>
  <c r="R27" i="1"/>
  <c r="S27" i="1"/>
  <c r="T27" i="1"/>
  <c r="U27" i="1"/>
  <c r="V27" i="1"/>
  <c r="R28" i="1"/>
  <c r="T28" i="1"/>
  <c r="U28" i="1"/>
  <c r="V28" i="1" s="1"/>
  <c r="S28" i="1" s="1"/>
  <c r="R29" i="1"/>
  <c r="T29" i="1"/>
  <c r="U29" i="1"/>
  <c r="V29" i="1" s="1"/>
  <c r="S29" i="1" s="1"/>
  <c r="R30" i="1"/>
  <c r="T30" i="1"/>
  <c r="U30" i="1"/>
  <c r="V30" i="1"/>
  <c r="S30" i="1" s="1"/>
  <c r="R31" i="1"/>
  <c r="S31" i="1"/>
  <c r="T31" i="1"/>
  <c r="U31" i="1"/>
  <c r="V31" i="1"/>
  <c r="R32" i="1"/>
  <c r="T32" i="1"/>
  <c r="U32" i="1"/>
  <c r="V32" i="1" s="1"/>
  <c r="S32" i="1" s="1"/>
  <c r="R33" i="1"/>
  <c r="T33" i="1"/>
  <c r="U33" i="1"/>
  <c r="V33" i="1" s="1"/>
  <c r="S33" i="1" s="1"/>
  <c r="R34" i="1"/>
  <c r="T34" i="1"/>
  <c r="U34" i="1"/>
  <c r="V34" i="1"/>
  <c r="S34" i="1" s="1"/>
  <c r="R35" i="1"/>
  <c r="S35" i="1"/>
  <c r="T35" i="1"/>
  <c r="U35" i="1"/>
  <c r="V35" i="1"/>
  <c r="R36" i="1"/>
  <c r="T36" i="1"/>
  <c r="U36" i="1"/>
  <c r="V36" i="1" s="1"/>
  <c r="S36" i="1" s="1"/>
  <c r="R37" i="1"/>
  <c r="T37" i="1"/>
  <c r="U37" i="1"/>
  <c r="V37" i="1" s="1"/>
  <c r="S37" i="1" s="1"/>
  <c r="R38" i="1"/>
  <c r="T38" i="1"/>
  <c r="U38" i="1"/>
  <c r="V38" i="1"/>
  <c r="S38" i="1" s="1"/>
  <c r="R39" i="1"/>
  <c r="S39" i="1"/>
  <c r="T39" i="1"/>
  <c r="U39" i="1"/>
  <c r="V39" i="1"/>
  <c r="R40" i="1"/>
  <c r="T40" i="1"/>
  <c r="U40" i="1"/>
  <c r="V40" i="1" s="1"/>
  <c r="S40" i="1" s="1"/>
  <c r="R41" i="1"/>
  <c r="T41" i="1"/>
  <c r="U41" i="1"/>
  <c r="V41" i="1" s="1"/>
  <c r="S41" i="1" s="1"/>
  <c r="R42" i="1"/>
  <c r="T42" i="1"/>
  <c r="U42" i="1"/>
  <c r="V42" i="1"/>
  <c r="S42" i="1" s="1"/>
  <c r="R43" i="1"/>
  <c r="S43" i="1"/>
  <c r="T43" i="1"/>
  <c r="U43" i="1"/>
  <c r="V43" i="1"/>
  <c r="R44" i="1"/>
  <c r="T44" i="1"/>
  <c r="U44" i="1"/>
  <c r="V44" i="1" s="1"/>
  <c r="S44" i="1" s="1"/>
  <c r="R45" i="1"/>
  <c r="T45" i="1"/>
  <c r="U45" i="1"/>
  <c r="V45" i="1" s="1"/>
  <c r="S45" i="1" s="1"/>
  <c r="R46" i="1"/>
  <c r="T46" i="1"/>
  <c r="U46" i="1"/>
  <c r="V46" i="1"/>
  <c r="S46" i="1" s="1"/>
  <c r="R47" i="1"/>
  <c r="S47" i="1"/>
  <c r="T47" i="1"/>
  <c r="U47" i="1"/>
  <c r="V47" i="1"/>
  <c r="R48" i="1"/>
  <c r="T48" i="1"/>
  <c r="U48" i="1"/>
  <c r="V48" i="1" s="1"/>
  <c r="S48" i="1" s="1"/>
  <c r="R49" i="1"/>
  <c r="T49" i="1"/>
  <c r="U49" i="1"/>
  <c r="V49" i="1" s="1"/>
  <c r="S49" i="1" s="1"/>
  <c r="R50" i="1"/>
  <c r="T50" i="1"/>
  <c r="U50" i="1"/>
  <c r="V50" i="1"/>
  <c r="S50" i="1" s="1"/>
  <c r="R51" i="1"/>
  <c r="S51" i="1"/>
  <c r="T51" i="1"/>
  <c r="U51" i="1"/>
  <c r="V51" i="1"/>
  <c r="R52" i="1"/>
  <c r="T52" i="1"/>
  <c r="U52" i="1"/>
  <c r="V52" i="1" s="1"/>
  <c r="S52" i="1" s="1"/>
  <c r="R53" i="1"/>
  <c r="T53" i="1"/>
  <c r="U53" i="1"/>
  <c r="V53" i="1" s="1"/>
  <c r="S53" i="1" s="1"/>
  <c r="R54" i="1"/>
  <c r="T54" i="1"/>
  <c r="U54" i="1"/>
  <c r="V54" i="1"/>
  <c r="S54" i="1" s="1"/>
  <c r="R55" i="1"/>
  <c r="S55" i="1"/>
  <c r="T55" i="1"/>
  <c r="U55" i="1"/>
  <c r="V55" i="1"/>
  <c r="R56" i="1"/>
  <c r="T56" i="1"/>
  <c r="U56" i="1"/>
  <c r="V56" i="1" s="1"/>
  <c r="S56" i="1" s="1"/>
  <c r="R57" i="1"/>
  <c r="T57" i="1"/>
  <c r="U57" i="1"/>
  <c r="V57" i="1" s="1"/>
  <c r="S57" i="1" s="1"/>
  <c r="R58" i="1"/>
  <c r="T58" i="1"/>
  <c r="U58" i="1"/>
  <c r="V58" i="1"/>
  <c r="S58" i="1" s="1"/>
  <c r="R59" i="1"/>
  <c r="S59" i="1"/>
  <c r="T59" i="1"/>
  <c r="U59" i="1"/>
  <c r="V59" i="1"/>
  <c r="R60" i="1"/>
  <c r="T60" i="1"/>
  <c r="U60" i="1"/>
  <c r="V60" i="1" s="1"/>
  <c r="S60" i="1" s="1"/>
  <c r="R61" i="1"/>
  <c r="T61" i="1"/>
  <c r="U61" i="1"/>
  <c r="V61" i="1" s="1"/>
  <c r="S61" i="1" s="1"/>
  <c r="R62" i="1"/>
  <c r="T62" i="1"/>
  <c r="U62" i="1"/>
  <c r="V62" i="1"/>
  <c r="S62" i="1" s="1"/>
  <c r="R63" i="1"/>
  <c r="S63" i="1"/>
  <c r="T63" i="1"/>
  <c r="U63" i="1"/>
  <c r="V63" i="1"/>
  <c r="R64" i="1"/>
  <c r="T64" i="1"/>
  <c r="U64" i="1"/>
  <c r="V64" i="1" s="1"/>
  <c r="S64" i="1" s="1"/>
  <c r="R65" i="1"/>
  <c r="T65" i="1"/>
  <c r="U65" i="1"/>
  <c r="V65" i="1" s="1"/>
  <c r="S65" i="1" s="1"/>
  <c r="R66" i="1"/>
  <c r="T66" i="1"/>
  <c r="U66" i="1"/>
  <c r="V66" i="1"/>
  <c r="S66" i="1" s="1"/>
  <c r="R67" i="1"/>
  <c r="S67" i="1"/>
  <c r="T67" i="1"/>
  <c r="U67" i="1"/>
  <c r="V67" i="1"/>
  <c r="R68" i="1"/>
  <c r="T68" i="1"/>
  <c r="U68" i="1"/>
  <c r="V68" i="1" s="1"/>
  <c r="S68" i="1" s="1"/>
  <c r="R69" i="1"/>
  <c r="T69" i="1"/>
  <c r="U69" i="1"/>
  <c r="V69" i="1" s="1"/>
  <c r="S69" i="1" s="1"/>
  <c r="R70" i="1"/>
  <c r="T70" i="1"/>
  <c r="U70" i="1"/>
  <c r="V70" i="1"/>
  <c r="S70" i="1" s="1"/>
  <c r="R71" i="1"/>
  <c r="S71" i="1"/>
  <c r="T71" i="1"/>
  <c r="U71" i="1"/>
  <c r="V71" i="1"/>
  <c r="R72" i="1"/>
  <c r="T72" i="1"/>
  <c r="U72" i="1"/>
  <c r="V72" i="1" s="1"/>
  <c r="S72" i="1" s="1"/>
  <c r="R73" i="1"/>
  <c r="T73" i="1"/>
  <c r="U73" i="1"/>
  <c r="V73" i="1" s="1"/>
  <c r="S73" i="1" s="1"/>
  <c r="R74" i="1"/>
  <c r="T74" i="1"/>
  <c r="U74" i="1"/>
  <c r="V74" i="1"/>
  <c r="S74" i="1" s="1"/>
  <c r="R75" i="1"/>
  <c r="S75" i="1"/>
  <c r="T75" i="1"/>
  <c r="U75" i="1"/>
  <c r="V75" i="1"/>
  <c r="R76" i="1"/>
  <c r="T76" i="1"/>
  <c r="U76" i="1"/>
  <c r="V76" i="1" s="1"/>
  <c r="S76" i="1" s="1"/>
  <c r="R77" i="1"/>
  <c r="T77" i="1"/>
  <c r="U77" i="1"/>
  <c r="V77" i="1" s="1"/>
  <c r="S77" i="1" s="1"/>
  <c r="R78" i="1"/>
  <c r="T78" i="1"/>
  <c r="U78" i="1"/>
  <c r="V78" i="1"/>
  <c r="S78" i="1" s="1"/>
  <c r="R79" i="1"/>
  <c r="S79" i="1"/>
  <c r="T79" i="1"/>
  <c r="U79" i="1"/>
  <c r="V79" i="1"/>
  <c r="R80" i="1"/>
  <c r="T80" i="1"/>
  <c r="U80" i="1"/>
  <c r="V80" i="1" s="1"/>
  <c r="S80" i="1" s="1"/>
  <c r="R81" i="1"/>
  <c r="T81" i="1"/>
  <c r="U81" i="1"/>
  <c r="V81" i="1" s="1"/>
  <c r="S81" i="1" s="1"/>
  <c r="R82" i="1"/>
  <c r="T82" i="1"/>
  <c r="U82" i="1"/>
  <c r="V82" i="1"/>
  <c r="S82" i="1" s="1"/>
  <c r="R83" i="1"/>
  <c r="S83" i="1"/>
  <c r="T83" i="1"/>
  <c r="U83" i="1"/>
  <c r="V83" i="1"/>
  <c r="R84" i="1"/>
  <c r="T84" i="1"/>
  <c r="U84" i="1"/>
  <c r="V84" i="1" s="1"/>
  <c r="S84" i="1" s="1"/>
  <c r="R85" i="1"/>
  <c r="T85" i="1"/>
  <c r="U85" i="1"/>
  <c r="V85" i="1" s="1"/>
  <c r="S85" i="1" s="1"/>
  <c r="R86" i="1"/>
  <c r="T86" i="1"/>
  <c r="U86" i="1"/>
  <c r="V86" i="1"/>
  <c r="S86" i="1" s="1"/>
  <c r="R87" i="1"/>
  <c r="S87" i="1"/>
  <c r="T87" i="1"/>
  <c r="U87" i="1"/>
  <c r="V87" i="1"/>
  <c r="R88" i="1"/>
  <c r="T88" i="1"/>
  <c r="U88" i="1"/>
  <c r="V88" i="1" s="1"/>
  <c r="S88" i="1" s="1"/>
  <c r="R89" i="1"/>
  <c r="T89" i="1"/>
  <c r="U89" i="1"/>
  <c r="V89" i="1" s="1"/>
  <c r="S89" i="1" s="1"/>
  <c r="R90" i="1"/>
  <c r="T90" i="1"/>
  <c r="U90" i="1"/>
  <c r="V90" i="1"/>
  <c r="S90" i="1" s="1"/>
  <c r="R91" i="1"/>
  <c r="S91" i="1"/>
  <c r="T91" i="1"/>
  <c r="U91" i="1"/>
  <c r="V91" i="1"/>
  <c r="R92" i="1"/>
  <c r="T92" i="1"/>
  <c r="U92" i="1"/>
  <c r="V92" i="1" s="1"/>
  <c r="S92" i="1" s="1"/>
  <c r="R93" i="1"/>
  <c r="T93" i="1"/>
  <c r="U93" i="1"/>
  <c r="V93" i="1" s="1"/>
  <c r="S93" i="1" s="1"/>
  <c r="R94" i="1"/>
  <c r="T94" i="1"/>
  <c r="U94" i="1"/>
  <c r="V94" i="1"/>
  <c r="S94" i="1" s="1"/>
  <c r="R95" i="1"/>
  <c r="S95" i="1"/>
  <c r="T95" i="1"/>
  <c r="U95" i="1"/>
  <c r="V95" i="1"/>
  <c r="R96" i="1"/>
  <c r="T96" i="1"/>
  <c r="U96" i="1"/>
  <c r="V96" i="1" s="1"/>
  <c r="S96" i="1" s="1"/>
  <c r="R97" i="1"/>
  <c r="T97" i="1"/>
  <c r="U97" i="1"/>
  <c r="V97" i="1" s="1"/>
  <c r="S97" i="1" s="1"/>
  <c r="R98" i="1"/>
  <c r="T98" i="1"/>
  <c r="U98" i="1"/>
  <c r="V98" i="1"/>
  <c r="S98" i="1" s="1"/>
  <c r="R99" i="1"/>
  <c r="S99" i="1"/>
  <c r="T99" i="1"/>
  <c r="U99" i="1"/>
  <c r="V99" i="1"/>
  <c r="R100" i="1"/>
  <c r="T100" i="1"/>
  <c r="U100" i="1"/>
  <c r="V100" i="1" s="1"/>
  <c r="S100" i="1" s="1"/>
  <c r="R101" i="1"/>
  <c r="T101" i="1"/>
  <c r="U101" i="1"/>
  <c r="V101" i="1" s="1"/>
  <c r="S101" i="1" s="1"/>
  <c r="R102" i="1"/>
  <c r="T102" i="1"/>
  <c r="U102" i="1"/>
  <c r="V102" i="1"/>
  <c r="S102" i="1" s="1"/>
  <c r="R103" i="1"/>
  <c r="S103" i="1"/>
  <c r="T103" i="1"/>
  <c r="U103" i="1"/>
  <c r="V103" i="1"/>
  <c r="R104" i="1"/>
  <c r="T104" i="1"/>
  <c r="U104" i="1"/>
  <c r="V104" i="1" s="1"/>
  <c r="S104" i="1" s="1"/>
  <c r="R105" i="1"/>
  <c r="T105" i="1"/>
  <c r="U105" i="1"/>
  <c r="V105" i="1" s="1"/>
  <c r="S105" i="1" s="1"/>
  <c r="R106" i="1"/>
  <c r="T106" i="1"/>
  <c r="U106" i="1"/>
  <c r="V106" i="1"/>
  <c r="S106" i="1" s="1"/>
  <c r="R107" i="1"/>
  <c r="S107" i="1"/>
  <c r="T107" i="1"/>
  <c r="U107" i="1"/>
  <c r="V107" i="1"/>
  <c r="R108" i="1"/>
  <c r="T108" i="1"/>
  <c r="U108" i="1"/>
  <c r="V108" i="1" s="1"/>
  <c r="S108" i="1" s="1"/>
  <c r="R109" i="1"/>
  <c r="T109" i="1"/>
  <c r="U109" i="1"/>
  <c r="V109" i="1" s="1"/>
  <c r="S109" i="1" s="1"/>
  <c r="A1" i="3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K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I149" i="1" l="1"/>
  <c r="J153" i="1" l="1"/>
  <c r="R110" i="1"/>
  <c r="T110" i="1"/>
  <c r="U110" i="1"/>
  <c r="R111" i="1"/>
  <c r="T111" i="1"/>
  <c r="U111" i="1"/>
  <c r="V111" i="1"/>
  <c r="S111" i="1" s="1"/>
  <c r="R112" i="1"/>
  <c r="T112" i="1"/>
  <c r="U112" i="1"/>
  <c r="R113" i="1"/>
  <c r="T113" i="1"/>
  <c r="U113" i="1"/>
  <c r="R114" i="1"/>
  <c r="T114" i="1"/>
  <c r="U114" i="1"/>
  <c r="R115" i="1"/>
  <c r="T115" i="1"/>
  <c r="U115" i="1"/>
  <c r="V115" i="1" s="1"/>
  <c r="S115" i="1" s="1"/>
  <c r="R116" i="1"/>
  <c r="T116" i="1"/>
  <c r="U116" i="1"/>
  <c r="R117" i="1"/>
  <c r="T117" i="1"/>
  <c r="U117" i="1"/>
  <c r="R118" i="1"/>
  <c r="T118" i="1"/>
  <c r="U118" i="1"/>
  <c r="R119" i="1"/>
  <c r="T119" i="1"/>
  <c r="U119" i="1"/>
  <c r="R120" i="1"/>
  <c r="T120" i="1"/>
  <c r="U120" i="1"/>
  <c r="R121" i="1"/>
  <c r="T121" i="1"/>
  <c r="U121" i="1"/>
  <c r="R122" i="1"/>
  <c r="T122" i="1"/>
  <c r="U122" i="1"/>
  <c r="R123" i="1"/>
  <c r="T123" i="1"/>
  <c r="U123" i="1"/>
  <c r="R124" i="1"/>
  <c r="T124" i="1"/>
  <c r="U124" i="1"/>
  <c r="R125" i="1"/>
  <c r="T125" i="1"/>
  <c r="U125" i="1"/>
  <c r="R126" i="1"/>
  <c r="T126" i="1"/>
  <c r="U126" i="1"/>
  <c r="R127" i="1"/>
  <c r="T127" i="1"/>
  <c r="U127" i="1"/>
  <c r="R128" i="1"/>
  <c r="T128" i="1"/>
  <c r="U128" i="1"/>
  <c r="R129" i="1"/>
  <c r="T129" i="1"/>
  <c r="U129" i="1"/>
  <c r="R130" i="1"/>
  <c r="T130" i="1"/>
  <c r="U130" i="1"/>
  <c r="R131" i="1"/>
  <c r="T131" i="1"/>
  <c r="U131" i="1"/>
  <c r="R132" i="1"/>
  <c r="T132" i="1"/>
  <c r="U132" i="1"/>
  <c r="R133" i="1"/>
  <c r="T133" i="1"/>
  <c r="U133" i="1"/>
  <c r="R134" i="1"/>
  <c r="T134" i="1"/>
  <c r="U134" i="1"/>
  <c r="R135" i="1"/>
  <c r="T135" i="1"/>
  <c r="U135" i="1"/>
  <c r="R136" i="1"/>
  <c r="T136" i="1"/>
  <c r="U136" i="1"/>
  <c r="V136" i="1" s="1"/>
  <c r="S136" i="1" s="1"/>
  <c r="R137" i="1"/>
  <c r="T137" i="1"/>
  <c r="U137" i="1"/>
  <c r="R138" i="1"/>
  <c r="T138" i="1"/>
  <c r="U138" i="1"/>
  <c r="R139" i="1"/>
  <c r="T139" i="1"/>
  <c r="U139" i="1"/>
  <c r="R140" i="1"/>
  <c r="T140" i="1"/>
  <c r="U140" i="1"/>
  <c r="R141" i="1"/>
  <c r="T141" i="1"/>
  <c r="U141" i="1"/>
  <c r="R142" i="1"/>
  <c r="T142" i="1"/>
  <c r="U142" i="1"/>
  <c r="R143" i="1"/>
  <c r="T143" i="1"/>
  <c r="U143" i="1"/>
  <c r="R144" i="1"/>
  <c r="T144" i="1"/>
  <c r="U144" i="1"/>
  <c r="V144" i="1" s="1"/>
  <c r="S144" i="1" s="1"/>
  <c r="R145" i="1"/>
  <c r="T145" i="1"/>
  <c r="U145" i="1"/>
  <c r="R146" i="1"/>
  <c r="T146" i="1"/>
  <c r="U146" i="1"/>
  <c r="R147" i="1"/>
  <c r="T147" i="1"/>
  <c r="U147" i="1"/>
  <c r="R148" i="1"/>
  <c r="T148" i="1"/>
  <c r="U148" i="1"/>
  <c r="V131" i="1" l="1"/>
  <c r="S131" i="1" s="1"/>
  <c r="V127" i="1"/>
  <c r="S127" i="1" s="1"/>
  <c r="V119" i="1"/>
  <c r="S119" i="1" s="1"/>
  <c r="V114" i="1"/>
  <c r="S114" i="1" s="1"/>
  <c r="V113" i="1"/>
  <c r="S113" i="1" s="1"/>
  <c r="V112" i="1"/>
  <c r="S112" i="1" s="1"/>
  <c r="V147" i="1"/>
  <c r="S147" i="1" s="1"/>
  <c r="V139" i="1"/>
  <c r="S139" i="1" s="1"/>
  <c r="V146" i="1"/>
  <c r="S146" i="1" s="1"/>
  <c r="V138" i="1"/>
  <c r="S138" i="1" s="1"/>
  <c r="V130" i="1"/>
  <c r="S130" i="1" s="1"/>
  <c r="V122" i="1"/>
  <c r="S122" i="1" s="1"/>
  <c r="V123" i="1"/>
  <c r="S123" i="1" s="1"/>
  <c r="V145" i="1"/>
  <c r="S145" i="1" s="1"/>
  <c r="V137" i="1"/>
  <c r="S137" i="1" s="1"/>
  <c r="V143" i="1"/>
  <c r="S143" i="1" s="1"/>
  <c r="V135" i="1"/>
  <c r="S135" i="1" s="1"/>
  <c r="V129" i="1"/>
  <c r="S129" i="1" s="1"/>
  <c r="V128" i="1"/>
  <c r="S128" i="1" s="1"/>
  <c r="V121" i="1"/>
  <c r="S121" i="1" s="1"/>
  <c r="V120" i="1"/>
  <c r="S120" i="1" s="1"/>
  <c r="V110" i="1"/>
  <c r="S110" i="1" s="1"/>
  <c r="V148" i="1"/>
  <c r="S148" i="1" s="1"/>
  <c r="V142" i="1"/>
  <c r="S142" i="1" s="1"/>
  <c r="V133" i="1"/>
  <c r="S133" i="1" s="1"/>
  <c r="V132" i="1"/>
  <c r="S132" i="1" s="1"/>
  <c r="V126" i="1"/>
  <c r="S126" i="1" s="1"/>
  <c r="V117" i="1"/>
  <c r="S117" i="1" s="1"/>
  <c r="V116" i="1"/>
  <c r="S116" i="1" s="1"/>
  <c r="V141" i="1"/>
  <c r="S141" i="1" s="1"/>
  <c r="V140" i="1"/>
  <c r="S140" i="1" s="1"/>
  <c r="V134" i="1"/>
  <c r="S134" i="1" s="1"/>
  <c r="V125" i="1"/>
  <c r="S125" i="1" s="1"/>
  <c r="V124" i="1"/>
  <c r="S124" i="1" s="1"/>
  <c r="V118" i="1"/>
  <c r="S118" i="1" s="1"/>
  <c r="K9" i="1"/>
  <c r="L9" i="1"/>
  <c r="K8" i="1"/>
  <c r="L8" i="1"/>
  <c r="K5" i="1"/>
  <c r="L5" i="1"/>
  <c r="K3" i="1"/>
  <c r="L3" i="1"/>
  <c r="K6" i="1"/>
  <c r="L6" i="1"/>
  <c r="K7" i="1"/>
  <c r="L7" i="1"/>
  <c r="K4" i="1"/>
  <c r="L4" i="1"/>
  <c r="K10" i="1"/>
  <c r="L10" i="1"/>
  <c r="K15" i="1"/>
  <c r="L15" i="1"/>
  <c r="K12" i="1"/>
  <c r="L12" i="1"/>
  <c r="K16" i="1"/>
  <c r="L16" i="1"/>
  <c r="K11" i="1"/>
  <c r="L11" i="1"/>
  <c r="K13" i="1"/>
  <c r="L13" i="1"/>
  <c r="K14" i="1"/>
  <c r="L14" i="1"/>
  <c r="J152" i="1" l="1"/>
  <c r="J155" i="1"/>
  <c r="R8" i="1"/>
  <c r="T8" i="1"/>
  <c r="U8" i="1"/>
  <c r="J154" i="1" l="1"/>
  <c r="J151" i="1"/>
  <c r="J156" i="1" s="1"/>
  <c r="V8" i="1"/>
  <c r="S8" i="1" s="1"/>
  <c r="R9" i="1"/>
  <c r="R5" i="1"/>
  <c r="R3" i="1"/>
  <c r="R6" i="1"/>
  <c r="R7" i="1"/>
  <c r="R4" i="1"/>
  <c r="R10" i="1"/>
  <c r="R15" i="1"/>
  <c r="R12" i="1"/>
  <c r="R16" i="1"/>
  <c r="R11" i="1"/>
  <c r="R13" i="1"/>
  <c r="R14" i="1"/>
  <c r="L78" i="3"/>
  <c r="L79" i="3" s="1"/>
  <c r="A1" i="1" l="1"/>
  <c r="T9" i="1" l="1"/>
  <c r="U9" i="1"/>
  <c r="T5" i="1"/>
  <c r="U5" i="1"/>
  <c r="T3" i="1"/>
  <c r="U3" i="1"/>
  <c r="T6" i="1"/>
  <c r="U6" i="1"/>
  <c r="T7" i="1"/>
  <c r="U7" i="1"/>
  <c r="T4" i="1"/>
  <c r="U4" i="1"/>
  <c r="T10" i="1"/>
  <c r="U10" i="1"/>
  <c r="T15" i="1"/>
  <c r="U15" i="1"/>
  <c r="T12" i="1"/>
  <c r="U12" i="1"/>
  <c r="T16" i="1"/>
  <c r="U16" i="1"/>
  <c r="T11" i="1"/>
  <c r="U11" i="1"/>
  <c r="T13" i="1"/>
  <c r="U13" i="1"/>
  <c r="T14" i="1"/>
  <c r="U14" i="1"/>
  <c r="V11" i="1" l="1"/>
  <c r="S11" i="1" s="1"/>
  <c r="V14" i="1"/>
  <c r="S14" i="1" s="1"/>
  <c r="V13" i="1"/>
  <c r="S13" i="1" s="1"/>
  <c r="V15" i="1"/>
  <c r="S15" i="1" s="1"/>
  <c r="V10" i="1"/>
  <c r="S10" i="1" s="1"/>
  <c r="V7" i="1"/>
  <c r="S7" i="1" s="1"/>
  <c r="V5" i="1"/>
  <c r="S5" i="1" s="1"/>
  <c r="V3" i="1"/>
  <c r="S3" i="1" s="1"/>
  <c r="V16" i="1"/>
  <c r="S16" i="1" s="1"/>
  <c r="V6" i="1"/>
  <c r="S6" i="1" s="1"/>
  <c r="V12" i="1"/>
  <c r="S12" i="1" s="1"/>
  <c r="V4" i="1"/>
  <c r="S4" i="1" s="1"/>
  <c r="V9" i="1"/>
  <c r="S9" i="1" s="1"/>
  <c r="N153" i="1"/>
  <c r="M153" i="1"/>
  <c r="L153" i="1"/>
  <c r="M155" i="1" l="1"/>
  <c r="M152" i="1"/>
  <c r="N155" i="1"/>
  <c r="L155" i="1"/>
  <c r="L152" i="1"/>
  <c r="N152" i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<sst xmlns="http://schemas.openxmlformats.org/spreadsheetml/2006/main" count="1250" uniqueCount="412">
  <si>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</si>
  <si>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</si>
  <si>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</si>
  <si>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</si>
  <si>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</si>
  <si>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</si>
  <si>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</si>
  <si>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</si>
  <si>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204:143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</si>
  <si>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</si>
  <si>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</si>
  <si>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</si>
  <si>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</si>
  <si>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</si>
  <si>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</si>
  <si>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</si>
  <si>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</si>
  <si>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</si>
  <si>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</si>
  <si>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</si>
  <si>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204:233308</t>
  </si>
  <si>
    <t>204:147</t>
  </si>
  <si>
    <t>204:158</t>
  </si>
  <si>
    <t>Total Completed PTC runs (%)</t>
  </si>
  <si>
    <t>204:150</t>
  </si>
  <si>
    <t>204:156</t>
  </si>
  <si>
    <t>Color Legend</t>
  </si>
  <si>
    <t>Trip Start MP</t>
  </si>
  <si>
    <t>Trip End MP</t>
  </si>
  <si>
    <t>Trip Distance</t>
  </si>
  <si>
    <t>Concerning?</t>
  </si>
  <si>
    <t>Comments</t>
  </si>
  <si>
    <t>Operating Date</t>
  </si>
  <si>
    <t>Train Run with multiple inits</t>
  </si>
  <si>
    <t>Train Run where PTC was Cut Out during some or all of the trip</t>
  </si>
  <si>
    <t>Train Run with other issues. See comments for more details</t>
  </si>
  <si>
    <t>Onboard Software Version</t>
  </si>
  <si>
    <t>Training enforcement</t>
  </si>
  <si>
    <t>Possible System Enforcement</t>
  </si>
  <si>
    <t>N</t>
  </si>
  <si>
    <t>Increasing Mileposts (1)</t>
  </si>
  <si>
    <t>Form based authority (4)</t>
  </si>
  <si>
    <t>TRACK WARRANT AUTHORITY</t>
  </si>
  <si>
    <t>Predictive Enforcement (2)</t>
  </si>
  <si>
    <t>Decreasing Mileposts (2)</t>
  </si>
  <si>
    <t>rtdc.l.rtdc.4026:itc</t>
  </si>
  <si>
    <t>rtdc.l.rtdc.4044:itc</t>
  </si>
  <si>
    <t>Y</t>
  </si>
  <si>
    <t>Reactive Enforcement (3)</t>
  </si>
  <si>
    <t>Signal based authority (5)</t>
  </si>
  <si>
    <t>SIGNAL</t>
  </si>
  <si>
    <t>Speed (6)</t>
  </si>
  <si>
    <t>PERMANENT SPEED RESTRICTION</t>
  </si>
  <si>
    <t>rtdc.l.rtdc.4039:itc</t>
  </si>
  <si>
    <t>Bulletin (2)</t>
  </si>
  <si>
    <t>GRADE CROSSING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</si>
  <si>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</si>
  <si>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</si>
  <si>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</si>
  <si>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</si>
  <si>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</si>
  <si>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</si>
  <si>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</si>
  <si>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</si>
  <si>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</si>
  <si>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</si>
  <si>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</si>
  <si>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</si>
  <si>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DE.1.0.6.0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</si>
  <si>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</si>
  <si>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</si>
  <si>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</si>
  <si>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</si>
  <si>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</si>
  <si>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</si>
  <si>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</si>
  <si>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rtdc.l.rtdc.4009:itc</t>
  </si>
  <si>
    <t>Threshold for Pink Highlight (Slow Run) (mins)</t>
  </si>
  <si>
    <t>Married Pair</t>
  </si>
  <si>
    <t>204:233312</t>
  </si>
  <si>
    <t>204:232683</t>
  </si>
  <si>
    <t>204:783</t>
  </si>
  <si>
    <t>204:233298</t>
  </si>
  <si>
    <t>204:145</t>
  </si>
  <si>
    <t>204:154</t>
  </si>
  <si>
    <t>204:138</t>
  </si>
  <si>
    <t>204:141</t>
  </si>
  <si>
    <t>204:149</t>
  </si>
  <si>
    <t>204:233297</t>
  </si>
  <si>
    <t>204:233326</t>
  </si>
  <si>
    <t>204:759</t>
  </si>
  <si>
    <t>204:233323</t>
  </si>
  <si>
    <t>204:152</t>
  </si>
  <si>
    <t>204:233278</t>
  </si>
  <si>
    <t>204:233329</t>
  </si>
  <si>
    <t>204:233331</t>
  </si>
  <si>
    <t>204:161</t>
  </si>
  <si>
    <t>204:233288</t>
  </si>
  <si>
    <t>204:233301</t>
  </si>
  <si>
    <t>rtdc.l.rtdc.4030:itc</t>
  </si>
  <si>
    <t>rtdc.l.rtdc.4027:itc</t>
  </si>
  <si>
    <t>101-24</t>
  </si>
  <si>
    <t>204:37257</t>
  </si>
  <si>
    <t>204:724</t>
  </si>
  <si>
    <t>204:36502</t>
  </si>
  <si>
    <t>102-24</t>
  </si>
  <si>
    <t>204:232573</t>
  </si>
  <si>
    <t>103-24</t>
  </si>
  <si>
    <t>204:233317</t>
  </si>
  <si>
    <t>105-24</t>
  </si>
  <si>
    <t>204:715</t>
  </si>
  <si>
    <t>204:70504</t>
  </si>
  <si>
    <t>106-24</t>
  </si>
  <si>
    <t>204:914</t>
  </si>
  <si>
    <t>108-24</t>
  </si>
  <si>
    <t>204:232993</t>
  </si>
  <si>
    <t>109-24</t>
  </si>
  <si>
    <t>204:462</t>
  </si>
  <si>
    <t>110-24</t>
  </si>
  <si>
    <t>204:232983</t>
  </si>
  <si>
    <t>111-24</t>
  </si>
  <si>
    <t>204:1204</t>
  </si>
  <si>
    <t>204:447</t>
  </si>
  <si>
    <t>204:478</t>
  </si>
  <si>
    <t>204:233303</t>
  </si>
  <si>
    <t>112-24</t>
  </si>
  <si>
    <t>204:232984</t>
  </si>
  <si>
    <t>113-24</t>
  </si>
  <si>
    <t>204:455</t>
  </si>
  <si>
    <t>204:233038</t>
  </si>
  <si>
    <t>114-24</t>
  </si>
  <si>
    <t>204:232881</t>
  </si>
  <si>
    <t>115-24</t>
  </si>
  <si>
    <t>204:233287</t>
  </si>
  <si>
    <t>116-24</t>
  </si>
  <si>
    <t>204:232962</t>
  </si>
  <si>
    <t>117-24</t>
  </si>
  <si>
    <t>204:500</t>
  </si>
  <si>
    <t>204:233295</t>
  </si>
  <si>
    <t>118-24</t>
  </si>
  <si>
    <t>204:952</t>
  </si>
  <si>
    <t>119-24</t>
  </si>
  <si>
    <t>204:1484</t>
  </si>
  <si>
    <t>121-24</t>
  </si>
  <si>
    <t>204:477</t>
  </si>
  <si>
    <t>122-24</t>
  </si>
  <si>
    <t>204:232977</t>
  </si>
  <si>
    <t>204:136</t>
  </si>
  <si>
    <t>123-24</t>
  </si>
  <si>
    <t>204:440</t>
  </si>
  <si>
    <t>124-24</t>
  </si>
  <si>
    <t>204:232978</t>
  </si>
  <si>
    <t>204:160</t>
  </si>
  <si>
    <t>126-24</t>
  </si>
  <si>
    <t>204:232996</t>
  </si>
  <si>
    <t>127-24</t>
  </si>
  <si>
    <t>204:458</t>
  </si>
  <si>
    <t>128-24</t>
  </si>
  <si>
    <t>204:232859</t>
  </si>
  <si>
    <t>129-24</t>
  </si>
  <si>
    <t>204:446</t>
  </si>
  <si>
    <t>204:233321</t>
  </si>
  <si>
    <t>130-24</t>
  </si>
  <si>
    <t>204:233021</t>
  </si>
  <si>
    <t>204:977</t>
  </si>
  <si>
    <t>131-24</t>
  </si>
  <si>
    <t>204:1277</t>
  </si>
  <si>
    <t>204:158001</t>
  </si>
  <si>
    <t>132-24</t>
  </si>
  <si>
    <t>204:157775</t>
  </si>
  <si>
    <t>133-24</t>
  </si>
  <si>
    <t>204:453</t>
  </si>
  <si>
    <t>134-24</t>
  </si>
  <si>
    <t>204:233019</t>
  </si>
  <si>
    <t>135-24</t>
  </si>
  <si>
    <t>204:451</t>
  </si>
  <si>
    <t>204:233291</t>
  </si>
  <si>
    <t>136-24</t>
  </si>
  <si>
    <t>204:232965</t>
  </si>
  <si>
    <t>137-24</t>
  </si>
  <si>
    <t>204:460</t>
  </si>
  <si>
    <t>204:233280</t>
  </si>
  <si>
    <t>138-24</t>
  </si>
  <si>
    <t>204:232979</t>
  </si>
  <si>
    <t>140-24</t>
  </si>
  <si>
    <t>204:232969</t>
  </si>
  <si>
    <t>204:163</t>
  </si>
  <si>
    <t>141-24</t>
  </si>
  <si>
    <t>204:233087</t>
  </si>
  <si>
    <t>142-24</t>
  </si>
  <si>
    <t>204:232930</t>
  </si>
  <si>
    <t>143-24</t>
  </si>
  <si>
    <t>204:473</t>
  </si>
  <si>
    <t>204:233276</t>
  </si>
  <si>
    <t>144-24</t>
  </si>
  <si>
    <t>204:232950</t>
  </si>
  <si>
    <t>145-24</t>
  </si>
  <si>
    <t>204:442</t>
  </si>
  <si>
    <t>204:233314</t>
  </si>
  <si>
    <t>146-24</t>
  </si>
  <si>
    <t>204:130</t>
  </si>
  <si>
    <t>147-24</t>
  </si>
  <si>
    <t>204:233330</t>
  </si>
  <si>
    <t>148-24</t>
  </si>
  <si>
    <t>204:232998</t>
  </si>
  <si>
    <t>149-24</t>
  </si>
  <si>
    <t>204:493</t>
  </si>
  <si>
    <t>204:233319</t>
  </si>
  <si>
    <t>150-24</t>
  </si>
  <si>
    <t>151-24</t>
  </si>
  <si>
    <t>152-24</t>
  </si>
  <si>
    <t>204:232980</t>
  </si>
  <si>
    <t>153-24</t>
  </si>
  <si>
    <t>154-24</t>
  </si>
  <si>
    <t>204:180</t>
  </si>
  <si>
    <t>155-24</t>
  </si>
  <si>
    <t>204:464</t>
  </si>
  <si>
    <t>156-24</t>
  </si>
  <si>
    <t>204:232873</t>
  </si>
  <si>
    <t>157-24</t>
  </si>
  <si>
    <t>158-24</t>
  </si>
  <si>
    <t>204:232994</t>
  </si>
  <si>
    <t>159-24</t>
  </si>
  <si>
    <t>204:19191</t>
  </si>
  <si>
    <t>204:233285</t>
  </si>
  <si>
    <t>204:613</t>
  </si>
  <si>
    <t>160-24</t>
  </si>
  <si>
    <t>204:232972</t>
  </si>
  <si>
    <t>161-24</t>
  </si>
  <si>
    <t>162-24</t>
  </si>
  <si>
    <t>204:233017</t>
  </si>
  <si>
    <t>204:112</t>
  </si>
  <si>
    <t>163-24</t>
  </si>
  <si>
    <t>164-24</t>
  </si>
  <si>
    <t>204:233015</t>
  </si>
  <si>
    <t>204:129</t>
  </si>
  <si>
    <t>165-24</t>
  </si>
  <si>
    <t>204:233340</t>
  </si>
  <si>
    <t>166-24</t>
  </si>
  <si>
    <t>167-24</t>
  </si>
  <si>
    <t>204:515</t>
  </si>
  <si>
    <t>204:233316</t>
  </si>
  <si>
    <t>168-24</t>
  </si>
  <si>
    <t>204:232982</t>
  </si>
  <si>
    <t>204:189</t>
  </si>
  <si>
    <t>169-24</t>
  </si>
  <si>
    <t>204:233030</t>
  </si>
  <si>
    <t>170-24</t>
  </si>
  <si>
    <t>204:232883</t>
  </si>
  <si>
    <t>171-24</t>
  </si>
  <si>
    <t>172-24</t>
  </si>
  <si>
    <t>173-24</t>
  </si>
  <si>
    <t>174-24</t>
  </si>
  <si>
    <t>204:233000</t>
  </si>
  <si>
    <t>175-24</t>
  </si>
  <si>
    <t>204:429</t>
  </si>
  <si>
    <t>204:233305</t>
  </si>
  <si>
    <t>176-24</t>
  </si>
  <si>
    <t>177-24</t>
  </si>
  <si>
    <t>204:233361</t>
  </si>
  <si>
    <t>178-24</t>
  </si>
  <si>
    <t>204:233042</t>
  </si>
  <si>
    <t>204:172</t>
  </si>
  <si>
    <t>179-24</t>
  </si>
  <si>
    <t>180-24</t>
  </si>
  <si>
    <t>204:233130</t>
  </si>
  <si>
    <t>181-24</t>
  </si>
  <si>
    <t>204:482</t>
  </si>
  <si>
    <t>182-24</t>
  </si>
  <si>
    <t>183-24</t>
  </si>
  <si>
    <t>204:233090</t>
  </si>
  <si>
    <t>184-24</t>
  </si>
  <si>
    <t>204:232934</t>
  </si>
  <si>
    <t>185-24</t>
  </si>
  <si>
    <t>204:233315</t>
  </si>
  <si>
    <t>186-24</t>
  </si>
  <si>
    <t>187-24</t>
  </si>
  <si>
    <t>204:449</t>
  </si>
  <si>
    <t>188-24</t>
  </si>
  <si>
    <t>204:232971</t>
  </si>
  <si>
    <t>189-24</t>
  </si>
  <si>
    <t>204:427</t>
  </si>
  <si>
    <t>190-24</t>
  </si>
  <si>
    <t>192-24</t>
  </si>
  <si>
    <t>204:232961</t>
  </si>
  <si>
    <t>193-24</t>
  </si>
  <si>
    <t>204:475</t>
  </si>
  <si>
    <t>194-24</t>
  </si>
  <si>
    <t>204:232356</t>
  </si>
  <si>
    <t>204:233076</t>
  </si>
  <si>
    <t>195-24</t>
  </si>
  <si>
    <t>204:471</t>
  </si>
  <si>
    <t>196-24</t>
  </si>
  <si>
    <t>204:233003</t>
  </si>
  <si>
    <t>197-24</t>
  </si>
  <si>
    <t>198-24</t>
  </si>
  <si>
    <t>204:232832</t>
  </si>
  <si>
    <t>204:178</t>
  </si>
  <si>
    <t>199-24</t>
  </si>
  <si>
    <t>200-24</t>
  </si>
  <si>
    <t>201-24</t>
  </si>
  <si>
    <t>202-24</t>
  </si>
  <si>
    <t>204:232985</t>
  </si>
  <si>
    <t>203-24</t>
  </si>
  <si>
    <t>204-24</t>
  </si>
  <si>
    <t>205-24</t>
  </si>
  <si>
    <t>204:467</t>
  </si>
  <si>
    <t>204:233349</t>
  </si>
  <si>
    <t>206-24</t>
  </si>
  <si>
    <t>204:233027</t>
  </si>
  <si>
    <t>207-24</t>
  </si>
  <si>
    <t>204:233362</t>
  </si>
  <si>
    <t>208-24</t>
  </si>
  <si>
    <t>204:233080</t>
  </si>
  <si>
    <t>209-24</t>
  </si>
  <si>
    <t>210-24</t>
  </si>
  <si>
    <t>204:48186</t>
  </si>
  <si>
    <t>211-24</t>
  </si>
  <si>
    <t>204:232967</t>
  </si>
  <si>
    <t>212-24</t>
  </si>
  <si>
    <t>204:232802</t>
  </si>
  <si>
    <t>213-24</t>
  </si>
  <si>
    <t>204:233263</t>
  </si>
  <si>
    <t>214-24</t>
  </si>
  <si>
    <t>204:181</t>
  </si>
  <si>
    <t>215-24</t>
  </si>
  <si>
    <t>216-24</t>
  </si>
  <si>
    <t>204:154013</t>
  </si>
  <si>
    <t>204:169</t>
  </si>
  <si>
    <t>204:232991</t>
  </si>
  <si>
    <t>204:231831</t>
  </si>
  <si>
    <t>217-24</t>
  </si>
  <si>
    <t>204:19141</t>
  </si>
  <si>
    <t>218-24</t>
  </si>
  <si>
    <t>204:233092</t>
  </si>
  <si>
    <t>219-24</t>
  </si>
  <si>
    <t>220-24</t>
  </si>
  <si>
    <t>204:232987</t>
  </si>
  <si>
    <t>221-24</t>
  </si>
  <si>
    <t>204:233311</t>
  </si>
  <si>
    <t>222-24</t>
  </si>
  <si>
    <t>204:64155</t>
  </si>
  <si>
    <t>204:36788</t>
  </si>
  <si>
    <t>224-24</t>
  </si>
  <si>
    <t>225-24</t>
  </si>
  <si>
    <t>204:233395</t>
  </si>
  <si>
    <t>226-24</t>
  </si>
  <si>
    <t>204:233086</t>
  </si>
  <si>
    <t>227-24</t>
  </si>
  <si>
    <t>228-24</t>
  </si>
  <si>
    <t>229-24</t>
  </si>
  <si>
    <t>204:233289</t>
  </si>
  <si>
    <t>230-24</t>
  </si>
  <si>
    <t>231-24</t>
  </si>
  <si>
    <t>204:491</t>
  </si>
  <si>
    <t>232-24</t>
  </si>
  <si>
    <t>204:232955</t>
  </si>
  <si>
    <t>233-24</t>
  </si>
  <si>
    <t>204:233399</t>
  </si>
  <si>
    <t>234-24</t>
  </si>
  <si>
    <t>204:233097</t>
  </si>
  <si>
    <t>235-24</t>
  </si>
  <si>
    <t>204:433</t>
  </si>
  <si>
    <t>236-24</t>
  </si>
  <si>
    <t>237-24</t>
  </si>
  <si>
    <t>204:480</t>
  </si>
  <si>
    <t>238-24</t>
  </si>
  <si>
    <t>204:232992</t>
  </si>
  <si>
    <t>239-24</t>
  </si>
  <si>
    <t>204:457</t>
  </si>
  <si>
    <t>204:55667</t>
  </si>
  <si>
    <t>204:64667</t>
  </si>
  <si>
    <t>240-24</t>
  </si>
  <si>
    <t>204:232973</t>
  </si>
  <si>
    <t>241-24</t>
  </si>
  <si>
    <t>204:233410</t>
  </si>
  <si>
    <t>242-24</t>
  </si>
  <si>
    <t>243-24</t>
  </si>
  <si>
    <t>244-24</t>
  </si>
  <si>
    <t>rtdc.l.rtdc.4040:itc</t>
  </si>
  <si>
    <t>rtdc.l.rtdc.4043:itc</t>
  </si>
  <si>
    <t>rtdc.l.rtdc.4029:itc</t>
  </si>
  <si>
    <t>rtdc.l.rtdc.4010:itc</t>
  </si>
  <si>
    <t>rtdc.l.rtdc.4025:itc</t>
  </si>
  <si>
    <t>rtdc.l.rtdc.4013:itc</t>
  </si>
  <si>
    <t>rtdc.l.rtdc.4031:itc</t>
  </si>
  <si>
    <t>rtdc.l.rtdc.4032:itc</t>
  </si>
  <si>
    <t>rtdc.l.rtdc.4028:itc</t>
  </si>
  <si>
    <t>EQUIPMENT RESTRICTION</t>
  </si>
  <si>
    <t>Form C @ Holly</t>
  </si>
  <si>
    <t>Routing @ 40th</t>
  </si>
  <si>
    <t>Overspeed after initializing past Bright signal</t>
  </si>
  <si>
    <t>Track Warrant at DUS/DIA</t>
  </si>
  <si>
    <t>Track speeds</t>
  </si>
  <si>
    <t>Training - 85 MPH!</t>
  </si>
  <si>
    <t>Training - routing @ DUS</t>
  </si>
  <si>
    <t>Signal had DARK aspect</t>
  </si>
  <si>
    <t>SWITCH UNKNOWN</t>
  </si>
  <si>
    <t>Track device (7)</t>
  </si>
  <si>
    <t>Double married pair messes up Wi-MAX</t>
  </si>
  <si>
    <t>Routing @ 61st</t>
  </si>
  <si>
    <t>Signal - aspect dropped from 120 to 0</t>
  </si>
  <si>
    <t>Onboard - GPS issues</t>
  </si>
  <si>
    <t>Training - Started on MAIN 3, didn't like what they saw, so they cut out. Should have re-initialized after getting back on the main line.</t>
  </si>
  <si>
    <t>Was this a rescue train or something? Run ended around MP15.8</t>
  </si>
  <si>
    <t>Onboard - DID NOT CONVERGE issue</t>
  </si>
  <si>
    <t>Onboard - EBI Fault</t>
  </si>
  <si>
    <t>Onboard - GPS Issues</t>
  </si>
  <si>
    <t>Training - Form C @ Holly</t>
  </si>
  <si>
    <t>Routing @ DIA</t>
  </si>
  <si>
    <t>Training - Form C @ Ulster</t>
  </si>
  <si>
    <t>Onboard - Comparator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</si>
</sst>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/>
    <xf numFmtId="0" fontId="0" fillId="4" borderId="5" xfId="0" applyFill="1" applyBorder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Fill="1" applyBorder="1"/>
    <xf numFmtId="1" fontId="0" fillId="0" borderId="10" xfId="0" applyNumberFormat="1" applyFill="1" applyBorder="1"/>
    <xf numFmtId="0" fontId="0" fillId="0" borderId="1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" fontId="0" fillId="0" borderId="15" xfId="0" applyNumberFormat="1" applyFill="1" applyBorder="1" applyAlignment="1">
      <alignment horizontal="left"/>
    </xf>
    <xf numFmtId="0" fontId="0" fillId="2" borderId="5" xfId="0" applyFill="1" applyBorder="1"/>
    <xf numFmtId="0" fontId="0" fillId="3" borderId="5" xfId="0" applyFill="1" applyBorder="1"/>
    <xf numFmtId="0" fontId="1" fillId="0" borderId="5" xfId="0" applyFont="1" applyBorder="1"/>
    <xf numFmtId="0" fontId="1" fillId="0" borderId="11" xfId="0" applyFont="1" applyFill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20" fontId="1" fillId="0" borderId="12" xfId="0" applyNumberFormat="1" applyFont="1" applyFill="1" applyBorder="1" applyAlignment="1">
      <alignment horizontal="left" vertical="center" wrapText="1"/>
    </xf>
    <xf numFmtId="1" fontId="1" fillId="0" borderId="12" xfId="0" applyNumberFormat="1" applyFont="1" applyBorder="1" applyAlignment="1">
      <alignment horizontal="left" vertical="center" wrapText="1"/>
    </xf>
    <xf numFmtId="1" fontId="1" fillId="0" borderId="13" xfId="0" applyNumberFormat="1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 wrapText="1"/>
    </xf>
    <xf numFmtId="167" fontId="0" fillId="0" borderId="0" xfId="0" applyNumberFormat="1"/>
    <xf numFmtId="0" fontId="0" fillId="0" borderId="8" xfId="0" applyBorder="1"/>
    <xf numFmtId="0" fontId="0" fillId="0" borderId="7" xfId="0" applyBorder="1" applyAlignment="1">
      <alignment vertical="center" wrapText="1"/>
    </xf>
    <xf numFmtId="0" fontId="0" fillId="2" borderId="18" xfId="0" applyFill="1" applyBorder="1"/>
    <xf numFmtId="0" fontId="0" fillId="2" borderId="19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/>
    </xf>
    <xf numFmtId="0" fontId="4" fillId="0" borderId="16" xfId="0" applyFont="1" applyBorder="1" applyAlignment="1">
      <alignment horizontal="center" wrapText="1"/>
    </xf>
    <xf numFmtId="166" fontId="5" fillId="0" borderId="17" xfId="0" applyNumberFormat="1" applyFont="1" applyBorder="1" applyAlignment="1">
      <alignment horizontal="center" vertical="center" wrapText="1"/>
    </xf>
    <xf numFmtId="167" fontId="1" fillId="0" borderId="12" xfId="0" applyNumberFormat="1" applyFont="1" applyBorder="1" applyAlignment="1">
      <alignment horizontal="left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wrapText="1"/>
    </xf>
    <xf numFmtId="0" fontId="1" fillId="0" borderId="17" xfId="0" applyFont="1" applyFill="1" applyBorder="1" applyAlignment="1">
      <alignment horizontal="center" vertical="center"/>
    </xf>
    <xf numFmtId="2" fontId="1" fillId="0" borderId="12" xfId="0" applyNumberFormat="1" applyFont="1" applyBorder="1" applyAlignment="1">
      <alignment horizontal="left" vertical="center" wrapText="1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6" fontId="0" fillId="0" borderId="0" xfId="0" applyNumberFormat="1" applyBorder="1" applyAlignment="1">
      <alignment horizontal="center" wrapText="1"/>
    </xf>
    <xf numFmtId="0" fontId="0" fillId="0" borderId="21" xfId="0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167" fontId="0" fillId="0" borderId="22" xfId="0" applyNumberFormat="1" applyFill="1" applyBorder="1" applyAlignment="1">
      <alignment horizontal="left"/>
    </xf>
    <xf numFmtId="2" fontId="0" fillId="0" borderId="22" xfId="0" applyNumberFormat="1" applyFill="1" applyBorder="1" applyAlignment="1">
      <alignment horizontal="left"/>
    </xf>
    <xf numFmtId="1" fontId="0" fillId="0" borderId="22" xfId="0" applyNumberFormat="1" applyFill="1" applyBorder="1" applyAlignment="1">
      <alignment horizontal="left"/>
    </xf>
    <xf numFmtId="1" fontId="0" fillId="0" borderId="23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left"/>
    </xf>
    <xf numFmtId="166" fontId="0" fillId="0" borderId="7" xfId="0" applyNumberFormat="1" applyBorder="1" applyAlignment="1">
      <alignment horizontal="center" wrapText="1"/>
    </xf>
    <xf numFmtId="166" fontId="0" fillId="0" borderId="8" xfId="0" applyNumberFormat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56"/>
  <sheetViews>
    <sheetView showGridLines="0" tabSelected="1" topLeftCell="A130" zoomScale="85" zoomScaleNormal="85" workbookViewId="0">
      <selection activeCell="J151" sqref="J151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32" customWidth="1"/>
    <col min="6" max="6" width="20.140625" style="32" customWidth="1"/>
    <col min="7" max="7" width="18.42578125" style="64" hidden="1" customWidth="1"/>
    <col min="8" max="8" width="3.140625" style="32" hidden="1" customWidth="1"/>
    <col min="9" max="9" width="19.7109375" style="32" customWidth="1"/>
    <col min="10" max="10" width="8.7109375" customWidth="1"/>
    <col min="11" max="11" width="10" bestFit="1" customWidth="1"/>
    <col min="12" max="12" width="9.5703125" style="1" customWidth="1"/>
    <col min="13" max="13" width="8.85546875" style="4" customWidth="1"/>
    <col min="14" max="14" width="9.140625" style="4"/>
    <col min="15" max="15" width="6" style="4" customWidth="1"/>
    <col min="16" max="16" width="29.28515625" customWidth="1"/>
    <col min="17" max="17" width="4.28515625" customWidth="1"/>
    <col min="18" max="18" width="6.7109375" customWidth="1"/>
    <col min="19" max="19" width="10.140625" customWidth="1"/>
    <col min="23" max="23" width="9.140625" style="46"/>
    <col min="24" max="24" width="17.85546875" style="46" customWidth="1"/>
    <col min="26" max="26" width="12.42578125" customWidth="1"/>
    <col min="27" max="27" width="58.85546875" customWidth="1"/>
    <col min="28" max="28" width="15.85546875" customWidth="1"/>
  </cols>
  <sheetData>
    <row r="1" spans="1:89" ht="57.75" customHeight="1" thickBot="1" x14ac:dyDescent="0.35">
      <c r="A1" s="80" t="str">
        <f>"Eagle P3 System Performance - "&amp;TEXT(Z2,"yyyy-mm-dd")</f>
        <v>Eagle P3 System Performance - 2016-04-24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Z1" s="50" t="s">
        <v>32</v>
      </c>
      <c r="AB1" s="59" t="s">
        <v>77</v>
      </c>
    </row>
    <row r="2" spans="1:89" s="12" customFormat="1" ht="69" customHeight="1" thickBot="1" x14ac:dyDescent="0.3">
      <c r="A2" s="26" t="s">
        <v>0</v>
      </c>
      <c r="B2" s="27" t="s">
        <v>74</v>
      </c>
      <c r="C2" s="27" t="s">
        <v>36</v>
      </c>
      <c r="D2" s="27" t="s">
        <v>1</v>
      </c>
      <c r="E2" s="52" t="s">
        <v>2</v>
      </c>
      <c r="F2" s="52" t="s">
        <v>3</v>
      </c>
      <c r="G2" s="61" t="s">
        <v>4</v>
      </c>
      <c r="H2" s="52" t="s">
        <v>5</v>
      </c>
      <c r="I2" s="52" t="s">
        <v>6</v>
      </c>
      <c r="J2" s="27" t="s">
        <v>7</v>
      </c>
      <c r="K2" s="27" t="s">
        <v>78</v>
      </c>
      <c r="L2" s="28" t="s">
        <v>9</v>
      </c>
      <c r="M2" s="27" t="s">
        <v>71</v>
      </c>
      <c r="N2" s="29" t="s">
        <v>72</v>
      </c>
      <c r="O2" s="30" t="s">
        <v>19</v>
      </c>
      <c r="P2" s="31" t="s">
        <v>31</v>
      </c>
      <c r="Q2" s="11"/>
      <c r="R2" s="15" t="s">
        <v>75</v>
      </c>
      <c r="S2" s="15" t="s">
        <v>30</v>
      </c>
      <c r="T2" s="15" t="s">
        <v>27</v>
      </c>
      <c r="U2" s="15" t="s">
        <v>28</v>
      </c>
      <c r="V2" s="15" t="s">
        <v>29</v>
      </c>
      <c r="W2" s="48" t="s">
        <v>69</v>
      </c>
      <c r="X2" s="48" t="s">
        <v>70</v>
      </c>
      <c r="Y2" s="11"/>
      <c r="Z2" s="51">
        <v>42484</v>
      </c>
      <c r="AA2" s="11"/>
      <c r="AB2" s="60">
        <v>50</v>
      </c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</row>
    <row r="3" spans="1:89" s="2" customFormat="1" x14ac:dyDescent="0.25">
      <c r="A3" s="18" t="s">
        <v>101</v>
      </c>
      <c r="B3" s="19">
        <v>4025</v>
      </c>
      <c r="C3" s="19" t="s">
        <v>68</v>
      </c>
      <c r="D3" s="19" t="s">
        <v>102</v>
      </c>
      <c r="E3" s="53">
        <v>42484.150856481479</v>
      </c>
      <c r="F3" s="53">
        <v>42484.151620370372</v>
      </c>
      <c r="G3" s="62">
        <v>1</v>
      </c>
      <c r="H3" s="53" t="s">
        <v>98</v>
      </c>
      <c r="I3" s="53">
        <v>42484.170439814814</v>
      </c>
      <c r="J3" s="19">
        <v>0</v>
      </c>
      <c r="K3" s="19" t="str">
        <f t="shared" ref="K3:K16" si="0">IF(ISEVEN(B3),(B3-1)&amp;"/"&amp;B3,B3&amp;"/"&amp;(B3+1))</f>
        <v>4025/4026</v>
      </c>
      <c r="L3" s="20">
        <f t="shared" ref="L3:L16" si="1">I3-F3</f>
        <v>1.8819444441760425E-2</v>
      </c>
      <c r="M3" s="21"/>
      <c r="N3" s="21">
        <f>(L3+L4)*24*60</f>
        <v>60.03333332715556</v>
      </c>
      <c r="O3" s="22"/>
      <c r="P3" s="17" t="s">
        <v>399</v>
      </c>
      <c r="R3" s="16" t="str">
        <f t="shared" ref="R3:R16" si="2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https://search-rtdc-monitor-bjffxe2xuh6vdkpspy63sjmuny.us-east-1.es.amazonaws.com/_plugin/kibana/#/discover/Steve-Slow-Train-Analysis-(2080s-and-2083s)?_g=(refreshInterval:(display:Off,section:0,value:0),time:(from:'2016-04-24 03:36:14-0600',mode:absolute,to:'2016-04-24 04:06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S3" s="16" t="str">
        <f t="shared" ref="S3:S16" si="3">IF(V3&lt;23,"Y","N")</f>
        <v>Y</v>
      </c>
      <c r="T3" s="16">
        <f t="shared" ref="T3:T16" si="4">RIGHT(D3,LEN(D3)-4)/10000</f>
        <v>3.7256999999999998</v>
      </c>
      <c r="U3" s="16">
        <f t="shared" ref="U3:U16" si="5">RIGHT(H3,LEN(H3)-4)/10000</f>
        <v>23.330100000000002</v>
      </c>
      <c r="V3" s="16">
        <f t="shared" ref="V3:V16" si="6">ABS(U3-T3)</f>
        <v>19.604400000000002</v>
      </c>
      <c r="W3" s="49">
        <f>VLOOKUP(A3,Enforcements!$C$3:$J$31,8,0)</f>
        <v>36645</v>
      </c>
      <c r="X3" s="49" t="str">
        <f>VLOOKUP(A3,Enforcements!$C$3:$J$31,3,0)</f>
        <v>SIGNAL</v>
      </c>
    </row>
    <row r="4" spans="1:89" s="2" customFormat="1" x14ac:dyDescent="0.25">
      <c r="A4" s="18" t="s">
        <v>101</v>
      </c>
      <c r="B4" s="19">
        <v>4025</v>
      </c>
      <c r="C4" s="19" t="s">
        <v>68</v>
      </c>
      <c r="D4" s="19" t="s">
        <v>103</v>
      </c>
      <c r="E4" s="53">
        <v>42484.125150462962</v>
      </c>
      <c r="F4" s="53">
        <v>42484.126620370371</v>
      </c>
      <c r="G4" s="62">
        <v>2</v>
      </c>
      <c r="H4" s="53" t="s">
        <v>104</v>
      </c>
      <c r="I4" s="53">
        <v>42484.14949074074</v>
      </c>
      <c r="J4" s="19">
        <v>3</v>
      </c>
      <c r="K4" s="19" t="str">
        <f t="shared" si="0"/>
        <v>4025/4026</v>
      </c>
      <c r="L4" s="20">
        <f t="shared" si="1"/>
        <v>2.287037036876427E-2</v>
      </c>
      <c r="M4" s="21"/>
      <c r="N4" s="21"/>
      <c r="O4" s="22"/>
      <c r="P4" s="17"/>
      <c r="R4" s="16" t="str">
        <f t="shared" si="2"/>
        <v>https://search-rtdc-monitor-bjffxe2xuh6vdkpspy63sjmuny.us-east-1.es.amazonaws.com/_plugin/kibana/#/discover/Steve-Slow-Train-Analysis-(2080s-and-2083s)?_g=(refreshInterval:(display:Off,section:0,value:0),time:(from:'2016-04-24 02:59:13-0600',mode:absolute,to:'2016-04-24 03:36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S4" s="16" t="str">
        <f t="shared" si="3"/>
        <v>Y</v>
      </c>
      <c r="T4" s="16">
        <f t="shared" si="4"/>
        <v>7.2400000000000006E-2</v>
      </c>
      <c r="U4" s="16">
        <f t="shared" si="5"/>
        <v>3.6501999999999999</v>
      </c>
      <c r="V4" s="16">
        <f t="shared" si="6"/>
        <v>3.5777999999999999</v>
      </c>
      <c r="W4" s="49">
        <f>VLOOKUP(A4,Enforcements!$C$3:$J$31,8,0)</f>
        <v>36645</v>
      </c>
      <c r="X4" s="49" t="str">
        <f>VLOOKUP(A4,Enforcements!$C$3:$J$31,3,0)</f>
        <v>SIGNAL</v>
      </c>
    </row>
    <row r="5" spans="1:89" s="2" customFormat="1" x14ac:dyDescent="0.25">
      <c r="A5" s="18" t="s">
        <v>105</v>
      </c>
      <c r="B5" s="19">
        <v>4030</v>
      </c>
      <c r="C5" s="19" t="s">
        <v>68</v>
      </c>
      <c r="D5" s="19" t="s">
        <v>106</v>
      </c>
      <c r="E5" s="53">
        <v>42484.17564814815</v>
      </c>
      <c r="F5" s="53">
        <v>42484.17763888889</v>
      </c>
      <c r="G5" s="62">
        <v>2</v>
      </c>
      <c r="H5" s="53" t="s">
        <v>103</v>
      </c>
      <c r="I5" s="53">
        <v>42484.205787037034</v>
      </c>
      <c r="J5" s="19">
        <v>1</v>
      </c>
      <c r="K5" s="19" t="str">
        <f t="shared" si="0"/>
        <v>4029/4030</v>
      </c>
      <c r="L5" s="20">
        <f t="shared" si="1"/>
        <v>2.8148148143372964E-2</v>
      </c>
      <c r="M5" s="21">
        <f>$L5*24*60</f>
        <v>40.533333326457068</v>
      </c>
      <c r="N5" s="21"/>
      <c r="O5" s="22"/>
      <c r="P5" s="17"/>
      <c r="R5" s="16" t="str">
        <f t="shared" si="2"/>
        <v>https://search-rtdc-monitor-bjffxe2xuh6vdkpspy63sjmuny.us-east-1.es.amazonaws.com/_plugin/kibana/#/discover/Steve-Slow-Train-Analysis-(2080s-and-2083s)?_g=(refreshInterval:(display:Off,section:0,value:0),time:(from:'2016-04-24 04:11:56-0600',mode:absolute,to:'2016-04-24 04:57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S5" s="16" t="str">
        <f t="shared" si="3"/>
        <v>N</v>
      </c>
      <c r="T5" s="16">
        <f t="shared" si="4"/>
        <v>23.257300000000001</v>
      </c>
      <c r="U5" s="16">
        <f t="shared" si="5"/>
        <v>7.2400000000000006E-2</v>
      </c>
      <c r="V5" s="16">
        <f t="shared" si="6"/>
        <v>23.184900000000003</v>
      </c>
      <c r="W5" s="49" t="e">
        <f>VLOOKUP(A5,Enforcements!$C$3:$J$31,8,0)</f>
        <v>#N/A</v>
      </c>
      <c r="X5" s="49" t="e">
        <f>VLOOKUP(A5,Enforcements!$C$3:$J$31,3,0)</f>
        <v>#N/A</v>
      </c>
      <c r="Z5" s="25" t="s">
        <v>26</v>
      </c>
      <c r="AA5" s="13"/>
    </row>
    <row r="6" spans="1:89" s="2" customFormat="1" x14ac:dyDescent="0.25">
      <c r="A6" s="18" t="s">
        <v>107</v>
      </c>
      <c r="B6" s="19">
        <v>4014</v>
      </c>
      <c r="C6" s="19" t="s">
        <v>68</v>
      </c>
      <c r="D6" s="19" t="s">
        <v>90</v>
      </c>
      <c r="E6" s="53">
        <v>42484.148912037039</v>
      </c>
      <c r="F6" s="53">
        <v>42484.150300925925</v>
      </c>
      <c r="G6" s="62">
        <v>2</v>
      </c>
      <c r="H6" s="53" t="s">
        <v>108</v>
      </c>
      <c r="I6" s="53">
        <v>42484.21770833333</v>
      </c>
      <c r="J6" s="19">
        <v>0</v>
      </c>
      <c r="K6" s="19" t="str">
        <f t="shared" si="0"/>
        <v>4013/4014</v>
      </c>
      <c r="L6" s="20">
        <f t="shared" si="1"/>
        <v>6.7407407404971309E-2</v>
      </c>
      <c r="M6" s="21">
        <f>$L6*24*60</f>
        <v>97.066666663158685</v>
      </c>
      <c r="N6" s="21"/>
      <c r="O6" s="22"/>
      <c r="P6" s="17"/>
      <c r="R6" s="16" t="str">
        <f t="shared" si="2"/>
        <v>https://search-rtdc-monitor-bjffxe2xuh6vdkpspy63sjmuny.us-east-1.es.amazonaws.com/_plugin/kibana/#/discover/Steve-Slow-Train-Analysis-(2080s-and-2083s)?_g=(refreshInterval:(display:Off,section:0,value:0),time:(from:'2016-04-24 03:33:26-0600',mode:absolute,to:'2016-04-24 05:14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S6" s="16" t="str">
        <f t="shared" si="3"/>
        <v>N</v>
      </c>
      <c r="T6" s="16">
        <f t="shared" si="4"/>
        <v>7.5899999999999995E-2</v>
      </c>
      <c r="U6" s="16">
        <f t="shared" si="5"/>
        <v>23.331700000000001</v>
      </c>
      <c r="V6" s="16">
        <f t="shared" si="6"/>
        <v>23.255800000000001</v>
      </c>
      <c r="W6" s="49" t="e">
        <f>VLOOKUP(A6,Enforcements!$C$3:$J$31,8,0)</f>
        <v>#N/A</v>
      </c>
      <c r="X6" s="49" t="e">
        <f>VLOOKUP(A6,Enforcements!$C$3:$J$31,3,0)</f>
        <v>#N/A</v>
      </c>
      <c r="Z6" s="23"/>
      <c r="AA6" s="13" t="s">
        <v>33</v>
      </c>
    </row>
    <row r="7" spans="1:89" s="2" customFormat="1" x14ac:dyDescent="0.25">
      <c r="A7" s="18" t="s">
        <v>109</v>
      </c>
      <c r="B7" s="19">
        <v>4031</v>
      </c>
      <c r="C7" s="19" t="s">
        <v>68</v>
      </c>
      <c r="D7" s="19" t="s">
        <v>110</v>
      </c>
      <c r="E7" s="53">
        <v>42484.169351851851</v>
      </c>
      <c r="F7" s="53">
        <v>42484.170671296299</v>
      </c>
      <c r="G7" s="62">
        <v>1</v>
      </c>
      <c r="H7" s="53" t="s">
        <v>111</v>
      </c>
      <c r="I7" s="53">
        <v>42484.195127314815</v>
      </c>
      <c r="J7" s="19">
        <v>0</v>
      </c>
      <c r="K7" s="19" t="str">
        <f t="shared" si="0"/>
        <v>4031/4032</v>
      </c>
      <c r="L7" s="20">
        <f t="shared" si="1"/>
        <v>2.4456018516502809E-2</v>
      </c>
      <c r="M7" s="21"/>
      <c r="N7" s="21"/>
      <c r="O7" s="21">
        <f>$L7*24*60</f>
        <v>35.216666663764045</v>
      </c>
      <c r="P7" s="17" t="s">
        <v>402</v>
      </c>
      <c r="R7" s="16" t="str">
        <f t="shared" si="2"/>
        <v>https://search-rtdc-monitor-bjffxe2xuh6vdkpspy63sjmuny.us-east-1.es.amazonaws.com/_plugin/kibana/#/discover/Steve-Slow-Train-Analysis-(2080s-and-2083s)?_g=(refreshInterval:(display:Off,section:0,value:0),time:(from:'2016-04-24 04:02:52-0600',mode:absolute,to:'2016-04-24 04:41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S7" s="16" t="str">
        <f t="shared" si="3"/>
        <v>Y</v>
      </c>
      <c r="T7" s="16">
        <f t="shared" si="4"/>
        <v>7.1499999999999994E-2</v>
      </c>
      <c r="U7" s="16">
        <f t="shared" si="5"/>
        <v>7.0503999999999998</v>
      </c>
      <c r="V7" s="16">
        <f t="shared" si="6"/>
        <v>6.9788999999999994</v>
      </c>
      <c r="W7" s="49" t="e">
        <f>VLOOKUP(A7,Enforcements!$C$3:$J$31,8,0)</f>
        <v>#N/A</v>
      </c>
      <c r="X7" s="49" t="e">
        <f>VLOOKUP(A7,Enforcements!$C$3:$J$31,3,0)</f>
        <v>#N/A</v>
      </c>
      <c r="Z7" s="24"/>
      <c r="AA7" s="13" t="s">
        <v>34</v>
      </c>
    </row>
    <row r="8" spans="1:89" s="2" customFormat="1" x14ac:dyDescent="0.25">
      <c r="A8" s="18" t="s">
        <v>112</v>
      </c>
      <c r="B8" s="19">
        <v>4010</v>
      </c>
      <c r="C8" s="19" t="s">
        <v>68</v>
      </c>
      <c r="D8" s="19" t="s">
        <v>80</v>
      </c>
      <c r="E8" s="53">
        <v>42484.223587962966</v>
      </c>
      <c r="F8" s="53">
        <v>42484.224803240744</v>
      </c>
      <c r="G8" s="62">
        <v>1</v>
      </c>
      <c r="H8" s="53" t="s">
        <v>113</v>
      </c>
      <c r="I8" s="53">
        <v>42484.253263888888</v>
      </c>
      <c r="J8" s="19">
        <v>2</v>
      </c>
      <c r="K8" s="19" t="str">
        <f t="shared" si="0"/>
        <v>4009/4010</v>
      </c>
      <c r="L8" s="20">
        <f t="shared" si="1"/>
        <v>2.8460648143664002E-2</v>
      </c>
      <c r="M8" s="21">
        <f>$L8*24*60</f>
        <v>40.983333326876163</v>
      </c>
      <c r="N8" s="21"/>
      <c r="O8" s="22"/>
      <c r="P8" s="17"/>
      <c r="R8" s="16" t="str">
        <f t="shared" si="2"/>
        <v>https://search-rtdc-monitor-bjffxe2xuh6vdkpspy63sjmuny.us-east-1.es.amazonaws.com/_plugin/kibana/#/discover/Steve-Slow-Train-Analysis-(2080s-and-2083s)?_g=(refreshInterval:(display:Off,section:0,value:0),time:(from:'2016-04-24 05:20:58-0600',mode:absolute,to:'2016-04-24 06:05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S8" s="16" t="str">
        <f t="shared" si="3"/>
        <v>N</v>
      </c>
      <c r="T8" s="16">
        <f t="shared" si="4"/>
        <v>23.2683</v>
      </c>
      <c r="U8" s="16">
        <f t="shared" si="5"/>
        <v>9.1399999999999995E-2</v>
      </c>
      <c r="V8" s="16">
        <f t="shared" si="6"/>
        <v>23.1769</v>
      </c>
      <c r="W8" s="49">
        <f>VLOOKUP(A8,Enforcements!$C$3:$J$31,8,0)</f>
        <v>3902</v>
      </c>
      <c r="X8" s="49" t="str">
        <f>VLOOKUP(A8,Enforcements!$C$3:$J$31,3,0)</f>
        <v>SWITCH UNKNOWN</v>
      </c>
      <c r="Z8" s="14"/>
      <c r="AA8" s="13" t="s">
        <v>35</v>
      </c>
    </row>
    <row r="9" spans="1:89" s="2" customFormat="1" x14ac:dyDescent="0.25">
      <c r="A9" s="18" t="s">
        <v>114</v>
      </c>
      <c r="B9" s="19">
        <v>4039</v>
      </c>
      <c r="C9" s="19" t="s">
        <v>68</v>
      </c>
      <c r="D9" s="19" t="s">
        <v>115</v>
      </c>
      <c r="E9" s="53">
        <v>42484.226168981484</v>
      </c>
      <c r="F9" s="53">
        <v>42484.228159722225</v>
      </c>
      <c r="G9" s="62">
        <v>2</v>
      </c>
      <c r="H9" s="53" t="s">
        <v>96</v>
      </c>
      <c r="I9" s="53">
        <v>42484.259270833332</v>
      </c>
      <c r="J9" s="19">
        <v>0</v>
      </c>
      <c r="K9" s="19" t="str">
        <f t="shared" si="0"/>
        <v>4039/4040</v>
      </c>
      <c r="L9" s="20">
        <f t="shared" si="1"/>
        <v>3.1111111107748002E-2</v>
      </c>
      <c r="M9" s="21">
        <f t="shared" ref="M9:O24" si="7">$L9*24*60</f>
        <v>44.799999995157123</v>
      </c>
      <c r="N9" s="21"/>
      <c r="O9" s="22"/>
      <c r="P9" s="17"/>
      <c r="R9" s="16" t="str">
        <f t="shared" si="2"/>
        <v>https://search-rtdc-monitor-bjffxe2xuh6vdkpspy63sjmuny.us-east-1.es.amazonaws.com/_plugin/kibana/#/discover/Steve-Slow-Train-Analysis-(2080s-and-2083s)?_g=(refreshInterval:(display:Off,section:0,value:0),time:(from:'2016-04-24 05:24:41-0600',mode:absolute,to:'2016-04-24 06:14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S9" s="16" t="str">
        <f t="shared" si="3"/>
        <v>N</v>
      </c>
      <c r="T9" s="16">
        <f t="shared" si="4"/>
        <v>23.299299999999999</v>
      </c>
      <c r="U9" s="16">
        <f t="shared" si="5"/>
        <v>1.61E-2</v>
      </c>
      <c r="V9" s="16">
        <f t="shared" si="6"/>
        <v>23.283199999999997</v>
      </c>
      <c r="W9" s="49" t="e">
        <f>VLOOKUP(A9,Enforcements!$C$3:$J$31,8,0)</f>
        <v>#N/A</v>
      </c>
      <c r="X9" s="49" t="e">
        <f>VLOOKUP(A9,Enforcements!$C$3:$J$31,3,0)</f>
        <v>#N/A</v>
      </c>
    </row>
    <row r="10" spans="1:89" s="2" customFormat="1" x14ac:dyDescent="0.25">
      <c r="A10" s="18" t="s">
        <v>116</v>
      </c>
      <c r="B10" s="19">
        <v>4044</v>
      </c>
      <c r="C10" s="19" t="s">
        <v>68</v>
      </c>
      <c r="D10" s="19" t="s">
        <v>117</v>
      </c>
      <c r="E10" s="53">
        <v>42484.192650462966</v>
      </c>
      <c r="F10" s="53">
        <v>42484.196828703702</v>
      </c>
      <c r="G10" s="62">
        <v>6</v>
      </c>
      <c r="H10" s="53" t="s">
        <v>88</v>
      </c>
      <c r="I10" s="53">
        <v>42484.234224537038</v>
      </c>
      <c r="J10" s="19">
        <v>2</v>
      </c>
      <c r="K10" s="19" t="str">
        <f t="shared" si="0"/>
        <v>4043/4044</v>
      </c>
      <c r="L10" s="20">
        <f t="shared" si="1"/>
        <v>3.7395833336631767E-2</v>
      </c>
      <c r="M10" s="21">
        <f t="shared" si="7"/>
        <v>53.850000004749745</v>
      </c>
      <c r="N10" s="21"/>
      <c r="O10" s="22"/>
      <c r="P10" s="17"/>
      <c r="R10" s="16" t="str">
        <f t="shared" si="2"/>
        <v>https://search-rtdc-monitor-bjffxe2xuh6vdkpspy63sjmuny.us-east-1.es.amazonaws.com/_plugin/kibana/#/discover/Steve-Slow-Train-Analysis-(2080s-and-2083s)?_g=(refreshInterval:(display:Off,section:0,value:0),time:(from:'2016-04-24 04:36:25-0600',mode:absolute,to:'2016-04-24 05:38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S10" s="16" t="str">
        <f t="shared" si="3"/>
        <v>N</v>
      </c>
      <c r="T10" s="16">
        <f t="shared" si="4"/>
        <v>4.6199999999999998E-2</v>
      </c>
      <c r="U10" s="16">
        <f t="shared" si="5"/>
        <v>23.329699999999999</v>
      </c>
      <c r="V10" s="16">
        <f t="shared" si="6"/>
        <v>23.2835</v>
      </c>
      <c r="W10" s="49">
        <f>VLOOKUP(A10,Enforcements!$C$3:$J$31,8,0)</f>
        <v>155600</v>
      </c>
      <c r="X10" s="49" t="str">
        <f>VLOOKUP(A10,Enforcements!$C$3:$J$31,3,0)</f>
        <v>SIGNAL</v>
      </c>
    </row>
    <row r="11" spans="1:89" s="2" customFormat="1" x14ac:dyDescent="0.25">
      <c r="A11" s="18" t="s">
        <v>118</v>
      </c>
      <c r="B11" s="19">
        <v>4043</v>
      </c>
      <c r="C11" s="19" t="s">
        <v>68</v>
      </c>
      <c r="D11" s="19" t="s">
        <v>119</v>
      </c>
      <c r="E11" s="53">
        <v>42484.235590277778</v>
      </c>
      <c r="F11" s="53">
        <v>42484.23636574074</v>
      </c>
      <c r="G11" s="62">
        <v>1</v>
      </c>
      <c r="H11" s="53" t="s">
        <v>96</v>
      </c>
      <c r="I11" s="53">
        <v>42484.265856481485</v>
      </c>
      <c r="J11" s="19">
        <v>1</v>
      </c>
      <c r="K11" s="19" t="str">
        <f t="shared" si="0"/>
        <v>4043/4044</v>
      </c>
      <c r="L11" s="20">
        <f t="shared" si="1"/>
        <v>2.9490740744222421E-2</v>
      </c>
      <c r="M11" s="21">
        <f t="shared" si="7"/>
        <v>42.466666671680287</v>
      </c>
      <c r="N11" s="21"/>
      <c r="O11" s="22"/>
      <c r="P11" s="17"/>
      <c r="R11" s="16" t="str">
        <f t="shared" si="2"/>
        <v>https://search-rtdc-monitor-bjffxe2xuh6vdkpspy63sjmuny.us-east-1.es.amazonaws.com/_plugin/kibana/#/discover/Steve-Slow-Train-Analysis-(2080s-and-2083s)?_g=(refreshInterval:(display:Off,section:0,value:0),time:(from:'2016-04-24 05:38:15-0600',mode:absolute,to:'2016-04-24 06:23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S11" s="16" t="str">
        <f t="shared" si="3"/>
        <v>N</v>
      </c>
      <c r="T11" s="16">
        <f t="shared" si="4"/>
        <v>23.298300000000001</v>
      </c>
      <c r="U11" s="16">
        <f t="shared" si="5"/>
        <v>1.61E-2</v>
      </c>
      <c r="V11" s="16">
        <f t="shared" si="6"/>
        <v>23.2822</v>
      </c>
      <c r="W11" s="49" t="e">
        <f>VLOOKUP(A11,Enforcements!$C$3:$J$31,8,0)</f>
        <v>#N/A</v>
      </c>
      <c r="X11" s="49" t="e">
        <f>VLOOKUP(A11,Enforcements!$C$3:$J$31,3,0)</f>
        <v>#N/A</v>
      </c>
    </row>
    <row r="12" spans="1:89" s="2" customFormat="1" x14ac:dyDescent="0.25">
      <c r="A12" s="18" t="s">
        <v>120</v>
      </c>
      <c r="B12" s="19">
        <v>4025</v>
      </c>
      <c r="C12" s="19" t="s">
        <v>68</v>
      </c>
      <c r="D12" s="19" t="s">
        <v>121</v>
      </c>
      <c r="E12" s="53">
        <v>42484.208078703705</v>
      </c>
      <c r="F12" s="53">
        <v>42484.209733796299</v>
      </c>
      <c r="G12" s="62">
        <v>2</v>
      </c>
      <c r="H12" s="53" t="s">
        <v>98</v>
      </c>
      <c r="I12" s="53">
        <v>42484.240578703706</v>
      </c>
      <c r="J12" s="19">
        <v>0</v>
      </c>
      <c r="K12" s="19" t="str">
        <f t="shared" si="0"/>
        <v>4025/4026</v>
      </c>
      <c r="L12" s="20">
        <f t="shared" si="1"/>
        <v>3.0844907407299615E-2</v>
      </c>
      <c r="M12" s="21">
        <f t="shared" si="7"/>
        <v>44.416666666511446</v>
      </c>
      <c r="N12" s="21"/>
      <c r="O12" s="22"/>
      <c r="P12" s="17"/>
      <c r="R12" s="16" t="str">
        <f t="shared" si="2"/>
        <v>https://search-rtdc-monitor-bjffxe2xuh6vdkpspy63sjmuny.us-east-1.es.amazonaws.com/_plugin/kibana/#/discover/Steve-Slow-Train-Analysis-(2080s-and-2083s)?_g=(refreshInterval:(display:Off,section:0,value:0),time:(from:'2016-04-24 04:58:38-0600',mode:absolute,to:'2016-04-24 05:47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S12" s="16" t="str">
        <f t="shared" si="3"/>
        <v>N</v>
      </c>
      <c r="T12" s="16">
        <f t="shared" si="4"/>
        <v>0.12039999999999999</v>
      </c>
      <c r="U12" s="16">
        <f t="shared" si="5"/>
        <v>23.330100000000002</v>
      </c>
      <c r="V12" s="16">
        <f t="shared" si="6"/>
        <v>23.209700000000002</v>
      </c>
      <c r="W12" s="49" t="e">
        <f>VLOOKUP(A12,Enforcements!$C$3:$J$31,8,0)</f>
        <v>#N/A</v>
      </c>
      <c r="X12" s="49" t="e">
        <f>VLOOKUP(A12,Enforcements!$C$3:$J$31,3,0)</f>
        <v>#N/A</v>
      </c>
    </row>
    <row r="13" spans="1:89" s="2" customFormat="1" x14ac:dyDescent="0.25">
      <c r="A13" s="18" t="s">
        <v>120</v>
      </c>
      <c r="B13" s="19">
        <v>4025</v>
      </c>
      <c r="C13" s="19" t="s">
        <v>68</v>
      </c>
      <c r="D13" s="19" t="s">
        <v>122</v>
      </c>
      <c r="E13" s="53">
        <v>42484.274513888886</v>
      </c>
      <c r="F13" s="53">
        <v>42484.275300925925</v>
      </c>
      <c r="G13" s="62">
        <v>1</v>
      </c>
      <c r="H13" s="53" t="s">
        <v>20</v>
      </c>
      <c r="I13" s="53">
        <v>42484.306921296295</v>
      </c>
      <c r="J13" s="19">
        <v>0</v>
      </c>
      <c r="K13" s="19" t="str">
        <f t="shared" si="0"/>
        <v>4025/4026</v>
      </c>
      <c r="L13" s="20">
        <f t="shared" si="1"/>
        <v>3.1620370369637385E-2</v>
      </c>
      <c r="M13" s="21">
        <f t="shared" si="7"/>
        <v>45.533333332277834</v>
      </c>
      <c r="N13" s="21"/>
      <c r="O13" s="22"/>
      <c r="P13" s="17"/>
      <c r="R13" s="16" t="str">
        <f t="shared" si="2"/>
        <v>https://search-rtdc-monitor-bjffxe2xuh6vdkpspy63sjmuny.us-east-1.es.amazonaws.com/_plugin/kibana/#/discover/Steve-Slow-Train-Analysis-(2080s-and-2083s)?_g=(refreshInterval:(display:Off,section:0,value:0),time:(from:'2016-04-24 06:34:18-0600',mode:absolute,to:'2016-04-24 07:22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S13" s="16" t="str">
        <f t="shared" si="3"/>
        <v>N</v>
      </c>
      <c r="T13" s="16">
        <f t="shared" si="4"/>
        <v>4.4699999999999997E-2</v>
      </c>
      <c r="U13" s="16">
        <f t="shared" si="5"/>
        <v>23.3308</v>
      </c>
      <c r="V13" s="16">
        <f t="shared" si="6"/>
        <v>23.286100000000001</v>
      </c>
      <c r="W13" s="49" t="e">
        <f>VLOOKUP(A13,Enforcements!$C$3:$J$31,8,0)</f>
        <v>#N/A</v>
      </c>
      <c r="X13" s="49" t="e">
        <f>VLOOKUP(A13,Enforcements!$C$3:$J$31,3,0)</f>
        <v>#N/A</v>
      </c>
    </row>
    <row r="14" spans="1:89" s="2" customFormat="1" x14ac:dyDescent="0.25">
      <c r="A14" s="18" t="s">
        <v>120</v>
      </c>
      <c r="B14" s="19">
        <v>4025</v>
      </c>
      <c r="C14" s="19" t="s">
        <v>68</v>
      </c>
      <c r="D14" s="19" t="s">
        <v>123</v>
      </c>
      <c r="E14" s="53">
        <v>42484.349479166667</v>
      </c>
      <c r="F14" s="53">
        <v>42484.350231481483</v>
      </c>
      <c r="G14" s="62">
        <v>1</v>
      </c>
      <c r="H14" s="53" t="s">
        <v>124</v>
      </c>
      <c r="I14" s="53">
        <v>42484.379131944443</v>
      </c>
      <c r="J14" s="19">
        <v>1</v>
      </c>
      <c r="K14" s="19" t="str">
        <f t="shared" si="0"/>
        <v>4025/4026</v>
      </c>
      <c r="L14" s="20">
        <f t="shared" si="1"/>
        <v>2.8900462959427387E-2</v>
      </c>
      <c r="M14" s="21">
        <f t="shared" si="7"/>
        <v>41.616666661575437</v>
      </c>
      <c r="N14" s="21"/>
      <c r="O14" s="22"/>
      <c r="P14" s="17"/>
      <c r="R14" s="16" t="str">
        <f t="shared" si="2"/>
        <v>https://search-rtdc-monitor-bjffxe2xuh6vdkpspy63sjmuny.us-east-1.es.amazonaws.com/_plugin/kibana/#/discover/Steve-Slow-Train-Analysis-(2080s-and-2083s)?_g=(refreshInterval:(display:Off,section:0,value:0),time:(from:'2016-04-24 08:22:15-0600',mode:absolute,to:'2016-04-24 09:06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S14" s="16" t="str">
        <f t="shared" si="3"/>
        <v>N</v>
      </c>
      <c r="T14" s="16">
        <f t="shared" si="4"/>
        <v>4.7800000000000002E-2</v>
      </c>
      <c r="U14" s="16">
        <f t="shared" si="5"/>
        <v>23.330300000000001</v>
      </c>
      <c r="V14" s="16">
        <f t="shared" si="6"/>
        <v>23.282500000000002</v>
      </c>
      <c r="W14" s="49" t="e">
        <f>VLOOKUP(A14,Enforcements!$C$3:$J$31,8,0)</f>
        <v>#N/A</v>
      </c>
      <c r="X14" s="49" t="e">
        <f>VLOOKUP(A14,Enforcements!$C$3:$J$31,3,0)</f>
        <v>#N/A</v>
      </c>
    </row>
    <row r="15" spans="1:89" s="2" customFormat="1" x14ac:dyDescent="0.25">
      <c r="A15" s="18" t="s">
        <v>125</v>
      </c>
      <c r="B15" s="19">
        <v>4026</v>
      </c>
      <c r="C15" s="19" t="s">
        <v>68</v>
      </c>
      <c r="D15" s="19" t="s">
        <v>126</v>
      </c>
      <c r="E15" s="53">
        <v>42484.245243055557</v>
      </c>
      <c r="F15" s="53">
        <v>42484.246770833335</v>
      </c>
      <c r="G15" s="62">
        <v>2</v>
      </c>
      <c r="H15" s="53" t="s">
        <v>83</v>
      </c>
      <c r="I15" s="53">
        <v>42484.272800925923</v>
      </c>
      <c r="J15" s="19">
        <v>1</v>
      </c>
      <c r="K15" s="19" t="str">
        <f t="shared" si="0"/>
        <v>4025/4026</v>
      </c>
      <c r="L15" s="20">
        <f t="shared" si="1"/>
        <v>2.6030092587461695E-2</v>
      </c>
      <c r="M15" s="21">
        <f t="shared" si="7"/>
        <v>37.483333325944841</v>
      </c>
      <c r="N15" s="21"/>
      <c r="O15" s="22"/>
      <c r="P15" s="17"/>
      <c r="R15" s="16" t="str">
        <f t="shared" si="2"/>
        <v>https://search-rtdc-monitor-bjffxe2xuh6vdkpspy63sjmuny.us-east-1.es.amazonaws.com/_plugin/kibana/#/discover/Steve-Slow-Train-Analysis-(2080s-and-2083s)?_g=(refreshInterval:(display:Off,section:0,value:0),time:(from:'2016-04-24 05:52:09-0600',mode:absolute,to:'2016-04-24 06:33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S15" s="16" t="str">
        <f t="shared" si="3"/>
        <v>N</v>
      </c>
      <c r="T15" s="16">
        <f t="shared" si="4"/>
        <v>23.298400000000001</v>
      </c>
      <c r="U15" s="16">
        <f t="shared" si="5"/>
        <v>1.4500000000000001E-2</v>
      </c>
      <c r="V15" s="16">
        <f t="shared" si="6"/>
        <v>23.283899999999999</v>
      </c>
      <c r="W15" s="49">
        <f>VLOOKUP(A15,Enforcements!$C$3:$J$31,8,0)</f>
        <v>228668</v>
      </c>
      <c r="X15" s="49" t="str">
        <f>VLOOKUP(A15,Enforcements!$C$3:$J$31,3,0)</f>
        <v>PERMANENT SPEED RESTRICTION</v>
      </c>
    </row>
    <row r="16" spans="1:89" s="2" customFormat="1" x14ac:dyDescent="0.25">
      <c r="A16" s="18" t="s">
        <v>127</v>
      </c>
      <c r="B16" s="19">
        <v>4029</v>
      </c>
      <c r="C16" s="19" t="s">
        <v>68</v>
      </c>
      <c r="D16" s="19" t="s">
        <v>128</v>
      </c>
      <c r="E16" s="53">
        <v>42484.21371527778</v>
      </c>
      <c r="F16" s="53">
        <v>42484.214571759258</v>
      </c>
      <c r="G16" s="62">
        <v>1</v>
      </c>
      <c r="H16" s="53" t="s">
        <v>129</v>
      </c>
      <c r="I16" s="53">
        <v>42484.247349537036</v>
      </c>
      <c r="J16" s="19">
        <v>1</v>
      </c>
      <c r="K16" s="19" t="str">
        <f t="shared" si="0"/>
        <v>4029/4030</v>
      </c>
      <c r="L16" s="20">
        <f t="shared" si="1"/>
        <v>3.2777777778392192E-2</v>
      </c>
      <c r="M16" s="21">
        <f t="shared" si="7"/>
        <v>47.200000000884756</v>
      </c>
      <c r="N16" s="21"/>
      <c r="O16" s="22"/>
      <c r="P16" s="17"/>
      <c r="R16" s="16" t="str">
        <f t="shared" si="2"/>
        <v>https://search-rtdc-monitor-bjffxe2xuh6vdkpspy63sjmuny.us-east-1.es.amazonaws.com/_plugin/kibana/#/discover/Steve-Slow-Train-Analysis-(2080s-and-2083s)?_g=(refreshInterval:(display:Off,section:0,value:0),time:(from:'2016-04-24 05:06:45-0600',mode:absolute,to:'2016-04-24 05:57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S16" s="16" t="str">
        <f t="shared" si="3"/>
        <v>N</v>
      </c>
      <c r="T16" s="16">
        <f t="shared" si="4"/>
        <v>4.5499999999999999E-2</v>
      </c>
      <c r="U16" s="16">
        <f t="shared" si="5"/>
        <v>23.303799999999999</v>
      </c>
      <c r="V16" s="16">
        <f t="shared" si="6"/>
        <v>23.258299999999998</v>
      </c>
      <c r="W16" s="49" t="e">
        <f>VLOOKUP(A16,Enforcements!$C$3:$J$31,8,0)</f>
        <v>#N/A</v>
      </c>
      <c r="X16" s="49" t="e">
        <f>VLOOKUP(A16,Enforcements!$C$3:$J$31,3,0)</f>
        <v>#N/A</v>
      </c>
    </row>
    <row r="17" spans="1:24" s="2" customFormat="1" x14ac:dyDescent="0.25">
      <c r="A17" s="18" t="s">
        <v>130</v>
      </c>
      <c r="B17" s="19">
        <v>4030</v>
      </c>
      <c r="C17" s="19" t="s">
        <v>68</v>
      </c>
      <c r="D17" s="19" t="s">
        <v>131</v>
      </c>
      <c r="E17" s="53">
        <v>42484.253831018519</v>
      </c>
      <c r="F17" s="53">
        <v>42484.254988425928</v>
      </c>
      <c r="G17" s="62">
        <v>1</v>
      </c>
      <c r="H17" s="53" t="s">
        <v>21</v>
      </c>
      <c r="I17" s="53">
        <v>42484.283564814818</v>
      </c>
      <c r="J17" s="19">
        <v>0</v>
      </c>
      <c r="K17" s="19" t="str">
        <f t="shared" ref="K17:K80" si="8">IF(ISEVEN(B17),(B17-1)&amp;"/"&amp;B17,B17&amp;"/"&amp;(B17+1))</f>
        <v>4029/4030</v>
      </c>
      <c r="L17" s="20">
        <f t="shared" ref="L17:L79" si="9">I17-F17</f>
        <v>2.8576388889632653E-2</v>
      </c>
      <c r="M17" s="21">
        <f t="shared" si="7"/>
        <v>41.150000001071021</v>
      </c>
      <c r="N17" s="21"/>
      <c r="O17" s="22"/>
      <c r="P17" s="17"/>
      <c r="R17" s="16" t="str">
        <f t="shared" ref="R17:R80" si="10">"https://search-rtdc-monitor-bjffxe2xuh6vdkpspy63sjmuny.us-east-1.es.amazonaws.com/_plugin/kibana/#/discover/Steve-Slow-Train-Analysis-(2080s-and-2083s)?_g=(refreshInterval:(display:Off,section:0,value:0),time:(from:'"&amp;TEXT(E17-1/24/60,"yyyy-MM-DD hh:mm:ss")&amp;"-0600',mode:absolute,to:'"&amp;TEXT(I17+1/24/60,"yyyy-MM-DD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&amp;"%22')),sort:!(Time,asc))"</f>
        <v>https://search-rtdc-monitor-bjffxe2xuh6vdkpspy63sjmuny.us-east-1.es.amazonaws.com/_plugin/kibana/#/discover/Steve-Slow-Train-Analysis-(2080s-and-2083s)?_g=(refreshInterval:(display:Off,section:0,value:0),time:(from:'2016-04-24 06:04:31-0600',mode:absolute,to:'2016-04-24 06:49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S17" s="16" t="str">
        <f t="shared" ref="S17:S80" si="11">IF(V17&lt;23,"Y","N")</f>
        <v>N</v>
      </c>
      <c r="T17" s="16">
        <f t="shared" ref="T17:T80" si="12">RIGHT(D17,LEN(D17)-4)/10000</f>
        <v>23.2881</v>
      </c>
      <c r="U17" s="16">
        <f t="shared" ref="U17:U80" si="13">RIGHT(H17,LEN(H17)-4)/10000</f>
        <v>1.47E-2</v>
      </c>
      <c r="V17" s="16">
        <f t="shared" ref="V17:V80" si="14">ABS(U17-T17)</f>
        <v>23.273399999999999</v>
      </c>
      <c r="W17" s="49" t="e">
        <f>VLOOKUP(A17,Enforcements!$C$3:$J$31,8,0)</f>
        <v>#N/A</v>
      </c>
      <c r="X17" s="49" t="e">
        <f>VLOOKUP(A17,Enforcements!$C$3:$J$31,3,0)</f>
        <v>#N/A</v>
      </c>
    </row>
    <row r="18" spans="1:24" s="2" customFormat="1" x14ac:dyDescent="0.25">
      <c r="A18" s="18" t="s">
        <v>132</v>
      </c>
      <c r="B18" s="19">
        <v>4014</v>
      </c>
      <c r="C18" s="19" t="s">
        <v>68</v>
      </c>
      <c r="D18" s="19" t="s">
        <v>81</v>
      </c>
      <c r="E18" s="53">
        <v>42484.254270833335</v>
      </c>
      <c r="F18" s="53">
        <v>42484.255115740743</v>
      </c>
      <c r="G18" s="62">
        <v>1</v>
      </c>
      <c r="H18" s="53" t="s">
        <v>133</v>
      </c>
      <c r="I18" s="53">
        <v>42484.283888888887</v>
      </c>
      <c r="J18" s="19">
        <v>0</v>
      </c>
      <c r="K18" s="19" t="str">
        <f t="shared" si="8"/>
        <v>4013/4014</v>
      </c>
      <c r="L18" s="20">
        <f t="shared" si="9"/>
        <v>2.8773148143955041E-2</v>
      </c>
      <c r="M18" s="21">
        <f t="shared" si="7"/>
        <v>41.433333327295259</v>
      </c>
      <c r="N18" s="21"/>
      <c r="O18" s="22"/>
      <c r="P18" s="17"/>
      <c r="R18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https://search-rtdc-monitor-bjffxe2xuh6vdkpspy63sjmuny.us-east-1.es.amazonaws.com/_plugin/kibana/#/discover/Steve-Slow-Train-Analysis-(2080s-and-2083s)?_g=(refreshInterval:(display:Off,section:0,value:0),time:(from:'2016-04-24 06:05:09-0600',mode:absolute,to:'2016-04-24 06:49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S18" s="16" t="str">
        <f t="shared" si="11"/>
        <v>N</v>
      </c>
      <c r="T18" s="16">
        <f t="shared" si="12"/>
        <v>7.8299999999999995E-2</v>
      </c>
      <c r="U18" s="16">
        <f t="shared" si="13"/>
        <v>23.328700000000001</v>
      </c>
      <c r="V18" s="16">
        <f t="shared" si="14"/>
        <v>23.250400000000003</v>
      </c>
      <c r="W18" s="49" t="e">
        <f>VLOOKUP(A18,Enforcements!$C$3:$J$31,8,0)</f>
        <v>#N/A</v>
      </c>
      <c r="X18" s="49" t="e">
        <f>VLOOKUP(A18,Enforcements!$C$3:$J$31,3,0)</f>
        <v>#N/A</v>
      </c>
    </row>
    <row r="19" spans="1:24" s="2" customFormat="1" x14ac:dyDescent="0.25">
      <c r="A19" s="18" t="s">
        <v>134</v>
      </c>
      <c r="B19" s="19">
        <v>4013</v>
      </c>
      <c r="C19" s="19" t="s">
        <v>68</v>
      </c>
      <c r="D19" s="19" t="s">
        <v>135</v>
      </c>
      <c r="E19" s="53">
        <v>42484.285937499997</v>
      </c>
      <c r="F19" s="53">
        <v>42484.287731481483</v>
      </c>
      <c r="G19" s="62">
        <v>2</v>
      </c>
      <c r="H19" s="53" t="s">
        <v>8</v>
      </c>
      <c r="I19" s="53">
        <v>42484.316620370373</v>
      </c>
      <c r="J19" s="19">
        <v>0</v>
      </c>
      <c r="K19" s="19" t="str">
        <f t="shared" si="8"/>
        <v>4013/4014</v>
      </c>
      <c r="L19" s="20">
        <f t="shared" si="9"/>
        <v>2.8888888889923692E-2</v>
      </c>
      <c r="M19" s="21">
        <f t="shared" si="7"/>
        <v>41.600000001490116</v>
      </c>
      <c r="N19" s="21"/>
      <c r="O19" s="22"/>
      <c r="P19" s="17"/>
      <c r="R19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https://search-rtdc-monitor-bjffxe2xuh6vdkpspy63sjmuny.us-east-1.es.amazonaws.com/_plugin/kibana/#/discover/Steve-Slow-Train-Analysis-(2080s-and-2083s)?_g=(refreshInterval:(display:Off,section:0,value:0),time:(from:'2016-04-24 06:50:45-0600',mode:absolute,to:'2016-04-24 07:36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S19" s="16" t="str">
        <f t="shared" si="11"/>
        <v>N</v>
      </c>
      <c r="T19" s="16">
        <f t="shared" si="12"/>
        <v>23.296199999999999</v>
      </c>
      <c r="U19" s="16">
        <f t="shared" si="13"/>
        <v>1.43E-2</v>
      </c>
      <c r="V19" s="16">
        <f t="shared" si="14"/>
        <v>23.2819</v>
      </c>
      <c r="W19" s="49" t="e">
        <f>VLOOKUP(A19,Enforcements!$C$3:$J$31,8,0)</f>
        <v>#N/A</v>
      </c>
      <c r="X19" s="49" t="e">
        <f>VLOOKUP(A19,Enforcements!$C$3:$J$31,3,0)</f>
        <v>#N/A</v>
      </c>
    </row>
    <row r="20" spans="1:24" s="2" customFormat="1" x14ac:dyDescent="0.25">
      <c r="A20" s="18" t="s">
        <v>136</v>
      </c>
      <c r="B20" s="19">
        <v>4027</v>
      </c>
      <c r="C20" s="19" t="s">
        <v>68</v>
      </c>
      <c r="D20" s="19" t="s">
        <v>137</v>
      </c>
      <c r="E20" s="53">
        <v>42484.258414351854</v>
      </c>
      <c r="F20" s="53">
        <v>42484.259386574071</v>
      </c>
      <c r="G20" s="62">
        <v>1</v>
      </c>
      <c r="H20" s="53" t="s">
        <v>138</v>
      </c>
      <c r="I20" s="53">
        <v>42484.28633101852</v>
      </c>
      <c r="J20" s="19">
        <v>0</v>
      </c>
      <c r="K20" s="19" t="str">
        <f t="shared" si="8"/>
        <v>4027/4028</v>
      </c>
      <c r="L20" s="20">
        <f t="shared" si="9"/>
        <v>2.694444444932742E-2</v>
      </c>
      <c r="M20" s="21">
        <f t="shared" si="7"/>
        <v>38.800000007031485</v>
      </c>
      <c r="N20" s="21"/>
      <c r="O20" s="22"/>
      <c r="P20" s="17"/>
      <c r="R20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https://search-rtdc-monitor-bjffxe2xuh6vdkpspy63sjmuny.us-east-1.es.amazonaws.com/_plugin/kibana/#/discover/Steve-Slow-Train-Analysis-(2080s-and-2083s)?_g=(refreshInterval:(display:Off,section:0,value:0),time:(from:'2016-04-24 06:11:07-0600',mode:absolute,to:'2016-04-24 06:53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S20" s="16" t="str">
        <f t="shared" si="11"/>
        <v>N</v>
      </c>
      <c r="T20" s="16">
        <f t="shared" si="12"/>
        <v>0.05</v>
      </c>
      <c r="U20" s="16">
        <f t="shared" si="13"/>
        <v>23.329499999999999</v>
      </c>
      <c r="V20" s="16">
        <f t="shared" si="14"/>
        <v>23.279499999999999</v>
      </c>
      <c r="W20" s="49" t="e">
        <f>VLOOKUP(A20,Enforcements!$C$3:$J$31,8,0)</f>
        <v>#N/A</v>
      </c>
      <c r="X20" s="49" t="e">
        <f>VLOOKUP(A20,Enforcements!$C$3:$J$31,3,0)</f>
        <v>#N/A</v>
      </c>
    </row>
    <row r="21" spans="1:24" s="2" customFormat="1" x14ac:dyDescent="0.25">
      <c r="A21" s="18" t="s">
        <v>139</v>
      </c>
      <c r="B21" s="19">
        <v>4028</v>
      </c>
      <c r="C21" s="19" t="s">
        <v>68</v>
      </c>
      <c r="D21" s="19" t="s">
        <v>126</v>
      </c>
      <c r="E21" s="53">
        <v>42484.289490740739</v>
      </c>
      <c r="F21" s="53">
        <v>42484.290798611109</v>
      </c>
      <c r="G21" s="62">
        <v>1</v>
      </c>
      <c r="H21" s="53" t="s">
        <v>140</v>
      </c>
      <c r="I21" s="53">
        <v>42484.319976851853</v>
      </c>
      <c r="J21" s="19">
        <v>1</v>
      </c>
      <c r="K21" s="19" t="str">
        <f t="shared" si="8"/>
        <v>4027/4028</v>
      </c>
      <c r="L21" s="20">
        <f t="shared" si="9"/>
        <v>2.9178240743931383E-2</v>
      </c>
      <c r="M21" s="21">
        <f t="shared" si="7"/>
        <v>42.016666671261191</v>
      </c>
      <c r="N21" s="21"/>
      <c r="O21" s="22"/>
      <c r="P21" s="17"/>
      <c r="R21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https://search-rtdc-monitor-bjffxe2xuh6vdkpspy63sjmuny.us-east-1.es.amazonaws.com/_plugin/kibana/#/discover/Steve-Slow-Train-Analysis-(2080s-and-2083s)?_g=(refreshInterval:(display:Off,section:0,value:0),time:(from:'2016-04-24 06:55:52-0600',mode:absolute,to:'2016-04-24 07:41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S21" s="16" t="str">
        <f t="shared" si="11"/>
        <v>N</v>
      </c>
      <c r="T21" s="16">
        <f t="shared" si="12"/>
        <v>23.298400000000001</v>
      </c>
      <c r="U21" s="16">
        <f t="shared" si="13"/>
        <v>9.5200000000000007E-2</v>
      </c>
      <c r="V21" s="16">
        <f t="shared" si="14"/>
        <v>23.203200000000002</v>
      </c>
      <c r="W21" s="49" t="e">
        <f>VLOOKUP(A21,Enforcements!$C$3:$J$31,8,0)</f>
        <v>#N/A</v>
      </c>
      <c r="X21" s="49" t="e">
        <f>VLOOKUP(A21,Enforcements!$C$3:$J$31,3,0)</f>
        <v>#N/A</v>
      </c>
    </row>
    <row r="22" spans="1:24" s="2" customFormat="1" x14ac:dyDescent="0.25">
      <c r="A22" s="18" t="s">
        <v>141</v>
      </c>
      <c r="B22" s="19">
        <v>4031</v>
      </c>
      <c r="C22" s="19" t="s">
        <v>68</v>
      </c>
      <c r="D22" s="19" t="s">
        <v>142</v>
      </c>
      <c r="E22" s="53">
        <v>42484.258055555554</v>
      </c>
      <c r="F22" s="53">
        <v>42484.259004629632</v>
      </c>
      <c r="G22" s="62">
        <v>1</v>
      </c>
      <c r="H22" s="53" t="s">
        <v>142</v>
      </c>
      <c r="I22" s="53">
        <v>42484.264699074076</v>
      </c>
      <c r="J22" s="19">
        <v>0</v>
      </c>
      <c r="K22" s="19" t="str">
        <f t="shared" si="8"/>
        <v>4031/4032</v>
      </c>
      <c r="L22" s="20">
        <f t="shared" si="9"/>
        <v>5.694444444088731E-3</v>
      </c>
      <c r="M22" s="21"/>
      <c r="N22" s="21"/>
      <c r="O22" s="21">
        <f t="shared" si="7"/>
        <v>8.1999999994877726</v>
      </c>
      <c r="P22" s="17" t="s">
        <v>403</v>
      </c>
      <c r="R22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https://search-rtdc-monitor-bjffxe2xuh6vdkpspy63sjmuny.us-east-1.es.amazonaws.com/_plugin/kibana/#/discover/Steve-Slow-Train-Analysis-(2080s-and-2083s)?_g=(refreshInterval:(display:Off,section:0,value:0),time:(from:'2016-04-24 06:10:36-0600',mode:absolute,to:'2016-04-24 06:22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S22" s="16" t="str">
        <f t="shared" si="11"/>
        <v>Y</v>
      </c>
      <c r="T22" s="16">
        <f t="shared" si="12"/>
        <v>0.1484</v>
      </c>
      <c r="U22" s="16">
        <f t="shared" si="13"/>
        <v>0.1484</v>
      </c>
      <c r="V22" s="16">
        <f t="shared" si="14"/>
        <v>0</v>
      </c>
      <c r="W22" s="49" t="e">
        <f>VLOOKUP(A22,Enforcements!$C$3:$J$31,8,0)</f>
        <v>#N/A</v>
      </c>
      <c r="X22" s="49" t="e">
        <f>VLOOKUP(A22,Enforcements!$C$3:$J$31,3,0)</f>
        <v>#N/A</v>
      </c>
    </row>
    <row r="23" spans="1:24" s="2" customFormat="1" x14ac:dyDescent="0.25">
      <c r="A23" s="18" t="s">
        <v>143</v>
      </c>
      <c r="B23" s="19">
        <v>4040</v>
      </c>
      <c r="C23" s="19" t="s">
        <v>68</v>
      </c>
      <c r="D23" s="19" t="s">
        <v>144</v>
      </c>
      <c r="E23" s="53">
        <v>42484.266053240739</v>
      </c>
      <c r="F23" s="53">
        <v>42484.266782407409</v>
      </c>
      <c r="G23" s="62">
        <v>1</v>
      </c>
      <c r="H23" s="53" t="s">
        <v>79</v>
      </c>
      <c r="I23" s="53">
        <v>42484.292395833334</v>
      </c>
      <c r="J23" s="19">
        <v>0</v>
      </c>
      <c r="K23" s="19" t="str">
        <f t="shared" si="8"/>
        <v>4039/4040</v>
      </c>
      <c r="L23" s="20">
        <f t="shared" si="9"/>
        <v>2.5613425925257616E-2</v>
      </c>
      <c r="M23" s="21">
        <f t="shared" si="7"/>
        <v>36.883333332370967</v>
      </c>
      <c r="N23" s="21"/>
      <c r="O23" s="22"/>
      <c r="P23" s="17"/>
      <c r="R23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https://search-rtdc-monitor-bjffxe2xuh6vdkpspy63sjmuny.us-east-1.es.amazonaws.com/_plugin/kibana/#/discover/Steve-Slow-Train-Analysis-(2080s-and-2083s)?_g=(refreshInterval:(display:Off,section:0,value:0),time:(from:'2016-04-24 06:22:07-0600',mode:absolute,to:'2016-04-24 07:02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S23" s="16" t="str">
        <f t="shared" si="11"/>
        <v>N</v>
      </c>
      <c r="T23" s="16">
        <f t="shared" si="12"/>
        <v>4.7699999999999999E-2</v>
      </c>
      <c r="U23" s="16">
        <f t="shared" si="13"/>
        <v>23.331199999999999</v>
      </c>
      <c r="V23" s="16">
        <f t="shared" si="14"/>
        <v>23.2835</v>
      </c>
      <c r="W23" s="49" t="e">
        <f>VLOOKUP(A23,Enforcements!$C$3:$J$31,8,0)</f>
        <v>#N/A</v>
      </c>
      <c r="X23" s="49" t="e">
        <f>VLOOKUP(A23,Enforcements!$C$3:$J$31,3,0)</f>
        <v>#N/A</v>
      </c>
    </row>
    <row r="24" spans="1:24" s="2" customFormat="1" x14ac:dyDescent="0.25">
      <c r="A24" s="18" t="s">
        <v>145</v>
      </c>
      <c r="B24" s="19">
        <v>4039</v>
      </c>
      <c r="C24" s="19" t="s">
        <v>68</v>
      </c>
      <c r="D24" s="19" t="s">
        <v>146</v>
      </c>
      <c r="E24" s="53">
        <v>42484.296585648146</v>
      </c>
      <c r="F24" s="53">
        <v>42484.297523148147</v>
      </c>
      <c r="G24" s="62">
        <v>1</v>
      </c>
      <c r="H24" s="53" t="s">
        <v>147</v>
      </c>
      <c r="I24" s="53">
        <v>42484.328263888892</v>
      </c>
      <c r="J24" s="19">
        <v>2</v>
      </c>
      <c r="K24" s="19" t="str">
        <f t="shared" si="8"/>
        <v>4039/4040</v>
      </c>
      <c r="L24" s="20">
        <f t="shared" si="9"/>
        <v>3.0740740745386574E-2</v>
      </c>
      <c r="M24" s="21">
        <f t="shared" si="7"/>
        <v>44.266666673356667</v>
      </c>
      <c r="N24" s="21"/>
      <c r="O24" s="22"/>
      <c r="P24" s="17"/>
      <c r="R24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https://search-rtdc-monitor-bjffxe2xuh6vdkpspy63sjmuny.us-east-1.es.amazonaws.com/_plugin/kibana/#/discover/Steve-Slow-Train-Analysis-(2080s-and-2083s)?_g=(refreshInterval:(display:Off,section:0,value:0),time:(from:'2016-04-24 07:06:05-0600',mode:absolute,to:'2016-04-24 07:53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S24" s="16" t="str">
        <f t="shared" si="11"/>
        <v>N</v>
      </c>
      <c r="T24" s="16">
        <f t="shared" si="12"/>
        <v>23.297699999999999</v>
      </c>
      <c r="U24" s="16">
        <f t="shared" si="13"/>
        <v>1.3599999999999999E-2</v>
      </c>
      <c r="V24" s="16">
        <f t="shared" si="14"/>
        <v>23.284099999999999</v>
      </c>
      <c r="W24" s="49">
        <f>VLOOKUP(A24,Enforcements!$C$3:$J$31,8,0)</f>
        <v>138851</v>
      </c>
      <c r="X24" s="49" t="str">
        <f>VLOOKUP(A24,Enforcements!$C$3:$J$31,3,0)</f>
        <v>SIGNAL</v>
      </c>
    </row>
    <row r="25" spans="1:24" s="2" customFormat="1" x14ac:dyDescent="0.25">
      <c r="A25" s="18" t="s">
        <v>148</v>
      </c>
      <c r="B25" s="19">
        <v>4044</v>
      </c>
      <c r="C25" s="19" t="s">
        <v>68</v>
      </c>
      <c r="D25" s="19" t="s">
        <v>149</v>
      </c>
      <c r="E25" s="53">
        <v>42484.266875000001</v>
      </c>
      <c r="F25" s="53">
        <v>42484.270810185182</v>
      </c>
      <c r="G25" s="62">
        <v>5</v>
      </c>
      <c r="H25" s="53" t="s">
        <v>93</v>
      </c>
      <c r="I25" s="53">
        <v>42484.296261574076</v>
      </c>
      <c r="J25" s="19">
        <v>0</v>
      </c>
      <c r="K25" s="19" t="str">
        <f t="shared" si="8"/>
        <v>4043/4044</v>
      </c>
      <c r="L25" s="20">
        <f t="shared" si="9"/>
        <v>2.5451388893998228E-2</v>
      </c>
      <c r="M25" s="21">
        <f t="shared" ref="M25:O40" si="15">$L25*24*60</f>
        <v>36.650000007357448</v>
      </c>
      <c r="N25" s="21"/>
      <c r="O25" s="22"/>
      <c r="P25" s="17"/>
      <c r="R25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https://search-rtdc-monitor-bjffxe2xuh6vdkpspy63sjmuny.us-east-1.es.amazonaws.com/_plugin/kibana/#/discover/Steve-Slow-Train-Analysis-(2080s-and-2083s)?_g=(refreshInterval:(display:Off,section:0,value:0),time:(from:'2016-04-24 06:23:18-0600',mode:absolute,to:'2016-04-24 07:07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S25" s="16" t="str">
        <f t="shared" si="11"/>
        <v>N</v>
      </c>
      <c r="T25" s="16">
        <f t="shared" si="12"/>
        <v>4.3999999999999997E-2</v>
      </c>
      <c r="U25" s="16">
        <f t="shared" si="13"/>
        <v>23.3278</v>
      </c>
      <c r="V25" s="16">
        <f t="shared" si="14"/>
        <v>23.283799999999999</v>
      </c>
      <c r="W25" s="49" t="e">
        <f>VLOOKUP(A25,Enforcements!$C$3:$J$31,8,0)</f>
        <v>#N/A</v>
      </c>
      <c r="X25" s="49" t="e">
        <f>VLOOKUP(A25,Enforcements!$C$3:$J$31,3,0)</f>
        <v>#N/A</v>
      </c>
    </row>
    <row r="26" spans="1:24" s="2" customFormat="1" x14ac:dyDescent="0.25">
      <c r="A26" s="18" t="s">
        <v>150</v>
      </c>
      <c r="B26" s="19">
        <v>4043</v>
      </c>
      <c r="C26" s="19" t="s">
        <v>68</v>
      </c>
      <c r="D26" s="19" t="s">
        <v>151</v>
      </c>
      <c r="E26" s="53">
        <v>42484.307696759257</v>
      </c>
      <c r="F26" s="53">
        <v>42484.308680555558</v>
      </c>
      <c r="G26" s="62">
        <v>1</v>
      </c>
      <c r="H26" s="53" t="s">
        <v>152</v>
      </c>
      <c r="I26" s="53">
        <v>42484.337546296294</v>
      </c>
      <c r="J26" s="19">
        <v>1</v>
      </c>
      <c r="K26" s="19" t="str">
        <f t="shared" si="8"/>
        <v>4043/4044</v>
      </c>
      <c r="L26" s="20">
        <f t="shared" si="9"/>
        <v>2.8865740736364387E-2</v>
      </c>
      <c r="M26" s="21">
        <f t="shared" si="15"/>
        <v>41.566666660364717</v>
      </c>
      <c r="N26" s="21"/>
      <c r="O26" s="22"/>
      <c r="P26" s="17"/>
      <c r="R26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https://search-rtdc-monitor-bjffxe2xuh6vdkpspy63sjmuny.us-east-1.es.amazonaws.com/_plugin/kibana/#/discover/Steve-Slow-Train-Analysis-(2080s-and-2083s)?_g=(refreshInterval:(display:Off,section:0,value:0),time:(from:'2016-04-24 07:22:05-0600',mode:absolute,to:'2016-04-24 08:07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S26" s="16" t="str">
        <f t="shared" si="11"/>
        <v>N</v>
      </c>
      <c r="T26" s="16">
        <f t="shared" si="12"/>
        <v>23.297799999999999</v>
      </c>
      <c r="U26" s="16">
        <f t="shared" si="13"/>
        <v>1.6E-2</v>
      </c>
      <c r="V26" s="16">
        <f t="shared" si="14"/>
        <v>23.2818</v>
      </c>
      <c r="W26" s="49" t="e">
        <f>VLOOKUP(A26,Enforcements!$C$3:$J$31,8,0)</f>
        <v>#N/A</v>
      </c>
      <c r="X26" s="49" t="e">
        <f>VLOOKUP(A26,Enforcements!$C$3:$J$31,3,0)</f>
        <v>#N/A</v>
      </c>
    </row>
    <row r="27" spans="1:24" s="2" customFormat="1" x14ac:dyDescent="0.25">
      <c r="A27" s="18" t="s">
        <v>153</v>
      </c>
      <c r="B27" s="19">
        <v>4026</v>
      </c>
      <c r="C27" s="19" t="s">
        <v>68</v>
      </c>
      <c r="D27" s="19" t="s">
        <v>154</v>
      </c>
      <c r="E27" s="53">
        <v>42484.316828703704</v>
      </c>
      <c r="F27" s="53">
        <v>42484.317893518521</v>
      </c>
      <c r="G27" s="62">
        <v>1</v>
      </c>
      <c r="H27" s="53" t="s">
        <v>25</v>
      </c>
      <c r="I27" s="53">
        <v>42484.347997685189</v>
      </c>
      <c r="J27" s="19">
        <v>0</v>
      </c>
      <c r="K27" s="19" t="str">
        <f t="shared" si="8"/>
        <v>4025/4026</v>
      </c>
      <c r="L27" s="20">
        <f t="shared" si="9"/>
        <v>3.0104166668024845E-2</v>
      </c>
      <c r="M27" s="21">
        <f t="shared" si="15"/>
        <v>43.350000001955777</v>
      </c>
      <c r="N27" s="21"/>
      <c r="O27" s="22"/>
      <c r="P27" s="17"/>
      <c r="R27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https://search-rtdc-monitor-bjffxe2xuh6vdkpspy63sjmuny.us-east-1.es.amazonaws.com/_plugin/kibana/#/discover/Steve-Slow-Train-Analysis-(2080s-and-2083s)?_g=(refreshInterval:(display:Off,section:0,value:0),time:(from:'2016-04-24 07:35:14-0600',mode:absolute,to:'2016-04-24 08:22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S27" s="16" t="str">
        <f t="shared" si="11"/>
        <v>N</v>
      </c>
      <c r="T27" s="16">
        <f t="shared" si="12"/>
        <v>23.299600000000002</v>
      </c>
      <c r="U27" s="16">
        <f t="shared" si="13"/>
        <v>1.5599999999999999E-2</v>
      </c>
      <c r="V27" s="16">
        <f t="shared" si="14"/>
        <v>23.284000000000002</v>
      </c>
      <c r="W27" s="49" t="e">
        <f>VLOOKUP(A27,Enforcements!$C$3:$J$31,8,0)</f>
        <v>#N/A</v>
      </c>
      <c r="X27" s="49" t="e">
        <f>VLOOKUP(A27,Enforcements!$C$3:$J$31,3,0)</f>
        <v>#N/A</v>
      </c>
    </row>
    <row r="28" spans="1:24" s="2" customFormat="1" x14ac:dyDescent="0.25">
      <c r="A28" s="18" t="s">
        <v>155</v>
      </c>
      <c r="B28" s="19">
        <v>4029</v>
      </c>
      <c r="C28" s="19" t="s">
        <v>68</v>
      </c>
      <c r="D28" s="19" t="s">
        <v>156</v>
      </c>
      <c r="E28" s="53">
        <v>42484.288668981484</v>
      </c>
      <c r="F28" s="53">
        <v>42484.289421296293</v>
      </c>
      <c r="G28" s="62">
        <v>1</v>
      </c>
      <c r="H28" s="53" t="s">
        <v>154</v>
      </c>
      <c r="I28" s="53">
        <v>42484.317094907405</v>
      </c>
      <c r="J28" s="19">
        <v>1</v>
      </c>
      <c r="K28" s="19" t="str">
        <f t="shared" si="8"/>
        <v>4029/4030</v>
      </c>
      <c r="L28" s="20">
        <f t="shared" si="9"/>
        <v>2.7673611111822538E-2</v>
      </c>
      <c r="M28" s="21">
        <f t="shared" si="15"/>
        <v>39.850000001024455</v>
      </c>
      <c r="N28" s="21"/>
      <c r="O28" s="22"/>
      <c r="P28" s="17"/>
      <c r="R28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https://search-rtdc-monitor-bjffxe2xuh6vdkpspy63sjmuny.us-east-1.es.amazonaws.com/_plugin/kibana/#/discover/Steve-Slow-Train-Analysis-(2080s-and-2083s)?_g=(refreshInterval:(display:Off,section:0,value:0),time:(from:'2016-04-24 06:54:41-0600',mode:absolute,to:'2016-04-24 07:37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S28" s="16" t="str">
        <f t="shared" si="11"/>
        <v>N</v>
      </c>
      <c r="T28" s="16">
        <f t="shared" si="12"/>
        <v>4.58E-2</v>
      </c>
      <c r="U28" s="16">
        <f t="shared" si="13"/>
        <v>23.299600000000002</v>
      </c>
      <c r="V28" s="16">
        <f t="shared" si="14"/>
        <v>23.253800000000002</v>
      </c>
      <c r="W28" s="49" t="e">
        <f>VLOOKUP(A28,Enforcements!$C$3:$J$31,8,0)</f>
        <v>#N/A</v>
      </c>
      <c r="X28" s="49" t="e">
        <f>VLOOKUP(A28,Enforcements!$C$3:$J$31,3,0)</f>
        <v>#N/A</v>
      </c>
    </row>
    <row r="29" spans="1:24" s="2" customFormat="1" x14ac:dyDescent="0.25">
      <c r="A29" s="18" t="s">
        <v>157</v>
      </c>
      <c r="B29" s="19">
        <v>4030</v>
      </c>
      <c r="C29" s="19" t="s">
        <v>68</v>
      </c>
      <c r="D29" s="19" t="s">
        <v>158</v>
      </c>
      <c r="E29" s="53">
        <v>42484.322916666664</v>
      </c>
      <c r="F29" s="53">
        <v>42484.323784722219</v>
      </c>
      <c r="G29" s="62">
        <v>1</v>
      </c>
      <c r="H29" s="53" t="s">
        <v>86</v>
      </c>
      <c r="I29" s="53">
        <v>42484.359293981484</v>
      </c>
      <c r="J29" s="19">
        <v>0</v>
      </c>
      <c r="K29" s="19" t="str">
        <f t="shared" si="8"/>
        <v>4029/4030</v>
      </c>
      <c r="L29" s="20">
        <f t="shared" si="9"/>
        <v>3.5509259265381843E-2</v>
      </c>
      <c r="M29" s="21">
        <f t="shared" si="15"/>
        <v>51.133333342149854</v>
      </c>
      <c r="N29" s="21"/>
      <c r="O29" s="22"/>
      <c r="P29" s="17"/>
      <c r="R29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https://search-rtdc-monitor-bjffxe2xuh6vdkpspy63sjmuny.us-east-1.es.amazonaws.com/_plugin/kibana/#/discover/Steve-Slow-Train-Analysis-(2080s-and-2083s)?_g=(refreshInterval:(display:Off,section:0,value:0),time:(from:'2016-04-24 07:44:00-0600',mode:absolute,to:'2016-04-24 08:38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S29" s="16" t="str">
        <f t="shared" si="11"/>
        <v>N</v>
      </c>
      <c r="T29" s="16">
        <f t="shared" si="12"/>
        <v>23.285900000000002</v>
      </c>
      <c r="U29" s="16">
        <f t="shared" si="13"/>
        <v>1.41E-2</v>
      </c>
      <c r="V29" s="16">
        <f t="shared" si="14"/>
        <v>23.271800000000002</v>
      </c>
      <c r="W29" s="49" t="e">
        <f>VLOOKUP(A29,Enforcements!$C$3:$J$31,8,0)</f>
        <v>#N/A</v>
      </c>
      <c r="X29" s="49" t="e">
        <f>VLOOKUP(A29,Enforcements!$C$3:$J$31,3,0)</f>
        <v>#N/A</v>
      </c>
    </row>
    <row r="30" spans="1:24" s="2" customFormat="1" x14ac:dyDescent="0.25">
      <c r="A30" s="18" t="s">
        <v>159</v>
      </c>
      <c r="B30" s="19">
        <v>4009</v>
      </c>
      <c r="C30" s="19" t="s">
        <v>68</v>
      </c>
      <c r="D30" s="19" t="s">
        <v>160</v>
      </c>
      <c r="E30" s="53">
        <v>42484.301886574074</v>
      </c>
      <c r="F30" s="53">
        <v>42484.302870370368</v>
      </c>
      <c r="G30" s="62">
        <v>1</v>
      </c>
      <c r="H30" s="53" t="s">
        <v>161</v>
      </c>
      <c r="I30" s="53">
        <v>42484.327731481484</v>
      </c>
      <c r="J30" s="19">
        <v>2</v>
      </c>
      <c r="K30" s="19" t="str">
        <f t="shared" si="8"/>
        <v>4009/4010</v>
      </c>
      <c r="L30" s="20">
        <f t="shared" si="9"/>
        <v>2.4861111116479151E-2</v>
      </c>
      <c r="M30" s="21">
        <f t="shared" si="15"/>
        <v>35.800000007729977</v>
      </c>
      <c r="N30" s="21"/>
      <c r="O30" s="22"/>
      <c r="P30" s="17"/>
      <c r="R30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https://search-rtdc-monitor-bjffxe2xuh6vdkpspy63sjmuny.us-east-1.es.amazonaws.com/_plugin/kibana/#/discover/Steve-Slow-Train-Analysis-(2080s-and-2083s)?_g=(refreshInterval:(display:Off,section:0,value:0),time:(from:'2016-04-24 07:13:43-0600',mode:absolute,to:'2016-04-24 07:52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S30" s="16" t="str">
        <f t="shared" si="11"/>
        <v>N</v>
      </c>
      <c r="T30" s="16">
        <f t="shared" si="12"/>
        <v>4.4600000000000001E-2</v>
      </c>
      <c r="U30" s="16">
        <f t="shared" si="13"/>
        <v>23.332100000000001</v>
      </c>
      <c r="V30" s="16">
        <f t="shared" si="14"/>
        <v>23.287500000000001</v>
      </c>
      <c r="W30" s="49">
        <f>VLOOKUP(A30,Enforcements!$C$3:$J$31,8,0)</f>
        <v>20338</v>
      </c>
      <c r="X30" s="49" t="str">
        <f>VLOOKUP(A30,Enforcements!$C$3:$J$31,3,0)</f>
        <v>PERMANENT SPEED RESTRICTION</v>
      </c>
    </row>
    <row r="31" spans="1:24" s="2" customFormat="1" x14ac:dyDescent="0.25">
      <c r="A31" s="18" t="s">
        <v>162</v>
      </c>
      <c r="B31" s="19">
        <v>4010</v>
      </c>
      <c r="C31" s="19" t="s">
        <v>68</v>
      </c>
      <c r="D31" s="19" t="s">
        <v>163</v>
      </c>
      <c r="E31" s="53">
        <v>42484.332974537036</v>
      </c>
      <c r="F31" s="53">
        <v>42484.334085648145</v>
      </c>
      <c r="G31" s="62">
        <v>1</v>
      </c>
      <c r="H31" s="53" t="s">
        <v>164</v>
      </c>
      <c r="I31" s="53">
        <v>42484.36614583333</v>
      </c>
      <c r="J31" s="19">
        <v>1</v>
      </c>
      <c r="K31" s="19" t="str">
        <f t="shared" si="8"/>
        <v>4009/4010</v>
      </c>
      <c r="L31" s="20">
        <f t="shared" si="9"/>
        <v>3.2060185185400769E-2</v>
      </c>
      <c r="M31" s="21">
        <f t="shared" si="15"/>
        <v>46.166666666977108</v>
      </c>
      <c r="N31" s="21"/>
      <c r="O31" s="22"/>
      <c r="P31" s="17"/>
      <c r="R31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https://search-rtdc-monitor-bjffxe2xuh6vdkpspy63sjmuny.us-east-1.es.amazonaws.com/_plugin/kibana/#/discover/Steve-Slow-Train-Analysis-(2080s-and-2083s)?_g=(refreshInterval:(display:Off,section:0,value:0),time:(from:'2016-04-24 07:58:29-0600',mode:absolute,to:'2016-04-24 08:48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S31" s="16" t="str">
        <f t="shared" si="11"/>
        <v>N</v>
      </c>
      <c r="T31" s="16">
        <f t="shared" si="12"/>
        <v>23.302099999999999</v>
      </c>
      <c r="U31" s="16">
        <f t="shared" si="13"/>
        <v>9.7699999999999995E-2</v>
      </c>
      <c r="V31" s="16">
        <f t="shared" si="14"/>
        <v>23.2044</v>
      </c>
      <c r="W31" s="49" t="e">
        <f>VLOOKUP(A31,Enforcements!$C$3:$J$31,8,0)</f>
        <v>#N/A</v>
      </c>
      <c r="X31" s="49" t="e">
        <f>VLOOKUP(A31,Enforcements!$C$3:$J$31,3,0)</f>
        <v>#N/A</v>
      </c>
    </row>
    <row r="32" spans="1:24" s="2" customFormat="1" x14ac:dyDescent="0.25">
      <c r="A32" s="18" t="s">
        <v>165</v>
      </c>
      <c r="B32" s="19">
        <v>4027</v>
      </c>
      <c r="C32" s="19" t="s">
        <v>68</v>
      </c>
      <c r="D32" s="19" t="s">
        <v>166</v>
      </c>
      <c r="E32" s="53">
        <v>42484.3278125</v>
      </c>
      <c r="F32" s="53">
        <v>42484.329305555555</v>
      </c>
      <c r="G32" s="62">
        <v>2</v>
      </c>
      <c r="H32" s="53" t="s">
        <v>167</v>
      </c>
      <c r="I32" s="53">
        <v>42484.358668981484</v>
      </c>
      <c r="J32" s="19">
        <v>0</v>
      </c>
      <c r="K32" s="19" t="str">
        <f t="shared" si="8"/>
        <v>4027/4028</v>
      </c>
      <c r="L32" s="20">
        <f t="shared" si="9"/>
        <v>2.9363425928750075E-2</v>
      </c>
      <c r="M32" s="21"/>
      <c r="N32" s="21"/>
      <c r="O32" s="21">
        <f t="shared" si="15"/>
        <v>42.283333337400109</v>
      </c>
      <c r="P32" s="17" t="s">
        <v>404</v>
      </c>
      <c r="R32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https://search-rtdc-monitor-bjffxe2xuh6vdkpspy63sjmuny.us-east-1.es.amazonaws.com/_plugin/kibana/#/discover/Steve-Slow-Train-Analysis-(2080s-and-2083s)?_g=(refreshInterval:(display:Off,section:0,value:0),time:(from:'2016-04-24 07:51:03-0600',mode:absolute,to:'2016-04-24 08:37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S32" s="16" t="str">
        <f t="shared" si="11"/>
        <v>Y</v>
      </c>
      <c r="T32" s="16">
        <f t="shared" si="12"/>
        <v>0.12770000000000001</v>
      </c>
      <c r="U32" s="16">
        <f t="shared" si="13"/>
        <v>15.8001</v>
      </c>
      <c r="V32" s="16">
        <f t="shared" si="14"/>
        <v>15.6724</v>
      </c>
      <c r="W32" s="49" t="e">
        <f>VLOOKUP(A32,Enforcements!$C$3:$J$31,8,0)</f>
        <v>#N/A</v>
      </c>
      <c r="X32" s="49" t="e">
        <f>VLOOKUP(A32,Enforcements!$C$3:$J$31,3,0)</f>
        <v>#N/A</v>
      </c>
    </row>
    <row r="33" spans="1:24" s="2" customFormat="1" x14ac:dyDescent="0.25">
      <c r="A33" s="18" t="s">
        <v>168</v>
      </c>
      <c r="B33" s="19">
        <v>4028</v>
      </c>
      <c r="C33" s="19" t="s">
        <v>68</v>
      </c>
      <c r="D33" s="19" t="s">
        <v>169</v>
      </c>
      <c r="E33" s="53">
        <v>42484.359479166669</v>
      </c>
      <c r="F33" s="53">
        <v>42484.360277777778</v>
      </c>
      <c r="G33" s="62">
        <v>1</v>
      </c>
      <c r="H33" s="53" t="s">
        <v>22</v>
      </c>
      <c r="I33" s="53">
        <v>42484.382916666669</v>
      </c>
      <c r="J33" s="19">
        <v>0</v>
      </c>
      <c r="K33" s="19" t="str">
        <f t="shared" si="8"/>
        <v>4027/4028</v>
      </c>
      <c r="L33" s="20">
        <f t="shared" si="9"/>
        <v>2.2638888891378883E-2</v>
      </c>
      <c r="M33" s="21"/>
      <c r="N33" s="21"/>
      <c r="O33" s="21">
        <f t="shared" si="15"/>
        <v>32.600000003585592</v>
      </c>
      <c r="P33" s="17" t="s">
        <v>404</v>
      </c>
      <c r="R33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https://search-rtdc-monitor-bjffxe2xuh6vdkpspy63sjmuny.us-east-1.es.amazonaws.com/_plugin/kibana/#/discover/Steve-Slow-Train-Analysis-(2080s-and-2083s)?_g=(refreshInterval:(display:Off,section:0,value:0),time:(from:'2016-04-24 08:36:39-0600',mode:absolute,to:'2016-04-24 09:12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S33" s="16" t="str">
        <f t="shared" si="11"/>
        <v>Y</v>
      </c>
      <c r="T33" s="16">
        <f t="shared" si="12"/>
        <v>15.7775</v>
      </c>
      <c r="U33" s="16">
        <f t="shared" si="13"/>
        <v>1.5800000000000002E-2</v>
      </c>
      <c r="V33" s="16">
        <f t="shared" si="14"/>
        <v>15.761699999999999</v>
      </c>
      <c r="W33" s="49" t="e">
        <f>VLOOKUP(A33,Enforcements!$C$3:$J$31,8,0)</f>
        <v>#N/A</v>
      </c>
      <c r="X33" s="49" t="e">
        <f>VLOOKUP(A33,Enforcements!$C$3:$J$31,3,0)</f>
        <v>#N/A</v>
      </c>
    </row>
    <row r="34" spans="1:24" s="2" customFormat="1" x14ac:dyDescent="0.25">
      <c r="A34" s="18" t="s">
        <v>170</v>
      </c>
      <c r="B34" s="19">
        <v>4031</v>
      </c>
      <c r="C34" s="19" t="s">
        <v>68</v>
      </c>
      <c r="D34" s="19" t="s">
        <v>171</v>
      </c>
      <c r="E34" s="53">
        <v>42484.305162037039</v>
      </c>
      <c r="F34" s="53">
        <v>42484.306539351855</v>
      </c>
      <c r="G34" s="62">
        <v>1</v>
      </c>
      <c r="H34" s="53" t="s">
        <v>20</v>
      </c>
      <c r="I34" s="53">
        <v>42484.348090277781</v>
      </c>
      <c r="J34" s="19">
        <v>0</v>
      </c>
      <c r="K34" s="19" t="str">
        <f t="shared" si="8"/>
        <v>4031/4032</v>
      </c>
      <c r="L34" s="20">
        <f t="shared" si="9"/>
        <v>4.1550925925548654E-2</v>
      </c>
      <c r="M34" s="21">
        <f t="shared" si="15"/>
        <v>59.833333332790062</v>
      </c>
      <c r="N34" s="21"/>
      <c r="O34" s="22"/>
      <c r="P34" s="17"/>
      <c r="R34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https://search-rtdc-monitor-bjffxe2xuh6vdkpspy63sjmuny.us-east-1.es.amazonaws.com/_plugin/kibana/#/discover/Steve-Slow-Train-Analysis-(2080s-and-2083s)?_g=(refreshInterval:(display:Off,section:0,value:0),time:(from:'2016-04-24 07:18:26-0600',mode:absolute,to:'2016-04-24 08:22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S34" s="16" t="str">
        <f t="shared" si="11"/>
        <v>N</v>
      </c>
      <c r="T34" s="16">
        <f t="shared" si="12"/>
        <v>4.53E-2</v>
      </c>
      <c r="U34" s="16">
        <f t="shared" si="13"/>
        <v>23.3308</v>
      </c>
      <c r="V34" s="16">
        <f t="shared" si="14"/>
        <v>23.285499999999999</v>
      </c>
      <c r="W34" s="49" t="e">
        <f>VLOOKUP(A34,Enforcements!$C$3:$J$31,8,0)</f>
        <v>#N/A</v>
      </c>
      <c r="X34" s="49" t="e">
        <f>VLOOKUP(A34,Enforcements!$C$3:$J$31,3,0)</f>
        <v>#N/A</v>
      </c>
    </row>
    <row r="35" spans="1:24" s="2" customFormat="1" x14ac:dyDescent="0.25">
      <c r="A35" s="18" t="s">
        <v>172</v>
      </c>
      <c r="B35" s="19">
        <v>4032</v>
      </c>
      <c r="C35" s="19" t="s">
        <v>68</v>
      </c>
      <c r="D35" s="19" t="s">
        <v>173</v>
      </c>
      <c r="E35" s="53">
        <v>42484.352442129632</v>
      </c>
      <c r="F35" s="53">
        <v>42484.353564814817</v>
      </c>
      <c r="G35" s="62">
        <v>1</v>
      </c>
      <c r="H35" s="53" t="s">
        <v>147</v>
      </c>
      <c r="I35" s="53">
        <v>42484.387824074074</v>
      </c>
      <c r="J35" s="19">
        <v>0</v>
      </c>
      <c r="K35" s="19" t="str">
        <f t="shared" si="8"/>
        <v>4031/4032</v>
      </c>
      <c r="L35" s="20">
        <f t="shared" si="9"/>
        <v>3.4259259256941732E-2</v>
      </c>
      <c r="M35" s="21">
        <f t="shared" si="15"/>
        <v>49.333333329996094</v>
      </c>
      <c r="N35" s="21"/>
      <c r="O35" s="22"/>
      <c r="P35" s="17"/>
      <c r="R35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https://search-rtdc-monitor-bjffxe2xuh6vdkpspy63sjmuny.us-east-1.es.amazonaws.com/_plugin/kibana/#/discover/Steve-Slow-Train-Analysis-(2080s-and-2083s)?_g=(refreshInterval:(display:Off,section:0,value:0),time:(from:'2016-04-24 08:26:31-0600',mode:absolute,to:'2016-04-24 09:19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S35" s="16" t="str">
        <f t="shared" si="11"/>
        <v>N</v>
      </c>
      <c r="T35" s="16">
        <f t="shared" si="12"/>
        <v>23.3019</v>
      </c>
      <c r="U35" s="16">
        <f t="shared" si="13"/>
        <v>1.3599999999999999E-2</v>
      </c>
      <c r="V35" s="16">
        <f t="shared" si="14"/>
        <v>23.2883</v>
      </c>
      <c r="W35" s="49" t="e">
        <f>VLOOKUP(A35,Enforcements!$C$3:$J$31,8,0)</f>
        <v>#N/A</v>
      </c>
      <c r="X35" s="49" t="e">
        <f>VLOOKUP(A35,Enforcements!$C$3:$J$31,3,0)</f>
        <v>#N/A</v>
      </c>
    </row>
    <row r="36" spans="1:24" s="2" customFormat="1" x14ac:dyDescent="0.25">
      <c r="A36" s="18" t="s">
        <v>174</v>
      </c>
      <c r="B36" s="19">
        <v>4040</v>
      </c>
      <c r="C36" s="19" t="s">
        <v>68</v>
      </c>
      <c r="D36" s="19" t="s">
        <v>175</v>
      </c>
      <c r="E36" s="53">
        <v>42484.329895833333</v>
      </c>
      <c r="F36" s="53">
        <v>42484.330914351849</v>
      </c>
      <c r="G36" s="62">
        <v>1</v>
      </c>
      <c r="H36" s="53" t="s">
        <v>176</v>
      </c>
      <c r="I36" s="53">
        <v>42484.358738425923</v>
      </c>
      <c r="J36" s="19">
        <v>1</v>
      </c>
      <c r="K36" s="19" t="str">
        <f t="shared" si="8"/>
        <v>4039/4040</v>
      </c>
      <c r="L36" s="20">
        <f t="shared" si="9"/>
        <v>2.7824074073578231E-2</v>
      </c>
      <c r="M36" s="21">
        <f t="shared" si="15"/>
        <v>40.066666665952653</v>
      </c>
      <c r="N36" s="21"/>
      <c r="O36" s="22"/>
      <c r="P36" s="17"/>
      <c r="R36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https://search-rtdc-monitor-bjffxe2xuh6vdkpspy63sjmuny.us-east-1.es.amazonaws.com/_plugin/kibana/#/discover/Steve-Slow-Train-Analysis-(2080s-and-2083s)?_g=(refreshInterval:(display:Off,section:0,value:0),time:(from:'2016-04-24 07:54:03-0600',mode:absolute,to:'2016-04-24 08:37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S36" s="16" t="str">
        <f t="shared" si="11"/>
        <v>N</v>
      </c>
      <c r="T36" s="16">
        <f t="shared" si="12"/>
        <v>4.5100000000000001E-2</v>
      </c>
      <c r="U36" s="16">
        <f t="shared" si="13"/>
        <v>23.3291</v>
      </c>
      <c r="V36" s="16">
        <f t="shared" si="14"/>
        <v>23.283999999999999</v>
      </c>
      <c r="W36" s="49">
        <f>VLOOKUP(A36,Enforcements!$C$3:$J$31,8,0)</f>
        <v>20338</v>
      </c>
      <c r="X36" s="49" t="str">
        <f>VLOOKUP(A36,Enforcements!$C$3:$J$31,3,0)</f>
        <v>PERMANENT SPEED RESTRICTION</v>
      </c>
    </row>
    <row r="37" spans="1:24" s="2" customFormat="1" x14ac:dyDescent="0.25">
      <c r="A37" s="18" t="s">
        <v>177</v>
      </c>
      <c r="B37" s="19">
        <v>4039</v>
      </c>
      <c r="C37" s="19" t="s">
        <v>68</v>
      </c>
      <c r="D37" s="19" t="s">
        <v>178</v>
      </c>
      <c r="E37" s="53">
        <v>42484.365219907406</v>
      </c>
      <c r="F37" s="53">
        <v>42484.366006944445</v>
      </c>
      <c r="G37" s="62">
        <v>1</v>
      </c>
      <c r="H37" s="53" t="s">
        <v>22</v>
      </c>
      <c r="I37" s="53">
        <v>42484.401620370372</v>
      </c>
      <c r="J37" s="19">
        <v>1</v>
      </c>
      <c r="K37" s="19" t="str">
        <f t="shared" si="8"/>
        <v>4039/4040</v>
      </c>
      <c r="L37" s="20">
        <f t="shared" si="9"/>
        <v>3.5613425927294884E-2</v>
      </c>
      <c r="M37" s="21">
        <f t="shared" si="15"/>
        <v>51.283333335304633</v>
      </c>
      <c r="N37" s="21"/>
      <c r="O37" s="22"/>
      <c r="P37" s="17"/>
      <c r="R37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https://search-rtdc-monitor-bjffxe2xuh6vdkpspy63sjmuny.us-east-1.es.amazonaws.com/_plugin/kibana/#/discover/Steve-Slow-Train-Analysis-(2080s-and-2083s)?_g=(refreshInterval:(display:Off,section:0,value:0),time:(from:'2016-04-24 08:44:55-0600',mode:absolute,to:'2016-04-24 09:39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S37" s="16" t="str">
        <f t="shared" si="11"/>
        <v>N</v>
      </c>
      <c r="T37" s="16">
        <f t="shared" si="12"/>
        <v>23.296500000000002</v>
      </c>
      <c r="U37" s="16">
        <f t="shared" si="13"/>
        <v>1.5800000000000002E-2</v>
      </c>
      <c r="V37" s="16">
        <f t="shared" si="14"/>
        <v>23.280700000000003</v>
      </c>
      <c r="W37" s="49" t="e">
        <f>VLOOKUP(A37,Enforcements!$C$3:$J$31,8,0)</f>
        <v>#N/A</v>
      </c>
      <c r="X37" s="49" t="e">
        <f>VLOOKUP(A37,Enforcements!$C$3:$J$31,3,0)</f>
        <v>#N/A</v>
      </c>
    </row>
    <row r="38" spans="1:24" s="2" customFormat="1" x14ac:dyDescent="0.25">
      <c r="A38" s="18" t="s">
        <v>179</v>
      </c>
      <c r="B38" s="19">
        <v>4044</v>
      </c>
      <c r="C38" s="19" t="s">
        <v>68</v>
      </c>
      <c r="D38" s="19" t="s">
        <v>180</v>
      </c>
      <c r="E38" s="53">
        <v>42484.340624999997</v>
      </c>
      <c r="F38" s="53">
        <v>42484.344004629631</v>
      </c>
      <c r="G38" s="62">
        <v>4</v>
      </c>
      <c r="H38" s="53" t="s">
        <v>181</v>
      </c>
      <c r="I38" s="53">
        <v>42484.369120370371</v>
      </c>
      <c r="J38" s="19">
        <v>1</v>
      </c>
      <c r="K38" s="19" t="str">
        <f t="shared" si="8"/>
        <v>4043/4044</v>
      </c>
      <c r="L38" s="20">
        <f t="shared" si="9"/>
        <v>2.5115740740147885E-2</v>
      </c>
      <c r="M38" s="21">
        <f t="shared" si="15"/>
        <v>36.166666665812954</v>
      </c>
      <c r="N38" s="21"/>
      <c r="O38" s="22"/>
      <c r="P38" s="17"/>
      <c r="R38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https://search-rtdc-monitor-bjffxe2xuh6vdkpspy63sjmuny.us-east-1.es.amazonaws.com/_plugin/kibana/#/discover/Steve-Slow-Train-Analysis-(2080s-and-2083s)?_g=(refreshInterval:(display:Off,section:0,value:0),time:(from:'2016-04-24 08:09:30-0600',mode:absolute,to:'2016-04-24 08:52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S38" s="16" t="str">
        <f t="shared" si="11"/>
        <v>N</v>
      </c>
      <c r="T38" s="16">
        <f t="shared" si="12"/>
        <v>4.5999999999999999E-2</v>
      </c>
      <c r="U38" s="16">
        <f t="shared" si="13"/>
        <v>23.327999999999999</v>
      </c>
      <c r="V38" s="16">
        <f t="shared" si="14"/>
        <v>23.282</v>
      </c>
      <c r="W38" s="49" t="e">
        <f>VLOOKUP(A38,Enforcements!$C$3:$J$31,8,0)</f>
        <v>#N/A</v>
      </c>
      <c r="X38" s="49" t="e">
        <f>VLOOKUP(A38,Enforcements!$C$3:$J$31,3,0)</f>
        <v>#N/A</v>
      </c>
    </row>
    <row r="39" spans="1:24" s="2" customFormat="1" x14ac:dyDescent="0.25">
      <c r="A39" s="18" t="s">
        <v>182</v>
      </c>
      <c r="B39" s="19">
        <v>4043</v>
      </c>
      <c r="C39" s="19" t="s">
        <v>68</v>
      </c>
      <c r="D39" s="19" t="s">
        <v>183</v>
      </c>
      <c r="E39" s="53">
        <v>42484.377569444441</v>
      </c>
      <c r="F39" s="53">
        <v>42484.378495370373</v>
      </c>
      <c r="G39" s="62">
        <v>1</v>
      </c>
      <c r="H39" s="53" t="s">
        <v>24</v>
      </c>
      <c r="I39" s="53">
        <v>42484.411053240743</v>
      </c>
      <c r="J39" s="19">
        <v>1</v>
      </c>
      <c r="K39" s="19" t="str">
        <f t="shared" si="8"/>
        <v>4043/4044</v>
      </c>
      <c r="L39" s="20">
        <f t="shared" si="9"/>
        <v>3.25578703705105E-2</v>
      </c>
      <c r="M39" s="21">
        <f t="shared" si="15"/>
        <v>46.88333333353512</v>
      </c>
      <c r="N39" s="21"/>
      <c r="O39" s="22"/>
      <c r="P39" s="17"/>
      <c r="R39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https://search-rtdc-monitor-bjffxe2xuh6vdkpspy63sjmuny.us-east-1.es.amazonaws.com/_plugin/kibana/#/discover/Steve-Slow-Train-Analysis-(2080s-and-2083s)?_g=(refreshInterval:(display:Off,section:0,value:0),time:(from:'2016-04-24 09:02:42-0600',mode:absolute,to:'2016-04-24 09:52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S39" s="16" t="str">
        <f t="shared" si="11"/>
        <v>N</v>
      </c>
      <c r="T39" s="16">
        <f t="shared" si="12"/>
        <v>23.297899999999998</v>
      </c>
      <c r="U39" s="16">
        <f t="shared" si="13"/>
        <v>1.4999999999999999E-2</v>
      </c>
      <c r="V39" s="16">
        <f t="shared" si="14"/>
        <v>23.282899999999998</v>
      </c>
      <c r="W39" s="49" t="e">
        <f>VLOOKUP(A39,Enforcements!$C$3:$J$31,8,0)</f>
        <v>#N/A</v>
      </c>
      <c r="X39" s="49" t="e">
        <f>VLOOKUP(A39,Enforcements!$C$3:$J$31,3,0)</f>
        <v>#N/A</v>
      </c>
    </row>
    <row r="40" spans="1:24" s="2" customFormat="1" x14ac:dyDescent="0.25">
      <c r="A40" s="18" t="s">
        <v>184</v>
      </c>
      <c r="B40" s="19">
        <v>4026</v>
      </c>
      <c r="C40" s="19" t="s">
        <v>68</v>
      </c>
      <c r="D40" s="19" t="s">
        <v>185</v>
      </c>
      <c r="E40" s="53">
        <v>42484.388888888891</v>
      </c>
      <c r="F40" s="53">
        <v>42484.390127314815</v>
      </c>
      <c r="G40" s="62">
        <v>1</v>
      </c>
      <c r="H40" s="53" t="s">
        <v>186</v>
      </c>
      <c r="I40" s="53">
        <v>42484.423946759256</v>
      </c>
      <c r="J40" s="19">
        <v>0</v>
      </c>
      <c r="K40" s="19" t="str">
        <f t="shared" si="8"/>
        <v>4025/4026</v>
      </c>
      <c r="L40" s="20">
        <f t="shared" si="9"/>
        <v>3.3819444441178348E-2</v>
      </c>
      <c r="M40" s="21">
        <f t="shared" si="15"/>
        <v>48.699999995296821</v>
      </c>
      <c r="N40" s="21"/>
      <c r="O40" s="22"/>
      <c r="P40" s="17"/>
      <c r="R40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https://search-rtdc-monitor-bjffxe2xuh6vdkpspy63sjmuny.us-east-1.es.amazonaws.com/_plugin/kibana/#/discover/Steve-Slow-Train-Analysis-(2080s-and-2083s)?_g=(refreshInterval:(display:Off,section:0,value:0),time:(from:'2016-04-24 09:19:00-0600',mode:absolute,to:'2016-04-24 10:11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S40" s="16" t="str">
        <f t="shared" si="11"/>
        <v>N</v>
      </c>
      <c r="T40" s="16">
        <f t="shared" si="12"/>
        <v>23.296900000000001</v>
      </c>
      <c r="U40" s="16">
        <f t="shared" si="13"/>
        <v>1.6299999999999999E-2</v>
      </c>
      <c r="V40" s="16">
        <f t="shared" si="14"/>
        <v>23.2806</v>
      </c>
      <c r="W40" s="49" t="e">
        <f>VLOOKUP(A40,Enforcements!$C$3:$J$31,8,0)</f>
        <v>#N/A</v>
      </c>
      <c r="X40" s="49" t="e">
        <f>VLOOKUP(A40,Enforcements!$C$3:$J$31,3,0)</f>
        <v>#N/A</v>
      </c>
    </row>
    <row r="41" spans="1:24" s="2" customFormat="1" x14ac:dyDescent="0.25">
      <c r="A41" s="18" t="s">
        <v>187</v>
      </c>
      <c r="B41" s="19">
        <v>4029</v>
      </c>
      <c r="C41" s="19" t="s">
        <v>68</v>
      </c>
      <c r="D41" s="19" t="s">
        <v>180</v>
      </c>
      <c r="E41" s="53">
        <v>42484.363576388889</v>
      </c>
      <c r="F41" s="53">
        <v>42484.36451388889</v>
      </c>
      <c r="G41" s="62">
        <v>1</v>
      </c>
      <c r="H41" s="53" t="s">
        <v>188</v>
      </c>
      <c r="I41" s="53">
        <v>42484.391736111109</v>
      </c>
      <c r="J41" s="19">
        <v>2</v>
      </c>
      <c r="K41" s="19" t="str">
        <f t="shared" si="8"/>
        <v>4029/4030</v>
      </c>
      <c r="L41" s="20">
        <f t="shared" si="9"/>
        <v>2.7222222219279502E-2</v>
      </c>
      <c r="M41" s="21">
        <f t="shared" ref="M41:M62" si="16">$L41*24*60</f>
        <v>39.199999995762482</v>
      </c>
      <c r="N41" s="21"/>
      <c r="O41" s="22"/>
      <c r="P41" s="17"/>
      <c r="R41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https://search-rtdc-monitor-bjffxe2xuh6vdkpspy63sjmuny.us-east-1.es.amazonaws.com/_plugin/kibana/#/discover/Steve-Slow-Train-Analysis-(2080s-and-2083s)?_g=(refreshInterval:(display:Off,section:0,value:0),time:(from:'2016-04-24 08:42:33-0600',mode:absolute,to:'2016-04-24 09:25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S41" s="16" t="str">
        <f t="shared" si="11"/>
        <v>N</v>
      </c>
      <c r="T41" s="16">
        <f t="shared" si="12"/>
        <v>4.5999999999999999E-2</v>
      </c>
      <c r="U41" s="16">
        <f t="shared" si="13"/>
        <v>23.308700000000002</v>
      </c>
      <c r="V41" s="16">
        <f t="shared" si="14"/>
        <v>23.262700000000002</v>
      </c>
      <c r="W41" s="49">
        <f>VLOOKUP(A41,Enforcements!$C$3:$J$31,8,0)</f>
        <v>1692</v>
      </c>
      <c r="X41" s="49" t="str">
        <f>VLOOKUP(A41,Enforcements!$C$3:$J$31,3,0)</f>
        <v>SIGNAL</v>
      </c>
    </row>
    <row r="42" spans="1:24" s="2" customFormat="1" x14ac:dyDescent="0.25">
      <c r="A42" s="18" t="s">
        <v>189</v>
      </c>
      <c r="B42" s="19">
        <v>4030</v>
      </c>
      <c r="C42" s="19" t="s">
        <v>68</v>
      </c>
      <c r="D42" s="19" t="s">
        <v>190</v>
      </c>
      <c r="E42" s="53">
        <v>42484.397719907407</v>
      </c>
      <c r="F42" s="53">
        <v>42484.398645833331</v>
      </c>
      <c r="G42" s="62">
        <v>1</v>
      </c>
      <c r="H42" s="53" t="s">
        <v>25</v>
      </c>
      <c r="I42" s="53">
        <v>42484.429837962962</v>
      </c>
      <c r="J42" s="19">
        <v>0</v>
      </c>
      <c r="K42" s="19" t="str">
        <f t="shared" si="8"/>
        <v>4029/4030</v>
      </c>
      <c r="L42" s="20">
        <f t="shared" si="9"/>
        <v>3.1192129630653653E-2</v>
      </c>
      <c r="M42" s="21">
        <f t="shared" si="16"/>
        <v>44.916666668141261</v>
      </c>
      <c r="N42" s="21"/>
      <c r="O42" s="22"/>
      <c r="P42" s="17"/>
      <c r="R42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https://search-rtdc-monitor-bjffxe2xuh6vdkpspy63sjmuny.us-east-1.es.amazonaws.com/_plugin/kibana/#/discover/Steve-Slow-Train-Analysis-(2080s-and-2083s)?_g=(refreshInterval:(display:Off,section:0,value:0),time:(from:'2016-04-24 09:31:43-0600',mode:absolute,to:'2016-04-24 10:19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S42" s="16" t="str">
        <f t="shared" si="11"/>
        <v>N</v>
      </c>
      <c r="T42" s="16">
        <f t="shared" si="12"/>
        <v>23.292999999999999</v>
      </c>
      <c r="U42" s="16">
        <f t="shared" si="13"/>
        <v>1.5599999999999999E-2</v>
      </c>
      <c r="V42" s="16">
        <f t="shared" si="14"/>
        <v>23.2774</v>
      </c>
      <c r="W42" s="49" t="e">
        <f>VLOOKUP(A42,Enforcements!$C$3:$J$31,8,0)</f>
        <v>#N/A</v>
      </c>
      <c r="X42" s="49" t="e">
        <f>VLOOKUP(A42,Enforcements!$C$3:$J$31,3,0)</f>
        <v>#N/A</v>
      </c>
    </row>
    <row r="43" spans="1:24" s="2" customFormat="1" x14ac:dyDescent="0.25">
      <c r="A43" s="18" t="s">
        <v>191</v>
      </c>
      <c r="B43" s="19">
        <v>4014</v>
      </c>
      <c r="C43" s="19" t="s">
        <v>68</v>
      </c>
      <c r="D43" s="19" t="s">
        <v>192</v>
      </c>
      <c r="E43" s="53">
        <v>42484.37</v>
      </c>
      <c r="F43" s="53">
        <v>42484.370868055557</v>
      </c>
      <c r="G43" s="62">
        <v>1</v>
      </c>
      <c r="H43" s="53" t="s">
        <v>193</v>
      </c>
      <c r="I43" s="53">
        <v>42484.404791666668</v>
      </c>
      <c r="J43" s="19">
        <v>0</v>
      </c>
      <c r="K43" s="19" t="str">
        <f t="shared" si="8"/>
        <v>4013/4014</v>
      </c>
      <c r="L43" s="20">
        <f t="shared" si="9"/>
        <v>3.3923611110367347E-2</v>
      </c>
      <c r="M43" s="21">
        <f t="shared" si="16"/>
        <v>48.849999998928979</v>
      </c>
      <c r="N43" s="21"/>
      <c r="O43" s="22"/>
      <c r="P43" s="17"/>
      <c r="R43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https://search-rtdc-monitor-bjffxe2xuh6vdkpspy63sjmuny.us-east-1.es.amazonaws.com/_plugin/kibana/#/discover/Steve-Slow-Train-Analysis-(2080s-and-2083s)?_g=(refreshInterval:(display:Off,section:0,value:0),time:(from:'2016-04-24 08:51:48-0600',mode:absolute,to:'2016-04-24 09:43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S43" s="16" t="str">
        <f t="shared" si="11"/>
        <v>N</v>
      </c>
      <c r="T43" s="16">
        <f t="shared" si="12"/>
        <v>4.7300000000000002E-2</v>
      </c>
      <c r="U43" s="16">
        <f t="shared" si="13"/>
        <v>23.3276</v>
      </c>
      <c r="V43" s="16">
        <f t="shared" si="14"/>
        <v>23.2803</v>
      </c>
      <c r="W43" s="49" t="e">
        <f>VLOOKUP(A43,Enforcements!$C$3:$J$31,8,0)</f>
        <v>#N/A</v>
      </c>
      <c r="X43" s="49" t="e">
        <f>VLOOKUP(A43,Enforcements!$C$3:$J$31,3,0)</f>
        <v>#N/A</v>
      </c>
    </row>
    <row r="44" spans="1:24" s="2" customFormat="1" x14ac:dyDescent="0.25">
      <c r="A44" s="18" t="s">
        <v>194</v>
      </c>
      <c r="B44" s="19">
        <v>4013</v>
      </c>
      <c r="C44" s="19" t="s">
        <v>68</v>
      </c>
      <c r="D44" s="19" t="s">
        <v>195</v>
      </c>
      <c r="E44" s="53">
        <v>42484.406689814816</v>
      </c>
      <c r="F44" s="53">
        <v>42484.410891203705</v>
      </c>
      <c r="G44" s="62">
        <v>6</v>
      </c>
      <c r="H44" s="53" t="s">
        <v>113</v>
      </c>
      <c r="I44" s="53">
        <v>42484.445127314815</v>
      </c>
      <c r="J44" s="19">
        <v>1</v>
      </c>
      <c r="K44" s="19" t="str">
        <f t="shared" si="8"/>
        <v>4013/4014</v>
      </c>
      <c r="L44" s="20">
        <f t="shared" si="9"/>
        <v>3.4236111110658385E-2</v>
      </c>
      <c r="M44" s="21">
        <f t="shared" si="16"/>
        <v>49.299999999348074</v>
      </c>
      <c r="N44" s="21"/>
      <c r="O44" s="22"/>
      <c r="P44" s="17"/>
      <c r="R44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https://search-rtdc-monitor-bjffxe2xuh6vdkpspy63sjmuny.us-east-1.es.amazonaws.com/_plugin/kibana/#/discover/Steve-Slow-Train-Analysis-(2080s-and-2083s)?_g=(refreshInterval:(display:Off,section:0,value:0),time:(from:'2016-04-24 09:44:38-0600',mode:absolute,to:'2016-04-24 10:41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S44" s="16" t="str">
        <f t="shared" si="11"/>
        <v>N</v>
      </c>
      <c r="T44" s="16">
        <f t="shared" si="12"/>
        <v>23.295000000000002</v>
      </c>
      <c r="U44" s="16">
        <f t="shared" si="13"/>
        <v>9.1399999999999995E-2</v>
      </c>
      <c r="V44" s="16">
        <f t="shared" si="14"/>
        <v>23.203600000000002</v>
      </c>
      <c r="W44" s="49" t="e">
        <f>VLOOKUP(A44,Enforcements!$C$3:$J$31,8,0)</f>
        <v>#N/A</v>
      </c>
      <c r="X44" s="49" t="e">
        <f>VLOOKUP(A44,Enforcements!$C$3:$J$31,3,0)</f>
        <v>#N/A</v>
      </c>
    </row>
    <row r="45" spans="1:24" s="2" customFormat="1" x14ac:dyDescent="0.25">
      <c r="A45" s="18" t="s">
        <v>196</v>
      </c>
      <c r="B45" s="19">
        <v>4027</v>
      </c>
      <c r="C45" s="19" t="s">
        <v>68</v>
      </c>
      <c r="D45" s="19" t="s">
        <v>197</v>
      </c>
      <c r="E45" s="53">
        <v>42484.384502314817</v>
      </c>
      <c r="F45" s="53">
        <v>42484.38548611111</v>
      </c>
      <c r="G45" s="62">
        <v>1</v>
      </c>
      <c r="H45" s="53" t="s">
        <v>198</v>
      </c>
      <c r="I45" s="53">
        <v>42484.411527777775</v>
      </c>
      <c r="J45" s="19">
        <v>0</v>
      </c>
      <c r="K45" s="19" t="str">
        <f t="shared" si="8"/>
        <v>4027/4028</v>
      </c>
      <c r="L45" s="20">
        <f t="shared" si="9"/>
        <v>2.6041666664241347E-2</v>
      </c>
      <c r="M45" s="21">
        <f t="shared" si="16"/>
        <v>37.49999999650754</v>
      </c>
      <c r="N45" s="21"/>
      <c r="O45" s="22"/>
      <c r="P45" s="17"/>
      <c r="R45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https://search-rtdc-monitor-bjffxe2xuh6vdkpspy63sjmuny.us-east-1.es.amazonaws.com/_plugin/kibana/#/discover/Steve-Slow-Train-Analysis-(2080s-and-2083s)?_g=(refreshInterval:(display:Off,section:0,value:0),time:(from:'2016-04-24 09:12:41-0600',mode:absolute,to:'2016-04-24 09:53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S45" s="16" t="str">
        <f t="shared" si="11"/>
        <v>N</v>
      </c>
      <c r="T45" s="16">
        <f t="shared" si="12"/>
        <v>4.4200000000000003E-2</v>
      </c>
      <c r="U45" s="16">
        <f t="shared" si="13"/>
        <v>23.331399999999999</v>
      </c>
      <c r="V45" s="16">
        <f t="shared" si="14"/>
        <v>23.287199999999999</v>
      </c>
      <c r="W45" s="49" t="e">
        <f>VLOOKUP(A45,Enforcements!$C$3:$J$31,8,0)</f>
        <v>#N/A</v>
      </c>
      <c r="X45" s="49" t="e">
        <f>VLOOKUP(A45,Enforcements!$C$3:$J$31,3,0)</f>
        <v>#N/A</v>
      </c>
    </row>
    <row r="46" spans="1:24" s="2" customFormat="1" x14ac:dyDescent="0.25">
      <c r="A46" s="18" t="s">
        <v>199</v>
      </c>
      <c r="B46" s="19">
        <v>4028</v>
      </c>
      <c r="C46" s="19" t="s">
        <v>68</v>
      </c>
      <c r="D46" s="19" t="s">
        <v>115</v>
      </c>
      <c r="E46" s="53">
        <v>42484.413472222222</v>
      </c>
      <c r="F46" s="53">
        <v>42484.418703703705</v>
      </c>
      <c r="G46" s="62">
        <v>7</v>
      </c>
      <c r="H46" s="53" t="s">
        <v>200</v>
      </c>
      <c r="I46" s="53">
        <v>42484.450324074074</v>
      </c>
      <c r="J46" s="19">
        <v>0</v>
      </c>
      <c r="K46" s="19" t="str">
        <f t="shared" si="8"/>
        <v>4027/4028</v>
      </c>
      <c r="L46" s="20">
        <f t="shared" si="9"/>
        <v>3.1620370369637385E-2</v>
      </c>
      <c r="M46" s="21">
        <f t="shared" si="16"/>
        <v>45.533333332277834</v>
      </c>
      <c r="N46" s="21"/>
      <c r="O46" s="22"/>
      <c r="P46" s="17"/>
      <c r="R46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https://search-rtdc-monitor-bjffxe2xuh6vdkpspy63sjmuny.us-east-1.es.amazonaws.com/_plugin/kibana/#/discover/Steve-Slow-Train-Analysis-(2080s-and-2083s)?_g=(refreshInterval:(display:Off,section:0,value:0),time:(from:'2016-04-24 09:54:24-0600',mode:absolute,to:'2016-04-24 10:49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S46" s="16" t="str">
        <f t="shared" si="11"/>
        <v>N</v>
      </c>
      <c r="T46" s="16">
        <f t="shared" si="12"/>
        <v>23.299299999999999</v>
      </c>
      <c r="U46" s="16">
        <f t="shared" si="13"/>
        <v>1.2999999999999999E-2</v>
      </c>
      <c r="V46" s="16">
        <f t="shared" si="14"/>
        <v>23.286299999999997</v>
      </c>
      <c r="W46" s="49" t="e">
        <f>VLOOKUP(A46,Enforcements!$C$3:$J$31,8,0)</f>
        <v>#N/A</v>
      </c>
      <c r="X46" s="49" t="e">
        <f>VLOOKUP(A46,Enforcements!$C$3:$J$31,3,0)</f>
        <v>#N/A</v>
      </c>
    </row>
    <row r="47" spans="1:24" s="2" customFormat="1" x14ac:dyDescent="0.25">
      <c r="A47" s="18" t="s">
        <v>201</v>
      </c>
      <c r="B47" s="19">
        <v>4031</v>
      </c>
      <c r="C47" s="19" t="s">
        <v>68</v>
      </c>
      <c r="D47" s="19" t="s">
        <v>180</v>
      </c>
      <c r="E47" s="53">
        <v>42484.389166666668</v>
      </c>
      <c r="F47" s="53">
        <v>42484.389988425923</v>
      </c>
      <c r="G47" s="62">
        <v>1</v>
      </c>
      <c r="H47" s="53" t="s">
        <v>202</v>
      </c>
      <c r="I47" s="53">
        <v>42484.421724537038</v>
      </c>
      <c r="J47" s="19">
        <v>0</v>
      </c>
      <c r="K47" s="19" t="str">
        <f t="shared" si="8"/>
        <v>4031/4032</v>
      </c>
      <c r="L47" s="20">
        <f t="shared" si="9"/>
        <v>3.1736111115606036E-2</v>
      </c>
      <c r="M47" s="21">
        <f t="shared" si="16"/>
        <v>45.700000006472692</v>
      </c>
      <c r="N47" s="21"/>
      <c r="O47" s="22"/>
      <c r="P47" s="17"/>
      <c r="R47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https://search-rtdc-monitor-bjffxe2xuh6vdkpspy63sjmuny.us-east-1.es.amazonaws.com/_plugin/kibana/#/discover/Steve-Slow-Train-Analysis-(2080s-and-2083s)?_g=(refreshInterval:(display:Off,section:0,value:0),time:(from:'2016-04-24 09:19:24-0600',mode:absolute,to:'2016-04-24 10:08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S47" s="16" t="str">
        <f t="shared" si="11"/>
        <v>N</v>
      </c>
      <c r="T47" s="16">
        <f t="shared" si="12"/>
        <v>4.5999999999999999E-2</v>
      </c>
      <c r="U47" s="16">
        <f t="shared" si="13"/>
        <v>23.332999999999998</v>
      </c>
      <c r="V47" s="16">
        <f t="shared" si="14"/>
        <v>23.286999999999999</v>
      </c>
      <c r="W47" s="49" t="e">
        <f>VLOOKUP(A47,Enforcements!$C$3:$J$31,8,0)</f>
        <v>#N/A</v>
      </c>
      <c r="X47" s="49" t="e">
        <f>VLOOKUP(A47,Enforcements!$C$3:$J$31,3,0)</f>
        <v>#N/A</v>
      </c>
    </row>
    <row r="48" spans="1:24" s="2" customFormat="1" x14ac:dyDescent="0.25">
      <c r="A48" s="18" t="s">
        <v>203</v>
      </c>
      <c r="B48" s="19">
        <v>4032</v>
      </c>
      <c r="C48" s="19" t="s">
        <v>68</v>
      </c>
      <c r="D48" s="19" t="s">
        <v>204</v>
      </c>
      <c r="E48" s="53">
        <v>42484.429189814815</v>
      </c>
      <c r="F48" s="53">
        <v>42484.430115740739</v>
      </c>
      <c r="G48" s="62">
        <v>1</v>
      </c>
      <c r="H48" s="53" t="s">
        <v>92</v>
      </c>
      <c r="I48" s="53">
        <v>42484.461458333331</v>
      </c>
      <c r="J48" s="19">
        <v>0</v>
      </c>
      <c r="K48" s="19" t="str">
        <f t="shared" si="8"/>
        <v>4031/4032</v>
      </c>
      <c r="L48" s="20">
        <f t="shared" si="9"/>
        <v>3.1342592592409346E-2</v>
      </c>
      <c r="M48" s="21">
        <f t="shared" si="16"/>
        <v>45.133333333069459</v>
      </c>
      <c r="N48" s="21"/>
      <c r="O48" s="22"/>
      <c r="P48" s="17"/>
      <c r="R48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https://search-rtdc-monitor-bjffxe2xuh6vdkpspy63sjmuny.us-east-1.es.amazonaws.com/_plugin/kibana/#/discover/Steve-Slow-Train-Analysis-(2080s-and-2083s)?_g=(refreshInterval:(display:Off,section:0,value:0),time:(from:'2016-04-24 10:17:02-0600',mode:absolute,to:'2016-04-24 11:05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S48" s="16" t="str">
        <f t="shared" si="11"/>
        <v>N</v>
      </c>
      <c r="T48" s="16">
        <f t="shared" si="12"/>
        <v>23.299800000000001</v>
      </c>
      <c r="U48" s="16">
        <f t="shared" si="13"/>
        <v>1.52E-2</v>
      </c>
      <c r="V48" s="16">
        <f t="shared" si="14"/>
        <v>23.284600000000001</v>
      </c>
      <c r="W48" s="49" t="e">
        <f>VLOOKUP(A48,Enforcements!$C$3:$J$31,8,0)</f>
        <v>#N/A</v>
      </c>
      <c r="X48" s="49" t="e">
        <f>VLOOKUP(A48,Enforcements!$C$3:$J$31,3,0)</f>
        <v>#N/A</v>
      </c>
    </row>
    <row r="49" spans="1:24" s="2" customFormat="1" x14ac:dyDescent="0.25">
      <c r="A49" s="18" t="s">
        <v>205</v>
      </c>
      <c r="B49" s="19">
        <v>4040</v>
      </c>
      <c r="C49" s="19" t="s">
        <v>68</v>
      </c>
      <c r="D49" s="19" t="s">
        <v>206</v>
      </c>
      <c r="E49" s="53">
        <v>42484.404641203706</v>
      </c>
      <c r="F49" s="53">
        <v>42484.405439814815</v>
      </c>
      <c r="G49" s="62">
        <v>1</v>
      </c>
      <c r="H49" s="53" t="s">
        <v>207</v>
      </c>
      <c r="I49" s="53">
        <v>42484.432395833333</v>
      </c>
      <c r="J49" s="19">
        <v>0</v>
      </c>
      <c r="K49" s="19" t="str">
        <f t="shared" si="8"/>
        <v>4039/4040</v>
      </c>
      <c r="L49" s="20">
        <f t="shared" si="9"/>
        <v>2.6956018518831115E-2</v>
      </c>
      <c r="M49" s="21">
        <f t="shared" si="16"/>
        <v>38.816666667116806</v>
      </c>
      <c r="N49" s="21"/>
      <c r="O49" s="22"/>
      <c r="P49" s="17"/>
      <c r="R49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https://search-rtdc-monitor-bjffxe2xuh6vdkpspy63sjmuny.us-east-1.es.amazonaws.com/_plugin/kibana/#/discover/Steve-Slow-Train-Analysis-(2080s-and-2083s)?_g=(refreshInterval:(display:Off,section:0,value:0),time:(from:'2016-04-24 09:41:41-0600',mode:absolute,to:'2016-04-24 10:23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S49" s="16" t="str">
        <f t="shared" si="11"/>
        <v>N</v>
      </c>
      <c r="T49" s="16">
        <f t="shared" si="12"/>
        <v>4.9299999999999997E-2</v>
      </c>
      <c r="U49" s="16">
        <f t="shared" si="13"/>
        <v>23.331900000000001</v>
      </c>
      <c r="V49" s="16">
        <f t="shared" si="14"/>
        <v>23.282600000000002</v>
      </c>
      <c r="W49" s="49" t="e">
        <f>VLOOKUP(A49,Enforcements!$C$3:$J$31,8,0)</f>
        <v>#N/A</v>
      </c>
      <c r="X49" s="49" t="e">
        <f>VLOOKUP(A49,Enforcements!$C$3:$J$31,3,0)</f>
        <v>#N/A</v>
      </c>
    </row>
    <row r="50" spans="1:24" s="2" customFormat="1" x14ac:dyDescent="0.25">
      <c r="A50" s="18" t="s">
        <v>208</v>
      </c>
      <c r="B50" s="19">
        <v>4039</v>
      </c>
      <c r="C50" s="19" t="s">
        <v>68</v>
      </c>
      <c r="D50" s="19" t="s">
        <v>154</v>
      </c>
      <c r="E50" s="53">
        <v>42484.441006944442</v>
      </c>
      <c r="F50" s="53">
        <v>42484.442118055558</v>
      </c>
      <c r="G50" s="62">
        <v>1</v>
      </c>
      <c r="H50" s="53" t="s">
        <v>21</v>
      </c>
      <c r="I50" s="53">
        <v>42484.473483796297</v>
      </c>
      <c r="J50" s="19">
        <v>0</v>
      </c>
      <c r="K50" s="19" t="str">
        <f t="shared" si="8"/>
        <v>4039/4040</v>
      </c>
      <c r="L50" s="20">
        <f t="shared" si="9"/>
        <v>3.1365740738692693E-2</v>
      </c>
      <c r="M50" s="21">
        <f t="shared" si="16"/>
        <v>45.166666663717479</v>
      </c>
      <c r="N50" s="21"/>
      <c r="O50" s="22"/>
      <c r="P50" s="17"/>
      <c r="R50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https://search-rtdc-monitor-bjffxe2xuh6vdkpspy63sjmuny.us-east-1.es.amazonaws.com/_plugin/kibana/#/discover/Steve-Slow-Train-Analysis-(2080s-and-2083s)?_g=(refreshInterval:(display:Off,section:0,value:0),time:(from:'2016-04-24 10:34:03-0600',mode:absolute,to:'2016-04-24 11:22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S50" s="16" t="str">
        <f t="shared" si="11"/>
        <v>N</v>
      </c>
      <c r="T50" s="16">
        <f t="shared" si="12"/>
        <v>23.299600000000002</v>
      </c>
      <c r="U50" s="16">
        <f t="shared" si="13"/>
        <v>1.47E-2</v>
      </c>
      <c r="V50" s="16">
        <f t="shared" si="14"/>
        <v>23.2849</v>
      </c>
      <c r="W50" s="49" t="e">
        <f>VLOOKUP(A50,Enforcements!$C$3:$J$31,8,0)</f>
        <v>#N/A</v>
      </c>
      <c r="X50" s="49" t="e">
        <f>VLOOKUP(A50,Enforcements!$C$3:$J$31,3,0)</f>
        <v>#N/A</v>
      </c>
    </row>
    <row r="51" spans="1:24" s="2" customFormat="1" x14ac:dyDescent="0.25">
      <c r="A51" s="18" t="s">
        <v>209</v>
      </c>
      <c r="B51" s="19">
        <v>4044</v>
      </c>
      <c r="C51" s="19" t="s">
        <v>68</v>
      </c>
      <c r="D51" s="19" t="s">
        <v>180</v>
      </c>
      <c r="E51" s="53">
        <v>42484.414143518516</v>
      </c>
      <c r="F51" s="53">
        <v>42484.415254629632</v>
      </c>
      <c r="G51" s="62">
        <v>1</v>
      </c>
      <c r="H51" s="53" t="s">
        <v>138</v>
      </c>
      <c r="I51" s="53">
        <v>42484.441446759258</v>
      </c>
      <c r="J51" s="19">
        <v>0</v>
      </c>
      <c r="K51" s="19" t="str">
        <f t="shared" si="8"/>
        <v>4043/4044</v>
      </c>
      <c r="L51" s="20">
        <f t="shared" si="9"/>
        <v>2.619212962599704E-2</v>
      </c>
      <c r="M51" s="21">
        <f t="shared" si="16"/>
        <v>37.716666661435738</v>
      </c>
      <c r="N51" s="21"/>
      <c r="O51" s="22"/>
      <c r="P51" s="17"/>
      <c r="R51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https://search-rtdc-monitor-bjffxe2xuh6vdkpspy63sjmuny.us-east-1.es.amazonaws.com/_plugin/kibana/#/discover/Steve-Slow-Train-Analysis-(2080s-and-2083s)?_g=(refreshInterval:(display:Off,section:0,value:0),time:(from:'2016-04-24 09:55:22-0600',mode:absolute,to:'2016-04-24 10:36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S51" s="16" t="str">
        <f t="shared" si="11"/>
        <v>N</v>
      </c>
      <c r="T51" s="16">
        <f t="shared" si="12"/>
        <v>4.5999999999999999E-2</v>
      </c>
      <c r="U51" s="16">
        <f t="shared" si="13"/>
        <v>23.329499999999999</v>
      </c>
      <c r="V51" s="16">
        <f t="shared" si="14"/>
        <v>23.2835</v>
      </c>
      <c r="W51" s="49" t="e">
        <f>VLOOKUP(A51,Enforcements!$C$3:$J$31,8,0)</f>
        <v>#N/A</v>
      </c>
      <c r="X51" s="49" t="e">
        <f>VLOOKUP(A51,Enforcements!$C$3:$J$31,3,0)</f>
        <v>#N/A</v>
      </c>
    </row>
    <row r="52" spans="1:24" s="2" customFormat="1" x14ac:dyDescent="0.25">
      <c r="A52" s="18" t="s">
        <v>210</v>
      </c>
      <c r="B52" s="19">
        <v>4043</v>
      </c>
      <c r="C52" s="19" t="s">
        <v>68</v>
      </c>
      <c r="D52" s="19" t="s">
        <v>211</v>
      </c>
      <c r="E52" s="53">
        <v>42484.452141203707</v>
      </c>
      <c r="F52" s="53">
        <v>42484.453206018516</v>
      </c>
      <c r="G52" s="62">
        <v>1</v>
      </c>
      <c r="H52" s="53" t="s">
        <v>8</v>
      </c>
      <c r="I52" s="53">
        <v>42484.485069444447</v>
      </c>
      <c r="J52" s="19">
        <v>2</v>
      </c>
      <c r="K52" s="19" t="str">
        <f t="shared" si="8"/>
        <v>4043/4044</v>
      </c>
      <c r="L52" s="20">
        <f t="shared" si="9"/>
        <v>3.1863425931078382E-2</v>
      </c>
      <c r="M52" s="21">
        <f t="shared" si="16"/>
        <v>45.88333334075287</v>
      </c>
      <c r="N52" s="21"/>
      <c r="O52" s="22"/>
      <c r="P52" s="17"/>
      <c r="R52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https://search-rtdc-monitor-bjffxe2xuh6vdkpspy63sjmuny.us-east-1.es.amazonaws.com/_plugin/kibana/#/discover/Steve-Slow-Train-Analysis-(2080s-and-2083s)?_g=(refreshInterval:(display:Off,section:0,value:0),time:(from:'2016-04-24 10:50:05-0600',mode:absolute,to:'2016-04-24 11:39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S52" s="16" t="str">
        <f t="shared" si="11"/>
        <v>N</v>
      </c>
      <c r="T52" s="16">
        <f t="shared" si="12"/>
        <v>23.297999999999998</v>
      </c>
      <c r="U52" s="16">
        <f t="shared" si="13"/>
        <v>1.43E-2</v>
      </c>
      <c r="V52" s="16">
        <f t="shared" si="14"/>
        <v>23.2837</v>
      </c>
      <c r="W52" s="49">
        <f>VLOOKUP(A52,Enforcements!$C$3:$J$31,8,0)</f>
        <v>21848</v>
      </c>
      <c r="X52" s="49" t="str">
        <f>VLOOKUP(A52,Enforcements!$C$3:$J$31,3,0)</f>
        <v>PERMANENT SPEED RESTRICTION</v>
      </c>
    </row>
    <row r="53" spans="1:24" s="2" customFormat="1" x14ac:dyDescent="0.25">
      <c r="A53" s="18" t="s">
        <v>212</v>
      </c>
      <c r="B53" s="19">
        <v>4025</v>
      </c>
      <c r="C53" s="19" t="s">
        <v>68</v>
      </c>
      <c r="D53" s="19" t="s">
        <v>128</v>
      </c>
      <c r="E53" s="53">
        <v>42484.426759259259</v>
      </c>
      <c r="F53" s="53">
        <v>42484.428159722222</v>
      </c>
      <c r="G53" s="62">
        <v>2</v>
      </c>
      <c r="H53" s="53" t="s">
        <v>94</v>
      </c>
      <c r="I53" s="53">
        <v>42484.455300925925</v>
      </c>
      <c r="J53" s="19">
        <v>0</v>
      </c>
      <c r="K53" s="19" t="str">
        <f t="shared" si="8"/>
        <v>4025/4026</v>
      </c>
      <c r="L53" s="20">
        <f t="shared" si="9"/>
        <v>2.7141203703649808E-2</v>
      </c>
      <c r="M53" s="21">
        <f t="shared" si="16"/>
        <v>39.083333333255723</v>
      </c>
      <c r="N53" s="21"/>
      <c r="O53" s="22"/>
      <c r="P53" s="17"/>
      <c r="R53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https://search-rtdc-monitor-bjffxe2xuh6vdkpspy63sjmuny.us-east-1.es.amazonaws.com/_plugin/kibana/#/discover/Steve-Slow-Train-Analysis-(2080s-and-2083s)?_g=(refreshInterval:(display:Off,section:0,value:0),time:(from:'2016-04-24 10:13:32-0600',mode:absolute,to:'2016-04-24 10:56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S53" s="16" t="str">
        <f t="shared" si="11"/>
        <v>N</v>
      </c>
      <c r="T53" s="16">
        <f t="shared" si="12"/>
        <v>4.5499999999999999E-2</v>
      </c>
      <c r="U53" s="16">
        <f t="shared" si="13"/>
        <v>23.332899999999999</v>
      </c>
      <c r="V53" s="16">
        <f t="shared" si="14"/>
        <v>23.287399999999998</v>
      </c>
      <c r="W53" s="49" t="e">
        <f>VLOOKUP(A53,Enforcements!$C$3:$J$31,8,0)</f>
        <v>#N/A</v>
      </c>
      <c r="X53" s="49" t="e">
        <f>VLOOKUP(A53,Enforcements!$C$3:$J$31,3,0)</f>
        <v>#N/A</v>
      </c>
    </row>
    <row r="54" spans="1:24" s="2" customFormat="1" x14ac:dyDescent="0.25">
      <c r="A54" s="18" t="s">
        <v>213</v>
      </c>
      <c r="B54" s="19">
        <v>4026</v>
      </c>
      <c r="C54" s="19" t="s">
        <v>68</v>
      </c>
      <c r="D54" s="19" t="s">
        <v>154</v>
      </c>
      <c r="E54" s="53">
        <v>42484.459537037037</v>
      </c>
      <c r="F54" s="53">
        <v>42484.460555555554</v>
      </c>
      <c r="G54" s="62">
        <v>1</v>
      </c>
      <c r="H54" s="53" t="s">
        <v>214</v>
      </c>
      <c r="I54" s="53">
        <v>42484.492939814816</v>
      </c>
      <c r="J54" s="19">
        <v>1</v>
      </c>
      <c r="K54" s="19" t="str">
        <f t="shared" si="8"/>
        <v>4025/4026</v>
      </c>
      <c r="L54" s="20">
        <f t="shared" si="9"/>
        <v>3.238425926247146E-2</v>
      </c>
      <c r="M54" s="21">
        <f t="shared" si="16"/>
        <v>46.633333337958902</v>
      </c>
      <c r="N54" s="21"/>
      <c r="O54" s="22"/>
      <c r="P54" s="17"/>
      <c r="R54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https://search-rtdc-monitor-bjffxe2xuh6vdkpspy63sjmuny.us-east-1.es.amazonaws.com/_plugin/kibana/#/discover/Steve-Slow-Train-Analysis-(2080s-and-2083s)?_g=(refreshInterval:(display:Off,section:0,value:0),time:(from:'2016-04-24 11:00:44-0600',mode:absolute,to:'2016-04-24 11:50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S54" s="16" t="str">
        <f t="shared" si="11"/>
        <v>N</v>
      </c>
      <c r="T54" s="16">
        <f t="shared" si="12"/>
        <v>23.299600000000002</v>
      </c>
      <c r="U54" s="16">
        <f t="shared" si="13"/>
        <v>1.7999999999999999E-2</v>
      </c>
      <c r="V54" s="16">
        <f t="shared" si="14"/>
        <v>23.281600000000001</v>
      </c>
      <c r="W54" s="49" t="e">
        <f>VLOOKUP(A54,Enforcements!$C$3:$J$31,8,0)</f>
        <v>#N/A</v>
      </c>
      <c r="X54" s="49" t="e">
        <f>VLOOKUP(A54,Enforcements!$C$3:$J$31,3,0)</f>
        <v>#N/A</v>
      </c>
    </row>
    <row r="55" spans="1:24" s="2" customFormat="1" x14ac:dyDescent="0.25">
      <c r="A55" s="18" t="s">
        <v>215</v>
      </c>
      <c r="B55" s="19">
        <v>4029</v>
      </c>
      <c r="C55" s="19" t="s">
        <v>68</v>
      </c>
      <c r="D55" s="19" t="s">
        <v>216</v>
      </c>
      <c r="E55" s="53">
        <v>42484.434618055559</v>
      </c>
      <c r="F55" s="53">
        <v>42484.435347222221</v>
      </c>
      <c r="G55" s="62">
        <v>1</v>
      </c>
      <c r="H55" s="53" t="s">
        <v>173</v>
      </c>
      <c r="I55" s="53">
        <v>42484.463645833333</v>
      </c>
      <c r="J55" s="19">
        <v>1</v>
      </c>
      <c r="K55" s="19" t="str">
        <f t="shared" si="8"/>
        <v>4029/4030</v>
      </c>
      <c r="L55" s="20">
        <f t="shared" si="9"/>
        <v>2.8298611112404615E-2</v>
      </c>
      <c r="M55" s="21">
        <f t="shared" si="16"/>
        <v>40.750000001862645</v>
      </c>
      <c r="N55" s="21"/>
      <c r="O55" s="22"/>
      <c r="P55" s="17"/>
      <c r="R55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https://search-rtdc-monitor-bjffxe2xuh6vdkpspy63sjmuny.us-east-1.es.amazonaws.com/_plugin/kibana/#/discover/Steve-Slow-Train-Analysis-(2080s-and-2083s)?_g=(refreshInterval:(display:Off,section:0,value:0),time:(from:'2016-04-24 10:24:51-0600',mode:absolute,to:'2016-04-24 11:08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S55" s="16" t="str">
        <f t="shared" si="11"/>
        <v>N</v>
      </c>
      <c r="T55" s="16">
        <f t="shared" si="12"/>
        <v>4.6399999999999997E-2</v>
      </c>
      <c r="U55" s="16">
        <f t="shared" si="13"/>
        <v>23.3019</v>
      </c>
      <c r="V55" s="16">
        <f t="shared" si="14"/>
        <v>23.255500000000001</v>
      </c>
      <c r="W55" s="49" t="e">
        <f>VLOOKUP(A55,Enforcements!$C$3:$J$31,8,0)</f>
        <v>#N/A</v>
      </c>
      <c r="X55" s="49" t="e">
        <f>VLOOKUP(A55,Enforcements!$C$3:$J$31,3,0)</f>
        <v>#N/A</v>
      </c>
    </row>
    <row r="56" spans="1:24" s="2" customFormat="1" x14ac:dyDescent="0.25">
      <c r="A56" s="18" t="s">
        <v>217</v>
      </c>
      <c r="B56" s="19">
        <v>4030</v>
      </c>
      <c r="C56" s="19" t="s">
        <v>68</v>
      </c>
      <c r="D56" s="19" t="s">
        <v>218</v>
      </c>
      <c r="E56" s="53">
        <v>42484.472326388888</v>
      </c>
      <c r="F56" s="53">
        <v>42484.473622685182</v>
      </c>
      <c r="G56" s="62">
        <v>1</v>
      </c>
      <c r="H56" s="53" t="s">
        <v>86</v>
      </c>
      <c r="I56" s="53">
        <v>42484.504305555558</v>
      </c>
      <c r="J56" s="19">
        <v>0</v>
      </c>
      <c r="K56" s="19" t="str">
        <f t="shared" si="8"/>
        <v>4029/4030</v>
      </c>
      <c r="L56" s="20">
        <f t="shared" si="9"/>
        <v>3.0682870376040228E-2</v>
      </c>
      <c r="M56" s="21">
        <f t="shared" si="16"/>
        <v>44.183333341497928</v>
      </c>
      <c r="N56" s="21"/>
      <c r="O56" s="22"/>
      <c r="P56" s="17"/>
      <c r="R56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https://search-rtdc-monitor-bjffxe2xuh6vdkpspy63sjmuny.us-east-1.es.amazonaws.com/_plugin/kibana/#/discover/Steve-Slow-Train-Analysis-(2080s-and-2083s)?_g=(refreshInterval:(display:Off,section:0,value:0),time:(from:'2016-04-24 11:19:09-0600',mode:absolute,to:'2016-04-24 12:07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S56" s="16" t="str">
        <f t="shared" si="11"/>
        <v>N</v>
      </c>
      <c r="T56" s="16">
        <f t="shared" si="12"/>
        <v>23.287299999999998</v>
      </c>
      <c r="U56" s="16">
        <f t="shared" si="13"/>
        <v>1.41E-2</v>
      </c>
      <c r="V56" s="16">
        <f t="shared" si="14"/>
        <v>23.273199999999999</v>
      </c>
      <c r="W56" s="49" t="e">
        <f>VLOOKUP(A56,Enforcements!$C$3:$J$31,8,0)</f>
        <v>#N/A</v>
      </c>
      <c r="X56" s="49" t="e">
        <f>VLOOKUP(A56,Enforcements!$C$3:$J$31,3,0)</f>
        <v>#N/A</v>
      </c>
    </row>
    <row r="57" spans="1:24" s="2" customFormat="1" x14ac:dyDescent="0.25">
      <c r="A57" s="18" t="s">
        <v>219</v>
      </c>
      <c r="B57" s="19">
        <v>4009</v>
      </c>
      <c r="C57" s="19" t="s">
        <v>68</v>
      </c>
      <c r="D57" s="19" t="s">
        <v>122</v>
      </c>
      <c r="E57" s="53">
        <v>42484.442824074074</v>
      </c>
      <c r="F57" s="53">
        <v>42484.444722222222</v>
      </c>
      <c r="G57" s="62">
        <v>2</v>
      </c>
      <c r="H57" s="53" t="s">
        <v>91</v>
      </c>
      <c r="I57" s="53">
        <v>42484.473425925928</v>
      </c>
      <c r="J57" s="19">
        <v>0</v>
      </c>
      <c r="K57" s="19" t="str">
        <f t="shared" si="8"/>
        <v>4009/4010</v>
      </c>
      <c r="L57" s="20">
        <f t="shared" si="9"/>
        <v>2.8703703705104999E-2</v>
      </c>
      <c r="M57" s="21">
        <f t="shared" si="16"/>
        <v>41.333333335351199</v>
      </c>
      <c r="N57" s="21"/>
      <c r="O57" s="22"/>
      <c r="P57" s="17"/>
      <c r="R57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https://search-rtdc-monitor-bjffxe2xuh6vdkpspy63sjmuny.us-east-1.es.amazonaws.com/_plugin/kibana/#/discover/Steve-Slow-Train-Analysis-(2080s-and-2083s)?_g=(refreshInterval:(display:Off,section:0,value:0),time:(from:'2016-04-24 10:36:40-0600',mode:absolute,to:'2016-04-24 11:22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S57" s="16" t="str">
        <f t="shared" si="11"/>
        <v>N</v>
      </c>
      <c r="T57" s="16">
        <f t="shared" si="12"/>
        <v>4.4699999999999997E-2</v>
      </c>
      <c r="U57" s="16">
        <f t="shared" si="13"/>
        <v>23.3323</v>
      </c>
      <c r="V57" s="16">
        <f t="shared" si="14"/>
        <v>23.287600000000001</v>
      </c>
      <c r="W57" s="49" t="e">
        <f>VLOOKUP(A57,Enforcements!$C$3:$J$31,8,0)</f>
        <v>#N/A</v>
      </c>
      <c r="X57" s="49" t="e">
        <f>VLOOKUP(A57,Enforcements!$C$3:$J$31,3,0)</f>
        <v>#N/A</v>
      </c>
    </row>
    <row r="58" spans="1:24" s="2" customFormat="1" x14ac:dyDescent="0.25">
      <c r="A58" s="18" t="s">
        <v>220</v>
      </c>
      <c r="B58" s="19">
        <v>4010</v>
      </c>
      <c r="C58" s="19" t="s">
        <v>68</v>
      </c>
      <c r="D58" s="19" t="s">
        <v>221</v>
      </c>
      <c r="E58" s="53">
        <v>42484.484502314815</v>
      </c>
      <c r="F58" s="53">
        <v>42484.485474537039</v>
      </c>
      <c r="G58" s="62">
        <v>1</v>
      </c>
      <c r="H58" s="53" t="s">
        <v>85</v>
      </c>
      <c r="I58" s="53">
        <v>42484.514699074076</v>
      </c>
      <c r="J58" s="19">
        <v>0</v>
      </c>
      <c r="K58" s="19" t="str">
        <f t="shared" si="8"/>
        <v>4009/4010</v>
      </c>
      <c r="L58" s="20">
        <f t="shared" si="9"/>
        <v>2.9224537036498077E-2</v>
      </c>
      <c r="M58" s="21">
        <f t="shared" si="16"/>
        <v>42.083333332557231</v>
      </c>
      <c r="N58" s="21"/>
      <c r="O58" s="22"/>
      <c r="P58" s="17"/>
      <c r="R58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https://search-rtdc-monitor-bjffxe2xuh6vdkpspy63sjmuny.us-east-1.es.amazonaws.com/_plugin/kibana/#/discover/Steve-Slow-Train-Analysis-(2080s-and-2083s)?_g=(refreshInterval:(display:Off,section:0,value:0),time:(from:'2016-04-24 11:36:41-0600',mode:absolute,to:'2016-04-24 12:22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S58" s="16" t="str">
        <f t="shared" si="11"/>
        <v>N</v>
      </c>
      <c r="T58" s="16">
        <f t="shared" si="12"/>
        <v>23.299399999999999</v>
      </c>
      <c r="U58" s="16">
        <f t="shared" si="13"/>
        <v>1.38E-2</v>
      </c>
      <c r="V58" s="16">
        <f t="shared" si="14"/>
        <v>23.285599999999999</v>
      </c>
      <c r="W58" s="49" t="e">
        <f>VLOOKUP(A58,Enforcements!$C$3:$J$31,8,0)</f>
        <v>#N/A</v>
      </c>
      <c r="X58" s="49" t="e">
        <f>VLOOKUP(A58,Enforcements!$C$3:$J$31,3,0)</f>
        <v>#N/A</v>
      </c>
    </row>
    <row r="59" spans="1:24" s="2" customFormat="1" x14ac:dyDescent="0.25">
      <c r="A59" s="18" t="s">
        <v>222</v>
      </c>
      <c r="B59" s="19">
        <v>4027</v>
      </c>
      <c r="C59" s="19" t="s">
        <v>68</v>
      </c>
      <c r="D59" s="19" t="s">
        <v>223</v>
      </c>
      <c r="E59" s="53">
        <v>42484.470405092594</v>
      </c>
      <c r="F59" s="53">
        <v>42484.47146990741</v>
      </c>
      <c r="G59" s="62">
        <v>1</v>
      </c>
      <c r="H59" s="53" t="s">
        <v>224</v>
      </c>
      <c r="I59" s="53">
        <v>42484.494328703702</v>
      </c>
      <c r="J59" s="19">
        <v>1</v>
      </c>
      <c r="K59" s="19" t="str">
        <f t="shared" si="8"/>
        <v>4027/4028</v>
      </c>
      <c r="L59" s="20">
        <f t="shared" si="9"/>
        <v>2.2858796291984618E-2</v>
      </c>
      <c r="M59" s="21"/>
      <c r="N59" s="21"/>
      <c r="O59" s="21">
        <f>($L59+L60)*24*60</f>
        <v>38.649999992921948</v>
      </c>
      <c r="P59" s="17" t="s">
        <v>405</v>
      </c>
      <c r="R59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https://search-rtdc-monitor-bjffxe2xuh6vdkpspy63sjmuny.us-east-1.es.amazonaws.com/_plugin/kibana/#/discover/Steve-Slow-Train-Analysis-(2080s-and-2083s)?_g=(refreshInterval:(display:Off,section:0,value:0),time:(from:'2016-04-24 11:16:23-0600',mode:absolute,to:'2016-04-24 11:52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S59" s="16" t="str">
        <f t="shared" si="11"/>
        <v>Y</v>
      </c>
      <c r="T59" s="16">
        <f t="shared" si="12"/>
        <v>1.9191</v>
      </c>
      <c r="U59" s="16">
        <f t="shared" si="13"/>
        <v>23.328499999999998</v>
      </c>
      <c r="V59" s="16">
        <f t="shared" si="14"/>
        <v>21.409399999999998</v>
      </c>
      <c r="W59" s="49">
        <f>VLOOKUP(A59,Enforcements!$C$3:$J$31,8,0)</f>
        <v>10800</v>
      </c>
      <c r="X59" s="49" t="str">
        <f>VLOOKUP(A59,Enforcements!$C$3:$J$31,3,0)</f>
        <v>SIGNAL</v>
      </c>
    </row>
    <row r="60" spans="1:24" s="2" customFormat="1" x14ac:dyDescent="0.25">
      <c r="A60" s="18" t="s">
        <v>222</v>
      </c>
      <c r="B60" s="19">
        <v>4027</v>
      </c>
      <c r="C60" s="19" t="s">
        <v>68</v>
      </c>
      <c r="D60" s="19" t="s">
        <v>171</v>
      </c>
      <c r="E60" s="53">
        <v>42484.454305555555</v>
      </c>
      <c r="F60" s="53">
        <v>42484.455567129633</v>
      </c>
      <c r="G60" s="62">
        <v>1</v>
      </c>
      <c r="H60" s="53" t="s">
        <v>225</v>
      </c>
      <c r="I60" s="53">
        <v>42484.459548611114</v>
      </c>
      <c r="J60" s="19">
        <v>0</v>
      </c>
      <c r="K60" s="19" t="str">
        <f t="shared" si="8"/>
        <v>4027/4028</v>
      </c>
      <c r="L60" s="20">
        <f t="shared" si="9"/>
        <v>3.9814814808778465E-3</v>
      </c>
      <c r="M60" s="21"/>
      <c r="N60" s="21"/>
      <c r="O60" s="22"/>
      <c r="P60" s="17"/>
      <c r="R60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https://search-rtdc-monitor-bjffxe2xuh6vdkpspy63sjmuny.us-east-1.es.amazonaws.com/_plugin/kibana/#/discover/Steve-Slow-Train-Analysis-(2080s-and-2083s)?_g=(refreshInterval:(display:Off,section:0,value:0),time:(from:'2016-04-24 10:53:12-0600',mode:absolute,to:'2016-04-24 11:02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S60" s="16" t="str">
        <f t="shared" si="11"/>
        <v>Y</v>
      </c>
      <c r="T60" s="16">
        <f t="shared" si="12"/>
        <v>4.53E-2</v>
      </c>
      <c r="U60" s="16">
        <f t="shared" si="13"/>
        <v>6.13E-2</v>
      </c>
      <c r="V60" s="16">
        <f t="shared" si="14"/>
        <v>1.6E-2</v>
      </c>
      <c r="W60" s="49">
        <f>VLOOKUP(A60,Enforcements!$C$3:$J$31,8,0)</f>
        <v>10800</v>
      </c>
      <c r="X60" s="49" t="str">
        <f>VLOOKUP(A60,Enforcements!$C$3:$J$31,3,0)</f>
        <v>SIGNAL</v>
      </c>
    </row>
    <row r="61" spans="1:24" s="2" customFormat="1" x14ac:dyDescent="0.25">
      <c r="A61" s="18" t="s">
        <v>226</v>
      </c>
      <c r="B61" s="19">
        <v>4028</v>
      </c>
      <c r="C61" s="19" t="s">
        <v>68</v>
      </c>
      <c r="D61" s="19" t="s">
        <v>227</v>
      </c>
      <c r="E61" s="53">
        <v>42484.497314814813</v>
      </c>
      <c r="F61" s="53">
        <v>42484.498449074075</v>
      </c>
      <c r="G61" s="62">
        <v>1</v>
      </c>
      <c r="H61" s="53" t="s">
        <v>21</v>
      </c>
      <c r="I61" s="53">
        <v>42484.52684027778</v>
      </c>
      <c r="J61" s="19">
        <v>0</v>
      </c>
      <c r="K61" s="19" t="str">
        <f t="shared" si="8"/>
        <v>4027/4028</v>
      </c>
      <c r="L61" s="20">
        <f t="shared" si="9"/>
        <v>2.8391203704813961E-2</v>
      </c>
      <c r="M61" s="21">
        <f t="shared" si="16"/>
        <v>40.883333334932104</v>
      </c>
      <c r="N61" s="21"/>
      <c r="O61" s="22"/>
      <c r="P61" s="17"/>
      <c r="R61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https://search-rtdc-monitor-bjffxe2xuh6vdkpspy63sjmuny.us-east-1.es.amazonaws.com/_plugin/kibana/#/discover/Steve-Slow-Train-Analysis-(2080s-and-2083s)?_g=(refreshInterval:(display:Off,section:0,value:0),time:(from:'2016-04-24 11:55:08-0600',mode:absolute,to:'2016-04-24 12:39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S61" s="16" t="str">
        <f t="shared" si="11"/>
        <v>N</v>
      </c>
      <c r="T61" s="16">
        <f t="shared" si="12"/>
        <v>23.2972</v>
      </c>
      <c r="U61" s="16">
        <f t="shared" si="13"/>
        <v>1.47E-2</v>
      </c>
      <c r="V61" s="16">
        <f t="shared" si="14"/>
        <v>23.282499999999999</v>
      </c>
      <c r="W61" s="49" t="e">
        <f>VLOOKUP(A61,Enforcements!$C$3:$J$31,8,0)</f>
        <v>#N/A</v>
      </c>
      <c r="X61" s="49" t="e">
        <f>VLOOKUP(A61,Enforcements!$C$3:$J$31,3,0)</f>
        <v>#N/A</v>
      </c>
    </row>
    <row r="62" spans="1:24" s="2" customFormat="1" x14ac:dyDescent="0.25">
      <c r="A62" s="18" t="s">
        <v>228</v>
      </c>
      <c r="B62" s="19">
        <v>4031</v>
      </c>
      <c r="C62" s="19" t="s">
        <v>68</v>
      </c>
      <c r="D62" s="19" t="s">
        <v>216</v>
      </c>
      <c r="E62" s="53">
        <v>42484.465428240743</v>
      </c>
      <c r="F62" s="53">
        <v>42484.466782407406</v>
      </c>
      <c r="G62" s="62">
        <v>1</v>
      </c>
      <c r="H62" s="53" t="s">
        <v>91</v>
      </c>
      <c r="I62" s="53">
        <v>42484.503576388888</v>
      </c>
      <c r="J62" s="19">
        <v>2</v>
      </c>
      <c r="K62" s="19" t="str">
        <f t="shared" si="8"/>
        <v>4031/4032</v>
      </c>
      <c r="L62" s="20">
        <f t="shared" si="9"/>
        <v>3.6793981482333038E-2</v>
      </c>
      <c r="M62" s="21">
        <f t="shared" si="16"/>
        <v>52.983333334559575</v>
      </c>
      <c r="N62" s="21"/>
      <c r="O62" s="22"/>
      <c r="P62" s="17"/>
      <c r="R62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https://search-rtdc-monitor-bjffxe2xuh6vdkpspy63sjmuny.us-east-1.es.amazonaws.com/_plugin/kibana/#/discover/Steve-Slow-Train-Analysis-(2080s-and-2083s)?_g=(refreshInterval:(display:Off,section:0,value:0),time:(from:'2016-04-24 11:09:13-0600',mode:absolute,to:'2016-04-24 12:06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S62" s="16" t="str">
        <f t="shared" si="11"/>
        <v>N</v>
      </c>
      <c r="T62" s="16">
        <f t="shared" si="12"/>
        <v>4.6399999999999997E-2</v>
      </c>
      <c r="U62" s="16">
        <f t="shared" si="13"/>
        <v>23.3323</v>
      </c>
      <c r="V62" s="16">
        <f t="shared" si="14"/>
        <v>23.285900000000002</v>
      </c>
      <c r="W62" s="49">
        <f>VLOOKUP(A62,Enforcements!$C$3:$J$31,8,0)</f>
        <v>230436</v>
      </c>
      <c r="X62" s="49" t="str">
        <f>VLOOKUP(A62,Enforcements!$C$3:$J$31,3,0)</f>
        <v>PERMANENT SPEED RESTRICTION</v>
      </c>
    </row>
    <row r="63" spans="1:24" s="2" customFormat="1" x14ac:dyDescent="0.25">
      <c r="A63" s="18" t="s">
        <v>229</v>
      </c>
      <c r="B63" s="19">
        <v>4032</v>
      </c>
      <c r="C63" s="19" t="s">
        <v>68</v>
      </c>
      <c r="D63" s="19" t="s">
        <v>230</v>
      </c>
      <c r="E63" s="53">
        <v>42484.505266203705</v>
      </c>
      <c r="F63" s="53">
        <v>42484.506701388891</v>
      </c>
      <c r="G63" s="62">
        <v>2</v>
      </c>
      <c r="H63" s="53" t="s">
        <v>231</v>
      </c>
      <c r="I63" s="53">
        <v>42484.53738425926</v>
      </c>
      <c r="J63" s="19">
        <v>1</v>
      </c>
      <c r="K63" s="19" t="str">
        <f t="shared" si="8"/>
        <v>4031/4032</v>
      </c>
      <c r="L63" s="20">
        <f t="shared" si="9"/>
        <v>3.068287036876427E-2</v>
      </c>
      <c r="M63" s="21">
        <f t="shared" ref="M63:O83" si="17">$L63*24*60</f>
        <v>44.183333331020549</v>
      </c>
      <c r="N63" s="21"/>
      <c r="O63" s="22"/>
      <c r="P63" s="17"/>
      <c r="R63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https://search-rtdc-monitor-bjffxe2xuh6vdkpspy63sjmuny.us-east-1.es.amazonaws.com/_plugin/kibana/#/discover/Steve-Slow-Train-Analysis-(2080s-and-2083s)?_g=(refreshInterval:(display:Off,section:0,value:0),time:(from:'2016-04-24 12:06:35-0600',mode:absolute,to:'2016-04-24 12:54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S63" s="16" t="str">
        <f t="shared" si="11"/>
        <v>N</v>
      </c>
      <c r="T63" s="16">
        <f t="shared" si="12"/>
        <v>23.3017</v>
      </c>
      <c r="U63" s="16">
        <f t="shared" si="13"/>
        <v>1.12E-2</v>
      </c>
      <c r="V63" s="16">
        <f t="shared" si="14"/>
        <v>23.290500000000002</v>
      </c>
      <c r="W63" s="49" t="e">
        <f>VLOOKUP(A63,Enforcements!$C$3:$J$31,8,0)</f>
        <v>#N/A</v>
      </c>
      <c r="X63" s="49" t="e">
        <f>VLOOKUP(A63,Enforcements!$C$3:$J$31,3,0)</f>
        <v>#N/A</v>
      </c>
    </row>
    <row r="64" spans="1:24" s="2" customFormat="1" x14ac:dyDescent="0.25">
      <c r="A64" s="18" t="s">
        <v>232</v>
      </c>
      <c r="B64" s="19">
        <v>4040</v>
      </c>
      <c r="C64" s="19" t="s">
        <v>68</v>
      </c>
      <c r="D64" s="19" t="s">
        <v>128</v>
      </c>
      <c r="E64" s="53">
        <v>42484.475034722222</v>
      </c>
      <c r="F64" s="53">
        <v>42484.477071759262</v>
      </c>
      <c r="G64" s="62">
        <v>2</v>
      </c>
      <c r="H64" s="53" t="s">
        <v>89</v>
      </c>
      <c r="I64" s="53">
        <v>42484.506782407407</v>
      </c>
      <c r="J64" s="19">
        <v>1</v>
      </c>
      <c r="K64" s="19" t="str">
        <f t="shared" si="8"/>
        <v>4039/4040</v>
      </c>
      <c r="L64" s="20">
        <f t="shared" si="9"/>
        <v>2.9710648144828156E-2</v>
      </c>
      <c r="M64" s="21">
        <f t="shared" si="17"/>
        <v>42.783333328552544</v>
      </c>
      <c r="N64" s="21"/>
      <c r="O64" s="22"/>
      <c r="P64" s="17"/>
      <c r="R64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https://search-rtdc-monitor-bjffxe2xuh6vdkpspy63sjmuny.us-east-1.es.amazonaws.com/_plugin/kibana/#/discover/Steve-Slow-Train-Analysis-(2080s-and-2083s)?_g=(refreshInterval:(display:Off,section:0,value:0),time:(from:'2016-04-24 11:23:03-0600',mode:absolute,to:'2016-04-24 12:10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S64" s="16" t="str">
        <f t="shared" si="11"/>
        <v>N</v>
      </c>
      <c r="T64" s="16">
        <f t="shared" si="12"/>
        <v>4.5499999999999999E-2</v>
      </c>
      <c r="U64" s="16">
        <f t="shared" si="13"/>
        <v>23.332599999999999</v>
      </c>
      <c r="V64" s="16">
        <f t="shared" si="14"/>
        <v>23.287099999999999</v>
      </c>
      <c r="W64" s="49">
        <f>VLOOKUP(A64,Enforcements!$C$3:$J$31,8,0)</f>
        <v>20338</v>
      </c>
      <c r="X64" s="49" t="str">
        <f>VLOOKUP(A64,Enforcements!$C$3:$J$31,3,0)</f>
        <v>PERMANENT SPEED RESTRICTION</v>
      </c>
    </row>
    <row r="65" spans="1:24" s="2" customFormat="1" x14ac:dyDescent="0.25">
      <c r="A65" s="18" t="s">
        <v>233</v>
      </c>
      <c r="B65" s="19">
        <v>4039</v>
      </c>
      <c r="C65" s="19" t="s">
        <v>68</v>
      </c>
      <c r="D65" s="19" t="s">
        <v>234</v>
      </c>
      <c r="E65" s="53">
        <v>42484.517858796295</v>
      </c>
      <c r="F65" s="53">
        <v>42484.520289351851</v>
      </c>
      <c r="G65" s="62">
        <v>3</v>
      </c>
      <c r="H65" s="53" t="s">
        <v>235</v>
      </c>
      <c r="I65" s="53">
        <v>42484.547858796293</v>
      </c>
      <c r="J65" s="19">
        <v>1</v>
      </c>
      <c r="K65" s="19" t="str">
        <f t="shared" si="8"/>
        <v>4039/4040</v>
      </c>
      <c r="L65" s="20">
        <f t="shared" si="9"/>
        <v>2.7569444442633539E-2</v>
      </c>
      <c r="M65" s="21">
        <f t="shared" si="17"/>
        <v>39.699999997392297</v>
      </c>
      <c r="N65" s="21"/>
      <c r="O65" s="22"/>
      <c r="P65" s="17"/>
      <c r="R65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https://search-rtdc-monitor-bjffxe2xuh6vdkpspy63sjmuny.us-east-1.es.amazonaws.com/_plugin/kibana/#/discover/Steve-Slow-Train-Analysis-(2080s-and-2083s)?_g=(refreshInterval:(display:Off,section:0,value:0),time:(from:'2016-04-24 12:24:43-0600',mode:absolute,to:'2016-04-24 13:09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S65" s="16" t="str">
        <f t="shared" si="11"/>
        <v>N</v>
      </c>
      <c r="T65" s="16">
        <f t="shared" si="12"/>
        <v>23.301500000000001</v>
      </c>
      <c r="U65" s="16">
        <f t="shared" si="13"/>
        <v>1.29E-2</v>
      </c>
      <c r="V65" s="16">
        <f t="shared" si="14"/>
        <v>23.288600000000002</v>
      </c>
      <c r="W65" s="49" t="e">
        <f>VLOOKUP(A65,Enforcements!$C$3:$J$31,8,0)</f>
        <v>#N/A</v>
      </c>
      <c r="X65" s="49" t="e">
        <f>VLOOKUP(A65,Enforcements!$C$3:$J$31,3,0)</f>
        <v>#N/A</v>
      </c>
    </row>
    <row r="66" spans="1:24" s="2" customFormat="1" x14ac:dyDescent="0.25">
      <c r="A66" s="18" t="s">
        <v>236</v>
      </c>
      <c r="B66" s="19">
        <v>4044</v>
      </c>
      <c r="C66" s="19" t="s">
        <v>68</v>
      </c>
      <c r="D66" s="19" t="s">
        <v>180</v>
      </c>
      <c r="E66" s="53">
        <v>42484.486898148149</v>
      </c>
      <c r="F66" s="53">
        <v>42484.48841435185</v>
      </c>
      <c r="G66" s="62">
        <v>2</v>
      </c>
      <c r="H66" s="53" t="s">
        <v>237</v>
      </c>
      <c r="I66" s="53">
        <v>42484.514884259261</v>
      </c>
      <c r="J66" s="19">
        <v>0</v>
      </c>
      <c r="K66" s="19" t="str">
        <f t="shared" si="8"/>
        <v>4043/4044</v>
      </c>
      <c r="L66" s="20">
        <f t="shared" si="9"/>
        <v>2.6469907410501037E-2</v>
      </c>
      <c r="M66" s="21">
        <f t="shared" si="17"/>
        <v>38.116666671121493</v>
      </c>
      <c r="N66" s="21"/>
      <c r="O66" s="22"/>
      <c r="P66" s="17"/>
      <c r="R66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https://search-rtdc-monitor-bjffxe2xuh6vdkpspy63sjmuny.us-east-1.es.amazonaws.com/_plugin/kibana/#/discover/Steve-Slow-Train-Analysis-(2080s-and-2083s)?_g=(refreshInterval:(display:Off,section:0,value:0),time:(from:'2016-04-24 11:40:08-0600',mode:absolute,to:'2016-04-24 12:22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S66" s="16" t="str">
        <f t="shared" si="11"/>
        <v>N</v>
      </c>
      <c r="T66" s="16">
        <f t="shared" si="12"/>
        <v>4.5999999999999999E-2</v>
      </c>
      <c r="U66" s="16">
        <f t="shared" si="13"/>
        <v>23.334</v>
      </c>
      <c r="V66" s="16">
        <f t="shared" si="14"/>
        <v>23.288</v>
      </c>
      <c r="W66" s="49" t="e">
        <f>VLOOKUP(A66,Enforcements!$C$3:$J$31,8,0)</f>
        <v>#N/A</v>
      </c>
      <c r="X66" s="49" t="e">
        <f>VLOOKUP(A66,Enforcements!$C$3:$J$31,3,0)</f>
        <v>#N/A</v>
      </c>
    </row>
    <row r="67" spans="1:24" s="2" customFormat="1" x14ac:dyDescent="0.25">
      <c r="A67" s="18" t="s">
        <v>238</v>
      </c>
      <c r="B67" s="19">
        <v>4043</v>
      </c>
      <c r="C67" s="19" t="s">
        <v>68</v>
      </c>
      <c r="D67" s="19" t="s">
        <v>163</v>
      </c>
      <c r="E67" s="53">
        <v>42484.524930555555</v>
      </c>
      <c r="F67" s="53">
        <v>42484.526898148149</v>
      </c>
      <c r="G67" s="62">
        <v>2</v>
      </c>
      <c r="H67" s="53" t="s">
        <v>25</v>
      </c>
      <c r="I67" s="53">
        <v>42484.557025462964</v>
      </c>
      <c r="J67" s="19">
        <v>1</v>
      </c>
      <c r="K67" s="19" t="str">
        <f t="shared" si="8"/>
        <v>4043/4044</v>
      </c>
      <c r="L67" s="20">
        <f t="shared" si="9"/>
        <v>3.0127314814308193E-2</v>
      </c>
      <c r="M67" s="21">
        <f t="shared" si="17"/>
        <v>43.383333332603797</v>
      </c>
      <c r="N67" s="21"/>
      <c r="O67" s="22"/>
      <c r="P67" s="17"/>
      <c r="R67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https://search-rtdc-monitor-bjffxe2xuh6vdkpspy63sjmuny.us-east-1.es.amazonaws.com/_plugin/kibana/#/discover/Steve-Slow-Train-Analysis-(2080s-and-2083s)?_g=(refreshInterval:(display:Off,section:0,value:0),time:(from:'2016-04-24 12:34:54-0600',mode:absolute,to:'2016-04-24 13:23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S67" s="16" t="str">
        <f t="shared" si="11"/>
        <v>N</v>
      </c>
      <c r="T67" s="16">
        <f t="shared" si="12"/>
        <v>23.302099999999999</v>
      </c>
      <c r="U67" s="16">
        <f t="shared" si="13"/>
        <v>1.5599999999999999E-2</v>
      </c>
      <c r="V67" s="16">
        <f t="shared" si="14"/>
        <v>23.2865</v>
      </c>
      <c r="W67" s="49" t="e">
        <f>VLOOKUP(A67,Enforcements!$C$3:$J$31,8,0)</f>
        <v>#N/A</v>
      </c>
      <c r="X67" s="49" t="e">
        <f>VLOOKUP(A67,Enforcements!$C$3:$J$31,3,0)</f>
        <v>#N/A</v>
      </c>
    </row>
    <row r="68" spans="1:24" s="2" customFormat="1" x14ac:dyDescent="0.25">
      <c r="A68" s="18" t="s">
        <v>239</v>
      </c>
      <c r="B68" s="19">
        <v>4025</v>
      </c>
      <c r="C68" s="19" t="s">
        <v>68</v>
      </c>
      <c r="D68" s="19" t="s">
        <v>240</v>
      </c>
      <c r="E68" s="53">
        <v>42484.495763888888</v>
      </c>
      <c r="F68" s="53">
        <v>42484.496898148151</v>
      </c>
      <c r="G68" s="62">
        <v>1</v>
      </c>
      <c r="H68" s="53" t="s">
        <v>241</v>
      </c>
      <c r="I68" s="53">
        <v>42484.525752314818</v>
      </c>
      <c r="J68" s="19">
        <v>1</v>
      </c>
      <c r="K68" s="19" t="str">
        <f t="shared" si="8"/>
        <v>4025/4026</v>
      </c>
      <c r="L68" s="20">
        <f t="shared" si="9"/>
        <v>2.8854166666860692E-2</v>
      </c>
      <c r="M68" s="21">
        <f t="shared" si="17"/>
        <v>41.550000000279397</v>
      </c>
      <c r="N68" s="21"/>
      <c r="O68" s="22"/>
      <c r="P68" s="17"/>
      <c r="R68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https://search-rtdc-monitor-bjffxe2xuh6vdkpspy63sjmuny.us-east-1.es.amazonaws.com/_plugin/kibana/#/discover/Steve-Slow-Train-Analysis-(2080s-and-2083s)?_g=(refreshInterval:(display:Off,section:0,value:0),time:(from:'2016-04-24 11:52:54-0600',mode:absolute,to:'2016-04-24 12:38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S68" s="16" t="str">
        <f t="shared" si="11"/>
        <v>N</v>
      </c>
      <c r="T68" s="16">
        <f t="shared" si="12"/>
        <v>5.1499999999999997E-2</v>
      </c>
      <c r="U68" s="16">
        <f t="shared" si="13"/>
        <v>23.331600000000002</v>
      </c>
      <c r="V68" s="16">
        <f t="shared" si="14"/>
        <v>23.280100000000001</v>
      </c>
      <c r="W68" s="49" t="e">
        <f>VLOOKUP(A68,Enforcements!$C$3:$J$31,8,0)</f>
        <v>#N/A</v>
      </c>
      <c r="X68" s="49" t="e">
        <f>VLOOKUP(A68,Enforcements!$C$3:$J$31,3,0)</f>
        <v>#N/A</v>
      </c>
    </row>
    <row r="69" spans="1:24" s="2" customFormat="1" x14ac:dyDescent="0.25">
      <c r="A69" s="18" t="s">
        <v>242</v>
      </c>
      <c r="B69" s="19">
        <v>4026</v>
      </c>
      <c r="C69" s="19" t="s">
        <v>68</v>
      </c>
      <c r="D69" s="19" t="s">
        <v>243</v>
      </c>
      <c r="E69" s="53">
        <v>42484.533425925925</v>
      </c>
      <c r="F69" s="53">
        <v>42484.534247685187</v>
      </c>
      <c r="G69" s="62">
        <v>1</v>
      </c>
      <c r="H69" s="53" t="s">
        <v>244</v>
      </c>
      <c r="I69" s="53">
        <v>42484.566701388889</v>
      </c>
      <c r="J69" s="19">
        <v>1</v>
      </c>
      <c r="K69" s="19" t="str">
        <f t="shared" si="8"/>
        <v>4025/4026</v>
      </c>
      <c r="L69" s="20">
        <f t="shared" si="9"/>
        <v>3.2453703701321501E-2</v>
      </c>
      <c r="M69" s="21">
        <f t="shared" si="17"/>
        <v>46.733333329902962</v>
      </c>
      <c r="N69" s="21"/>
      <c r="O69" s="22"/>
      <c r="P69" s="17"/>
      <c r="R69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https://search-rtdc-monitor-bjffxe2xuh6vdkpspy63sjmuny.us-east-1.es.amazonaws.com/_plugin/kibana/#/discover/Steve-Slow-Train-Analysis-(2080s-and-2083s)?_g=(refreshInterval:(display:Off,section:0,value:0),time:(from:'2016-04-24 12:47:08-0600',mode:absolute,to:'2016-04-24 13:37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S69" s="16" t="str">
        <f t="shared" si="11"/>
        <v>N</v>
      </c>
      <c r="T69" s="16">
        <f t="shared" si="12"/>
        <v>23.298200000000001</v>
      </c>
      <c r="U69" s="16">
        <f t="shared" si="13"/>
        <v>1.89E-2</v>
      </c>
      <c r="V69" s="16">
        <f t="shared" si="14"/>
        <v>23.279300000000003</v>
      </c>
      <c r="W69" s="49" t="e">
        <f>VLOOKUP(A69,Enforcements!$C$3:$J$31,8,0)</f>
        <v>#N/A</v>
      </c>
      <c r="X69" s="49" t="e">
        <f>VLOOKUP(A69,Enforcements!$C$3:$J$31,3,0)</f>
        <v>#N/A</v>
      </c>
    </row>
    <row r="70" spans="1:24" s="2" customFormat="1" x14ac:dyDescent="0.25">
      <c r="A70" s="18" t="s">
        <v>245</v>
      </c>
      <c r="B70" s="19">
        <v>4029</v>
      </c>
      <c r="C70" s="19" t="s">
        <v>68</v>
      </c>
      <c r="D70" s="19" t="s">
        <v>175</v>
      </c>
      <c r="E70" s="53">
        <v>42484.509340277778</v>
      </c>
      <c r="F70" s="53">
        <v>42484.510312500002</v>
      </c>
      <c r="G70" s="62">
        <v>1</v>
      </c>
      <c r="H70" s="53" t="s">
        <v>246</v>
      </c>
      <c r="I70" s="53">
        <v>42484.53800925926</v>
      </c>
      <c r="J70" s="19">
        <v>1</v>
      </c>
      <c r="K70" s="19" t="str">
        <f t="shared" si="8"/>
        <v>4029/4030</v>
      </c>
      <c r="L70" s="20">
        <f t="shared" si="9"/>
        <v>2.7696759258105885E-2</v>
      </c>
      <c r="M70" s="21">
        <f t="shared" si="17"/>
        <v>39.883333331672475</v>
      </c>
      <c r="N70" s="21"/>
      <c r="O70" s="22"/>
      <c r="P70" s="17"/>
      <c r="R70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https://search-rtdc-monitor-bjffxe2xuh6vdkpspy63sjmuny.us-east-1.es.amazonaws.com/_plugin/kibana/#/discover/Steve-Slow-Train-Analysis-(2080s-and-2083s)?_g=(refreshInterval:(display:Off,section:0,value:0),time:(from:'2016-04-24 12:12:27-0600',mode:absolute,to:'2016-04-24 12:55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S70" s="16" t="str">
        <f t="shared" si="11"/>
        <v>N</v>
      </c>
      <c r="T70" s="16">
        <f t="shared" si="12"/>
        <v>4.5100000000000001E-2</v>
      </c>
      <c r="U70" s="16">
        <f t="shared" si="13"/>
        <v>23.303000000000001</v>
      </c>
      <c r="V70" s="16">
        <f t="shared" si="14"/>
        <v>23.257899999999999</v>
      </c>
      <c r="W70" s="49" t="e">
        <f>VLOOKUP(A70,Enforcements!$C$3:$J$31,8,0)</f>
        <v>#N/A</v>
      </c>
      <c r="X70" s="49" t="e">
        <f>VLOOKUP(A70,Enforcements!$C$3:$J$31,3,0)</f>
        <v>#N/A</v>
      </c>
    </row>
    <row r="71" spans="1:24" s="2" customFormat="1" x14ac:dyDescent="0.25">
      <c r="A71" s="18" t="s">
        <v>247</v>
      </c>
      <c r="B71" s="19">
        <v>4030</v>
      </c>
      <c r="C71" s="19" t="s">
        <v>68</v>
      </c>
      <c r="D71" s="19" t="s">
        <v>248</v>
      </c>
      <c r="E71" s="53">
        <v>42484.540659722225</v>
      </c>
      <c r="F71" s="53">
        <v>42484.541678240741</v>
      </c>
      <c r="G71" s="62">
        <v>1</v>
      </c>
      <c r="H71" s="53" t="s">
        <v>92</v>
      </c>
      <c r="I71" s="53">
        <v>42484.578506944446</v>
      </c>
      <c r="J71" s="19">
        <v>0</v>
      </c>
      <c r="K71" s="19" t="str">
        <f t="shared" si="8"/>
        <v>4029/4030</v>
      </c>
      <c r="L71" s="20">
        <f t="shared" si="9"/>
        <v>3.6828703705396038E-2</v>
      </c>
      <c r="M71" s="21">
        <f t="shared" si="17"/>
        <v>53.033333335770294</v>
      </c>
      <c r="N71" s="21"/>
      <c r="O71" s="22"/>
      <c r="P71" s="17"/>
      <c r="R71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https://search-rtdc-monitor-bjffxe2xuh6vdkpspy63sjmuny.us-east-1.es.amazonaws.com/_plugin/kibana/#/discover/Steve-Slow-Train-Analysis-(2080s-and-2083s)?_g=(refreshInterval:(display:Off,section:0,value:0),time:(from:'2016-04-24 12:57:33-0600',mode:absolute,to:'2016-04-24 13:54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S71" s="16" t="str">
        <f t="shared" si="11"/>
        <v>N</v>
      </c>
      <c r="T71" s="16">
        <f t="shared" si="12"/>
        <v>23.2883</v>
      </c>
      <c r="U71" s="16">
        <f t="shared" si="13"/>
        <v>1.52E-2</v>
      </c>
      <c r="V71" s="16">
        <f t="shared" si="14"/>
        <v>23.273099999999999</v>
      </c>
      <c r="W71" s="49" t="e">
        <f>VLOOKUP(A71,Enforcements!$C$3:$J$31,8,0)</f>
        <v>#N/A</v>
      </c>
      <c r="X71" s="49" t="e">
        <f>VLOOKUP(A71,Enforcements!$C$3:$J$31,3,0)</f>
        <v>#N/A</v>
      </c>
    </row>
    <row r="72" spans="1:24" s="2" customFormat="1" x14ac:dyDescent="0.25">
      <c r="A72" s="18" t="s">
        <v>249</v>
      </c>
      <c r="B72" s="19">
        <v>4009</v>
      </c>
      <c r="C72" s="19" t="s">
        <v>68</v>
      </c>
      <c r="D72" s="19" t="s">
        <v>180</v>
      </c>
      <c r="E72" s="53">
        <v>42484.519305555557</v>
      </c>
      <c r="F72" s="53">
        <v>42484.520497685182</v>
      </c>
      <c r="G72" s="62">
        <v>1</v>
      </c>
      <c r="H72" s="53" t="s">
        <v>124</v>
      </c>
      <c r="I72" s="53">
        <v>42484.545613425929</v>
      </c>
      <c r="J72" s="19">
        <v>1</v>
      </c>
      <c r="K72" s="19" t="str">
        <f t="shared" si="8"/>
        <v>4009/4010</v>
      </c>
      <c r="L72" s="20">
        <f t="shared" si="9"/>
        <v>2.5115740747423843E-2</v>
      </c>
      <c r="M72" s="21">
        <f t="shared" si="17"/>
        <v>36.166666676290333</v>
      </c>
      <c r="N72" s="21"/>
      <c r="O72" s="22"/>
      <c r="P72" s="17"/>
      <c r="R72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https://search-rtdc-monitor-bjffxe2xuh6vdkpspy63sjmuny.us-east-1.es.amazonaws.com/_plugin/kibana/#/discover/Steve-Slow-Train-Analysis-(2080s-and-2083s)?_g=(refreshInterval:(display:Off,section:0,value:0),time:(from:'2016-04-24 12:26:48-0600',mode:absolute,to:'2016-04-24 13:06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S72" s="16" t="str">
        <f t="shared" si="11"/>
        <v>N</v>
      </c>
      <c r="T72" s="16">
        <f t="shared" si="12"/>
        <v>4.5999999999999999E-2</v>
      </c>
      <c r="U72" s="16">
        <f t="shared" si="13"/>
        <v>23.330300000000001</v>
      </c>
      <c r="V72" s="16">
        <f t="shared" si="14"/>
        <v>23.284300000000002</v>
      </c>
      <c r="W72" s="49" t="e">
        <f>VLOOKUP(A72,Enforcements!$C$3:$J$31,8,0)</f>
        <v>#N/A</v>
      </c>
      <c r="X72" s="49" t="e">
        <f>VLOOKUP(A72,Enforcements!$C$3:$J$31,3,0)</f>
        <v>#N/A</v>
      </c>
    </row>
    <row r="73" spans="1:24" s="2" customFormat="1" x14ac:dyDescent="0.25">
      <c r="A73" s="18" t="s">
        <v>250</v>
      </c>
      <c r="B73" s="19">
        <v>4010</v>
      </c>
      <c r="C73" s="19" t="s">
        <v>68</v>
      </c>
      <c r="D73" s="19" t="s">
        <v>146</v>
      </c>
      <c r="E73" s="53">
        <v>42484.556979166664</v>
      </c>
      <c r="F73" s="53">
        <v>42484.558275462965</v>
      </c>
      <c r="G73" s="62">
        <v>1</v>
      </c>
      <c r="H73" s="53" t="s">
        <v>92</v>
      </c>
      <c r="I73" s="53">
        <v>42484.587557870371</v>
      </c>
      <c r="J73" s="19">
        <v>1</v>
      </c>
      <c r="K73" s="19" t="str">
        <f t="shared" si="8"/>
        <v>4009/4010</v>
      </c>
      <c r="L73" s="20">
        <f t="shared" si="9"/>
        <v>2.9282407405844424E-2</v>
      </c>
      <c r="M73" s="21">
        <f t="shared" si="17"/>
        <v>42.16666666441597</v>
      </c>
      <c r="N73" s="21"/>
      <c r="O73" s="22"/>
      <c r="P73" s="17"/>
      <c r="R73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https://search-rtdc-monitor-bjffxe2xuh6vdkpspy63sjmuny.us-east-1.es.amazonaws.com/_plugin/kibana/#/discover/Steve-Slow-Train-Analysis-(2080s-and-2083s)?_g=(refreshInterval:(display:Off,section:0,value:0),time:(from:'2016-04-24 13:21:03-0600',mode:absolute,to:'2016-04-24 14:07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S73" s="16" t="str">
        <f t="shared" si="11"/>
        <v>N</v>
      </c>
      <c r="T73" s="16">
        <f t="shared" si="12"/>
        <v>23.297699999999999</v>
      </c>
      <c r="U73" s="16">
        <f t="shared" si="13"/>
        <v>1.52E-2</v>
      </c>
      <c r="V73" s="16">
        <f t="shared" si="14"/>
        <v>23.282499999999999</v>
      </c>
      <c r="W73" s="49" t="e">
        <f>VLOOKUP(A73,Enforcements!$C$3:$J$31,8,0)</f>
        <v>#N/A</v>
      </c>
      <c r="X73" s="49" t="e">
        <f>VLOOKUP(A73,Enforcements!$C$3:$J$31,3,0)</f>
        <v>#N/A</v>
      </c>
    </row>
    <row r="74" spans="1:24" s="2" customFormat="1" x14ac:dyDescent="0.25">
      <c r="A74" s="18" t="s">
        <v>251</v>
      </c>
      <c r="B74" s="19">
        <v>4027</v>
      </c>
      <c r="C74" s="19" t="s">
        <v>68</v>
      </c>
      <c r="D74" s="19" t="s">
        <v>216</v>
      </c>
      <c r="E74" s="53">
        <v>42484.529710648145</v>
      </c>
      <c r="F74" s="53">
        <v>42484.531099537038</v>
      </c>
      <c r="G74" s="62">
        <v>2</v>
      </c>
      <c r="H74" s="53" t="s">
        <v>79</v>
      </c>
      <c r="I74" s="53">
        <v>42484.557141203702</v>
      </c>
      <c r="J74" s="19">
        <v>0</v>
      </c>
      <c r="K74" s="19" t="str">
        <f t="shared" si="8"/>
        <v>4027/4028</v>
      </c>
      <c r="L74" s="20">
        <f t="shared" si="9"/>
        <v>2.6041666664241347E-2</v>
      </c>
      <c r="M74" s="21">
        <f t="shared" si="17"/>
        <v>37.49999999650754</v>
      </c>
      <c r="N74" s="21"/>
      <c r="O74" s="22"/>
      <c r="P74" s="17"/>
      <c r="R74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https://search-rtdc-monitor-bjffxe2xuh6vdkpspy63sjmuny.us-east-1.es.amazonaws.com/_plugin/kibana/#/discover/Steve-Slow-Train-Analysis-(2080s-and-2083s)?_g=(refreshInterval:(display:Off,section:0,value:0),time:(from:'2016-04-24 12:41:47-0600',mode:absolute,to:'2016-04-24 13:23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S74" s="16" t="str">
        <f t="shared" si="11"/>
        <v>N</v>
      </c>
      <c r="T74" s="16">
        <f t="shared" si="12"/>
        <v>4.6399999999999997E-2</v>
      </c>
      <c r="U74" s="16">
        <f t="shared" si="13"/>
        <v>23.331199999999999</v>
      </c>
      <c r="V74" s="16">
        <f t="shared" si="14"/>
        <v>23.284800000000001</v>
      </c>
      <c r="W74" s="49" t="e">
        <f>VLOOKUP(A74,Enforcements!$C$3:$J$31,8,0)</f>
        <v>#N/A</v>
      </c>
      <c r="X74" s="49" t="e">
        <f>VLOOKUP(A74,Enforcements!$C$3:$J$31,3,0)</f>
        <v>#N/A</v>
      </c>
    </row>
    <row r="75" spans="1:24" s="2" customFormat="1" x14ac:dyDescent="0.25">
      <c r="A75" s="18" t="s">
        <v>252</v>
      </c>
      <c r="B75" s="19">
        <v>4028</v>
      </c>
      <c r="C75" s="19" t="s">
        <v>68</v>
      </c>
      <c r="D75" s="19" t="s">
        <v>253</v>
      </c>
      <c r="E75" s="53">
        <v>42484.564027777778</v>
      </c>
      <c r="F75" s="53">
        <v>42484.565798611111</v>
      </c>
      <c r="G75" s="62">
        <v>2</v>
      </c>
      <c r="H75" s="53" t="s">
        <v>24</v>
      </c>
      <c r="I75" s="53">
        <v>42484.597766203704</v>
      </c>
      <c r="J75" s="19">
        <v>1</v>
      </c>
      <c r="K75" s="19" t="str">
        <f t="shared" si="8"/>
        <v>4027/4028</v>
      </c>
      <c r="L75" s="20">
        <f t="shared" si="9"/>
        <v>3.1967592592991423E-2</v>
      </c>
      <c r="M75" s="21">
        <f t="shared" si="17"/>
        <v>46.033333333907649</v>
      </c>
      <c r="N75" s="21"/>
      <c r="O75" s="22"/>
      <c r="P75" s="17"/>
      <c r="R75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https://search-rtdc-monitor-bjffxe2xuh6vdkpspy63sjmuny.us-east-1.es.amazonaws.com/_plugin/kibana/#/discover/Steve-Slow-Train-Analysis-(2080s-and-2083s)?_g=(refreshInterval:(display:Off,section:0,value:0),time:(from:'2016-04-24 13:31:12-0600',mode:absolute,to:'2016-04-24 14:21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S75" s="16" t="str">
        <f t="shared" si="11"/>
        <v>N</v>
      </c>
      <c r="T75" s="16">
        <f t="shared" si="12"/>
        <v>23.3</v>
      </c>
      <c r="U75" s="16">
        <f t="shared" si="13"/>
        <v>1.4999999999999999E-2</v>
      </c>
      <c r="V75" s="16">
        <f t="shared" si="14"/>
        <v>23.285</v>
      </c>
      <c r="W75" s="49" t="e">
        <f>VLOOKUP(A75,Enforcements!$C$3:$J$31,8,0)</f>
        <v>#N/A</v>
      </c>
      <c r="X75" s="49" t="e">
        <f>VLOOKUP(A75,Enforcements!$C$3:$J$31,3,0)</f>
        <v>#N/A</v>
      </c>
    </row>
    <row r="76" spans="1:24" s="2" customFormat="1" x14ac:dyDescent="0.25">
      <c r="A76" s="18" t="s">
        <v>254</v>
      </c>
      <c r="B76" s="19">
        <v>4031</v>
      </c>
      <c r="C76" s="19" t="s">
        <v>68</v>
      </c>
      <c r="D76" s="19" t="s">
        <v>255</v>
      </c>
      <c r="E76" s="53">
        <v>42484.539247685185</v>
      </c>
      <c r="F76" s="53">
        <v>42484.540254629632</v>
      </c>
      <c r="G76" s="62">
        <v>1</v>
      </c>
      <c r="H76" s="53" t="s">
        <v>256</v>
      </c>
      <c r="I76" s="53">
        <v>42484.569305555553</v>
      </c>
      <c r="J76" s="19">
        <v>0</v>
      </c>
      <c r="K76" s="19" t="str">
        <f t="shared" si="8"/>
        <v>4031/4032</v>
      </c>
      <c r="L76" s="20">
        <f t="shared" si="9"/>
        <v>2.9050925921183079E-2</v>
      </c>
      <c r="M76" s="21">
        <f t="shared" si="17"/>
        <v>41.833333326503634</v>
      </c>
      <c r="N76" s="21"/>
      <c r="O76" s="22"/>
      <c r="P76" s="17"/>
      <c r="R76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https://search-rtdc-monitor-bjffxe2xuh6vdkpspy63sjmuny.us-east-1.es.amazonaws.com/_plugin/kibana/#/discover/Steve-Slow-Train-Analysis-(2080s-and-2083s)?_g=(refreshInterval:(display:Off,section:0,value:0),time:(from:'2016-04-24 12:55:31-0600',mode:absolute,to:'2016-04-24 13:40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S76" s="16" t="str">
        <f t="shared" si="11"/>
        <v>N</v>
      </c>
      <c r="T76" s="16">
        <f t="shared" si="12"/>
        <v>4.2900000000000001E-2</v>
      </c>
      <c r="U76" s="16">
        <f t="shared" si="13"/>
        <v>23.330500000000001</v>
      </c>
      <c r="V76" s="16">
        <f t="shared" si="14"/>
        <v>23.287600000000001</v>
      </c>
      <c r="W76" s="49" t="e">
        <f>VLOOKUP(A76,Enforcements!$C$3:$J$31,8,0)</f>
        <v>#N/A</v>
      </c>
      <c r="X76" s="49" t="e">
        <f>VLOOKUP(A76,Enforcements!$C$3:$J$31,3,0)</f>
        <v>#N/A</v>
      </c>
    </row>
    <row r="77" spans="1:24" s="2" customFormat="1" x14ac:dyDescent="0.25">
      <c r="A77" s="18" t="s">
        <v>257</v>
      </c>
      <c r="B77" s="19">
        <v>4032</v>
      </c>
      <c r="C77" s="19" t="s">
        <v>68</v>
      </c>
      <c r="D77" s="19" t="s">
        <v>154</v>
      </c>
      <c r="E77" s="53">
        <v>42484.576874999999</v>
      </c>
      <c r="F77" s="53">
        <v>42484.577974537038</v>
      </c>
      <c r="G77" s="62">
        <v>1</v>
      </c>
      <c r="H77" s="53" t="s">
        <v>83</v>
      </c>
      <c r="I77" s="53">
        <v>42484.611828703702</v>
      </c>
      <c r="J77" s="19">
        <v>0</v>
      </c>
      <c r="K77" s="19" t="str">
        <f t="shared" si="8"/>
        <v>4031/4032</v>
      </c>
      <c r="L77" s="20">
        <f t="shared" si="9"/>
        <v>3.3854166664241347E-2</v>
      </c>
      <c r="M77" s="21">
        <f t="shared" si="17"/>
        <v>48.74999999650754</v>
      </c>
      <c r="N77" s="21"/>
      <c r="O77" s="22"/>
      <c r="P77" s="17"/>
      <c r="R77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https://search-rtdc-monitor-bjffxe2xuh6vdkpspy63sjmuny.us-east-1.es.amazonaws.com/_plugin/kibana/#/discover/Steve-Slow-Train-Analysis-(2080s-and-2083s)?_g=(refreshInterval:(display:Off,section:0,value:0),time:(from:'2016-04-24 13:49:42-0600',mode:absolute,to:'2016-04-24 14:42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S77" s="16" t="str">
        <f t="shared" si="11"/>
        <v>N</v>
      </c>
      <c r="T77" s="16">
        <f t="shared" si="12"/>
        <v>23.299600000000002</v>
      </c>
      <c r="U77" s="16">
        <f t="shared" si="13"/>
        <v>1.4500000000000001E-2</v>
      </c>
      <c r="V77" s="16">
        <f t="shared" si="14"/>
        <v>23.2851</v>
      </c>
      <c r="W77" s="49" t="e">
        <f>VLOOKUP(A77,Enforcements!$C$3:$J$31,8,0)</f>
        <v>#N/A</v>
      </c>
      <c r="X77" s="49" t="e">
        <f>VLOOKUP(A77,Enforcements!$C$3:$J$31,3,0)</f>
        <v>#N/A</v>
      </c>
    </row>
    <row r="78" spans="1:24" s="2" customFormat="1" x14ac:dyDescent="0.25">
      <c r="A78" s="18" t="s">
        <v>258</v>
      </c>
      <c r="B78" s="19">
        <v>4040</v>
      </c>
      <c r="C78" s="19" t="s">
        <v>68</v>
      </c>
      <c r="D78" s="19" t="s">
        <v>171</v>
      </c>
      <c r="E78" s="53">
        <v>42484.549456018518</v>
      </c>
      <c r="F78" s="53">
        <v>42484.550173611111</v>
      </c>
      <c r="G78" s="62">
        <v>1</v>
      </c>
      <c r="H78" s="53" t="s">
        <v>259</v>
      </c>
      <c r="I78" s="53">
        <v>42484.578032407408</v>
      </c>
      <c r="J78" s="19">
        <v>1</v>
      </c>
      <c r="K78" s="19" t="str">
        <f t="shared" si="8"/>
        <v>4039/4040</v>
      </c>
      <c r="L78" s="20">
        <f t="shared" si="9"/>
        <v>2.7858796296641231E-2</v>
      </c>
      <c r="M78" s="21">
        <f t="shared" si="17"/>
        <v>40.116666667163372</v>
      </c>
      <c r="N78" s="21"/>
      <c r="O78" s="22"/>
      <c r="P78" s="17"/>
      <c r="R78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https://search-rtdc-monitor-bjffxe2xuh6vdkpspy63sjmuny.us-east-1.es.amazonaws.com/_plugin/kibana/#/discover/Steve-Slow-Train-Analysis-(2080s-and-2083s)?_g=(refreshInterval:(display:Off,section:0,value:0),time:(from:'2016-04-24 13:10:13-0600',mode:absolute,to:'2016-04-24 13:53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S78" s="16" t="str">
        <f t="shared" si="11"/>
        <v>N</v>
      </c>
      <c r="T78" s="16">
        <f t="shared" si="12"/>
        <v>4.53E-2</v>
      </c>
      <c r="U78" s="16">
        <f t="shared" si="13"/>
        <v>23.336099999999998</v>
      </c>
      <c r="V78" s="16">
        <f t="shared" si="14"/>
        <v>23.290799999999997</v>
      </c>
      <c r="W78" s="49">
        <f>VLOOKUP(A78,Enforcements!$C$3:$J$31,8,0)</f>
        <v>232107</v>
      </c>
      <c r="X78" s="49" t="str">
        <f>VLOOKUP(A78,Enforcements!$C$3:$J$31,3,0)</f>
        <v>PERMANENT SPEED RESTRICTION</v>
      </c>
    </row>
    <row r="79" spans="1:24" s="2" customFormat="1" x14ac:dyDescent="0.25">
      <c r="A79" s="18" t="s">
        <v>260</v>
      </c>
      <c r="B79" s="19">
        <v>4039</v>
      </c>
      <c r="C79" s="19" t="s">
        <v>68</v>
      </c>
      <c r="D79" s="19" t="s">
        <v>261</v>
      </c>
      <c r="E79" s="53">
        <v>42484.58053240741</v>
      </c>
      <c r="F79" s="53">
        <v>42484.581863425927</v>
      </c>
      <c r="G79" s="62">
        <v>1</v>
      </c>
      <c r="H79" s="53" t="s">
        <v>262</v>
      </c>
      <c r="I79" s="53">
        <v>42484.620844907404</v>
      </c>
      <c r="J79" s="19">
        <v>0</v>
      </c>
      <c r="K79" s="19" t="str">
        <f t="shared" si="8"/>
        <v>4039/4040</v>
      </c>
      <c r="L79" s="20">
        <f t="shared" si="9"/>
        <v>3.8981481477094349E-2</v>
      </c>
      <c r="M79" s="21">
        <f t="shared" si="17"/>
        <v>56.133333327015862</v>
      </c>
      <c r="N79" s="21"/>
      <c r="O79" s="22"/>
      <c r="P79" s="17"/>
      <c r="R79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https://search-rtdc-monitor-bjffxe2xuh6vdkpspy63sjmuny.us-east-1.es.amazonaws.com/_plugin/kibana/#/discover/Steve-Slow-Train-Analysis-(2080s-and-2083s)?_g=(refreshInterval:(display:Off,section:0,value:0),time:(from:'2016-04-24 13:54:58-0600',mode:absolute,to:'2016-04-24 14:55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S79" s="16" t="str">
        <f t="shared" si="11"/>
        <v>N</v>
      </c>
      <c r="T79" s="16">
        <f t="shared" si="12"/>
        <v>23.304200000000002</v>
      </c>
      <c r="U79" s="16">
        <f t="shared" si="13"/>
        <v>1.72E-2</v>
      </c>
      <c r="V79" s="16">
        <f t="shared" si="14"/>
        <v>23.287000000000003</v>
      </c>
      <c r="W79" s="49" t="e">
        <f>VLOOKUP(A79,Enforcements!$C$3:$J$31,8,0)</f>
        <v>#N/A</v>
      </c>
      <c r="X79" s="49" t="e">
        <f>VLOOKUP(A79,Enforcements!$C$3:$J$31,3,0)</f>
        <v>#N/A</v>
      </c>
    </row>
    <row r="80" spans="1:24" s="2" customFormat="1" x14ac:dyDescent="0.25">
      <c r="A80" s="18" t="s">
        <v>263</v>
      </c>
      <c r="B80" s="19">
        <v>4044</v>
      </c>
      <c r="C80" s="19" t="s">
        <v>68</v>
      </c>
      <c r="D80" s="19" t="s">
        <v>171</v>
      </c>
      <c r="E80" s="53">
        <v>42484.559756944444</v>
      </c>
      <c r="F80" s="53">
        <v>42484.562384259261</v>
      </c>
      <c r="G80" s="62">
        <v>3</v>
      </c>
      <c r="H80" s="53" t="s">
        <v>171</v>
      </c>
      <c r="I80" s="53">
        <v>42484.562384259261</v>
      </c>
      <c r="J80" s="19">
        <v>0</v>
      </c>
      <c r="K80" s="19" t="str">
        <f t="shared" si="8"/>
        <v>4043/4044</v>
      </c>
      <c r="L80" s="20">
        <v>1.1574074074074073E-5</v>
      </c>
      <c r="M80" s="21"/>
      <c r="N80" s="21"/>
      <c r="O80" s="21">
        <f t="shared" si="17"/>
        <v>1.6666666666666666E-2</v>
      </c>
      <c r="P80" s="17" t="s">
        <v>406</v>
      </c>
      <c r="R80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https://search-rtdc-monitor-bjffxe2xuh6vdkpspy63sjmuny.us-east-1.es.amazonaws.com/_plugin/kibana/#/discover/Steve-Slow-Train-Analysis-(2080s-and-2083s)?_g=(refreshInterval:(display:Off,section:0,value:0),time:(from:'2016-04-24 13:25:03-0600',mode:absolute,to:'2016-04-24 13:30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S80" s="16" t="str">
        <f t="shared" si="11"/>
        <v>Y</v>
      </c>
      <c r="T80" s="16">
        <f t="shared" si="12"/>
        <v>4.53E-2</v>
      </c>
      <c r="U80" s="16">
        <f t="shared" si="13"/>
        <v>4.53E-2</v>
      </c>
      <c r="V80" s="16">
        <f t="shared" si="14"/>
        <v>0</v>
      </c>
      <c r="W80" s="49" t="e">
        <f>VLOOKUP(A80,Enforcements!$C$3:$J$31,8,0)</f>
        <v>#N/A</v>
      </c>
      <c r="X80" s="49" t="e">
        <f>VLOOKUP(A80,Enforcements!$C$3:$J$31,3,0)</f>
        <v>#N/A</v>
      </c>
    </row>
    <row r="81" spans="1:24" s="2" customFormat="1" x14ac:dyDescent="0.25">
      <c r="A81" s="18" t="s">
        <v>264</v>
      </c>
      <c r="B81" s="19">
        <v>4043</v>
      </c>
      <c r="C81" s="19" t="s">
        <v>68</v>
      </c>
      <c r="D81" s="19" t="s">
        <v>265</v>
      </c>
      <c r="E81" s="53">
        <v>42484.59815972222</v>
      </c>
      <c r="F81" s="53">
        <v>42484.598946759259</v>
      </c>
      <c r="G81" s="62">
        <v>1</v>
      </c>
      <c r="H81" s="53" t="s">
        <v>265</v>
      </c>
      <c r="I81" s="53">
        <v>42484.598946759259</v>
      </c>
      <c r="J81" s="19">
        <v>0</v>
      </c>
      <c r="K81" s="19" t="str">
        <f t="shared" ref="K81:K144" si="18">IF(ISEVEN(B81),(B81-1)&amp;"/"&amp;B81,B81&amp;"/"&amp;(B81+1))</f>
        <v>4043/4044</v>
      </c>
      <c r="L81" s="20">
        <v>1.1574074074074073E-5</v>
      </c>
      <c r="M81" s="21"/>
      <c r="N81" s="21"/>
      <c r="O81" s="21">
        <f t="shared" si="17"/>
        <v>1.6666666666666666E-2</v>
      </c>
      <c r="P81" s="17" t="s">
        <v>407</v>
      </c>
      <c r="R81" s="16" t="str">
        <f t="shared" ref="R81:R109" si="19">"https://search-rtdc-monitor-bjffxe2xuh6vdkpspy63sjmuny.us-east-1.es.amazonaws.com/_plugin/kibana/#/discover/Steve-Slow-Train-Analysis-(2080s-and-2083s)?_g=(refreshInterval:(display:Off,section:0,value:0),time:(from:'"&amp;TEXT(E81-1/24/60,"yyyy-MM-DD hh:mm:ss")&amp;"-0600',mode:absolute,to:'"&amp;TEXT(I81+1/24/60,"yyyy-MM-DD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81&amp;"%22')),sort:!(Time,asc))"</f>
        <v>https://search-rtdc-monitor-bjffxe2xuh6vdkpspy63sjmuny.us-east-1.es.amazonaws.com/_plugin/kibana/#/discover/Steve-Slow-Train-Analysis-(2080s-and-2083s)?_g=(refreshInterval:(display:Off,section:0,value:0),time:(from:'2016-04-24 14:20:21-0600',mode:absolute,to:'2016-04-24 14:23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S81" s="16" t="str">
        <f t="shared" ref="S81:S109" si="20">IF(V81&lt;23,"Y","N")</f>
        <v>Y</v>
      </c>
      <c r="T81" s="16">
        <f t="shared" ref="T81:T109" si="21">RIGHT(D81,LEN(D81)-4)/10000</f>
        <v>23.312999999999999</v>
      </c>
      <c r="U81" s="16">
        <f t="shared" ref="U81:U109" si="22">RIGHT(H81,LEN(H81)-4)/10000</f>
        <v>23.312999999999999</v>
      </c>
      <c r="V81" s="16">
        <f t="shared" ref="V81:V109" si="23">ABS(U81-T81)</f>
        <v>0</v>
      </c>
      <c r="W81" s="49" t="e">
        <f>VLOOKUP(A81,Enforcements!$C$3:$J$31,8,0)</f>
        <v>#N/A</v>
      </c>
      <c r="X81" s="49" t="e">
        <f>VLOOKUP(A81,Enforcements!$C$3:$J$31,3,0)</f>
        <v>#N/A</v>
      </c>
    </row>
    <row r="82" spans="1:24" s="2" customFormat="1" x14ac:dyDescent="0.25">
      <c r="A82" s="18" t="s">
        <v>266</v>
      </c>
      <c r="B82" s="19">
        <v>4025</v>
      </c>
      <c r="C82" s="19" t="s">
        <v>68</v>
      </c>
      <c r="D82" s="19" t="s">
        <v>267</v>
      </c>
      <c r="E82" s="53">
        <v>42484.569560185184</v>
      </c>
      <c r="F82" s="53">
        <v>42484.570601851854</v>
      </c>
      <c r="G82" s="62">
        <v>1</v>
      </c>
      <c r="H82" s="53" t="s">
        <v>95</v>
      </c>
      <c r="I82" s="53">
        <v>42484.601354166669</v>
      </c>
      <c r="J82" s="19">
        <v>1</v>
      </c>
      <c r="K82" s="19" t="str">
        <f t="shared" si="18"/>
        <v>4025/4026</v>
      </c>
      <c r="L82" s="20">
        <f t="shared" ref="L82:L144" si="24">I82-F82</f>
        <v>3.0752314814890269E-2</v>
      </c>
      <c r="M82" s="21">
        <f t="shared" si="17"/>
        <v>44.283333333441988</v>
      </c>
      <c r="N82" s="21"/>
      <c r="O82" s="22"/>
      <c r="P82" s="17"/>
      <c r="R82" s="16" t="str">
        <f t="shared" si="19"/>
        <v>https://search-rtdc-monitor-bjffxe2xuh6vdkpspy63sjmuny.us-east-1.es.amazonaws.com/_plugin/kibana/#/discover/Steve-Slow-Train-Analysis-(2080s-and-2083s)?_g=(refreshInterval:(display:Off,section:0,value:0),time:(from:'2016-04-24 13:39:10-0600',mode:absolute,to:'2016-04-24 14:26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S82" s="16" t="str">
        <f t="shared" si="20"/>
        <v>N</v>
      </c>
      <c r="T82" s="16">
        <f t="shared" si="21"/>
        <v>4.82E-2</v>
      </c>
      <c r="U82" s="16">
        <f t="shared" si="22"/>
        <v>23.333100000000002</v>
      </c>
      <c r="V82" s="16">
        <f t="shared" si="23"/>
        <v>23.2849</v>
      </c>
      <c r="W82" s="49" t="e">
        <f>VLOOKUP(A82,Enforcements!$C$3:$J$31,8,0)</f>
        <v>#N/A</v>
      </c>
      <c r="X82" s="49" t="e">
        <f>VLOOKUP(A82,Enforcements!$C$3:$J$31,3,0)</f>
        <v>#N/A</v>
      </c>
    </row>
    <row r="83" spans="1:24" s="2" customFormat="1" x14ac:dyDescent="0.25">
      <c r="A83" s="18" t="s">
        <v>268</v>
      </c>
      <c r="B83" s="19">
        <v>4026</v>
      </c>
      <c r="C83" s="19" t="s">
        <v>68</v>
      </c>
      <c r="D83" s="19" t="s">
        <v>230</v>
      </c>
      <c r="E83" s="53">
        <v>42484.607395833336</v>
      </c>
      <c r="F83" s="53">
        <v>42484.608460648145</v>
      </c>
      <c r="G83" s="62">
        <v>1</v>
      </c>
      <c r="H83" s="53" t="s">
        <v>87</v>
      </c>
      <c r="I83" s="53">
        <v>42484.64099537037</v>
      </c>
      <c r="J83" s="19">
        <v>0</v>
      </c>
      <c r="K83" s="19" t="str">
        <f t="shared" si="18"/>
        <v>4025/4026</v>
      </c>
      <c r="L83" s="20">
        <f t="shared" si="24"/>
        <v>3.2534722224227153E-2</v>
      </c>
      <c r="M83" s="21">
        <f t="shared" si="17"/>
        <v>46.8500000028871</v>
      </c>
      <c r="N83" s="21"/>
      <c r="O83" s="22"/>
      <c r="P83" s="17"/>
      <c r="R83" s="16" t="str">
        <f t="shared" si="19"/>
        <v>https://search-rtdc-monitor-bjffxe2xuh6vdkpspy63sjmuny.us-east-1.es.amazonaws.com/_plugin/kibana/#/discover/Steve-Slow-Train-Analysis-(2080s-and-2083s)?_g=(refreshInterval:(display:Off,section:0,value:0),time:(from:'2016-04-24 14:33:39-0600',mode:absolute,to:'2016-04-24 15:24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S83" s="16" t="str">
        <f t="shared" si="20"/>
        <v>N</v>
      </c>
      <c r="T83" s="16">
        <f t="shared" si="21"/>
        <v>23.3017</v>
      </c>
      <c r="U83" s="16">
        <f t="shared" si="22"/>
        <v>1.49E-2</v>
      </c>
      <c r="V83" s="16">
        <f t="shared" si="23"/>
        <v>23.286799999999999</v>
      </c>
      <c r="W83" s="49" t="e">
        <f>VLOOKUP(A83,Enforcements!$C$3:$J$31,8,0)</f>
        <v>#N/A</v>
      </c>
      <c r="X83" s="49" t="e">
        <f>VLOOKUP(A83,Enforcements!$C$3:$J$31,3,0)</f>
        <v>#N/A</v>
      </c>
    </row>
    <row r="84" spans="1:24" s="2" customFormat="1" x14ac:dyDescent="0.25">
      <c r="A84" s="18" t="s">
        <v>269</v>
      </c>
      <c r="B84" s="19">
        <v>4029</v>
      </c>
      <c r="C84" s="19" t="s">
        <v>68</v>
      </c>
      <c r="D84" s="19" t="s">
        <v>156</v>
      </c>
      <c r="E84" s="53">
        <v>42484.582071759258</v>
      </c>
      <c r="F84" s="53">
        <v>42484.582997685182</v>
      </c>
      <c r="G84" s="62">
        <v>1</v>
      </c>
      <c r="H84" s="53" t="s">
        <v>270</v>
      </c>
      <c r="I84" s="53">
        <v>42484.610717592594</v>
      </c>
      <c r="J84" s="19">
        <v>3</v>
      </c>
      <c r="K84" s="19" t="str">
        <f t="shared" si="18"/>
        <v>4029/4030</v>
      </c>
      <c r="L84" s="20">
        <f t="shared" si="24"/>
        <v>2.771990741166519E-2</v>
      </c>
      <c r="M84" s="21">
        <f t="shared" ref="M84:O113" si="25">$L84*24*60</f>
        <v>39.916666672797874</v>
      </c>
      <c r="N84" s="21"/>
      <c r="O84" s="22"/>
      <c r="P84" s="17"/>
      <c r="R84" s="16" t="str">
        <f t="shared" si="19"/>
        <v>https://search-rtdc-monitor-bjffxe2xuh6vdkpspy63sjmuny.us-east-1.es.amazonaws.com/_plugin/kibana/#/discover/Steve-Slow-Train-Analysis-(2080s-and-2083s)?_g=(refreshInterval:(display:Off,section:0,value:0),time:(from:'2016-04-24 13:57:11-0600',mode:absolute,to:'2016-04-24 14:40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S84" s="16" t="str">
        <f t="shared" si="20"/>
        <v>N</v>
      </c>
      <c r="T84" s="16">
        <f t="shared" si="21"/>
        <v>4.58E-2</v>
      </c>
      <c r="U84" s="16">
        <f t="shared" si="22"/>
        <v>23.309000000000001</v>
      </c>
      <c r="V84" s="16">
        <f t="shared" si="23"/>
        <v>23.263200000000001</v>
      </c>
      <c r="W84" s="49">
        <f>VLOOKUP(A84,Enforcements!$C$3:$J$31,8,0)</f>
        <v>232080</v>
      </c>
      <c r="X84" s="49" t="str">
        <f>VLOOKUP(A84,Enforcements!$C$3:$J$31,3,0)</f>
        <v>PERMANENT SPEED RESTRICTION</v>
      </c>
    </row>
    <row r="85" spans="1:24" s="2" customFormat="1" x14ac:dyDescent="0.25">
      <c r="A85" s="18" t="s">
        <v>271</v>
      </c>
      <c r="B85" s="19">
        <v>4030</v>
      </c>
      <c r="C85" s="19" t="s">
        <v>68</v>
      </c>
      <c r="D85" s="19" t="s">
        <v>272</v>
      </c>
      <c r="E85" s="53">
        <v>42484.618391203701</v>
      </c>
      <c r="F85" s="53">
        <v>42484.619525462964</v>
      </c>
      <c r="G85" s="62">
        <v>1</v>
      </c>
      <c r="H85" s="53" t="s">
        <v>200</v>
      </c>
      <c r="I85" s="53">
        <v>42484.653402777774</v>
      </c>
      <c r="J85" s="19">
        <v>0</v>
      </c>
      <c r="K85" s="19" t="str">
        <f t="shared" si="18"/>
        <v>4029/4030</v>
      </c>
      <c r="L85" s="20">
        <f t="shared" si="24"/>
        <v>3.3877314810524695E-2</v>
      </c>
      <c r="M85" s="21">
        <f t="shared" si="25"/>
        <v>48.78333332715556</v>
      </c>
      <c r="N85" s="21"/>
      <c r="O85" s="22"/>
      <c r="P85" s="17"/>
      <c r="R85" s="16" t="str">
        <f t="shared" si="19"/>
        <v>https://search-rtdc-monitor-bjffxe2xuh6vdkpspy63sjmuny.us-east-1.es.amazonaws.com/_plugin/kibana/#/discover/Steve-Slow-Train-Analysis-(2080s-and-2083s)?_g=(refreshInterval:(display:Off,section:0,value:0),time:(from:'2016-04-24 14:49:29-0600',mode:absolute,to:'2016-04-24 15:41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S85" s="16" t="str">
        <f t="shared" si="20"/>
        <v>N</v>
      </c>
      <c r="T85" s="16">
        <f t="shared" si="21"/>
        <v>23.293399999999998</v>
      </c>
      <c r="U85" s="16">
        <f t="shared" si="22"/>
        <v>1.2999999999999999E-2</v>
      </c>
      <c r="V85" s="16">
        <f t="shared" si="23"/>
        <v>23.280399999999997</v>
      </c>
      <c r="W85" s="49" t="e">
        <f>VLOOKUP(A85,Enforcements!$C$3:$J$31,8,0)</f>
        <v>#N/A</v>
      </c>
      <c r="X85" s="49" t="e">
        <f>VLOOKUP(A85,Enforcements!$C$3:$J$31,3,0)</f>
        <v>#N/A</v>
      </c>
    </row>
    <row r="86" spans="1:24" s="2" customFormat="1" x14ac:dyDescent="0.25">
      <c r="A86" s="18" t="s">
        <v>273</v>
      </c>
      <c r="B86" s="19">
        <v>4009</v>
      </c>
      <c r="C86" s="19" t="s">
        <v>68</v>
      </c>
      <c r="D86" s="19" t="s">
        <v>192</v>
      </c>
      <c r="E86" s="53">
        <v>42484.590300925927</v>
      </c>
      <c r="F86" s="53">
        <v>42484.591504629629</v>
      </c>
      <c r="G86" s="62">
        <v>1</v>
      </c>
      <c r="H86" s="53" t="s">
        <v>274</v>
      </c>
      <c r="I86" s="53">
        <v>42484.621655092589</v>
      </c>
      <c r="J86" s="19">
        <v>0</v>
      </c>
      <c r="K86" s="19" t="str">
        <f t="shared" si="18"/>
        <v>4009/4010</v>
      </c>
      <c r="L86" s="20">
        <f t="shared" si="24"/>
        <v>3.015046296059154E-2</v>
      </c>
      <c r="M86" s="21">
        <f t="shared" si="25"/>
        <v>43.416666663251817</v>
      </c>
      <c r="N86" s="21"/>
      <c r="O86" s="22"/>
      <c r="P86" s="17"/>
      <c r="R86" s="16" t="str">
        <f t="shared" si="19"/>
        <v>https://search-rtdc-monitor-bjffxe2xuh6vdkpspy63sjmuny.us-east-1.es.amazonaws.com/_plugin/kibana/#/discover/Steve-Slow-Train-Analysis-(2080s-and-2083s)?_g=(refreshInterval:(display:Off,section:0,value:0),time:(from:'2016-04-24 14:09:02-0600',mode:absolute,to:'2016-04-24 14:56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S86" s="16" t="str">
        <f t="shared" si="20"/>
        <v>N</v>
      </c>
      <c r="T86" s="16">
        <f t="shared" si="21"/>
        <v>4.7300000000000002E-2</v>
      </c>
      <c r="U86" s="16">
        <f t="shared" si="22"/>
        <v>23.331499999999998</v>
      </c>
      <c r="V86" s="16">
        <f t="shared" si="23"/>
        <v>23.284199999999998</v>
      </c>
      <c r="W86" s="49" t="e">
        <f>VLOOKUP(A86,Enforcements!$C$3:$J$31,8,0)</f>
        <v>#N/A</v>
      </c>
      <c r="X86" s="49" t="e">
        <f>VLOOKUP(A86,Enforcements!$C$3:$J$31,3,0)</f>
        <v>#N/A</v>
      </c>
    </row>
    <row r="87" spans="1:24" s="2" customFormat="1" x14ac:dyDescent="0.25">
      <c r="A87" s="18" t="s">
        <v>275</v>
      </c>
      <c r="B87" s="19">
        <v>4010</v>
      </c>
      <c r="C87" s="19" t="s">
        <v>68</v>
      </c>
      <c r="D87" s="19" t="s">
        <v>204</v>
      </c>
      <c r="E87" s="53">
        <v>42484.629467592589</v>
      </c>
      <c r="F87" s="53">
        <v>42484.630439814813</v>
      </c>
      <c r="G87" s="62">
        <v>1</v>
      </c>
      <c r="H87" s="53" t="s">
        <v>186</v>
      </c>
      <c r="I87" s="53">
        <v>42484.66170138889</v>
      </c>
      <c r="J87" s="19">
        <v>0</v>
      </c>
      <c r="K87" s="19" t="str">
        <f t="shared" si="18"/>
        <v>4009/4010</v>
      </c>
      <c r="L87" s="20">
        <f t="shared" si="24"/>
        <v>3.1261574076779652E-2</v>
      </c>
      <c r="M87" s="21">
        <f t="shared" si="25"/>
        <v>45.016666670562699</v>
      </c>
      <c r="N87" s="21"/>
      <c r="O87" s="22"/>
      <c r="P87" s="17"/>
      <c r="R87" s="16" t="str">
        <f t="shared" si="19"/>
        <v>https://search-rtdc-monitor-bjffxe2xuh6vdkpspy63sjmuny.us-east-1.es.amazonaws.com/_plugin/kibana/#/discover/Steve-Slow-Train-Analysis-(2080s-and-2083s)?_g=(refreshInterval:(display:Off,section:0,value:0),time:(from:'2016-04-24 15:05:26-0600',mode:absolute,to:'2016-04-24 15:53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S87" s="16" t="str">
        <f t="shared" si="20"/>
        <v>N</v>
      </c>
      <c r="T87" s="16">
        <f t="shared" si="21"/>
        <v>23.299800000000001</v>
      </c>
      <c r="U87" s="16">
        <f t="shared" si="22"/>
        <v>1.6299999999999999E-2</v>
      </c>
      <c r="V87" s="16">
        <f t="shared" si="23"/>
        <v>23.2835</v>
      </c>
      <c r="W87" s="49" t="e">
        <f>VLOOKUP(A87,Enforcements!$C$3:$J$31,8,0)</f>
        <v>#N/A</v>
      </c>
      <c r="X87" s="49" t="e">
        <f>VLOOKUP(A87,Enforcements!$C$3:$J$31,3,0)</f>
        <v>#N/A</v>
      </c>
    </row>
    <row r="88" spans="1:24" s="2" customFormat="1" x14ac:dyDescent="0.25">
      <c r="A88" s="18" t="s">
        <v>276</v>
      </c>
      <c r="B88" s="19">
        <v>4027</v>
      </c>
      <c r="C88" s="19" t="s">
        <v>68</v>
      </c>
      <c r="D88" s="19" t="s">
        <v>277</v>
      </c>
      <c r="E88" s="53">
        <v>42484.599756944444</v>
      </c>
      <c r="F88" s="53">
        <v>42484.600810185184</v>
      </c>
      <c r="G88" s="62">
        <v>1</v>
      </c>
      <c r="H88" s="53" t="s">
        <v>88</v>
      </c>
      <c r="I88" s="53">
        <v>42484.629131944443</v>
      </c>
      <c r="J88" s="19">
        <v>1</v>
      </c>
      <c r="K88" s="19" t="str">
        <f t="shared" si="18"/>
        <v>4027/4028</v>
      </c>
      <c r="L88" s="20">
        <f t="shared" si="24"/>
        <v>2.8321759258687962E-2</v>
      </c>
      <c r="M88" s="21">
        <f t="shared" si="25"/>
        <v>40.783333332510665</v>
      </c>
      <c r="N88" s="21"/>
      <c r="O88" s="22"/>
      <c r="P88" s="17"/>
      <c r="R88" s="16" t="str">
        <f t="shared" si="19"/>
        <v>https://search-rtdc-monitor-bjffxe2xuh6vdkpspy63sjmuny.us-east-1.es.amazonaws.com/_plugin/kibana/#/discover/Steve-Slow-Train-Analysis-(2080s-and-2083s)?_g=(refreshInterval:(display:Off,section:0,value:0),time:(from:'2016-04-24 14:22:39-0600',mode:absolute,to:'2016-04-24 15:06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S88" s="16" t="str">
        <f t="shared" si="20"/>
        <v>N</v>
      </c>
      <c r="T88" s="16">
        <f t="shared" si="21"/>
        <v>4.4900000000000002E-2</v>
      </c>
      <c r="U88" s="16">
        <f t="shared" si="22"/>
        <v>23.329699999999999</v>
      </c>
      <c r="V88" s="16">
        <f t="shared" si="23"/>
        <v>23.284800000000001</v>
      </c>
      <c r="W88" s="49" t="e">
        <f>VLOOKUP(A88,Enforcements!$C$3:$J$31,8,0)</f>
        <v>#N/A</v>
      </c>
      <c r="X88" s="49" t="e">
        <f>VLOOKUP(A88,Enforcements!$C$3:$J$31,3,0)</f>
        <v>#N/A</v>
      </c>
    </row>
    <row r="89" spans="1:24" s="2" customFormat="1" x14ac:dyDescent="0.25">
      <c r="A89" s="18" t="s">
        <v>278</v>
      </c>
      <c r="B89" s="19">
        <v>4028</v>
      </c>
      <c r="C89" s="19" t="s">
        <v>68</v>
      </c>
      <c r="D89" s="19" t="s">
        <v>279</v>
      </c>
      <c r="E89" s="53">
        <v>42484.635358796295</v>
      </c>
      <c r="F89" s="53">
        <v>42484.637048611112</v>
      </c>
      <c r="G89" s="62">
        <v>2</v>
      </c>
      <c r="H89" s="53" t="s">
        <v>85</v>
      </c>
      <c r="I89" s="53">
        <v>42484.67119212963</v>
      </c>
      <c r="J89" s="19">
        <v>0</v>
      </c>
      <c r="K89" s="19" t="str">
        <f t="shared" si="18"/>
        <v>4027/4028</v>
      </c>
      <c r="L89" s="20">
        <f t="shared" si="24"/>
        <v>3.4143518518249039E-2</v>
      </c>
      <c r="M89" s="21">
        <f t="shared" si="25"/>
        <v>49.166666666278616</v>
      </c>
      <c r="N89" s="21"/>
      <c r="O89" s="22"/>
      <c r="P89" s="17"/>
      <c r="R89" s="16" t="str">
        <f t="shared" si="19"/>
        <v>https://search-rtdc-monitor-bjffxe2xuh6vdkpspy63sjmuny.us-east-1.es.amazonaws.com/_plugin/kibana/#/discover/Steve-Slow-Train-Analysis-(2080s-and-2083s)?_g=(refreshInterval:(display:Off,section:0,value:0),time:(from:'2016-04-24 15:13:55-0600',mode:absolute,to:'2016-04-24 16:07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S89" s="16" t="str">
        <f t="shared" si="20"/>
        <v>N</v>
      </c>
      <c r="T89" s="16">
        <f t="shared" si="21"/>
        <v>23.2971</v>
      </c>
      <c r="U89" s="16">
        <f t="shared" si="22"/>
        <v>1.38E-2</v>
      </c>
      <c r="V89" s="16">
        <f t="shared" si="23"/>
        <v>23.283300000000001</v>
      </c>
      <c r="W89" s="49" t="e">
        <f>VLOOKUP(A89,Enforcements!$C$3:$J$31,8,0)</f>
        <v>#N/A</v>
      </c>
      <c r="X89" s="49" t="e">
        <f>VLOOKUP(A89,Enforcements!$C$3:$J$31,3,0)</f>
        <v>#N/A</v>
      </c>
    </row>
    <row r="90" spans="1:24" s="2" customFormat="1" x14ac:dyDescent="0.25">
      <c r="A90" s="18" t="s">
        <v>280</v>
      </c>
      <c r="B90" s="19">
        <v>4031</v>
      </c>
      <c r="C90" s="19" t="s">
        <v>68</v>
      </c>
      <c r="D90" s="19" t="s">
        <v>281</v>
      </c>
      <c r="E90" s="53">
        <v>42484.613703703704</v>
      </c>
      <c r="F90" s="53">
        <v>42484.614629629628</v>
      </c>
      <c r="G90" s="62">
        <v>1</v>
      </c>
      <c r="H90" s="53" t="s">
        <v>224</v>
      </c>
      <c r="I90" s="53">
        <v>42484.642754629633</v>
      </c>
      <c r="J90" s="19">
        <v>0</v>
      </c>
      <c r="K90" s="19" t="str">
        <f t="shared" si="18"/>
        <v>4031/4032</v>
      </c>
      <c r="L90" s="20">
        <f t="shared" si="24"/>
        <v>2.8125000004365575E-2</v>
      </c>
      <c r="M90" s="21">
        <f t="shared" si="25"/>
        <v>40.500000006286427</v>
      </c>
      <c r="N90" s="21"/>
      <c r="O90" s="22"/>
      <c r="P90" s="17"/>
      <c r="R90" s="16" t="str">
        <f t="shared" si="19"/>
        <v>https://search-rtdc-monitor-bjffxe2xuh6vdkpspy63sjmuny.us-east-1.es.amazonaws.com/_plugin/kibana/#/discover/Steve-Slow-Train-Analysis-(2080s-and-2083s)?_g=(refreshInterval:(display:Off,section:0,value:0),time:(from:'2016-04-24 14:42:44-0600',mode:absolute,to:'2016-04-24 15:26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S90" s="16" t="str">
        <f t="shared" si="20"/>
        <v>N</v>
      </c>
      <c r="T90" s="16">
        <f t="shared" si="21"/>
        <v>4.2700000000000002E-2</v>
      </c>
      <c r="U90" s="16">
        <f t="shared" si="22"/>
        <v>23.328499999999998</v>
      </c>
      <c r="V90" s="16">
        <f t="shared" si="23"/>
        <v>23.285799999999998</v>
      </c>
      <c r="W90" s="49" t="e">
        <f>VLOOKUP(A90,Enforcements!$C$3:$J$31,8,0)</f>
        <v>#N/A</v>
      </c>
      <c r="X90" s="49" t="e">
        <f>VLOOKUP(A90,Enforcements!$C$3:$J$31,3,0)</f>
        <v>#N/A</v>
      </c>
    </row>
    <row r="91" spans="1:24" s="2" customFormat="1" x14ac:dyDescent="0.25">
      <c r="A91" s="18" t="s">
        <v>282</v>
      </c>
      <c r="B91" s="19">
        <v>4032</v>
      </c>
      <c r="C91" s="19" t="s">
        <v>68</v>
      </c>
      <c r="D91" s="19" t="s">
        <v>227</v>
      </c>
      <c r="E91" s="53">
        <v>42484.647951388892</v>
      </c>
      <c r="F91" s="53">
        <v>42484.649270833332</v>
      </c>
      <c r="G91" s="62">
        <v>1</v>
      </c>
      <c r="H91" s="53" t="s">
        <v>86</v>
      </c>
      <c r="I91" s="53">
        <v>42484.680960648147</v>
      </c>
      <c r="J91" s="19">
        <v>0</v>
      </c>
      <c r="K91" s="19" t="str">
        <f t="shared" si="18"/>
        <v>4031/4032</v>
      </c>
      <c r="L91" s="20">
        <f t="shared" si="24"/>
        <v>3.1689814815763384E-2</v>
      </c>
      <c r="M91" s="21">
        <f t="shared" si="25"/>
        <v>45.633333334699273</v>
      </c>
      <c r="N91" s="21"/>
      <c r="O91" s="22"/>
      <c r="P91" s="17"/>
      <c r="R91" s="16" t="str">
        <f t="shared" si="19"/>
        <v>https://search-rtdc-monitor-bjffxe2xuh6vdkpspy63sjmuny.us-east-1.es.amazonaws.com/_plugin/kibana/#/discover/Steve-Slow-Train-Analysis-(2080s-and-2083s)?_g=(refreshInterval:(display:Off,section:0,value:0),time:(from:'2016-04-24 15:32:03-0600',mode:absolute,to:'2016-04-24 16:21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S91" s="16" t="str">
        <f t="shared" si="20"/>
        <v>N</v>
      </c>
      <c r="T91" s="16">
        <f t="shared" si="21"/>
        <v>23.2972</v>
      </c>
      <c r="U91" s="16">
        <f t="shared" si="22"/>
        <v>1.41E-2</v>
      </c>
      <c r="V91" s="16">
        <f t="shared" si="23"/>
        <v>23.283100000000001</v>
      </c>
      <c r="W91" s="49" t="e">
        <f>VLOOKUP(A91,Enforcements!$C$3:$J$31,8,0)</f>
        <v>#N/A</v>
      </c>
      <c r="X91" s="49" t="e">
        <f>VLOOKUP(A91,Enforcements!$C$3:$J$31,3,0)</f>
        <v>#N/A</v>
      </c>
    </row>
    <row r="92" spans="1:24" s="2" customFormat="1" x14ac:dyDescent="0.25">
      <c r="A92" s="18" t="s">
        <v>283</v>
      </c>
      <c r="B92" s="19">
        <v>4039</v>
      </c>
      <c r="C92" s="19" t="s">
        <v>68</v>
      </c>
      <c r="D92" s="19" t="s">
        <v>284</v>
      </c>
      <c r="E92" s="53">
        <v>42484.658796296295</v>
      </c>
      <c r="F92" s="53">
        <v>42484.659849537034</v>
      </c>
      <c r="G92" s="62">
        <v>1</v>
      </c>
      <c r="H92" s="53" t="s">
        <v>24</v>
      </c>
      <c r="I92" s="53">
        <v>42484.690358796295</v>
      </c>
      <c r="J92" s="19">
        <v>0</v>
      </c>
      <c r="K92" s="19" t="str">
        <f t="shared" si="18"/>
        <v>4039/4040</v>
      </c>
      <c r="L92" s="20">
        <f t="shared" si="24"/>
        <v>3.050925926072523E-2</v>
      </c>
      <c r="M92" s="21">
        <f t="shared" si="25"/>
        <v>43.933333335444331</v>
      </c>
      <c r="N92" s="21"/>
      <c r="O92" s="22"/>
      <c r="P92" s="17"/>
      <c r="R92" s="16" t="str">
        <f t="shared" si="19"/>
        <v>https://search-rtdc-monitor-bjffxe2xuh6vdkpspy63sjmuny.us-east-1.es.amazonaws.com/_plugin/kibana/#/discover/Steve-Slow-Train-Analysis-(2080s-and-2083s)?_g=(refreshInterval:(display:Off,section:0,value:0),time:(from:'2016-04-24 15:47:40-0600',mode:absolute,to:'2016-04-24 16:35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S92" s="16" t="str">
        <f t="shared" si="20"/>
        <v>N</v>
      </c>
      <c r="T92" s="16">
        <f t="shared" si="21"/>
        <v>23.296099999999999</v>
      </c>
      <c r="U92" s="16">
        <f t="shared" si="22"/>
        <v>1.4999999999999999E-2</v>
      </c>
      <c r="V92" s="16">
        <f t="shared" si="23"/>
        <v>23.281099999999999</v>
      </c>
      <c r="W92" s="49" t="e">
        <f>VLOOKUP(A92,Enforcements!$C$3:$J$31,8,0)</f>
        <v>#N/A</v>
      </c>
      <c r="X92" s="49" t="e">
        <f>VLOOKUP(A92,Enforcements!$C$3:$J$31,3,0)</f>
        <v>#N/A</v>
      </c>
    </row>
    <row r="93" spans="1:24" s="2" customFormat="1" x14ac:dyDescent="0.25">
      <c r="A93" s="18" t="s">
        <v>285</v>
      </c>
      <c r="B93" s="19">
        <v>4044</v>
      </c>
      <c r="C93" s="19" t="s">
        <v>68</v>
      </c>
      <c r="D93" s="19" t="s">
        <v>286</v>
      </c>
      <c r="E93" s="53">
        <v>42484.634942129633</v>
      </c>
      <c r="F93" s="53">
        <v>42484.635694444441</v>
      </c>
      <c r="G93" s="62">
        <v>1</v>
      </c>
      <c r="H93" s="53" t="s">
        <v>259</v>
      </c>
      <c r="I93" s="53">
        <v>42484.660462962966</v>
      </c>
      <c r="J93" s="19">
        <v>1</v>
      </c>
      <c r="K93" s="19" t="str">
        <f t="shared" si="18"/>
        <v>4043/4044</v>
      </c>
      <c r="L93" s="20">
        <f t="shared" si="24"/>
        <v>2.4768518524069805E-2</v>
      </c>
      <c r="M93" s="21">
        <f t="shared" si="25"/>
        <v>35.666666674660519</v>
      </c>
      <c r="N93" s="21"/>
      <c r="O93" s="22"/>
      <c r="P93" s="17"/>
      <c r="R93" s="16" t="str">
        <f t="shared" si="19"/>
        <v>https://search-rtdc-monitor-bjffxe2xuh6vdkpspy63sjmuny.us-east-1.es.amazonaws.com/_plugin/kibana/#/discover/Steve-Slow-Train-Analysis-(2080s-and-2083s)?_g=(refreshInterval:(display:Off,section:0,value:0),time:(from:'2016-04-24 15:13:19-0600',mode:absolute,to:'2016-04-24 15:52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S93" s="16" t="str">
        <f t="shared" si="20"/>
        <v>N</v>
      </c>
      <c r="T93" s="16">
        <f t="shared" si="21"/>
        <v>4.7500000000000001E-2</v>
      </c>
      <c r="U93" s="16">
        <f t="shared" si="22"/>
        <v>23.336099999999998</v>
      </c>
      <c r="V93" s="16">
        <f t="shared" si="23"/>
        <v>23.288599999999999</v>
      </c>
      <c r="W93" s="49" t="e">
        <f>VLOOKUP(A93,Enforcements!$C$3:$J$31,8,0)</f>
        <v>#N/A</v>
      </c>
      <c r="X93" s="49" t="e">
        <f>VLOOKUP(A93,Enforcements!$C$3:$J$31,3,0)</f>
        <v>#N/A</v>
      </c>
    </row>
    <row r="94" spans="1:24" s="2" customFormat="1" x14ac:dyDescent="0.25">
      <c r="A94" s="18" t="s">
        <v>287</v>
      </c>
      <c r="B94" s="19">
        <v>4043</v>
      </c>
      <c r="C94" s="19" t="s">
        <v>68</v>
      </c>
      <c r="D94" s="19" t="s">
        <v>288</v>
      </c>
      <c r="E94" s="53">
        <v>42484.667523148149</v>
      </c>
      <c r="F94" s="53">
        <v>42484.674664351849</v>
      </c>
      <c r="G94" s="62">
        <v>10</v>
      </c>
      <c r="H94" s="53" t="s">
        <v>152</v>
      </c>
      <c r="I94" s="53">
        <v>42484.700069444443</v>
      </c>
      <c r="J94" s="19">
        <v>2</v>
      </c>
      <c r="K94" s="19" t="str">
        <f t="shared" si="18"/>
        <v>4043/4044</v>
      </c>
      <c r="L94" s="20">
        <f t="shared" si="24"/>
        <v>2.5405092594155576E-2</v>
      </c>
      <c r="M94" s="21">
        <f t="shared" si="25"/>
        <v>36.58333333558403</v>
      </c>
      <c r="N94" s="21"/>
      <c r="O94" s="22"/>
      <c r="P94" s="17"/>
      <c r="R94" s="16" t="str">
        <f t="shared" si="19"/>
        <v>https://search-rtdc-monitor-bjffxe2xuh6vdkpspy63sjmuny.us-east-1.es.amazonaws.com/_plugin/kibana/#/discover/Steve-Slow-Train-Analysis-(2080s-and-2083s)?_g=(refreshInterval:(display:Off,section:0,value:0),time:(from:'2016-04-24 16:00:14-0600',mode:absolute,to:'2016-04-24 16:49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S94" s="16" t="str">
        <f t="shared" si="20"/>
        <v>N</v>
      </c>
      <c r="T94" s="16">
        <f t="shared" si="21"/>
        <v>23.235600000000002</v>
      </c>
      <c r="U94" s="16">
        <f t="shared" si="22"/>
        <v>1.6E-2</v>
      </c>
      <c r="V94" s="16">
        <f t="shared" si="23"/>
        <v>23.219600000000003</v>
      </c>
      <c r="W94" s="49">
        <f>VLOOKUP(A94,Enforcements!$C$3:$J$31,8,0)</f>
        <v>127587</v>
      </c>
      <c r="X94" s="49" t="str">
        <f>VLOOKUP(A94,Enforcements!$C$3:$J$31,3,0)</f>
        <v>SIGNAL</v>
      </c>
    </row>
    <row r="95" spans="1:24" s="2" customFormat="1" x14ac:dyDescent="0.25">
      <c r="A95" s="18" t="s">
        <v>287</v>
      </c>
      <c r="B95" s="19">
        <v>4043</v>
      </c>
      <c r="C95" s="19" t="s">
        <v>68</v>
      </c>
      <c r="D95" s="19" t="s">
        <v>289</v>
      </c>
      <c r="E95" s="53">
        <v>42484.667523148149</v>
      </c>
      <c r="F95" s="53">
        <v>42484.668715277781</v>
      </c>
      <c r="G95" s="62">
        <v>1</v>
      </c>
      <c r="H95" s="53" t="s">
        <v>152</v>
      </c>
      <c r="I95" s="53">
        <v>42484.700069444443</v>
      </c>
      <c r="J95" s="19">
        <v>2</v>
      </c>
      <c r="K95" s="19" t="str">
        <f t="shared" si="18"/>
        <v>4043/4044</v>
      </c>
      <c r="L95" s="20">
        <f t="shared" si="24"/>
        <v>3.1354166661913041E-2</v>
      </c>
      <c r="M95" s="21">
        <f t="shared" si="25"/>
        <v>45.149999993154779</v>
      </c>
      <c r="N95" s="21"/>
      <c r="O95" s="22"/>
      <c r="P95" s="17"/>
      <c r="R95" s="16" t="str">
        <f t="shared" si="19"/>
        <v>https://search-rtdc-monitor-bjffxe2xuh6vdkpspy63sjmuny.us-east-1.es.amazonaws.com/_plugin/kibana/#/discover/Steve-Slow-Train-Analysis-(2080s-and-2083s)?_g=(refreshInterval:(display:Off,section:0,value:0),time:(from:'2016-04-24 16:00:14-0600',mode:absolute,to:'2016-04-24 16:49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S95" s="16" t="str">
        <f t="shared" si="20"/>
        <v>N</v>
      </c>
      <c r="T95" s="16">
        <f t="shared" si="21"/>
        <v>23.307600000000001</v>
      </c>
      <c r="U95" s="16">
        <f t="shared" si="22"/>
        <v>1.6E-2</v>
      </c>
      <c r="V95" s="16">
        <f t="shared" si="23"/>
        <v>23.291600000000003</v>
      </c>
      <c r="W95" s="49">
        <f>VLOOKUP(A95,Enforcements!$C$3:$J$31,8,0)</f>
        <v>127587</v>
      </c>
      <c r="X95" s="49" t="str">
        <f>VLOOKUP(A95,Enforcements!$C$3:$J$31,3,0)</f>
        <v>SIGNAL</v>
      </c>
    </row>
    <row r="96" spans="1:24" s="2" customFormat="1" x14ac:dyDescent="0.25">
      <c r="A96" s="18" t="s">
        <v>290</v>
      </c>
      <c r="B96" s="19">
        <v>4025</v>
      </c>
      <c r="C96" s="19" t="s">
        <v>68</v>
      </c>
      <c r="D96" s="19" t="s">
        <v>291</v>
      </c>
      <c r="E96" s="53">
        <v>42484.643333333333</v>
      </c>
      <c r="F96" s="53">
        <v>42484.644305555557</v>
      </c>
      <c r="G96" s="62">
        <v>1</v>
      </c>
      <c r="H96" s="53" t="s">
        <v>88</v>
      </c>
      <c r="I96" s="53">
        <v>42484.67150462963</v>
      </c>
      <c r="J96" s="19">
        <v>0</v>
      </c>
      <c r="K96" s="19" t="str">
        <f t="shared" si="18"/>
        <v>4025/4026</v>
      </c>
      <c r="L96" s="20">
        <f t="shared" si="24"/>
        <v>2.7199074072996154E-2</v>
      </c>
      <c r="M96" s="21">
        <f t="shared" si="25"/>
        <v>39.166666665114462</v>
      </c>
      <c r="N96" s="21"/>
      <c r="O96" s="22"/>
      <c r="P96" s="17"/>
      <c r="R96" s="16" t="str">
        <f t="shared" si="19"/>
        <v>https://search-rtdc-monitor-bjffxe2xuh6vdkpspy63sjmuny.us-east-1.es.amazonaws.com/_plugin/kibana/#/discover/Steve-Slow-Train-Analysis-(2080s-and-2083s)?_g=(refreshInterval:(display:Off,section:0,value:0),time:(from:'2016-04-24 15:25:24-0600',mode:absolute,to:'2016-04-24 16:07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S96" s="16" t="str">
        <f t="shared" si="20"/>
        <v>N</v>
      </c>
      <c r="T96" s="16">
        <f t="shared" si="21"/>
        <v>4.7100000000000003E-2</v>
      </c>
      <c r="U96" s="16">
        <f t="shared" si="22"/>
        <v>23.329699999999999</v>
      </c>
      <c r="V96" s="16">
        <f t="shared" si="23"/>
        <v>23.282599999999999</v>
      </c>
      <c r="W96" s="49" t="e">
        <f>VLOOKUP(A96,Enforcements!$C$3:$J$31,8,0)</f>
        <v>#N/A</v>
      </c>
      <c r="X96" s="49" t="e">
        <f>VLOOKUP(A96,Enforcements!$C$3:$J$31,3,0)</f>
        <v>#N/A</v>
      </c>
    </row>
    <row r="97" spans="1:24" s="2" customFormat="1" x14ac:dyDescent="0.25">
      <c r="A97" s="18" t="s">
        <v>292</v>
      </c>
      <c r="B97" s="19">
        <v>4026</v>
      </c>
      <c r="C97" s="19" t="s">
        <v>68</v>
      </c>
      <c r="D97" s="19" t="s">
        <v>293</v>
      </c>
      <c r="E97" s="53">
        <v>42484.680347222224</v>
      </c>
      <c r="F97" s="53">
        <v>42484.682314814818</v>
      </c>
      <c r="G97" s="62">
        <v>2</v>
      </c>
      <c r="H97" s="53" t="s">
        <v>147</v>
      </c>
      <c r="I97" s="53">
        <v>42484.711840277778</v>
      </c>
      <c r="J97" s="19">
        <v>1</v>
      </c>
      <c r="K97" s="19" t="str">
        <f t="shared" si="18"/>
        <v>4025/4026</v>
      </c>
      <c r="L97" s="20">
        <f t="shared" si="24"/>
        <v>2.9525462960009463E-2</v>
      </c>
      <c r="M97" s="21">
        <f t="shared" si="25"/>
        <v>42.516666662413627</v>
      </c>
      <c r="N97" s="21"/>
      <c r="O97" s="22"/>
      <c r="P97" s="17"/>
      <c r="R97" s="16" t="str">
        <f t="shared" si="19"/>
        <v>https://search-rtdc-monitor-bjffxe2xuh6vdkpspy63sjmuny.us-east-1.es.amazonaws.com/_plugin/kibana/#/discover/Steve-Slow-Train-Analysis-(2080s-and-2083s)?_g=(refreshInterval:(display:Off,section:0,value:0),time:(from:'2016-04-24 16:18:42-0600',mode:absolute,to:'2016-04-24 17:06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S97" s="16" t="str">
        <f t="shared" si="20"/>
        <v>N</v>
      </c>
      <c r="T97" s="16">
        <f t="shared" si="21"/>
        <v>23.3003</v>
      </c>
      <c r="U97" s="16">
        <f t="shared" si="22"/>
        <v>1.3599999999999999E-2</v>
      </c>
      <c r="V97" s="16">
        <f t="shared" si="23"/>
        <v>23.2867</v>
      </c>
      <c r="W97" s="49" t="e">
        <f>VLOOKUP(A97,Enforcements!$C$3:$J$31,8,0)</f>
        <v>#N/A</v>
      </c>
      <c r="X97" s="49" t="e">
        <f>VLOOKUP(A97,Enforcements!$C$3:$J$31,3,0)</f>
        <v>#N/A</v>
      </c>
    </row>
    <row r="98" spans="1:24" s="2" customFormat="1" x14ac:dyDescent="0.25">
      <c r="A98" s="18" t="s">
        <v>294</v>
      </c>
      <c r="B98" s="19">
        <v>4029</v>
      </c>
      <c r="C98" s="19" t="s">
        <v>68</v>
      </c>
      <c r="D98" s="19" t="s">
        <v>160</v>
      </c>
      <c r="E98" s="53">
        <v>42484.658842592595</v>
      </c>
      <c r="F98" s="53">
        <v>42484.659849537034</v>
      </c>
      <c r="G98" s="62">
        <v>1</v>
      </c>
      <c r="H98" s="53" t="s">
        <v>154</v>
      </c>
      <c r="I98" s="53">
        <v>42484.689849537041</v>
      </c>
      <c r="J98" s="19">
        <v>2</v>
      </c>
      <c r="K98" s="19" t="str">
        <f t="shared" si="18"/>
        <v>4029/4030</v>
      </c>
      <c r="L98" s="20">
        <f t="shared" si="24"/>
        <v>3.0000000006111804E-2</v>
      </c>
      <c r="M98" s="21">
        <f t="shared" si="25"/>
        <v>43.200000008800998</v>
      </c>
      <c r="N98" s="21"/>
      <c r="O98" s="22"/>
      <c r="P98" s="17"/>
      <c r="R98" s="16" t="str">
        <f t="shared" si="19"/>
        <v>https://search-rtdc-monitor-bjffxe2xuh6vdkpspy63sjmuny.us-east-1.es.amazonaws.com/_plugin/kibana/#/discover/Steve-Slow-Train-Analysis-(2080s-and-2083s)?_g=(refreshInterval:(display:Off,section:0,value:0),time:(from:'2016-04-24 15:47:44-0600',mode:absolute,to:'2016-04-24 16:34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S98" s="16" t="str">
        <f t="shared" si="20"/>
        <v>N</v>
      </c>
      <c r="T98" s="16">
        <f t="shared" si="21"/>
        <v>4.4600000000000001E-2</v>
      </c>
      <c r="U98" s="16">
        <f t="shared" si="22"/>
        <v>23.299600000000002</v>
      </c>
      <c r="V98" s="16">
        <f t="shared" si="23"/>
        <v>23.255000000000003</v>
      </c>
      <c r="W98" s="49">
        <f>VLOOKUP(A98,Enforcements!$C$3:$J$31,8,0)</f>
        <v>4677</v>
      </c>
      <c r="X98" s="49" t="str">
        <f>VLOOKUP(A98,Enforcements!$C$3:$J$31,3,0)</f>
        <v>PERMANENT SPEED RESTRICTION</v>
      </c>
    </row>
    <row r="99" spans="1:24" s="2" customFormat="1" x14ac:dyDescent="0.25">
      <c r="A99" s="18" t="s">
        <v>295</v>
      </c>
      <c r="B99" s="19">
        <v>4030</v>
      </c>
      <c r="C99" s="19" t="s">
        <v>68</v>
      </c>
      <c r="D99" s="19" t="s">
        <v>296</v>
      </c>
      <c r="E99" s="53">
        <v>42484.693148148152</v>
      </c>
      <c r="F99" s="53">
        <v>42484.694178240738</v>
      </c>
      <c r="G99" s="62">
        <v>1</v>
      </c>
      <c r="H99" s="53" t="s">
        <v>297</v>
      </c>
      <c r="I99" s="53">
        <v>42484.722905092596</v>
      </c>
      <c r="J99" s="19">
        <v>0</v>
      </c>
      <c r="K99" s="19" t="str">
        <f t="shared" si="18"/>
        <v>4029/4030</v>
      </c>
      <c r="L99" s="20">
        <f t="shared" si="24"/>
        <v>2.8726851858664304E-2</v>
      </c>
      <c r="M99" s="21">
        <f t="shared" si="25"/>
        <v>41.366666676476598</v>
      </c>
      <c r="N99" s="21"/>
      <c r="O99" s="22"/>
      <c r="P99" s="17"/>
      <c r="R99" s="16" t="str">
        <f t="shared" si="19"/>
        <v>https://search-rtdc-monitor-bjffxe2xuh6vdkpspy63sjmuny.us-east-1.es.amazonaws.com/_plugin/kibana/#/discover/Steve-Slow-Train-Analysis-(2080s-and-2083s)?_g=(refreshInterval:(display:Off,section:0,value:0),time:(from:'2016-04-24 16:37:08-0600',mode:absolute,to:'2016-04-24 17:21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S99" s="16" t="str">
        <f t="shared" si="20"/>
        <v>N</v>
      </c>
      <c r="T99" s="16">
        <f t="shared" si="21"/>
        <v>23.283200000000001</v>
      </c>
      <c r="U99" s="16">
        <f t="shared" si="22"/>
        <v>1.78E-2</v>
      </c>
      <c r="V99" s="16">
        <f t="shared" si="23"/>
        <v>23.2654</v>
      </c>
      <c r="W99" s="49" t="e">
        <f>VLOOKUP(A99,Enforcements!$C$3:$J$31,8,0)</f>
        <v>#N/A</v>
      </c>
      <c r="X99" s="49" t="e">
        <f>VLOOKUP(A99,Enforcements!$C$3:$J$31,3,0)</f>
        <v>#N/A</v>
      </c>
    </row>
    <row r="100" spans="1:24" s="2" customFormat="1" x14ac:dyDescent="0.25">
      <c r="A100" s="18" t="s">
        <v>298</v>
      </c>
      <c r="B100" s="19">
        <v>4009</v>
      </c>
      <c r="C100" s="19" t="s">
        <v>68</v>
      </c>
      <c r="D100" s="19" t="s">
        <v>156</v>
      </c>
      <c r="E100" s="53">
        <v>42484.664756944447</v>
      </c>
      <c r="F100" s="53">
        <v>42484.666215277779</v>
      </c>
      <c r="G100" s="62">
        <v>2</v>
      </c>
      <c r="H100" s="53" t="s">
        <v>241</v>
      </c>
      <c r="I100" s="53">
        <v>42484.69195601852</v>
      </c>
      <c r="J100" s="19">
        <v>2</v>
      </c>
      <c r="K100" s="19" t="str">
        <f t="shared" si="18"/>
        <v>4009/4010</v>
      </c>
      <c r="L100" s="20">
        <f t="shared" si="24"/>
        <v>2.5740740740729962E-2</v>
      </c>
      <c r="M100" s="21">
        <f t="shared" si="25"/>
        <v>37.066666666651145</v>
      </c>
      <c r="N100" s="21"/>
      <c r="O100" s="22"/>
      <c r="P100" s="17"/>
      <c r="R100" s="16" t="str">
        <f t="shared" si="19"/>
        <v>https://search-rtdc-monitor-bjffxe2xuh6vdkpspy63sjmuny.us-east-1.es.amazonaws.com/_plugin/kibana/#/discover/Steve-Slow-Train-Analysis-(2080s-and-2083s)?_g=(refreshInterval:(display:Off,section:0,value:0),time:(from:'2016-04-24 15:56:15-0600',mode:absolute,to:'2016-04-24 16:37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S100" s="16" t="str">
        <f t="shared" si="20"/>
        <v>N</v>
      </c>
      <c r="T100" s="16">
        <f t="shared" si="21"/>
        <v>4.58E-2</v>
      </c>
      <c r="U100" s="16">
        <f t="shared" si="22"/>
        <v>23.331600000000002</v>
      </c>
      <c r="V100" s="16">
        <f t="shared" si="23"/>
        <v>23.285800000000002</v>
      </c>
      <c r="W100" s="49">
        <f>VLOOKUP(A100,Enforcements!$C$3:$J$31,8,0)</f>
        <v>20338</v>
      </c>
      <c r="X100" s="49" t="str">
        <f>VLOOKUP(A100,Enforcements!$C$3:$J$31,3,0)</f>
        <v>PERMANENT SPEED RESTRICTION</v>
      </c>
    </row>
    <row r="101" spans="1:24" s="2" customFormat="1" x14ac:dyDescent="0.25">
      <c r="A101" s="18" t="s">
        <v>299</v>
      </c>
      <c r="B101" s="19">
        <v>4010</v>
      </c>
      <c r="C101" s="19" t="s">
        <v>68</v>
      </c>
      <c r="D101" s="19" t="s">
        <v>243</v>
      </c>
      <c r="E101" s="53">
        <v>42484.701724537037</v>
      </c>
      <c r="F101" s="53">
        <v>42484.702534722222</v>
      </c>
      <c r="G101" s="62">
        <v>1</v>
      </c>
      <c r="H101" s="53" t="s">
        <v>83</v>
      </c>
      <c r="I101" s="53">
        <v>42484.733518518522</v>
      </c>
      <c r="J101" s="19">
        <v>1</v>
      </c>
      <c r="K101" s="19" t="str">
        <f t="shared" si="18"/>
        <v>4009/4010</v>
      </c>
      <c r="L101" s="20">
        <f t="shared" si="24"/>
        <v>3.0983796299551614E-2</v>
      </c>
      <c r="M101" s="21">
        <f t="shared" si="25"/>
        <v>44.616666671354324</v>
      </c>
      <c r="N101" s="21"/>
      <c r="O101" s="22"/>
      <c r="P101" s="17"/>
      <c r="R101" s="16" t="str">
        <f t="shared" si="19"/>
        <v>https://search-rtdc-monitor-bjffxe2xuh6vdkpspy63sjmuny.us-east-1.es.amazonaws.com/_plugin/kibana/#/discover/Steve-Slow-Train-Analysis-(2080s-and-2083s)?_g=(refreshInterval:(display:Off,section:0,value:0),time:(from:'2016-04-24 16:49:29-0600',mode:absolute,to:'2016-04-24 17:37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S101" s="16" t="str">
        <f t="shared" si="20"/>
        <v>N</v>
      </c>
      <c r="T101" s="16">
        <f t="shared" si="21"/>
        <v>23.298200000000001</v>
      </c>
      <c r="U101" s="16">
        <f t="shared" si="22"/>
        <v>1.4500000000000001E-2</v>
      </c>
      <c r="V101" s="16">
        <f t="shared" si="23"/>
        <v>23.2837</v>
      </c>
      <c r="W101" s="49">
        <f>VLOOKUP(A101,Enforcements!$C$3:$J$31,8,0)</f>
        <v>191108</v>
      </c>
      <c r="X101" s="49" t="str">
        <f>VLOOKUP(A101,Enforcements!$C$3:$J$31,3,0)</f>
        <v>PERMANENT SPEED RESTRICTION</v>
      </c>
    </row>
    <row r="102" spans="1:24" s="2" customFormat="1" x14ac:dyDescent="0.25">
      <c r="A102" s="18" t="s">
        <v>300</v>
      </c>
      <c r="B102" s="19">
        <v>4027</v>
      </c>
      <c r="C102" s="19" t="s">
        <v>68</v>
      </c>
      <c r="D102" s="19" t="s">
        <v>160</v>
      </c>
      <c r="E102" s="53">
        <v>42484.672812500001</v>
      </c>
      <c r="F102" s="53">
        <v>42484.673819444448</v>
      </c>
      <c r="G102" s="62">
        <v>1</v>
      </c>
      <c r="H102" s="53" t="s">
        <v>82</v>
      </c>
      <c r="I102" s="53">
        <v>42484.70349537037</v>
      </c>
      <c r="J102" s="19">
        <v>1</v>
      </c>
      <c r="K102" s="19" t="str">
        <f t="shared" si="18"/>
        <v>4027/4028</v>
      </c>
      <c r="L102" s="20">
        <f t="shared" si="24"/>
        <v>2.9675925921765156E-2</v>
      </c>
      <c r="M102" s="21">
        <f t="shared" si="25"/>
        <v>42.733333327341825</v>
      </c>
      <c r="N102" s="21"/>
      <c r="O102" s="22"/>
      <c r="P102" s="17"/>
      <c r="R102" s="16" t="str">
        <f t="shared" si="19"/>
        <v>https://search-rtdc-monitor-bjffxe2xuh6vdkpspy63sjmuny.us-east-1.es.amazonaws.com/_plugin/kibana/#/discover/Steve-Slow-Train-Analysis-(2080s-and-2083s)?_g=(refreshInterval:(display:Off,section:0,value:0),time:(from:'2016-04-24 16:07:51-0600',mode:absolute,to:'2016-04-24 16:54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S102" s="16" t="str">
        <f t="shared" si="20"/>
        <v>N</v>
      </c>
      <c r="T102" s="16">
        <f t="shared" si="21"/>
        <v>4.4600000000000001E-2</v>
      </c>
      <c r="U102" s="16">
        <f t="shared" si="22"/>
        <v>23.329799999999999</v>
      </c>
      <c r="V102" s="16">
        <f t="shared" si="23"/>
        <v>23.2852</v>
      </c>
      <c r="W102" s="49" t="e">
        <f>VLOOKUP(A102,Enforcements!$C$3:$J$31,8,0)</f>
        <v>#N/A</v>
      </c>
      <c r="X102" s="49" t="e">
        <f>VLOOKUP(A102,Enforcements!$C$3:$J$31,3,0)</f>
        <v>#N/A</v>
      </c>
    </row>
    <row r="103" spans="1:24" s="2" customFormat="1" x14ac:dyDescent="0.25">
      <c r="A103" s="18" t="s">
        <v>301</v>
      </c>
      <c r="B103" s="19">
        <v>4028</v>
      </c>
      <c r="C103" s="19" t="s">
        <v>68</v>
      </c>
      <c r="D103" s="19" t="s">
        <v>302</v>
      </c>
      <c r="E103" s="53">
        <v>42484.70894675926</v>
      </c>
      <c r="F103" s="53">
        <v>42484.709918981483</v>
      </c>
      <c r="G103" s="62">
        <v>1</v>
      </c>
      <c r="H103" s="53" t="s">
        <v>8</v>
      </c>
      <c r="I103" s="53">
        <v>42484.746076388888</v>
      </c>
      <c r="J103" s="19">
        <v>1</v>
      </c>
      <c r="K103" s="19" t="str">
        <f t="shared" si="18"/>
        <v>4027/4028</v>
      </c>
      <c r="L103" s="20">
        <f t="shared" si="24"/>
        <v>3.6157407404971309E-2</v>
      </c>
      <c r="M103" s="21">
        <f t="shared" si="25"/>
        <v>52.066666663158685</v>
      </c>
      <c r="N103" s="21"/>
      <c r="O103" s="22"/>
      <c r="P103" s="17"/>
      <c r="R103" s="16" t="str">
        <f t="shared" si="19"/>
        <v>https://search-rtdc-monitor-bjffxe2xuh6vdkpspy63sjmuny.us-east-1.es.amazonaws.com/_plugin/kibana/#/discover/Steve-Slow-Train-Analysis-(2080s-and-2083s)?_g=(refreshInterval:(display:Off,section:0,value:0),time:(from:'2016-04-24 16:59:53-0600',mode:absolute,to:'2016-04-24 17:55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S103" s="16" t="str">
        <f t="shared" si="20"/>
        <v>N</v>
      </c>
      <c r="T103" s="16">
        <f t="shared" si="21"/>
        <v>23.298500000000001</v>
      </c>
      <c r="U103" s="16">
        <f t="shared" si="22"/>
        <v>1.43E-2</v>
      </c>
      <c r="V103" s="16">
        <f t="shared" si="23"/>
        <v>23.284200000000002</v>
      </c>
      <c r="W103" s="49" t="e">
        <f>VLOOKUP(A103,Enforcements!$C$3:$J$31,8,0)</f>
        <v>#N/A</v>
      </c>
      <c r="X103" s="49" t="e">
        <f>VLOOKUP(A103,Enforcements!$C$3:$J$31,3,0)</f>
        <v>#N/A</v>
      </c>
    </row>
    <row r="104" spans="1:24" s="2" customFormat="1" x14ac:dyDescent="0.25">
      <c r="A104" s="18" t="s">
        <v>303</v>
      </c>
      <c r="B104" s="19">
        <v>4031</v>
      </c>
      <c r="C104" s="19" t="s">
        <v>68</v>
      </c>
      <c r="D104" s="19" t="s">
        <v>277</v>
      </c>
      <c r="E104" s="53">
        <v>42484.683113425926</v>
      </c>
      <c r="F104" s="53">
        <v>42484.684537037036</v>
      </c>
      <c r="G104" s="62">
        <v>2</v>
      </c>
      <c r="H104" s="53" t="s">
        <v>176</v>
      </c>
      <c r="I104" s="53">
        <v>42484.71434027778</v>
      </c>
      <c r="J104" s="19">
        <v>0</v>
      </c>
      <c r="K104" s="19" t="str">
        <f t="shared" si="18"/>
        <v>4031/4032</v>
      </c>
      <c r="L104" s="20">
        <f t="shared" si="24"/>
        <v>2.980324074451346E-2</v>
      </c>
      <c r="M104" s="21">
        <f t="shared" si="25"/>
        <v>42.916666672099382</v>
      </c>
      <c r="N104" s="21"/>
      <c r="O104" s="22"/>
      <c r="P104" s="17"/>
      <c r="R104" s="16" t="str">
        <f t="shared" si="19"/>
        <v>https://search-rtdc-monitor-bjffxe2xuh6vdkpspy63sjmuny.us-east-1.es.amazonaws.com/_plugin/kibana/#/discover/Steve-Slow-Train-Analysis-(2080s-and-2083s)?_g=(refreshInterval:(display:Off,section:0,value:0),time:(from:'2016-04-24 16:22:41-0600',mode:absolute,to:'2016-04-24 17:09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S104" s="16" t="str">
        <f t="shared" si="20"/>
        <v>N</v>
      </c>
      <c r="T104" s="16">
        <f t="shared" si="21"/>
        <v>4.4900000000000002E-2</v>
      </c>
      <c r="U104" s="16">
        <f t="shared" si="22"/>
        <v>23.3291</v>
      </c>
      <c r="V104" s="16">
        <f t="shared" si="23"/>
        <v>23.284200000000002</v>
      </c>
      <c r="W104" s="49" t="e">
        <f>VLOOKUP(A104,Enforcements!$C$3:$J$31,8,0)</f>
        <v>#N/A</v>
      </c>
      <c r="X104" s="49" t="e">
        <f>VLOOKUP(A104,Enforcements!$C$3:$J$31,3,0)</f>
        <v>#N/A</v>
      </c>
    </row>
    <row r="105" spans="1:24" s="2" customFormat="1" x14ac:dyDescent="0.25">
      <c r="A105" s="18" t="s">
        <v>304</v>
      </c>
      <c r="B105" s="19">
        <v>4032</v>
      </c>
      <c r="C105" s="19" t="s">
        <v>68</v>
      </c>
      <c r="D105" s="19" t="s">
        <v>185</v>
      </c>
      <c r="E105" s="53">
        <v>42484.717870370368</v>
      </c>
      <c r="F105" s="53">
        <v>42484.719293981485</v>
      </c>
      <c r="G105" s="62">
        <v>2</v>
      </c>
      <c r="H105" s="53" t="s">
        <v>186</v>
      </c>
      <c r="I105" s="53">
        <v>42484.758414351854</v>
      </c>
      <c r="J105" s="19">
        <v>0</v>
      </c>
      <c r="K105" s="19" t="str">
        <f t="shared" si="18"/>
        <v>4031/4032</v>
      </c>
      <c r="L105" s="20">
        <f t="shared" si="24"/>
        <v>3.9120370369346347E-2</v>
      </c>
      <c r="M105" s="21">
        <f t="shared" si="25"/>
        <v>56.333333331858739</v>
      </c>
      <c r="N105" s="21"/>
      <c r="O105" s="22"/>
      <c r="P105" s="17"/>
      <c r="R105" s="16" t="str">
        <f t="shared" si="19"/>
        <v>https://search-rtdc-monitor-bjffxe2xuh6vdkpspy63sjmuny.us-east-1.es.amazonaws.com/_plugin/kibana/#/discover/Steve-Slow-Train-Analysis-(2080s-and-2083s)?_g=(refreshInterval:(display:Off,section:0,value:0),time:(from:'2016-04-24 17:12:44-0600',mode:absolute,to:'2016-04-24 18:13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S105" s="16" t="str">
        <f t="shared" si="20"/>
        <v>N</v>
      </c>
      <c r="T105" s="16">
        <f t="shared" si="21"/>
        <v>23.296900000000001</v>
      </c>
      <c r="U105" s="16">
        <f t="shared" si="22"/>
        <v>1.6299999999999999E-2</v>
      </c>
      <c r="V105" s="16">
        <f t="shared" si="23"/>
        <v>23.2806</v>
      </c>
      <c r="W105" s="49" t="e">
        <f>VLOOKUP(A105,Enforcements!$C$3:$J$31,8,0)</f>
        <v>#N/A</v>
      </c>
      <c r="X105" s="49" t="e">
        <f>VLOOKUP(A105,Enforcements!$C$3:$J$31,3,0)</f>
        <v>#N/A</v>
      </c>
    </row>
    <row r="106" spans="1:24" s="2" customFormat="1" x14ac:dyDescent="0.25">
      <c r="A106" s="18" t="s">
        <v>305</v>
      </c>
      <c r="B106" s="19">
        <v>4040</v>
      </c>
      <c r="C106" s="19" t="s">
        <v>68</v>
      </c>
      <c r="D106" s="19" t="s">
        <v>306</v>
      </c>
      <c r="E106" s="53">
        <v>42484.692650462966</v>
      </c>
      <c r="F106" s="53">
        <v>42484.693865740737</v>
      </c>
      <c r="G106" s="62">
        <v>1</v>
      </c>
      <c r="H106" s="53" t="s">
        <v>307</v>
      </c>
      <c r="I106" s="53">
        <v>42484.724618055552</v>
      </c>
      <c r="J106" s="19">
        <v>0</v>
      </c>
      <c r="K106" s="19" t="str">
        <f t="shared" si="18"/>
        <v>4039/4040</v>
      </c>
      <c r="L106" s="20">
        <f t="shared" si="24"/>
        <v>3.0752314814890269E-2</v>
      </c>
      <c r="M106" s="21">
        <f t="shared" si="25"/>
        <v>44.283333333441988</v>
      </c>
      <c r="N106" s="21"/>
      <c r="O106" s="22"/>
      <c r="P106" s="17"/>
      <c r="R106" s="16" t="str">
        <f t="shared" si="19"/>
        <v>https://search-rtdc-monitor-bjffxe2xuh6vdkpspy63sjmuny.us-east-1.es.amazonaws.com/_plugin/kibana/#/discover/Steve-Slow-Train-Analysis-(2080s-and-2083s)?_g=(refreshInterval:(display:Off,section:0,value:0),time:(from:'2016-04-24 16:36:25-0600',mode:absolute,to:'2016-04-24 17:24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S106" s="16" t="str">
        <f t="shared" si="20"/>
        <v>N</v>
      </c>
      <c r="T106" s="16">
        <f t="shared" si="21"/>
        <v>4.6699999999999998E-2</v>
      </c>
      <c r="U106" s="16">
        <f t="shared" si="22"/>
        <v>23.334900000000001</v>
      </c>
      <c r="V106" s="16">
        <f t="shared" si="23"/>
        <v>23.2882</v>
      </c>
      <c r="W106" s="49" t="e">
        <f>VLOOKUP(A106,Enforcements!$C$3:$J$31,8,0)</f>
        <v>#N/A</v>
      </c>
      <c r="X106" s="49" t="e">
        <f>VLOOKUP(A106,Enforcements!$C$3:$J$31,3,0)</f>
        <v>#N/A</v>
      </c>
    </row>
    <row r="107" spans="1:24" s="2" customFormat="1" x14ac:dyDescent="0.25">
      <c r="A107" s="18" t="s">
        <v>308</v>
      </c>
      <c r="B107" s="19">
        <v>4039</v>
      </c>
      <c r="C107" s="19" t="s">
        <v>68</v>
      </c>
      <c r="D107" s="19" t="s">
        <v>309</v>
      </c>
      <c r="E107" s="53">
        <v>42484.72929398148</v>
      </c>
      <c r="F107" s="53">
        <v>42484.733518518522</v>
      </c>
      <c r="G107" s="62">
        <v>6</v>
      </c>
      <c r="H107" s="53" t="s">
        <v>8</v>
      </c>
      <c r="I107" s="53">
        <v>42484.765370370369</v>
      </c>
      <c r="J107" s="19">
        <v>1</v>
      </c>
      <c r="K107" s="19" t="str">
        <f t="shared" si="18"/>
        <v>4039/4040</v>
      </c>
      <c r="L107" s="20">
        <f t="shared" si="24"/>
        <v>3.1851851847022772E-2</v>
      </c>
      <c r="M107" s="21">
        <f t="shared" si="25"/>
        <v>45.866666659712791</v>
      </c>
      <c r="N107" s="21"/>
      <c r="O107" s="22"/>
      <c r="P107" s="17"/>
      <c r="R107" s="16" t="str">
        <f t="shared" si="19"/>
        <v>https://search-rtdc-monitor-bjffxe2xuh6vdkpspy63sjmuny.us-east-1.es.amazonaws.com/_plugin/kibana/#/discover/Steve-Slow-Train-Analysis-(2080s-and-2083s)?_g=(refreshInterval:(display:Off,section:0,value:0),time:(from:'2016-04-24 17:29:11-0600',mode:absolute,to:'2016-04-24 18:23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S107" s="16" t="str">
        <f t="shared" si="20"/>
        <v>N</v>
      </c>
      <c r="T107" s="16">
        <f t="shared" si="21"/>
        <v>23.302700000000002</v>
      </c>
      <c r="U107" s="16">
        <f t="shared" si="22"/>
        <v>1.43E-2</v>
      </c>
      <c r="V107" s="16">
        <f t="shared" si="23"/>
        <v>23.288400000000003</v>
      </c>
      <c r="W107" s="49">
        <f>VLOOKUP(A107,Enforcements!$C$3:$J$31,8,0)</f>
        <v>126678</v>
      </c>
      <c r="X107" s="49" t="str">
        <f>VLOOKUP(A107,Enforcements!$C$3:$J$31,3,0)</f>
        <v>EQUIPMENT RESTRICTION</v>
      </c>
    </row>
    <row r="108" spans="1:24" s="2" customFormat="1" x14ac:dyDescent="0.25">
      <c r="A108" s="18" t="s">
        <v>310</v>
      </c>
      <c r="B108" s="19">
        <v>4044</v>
      </c>
      <c r="C108" s="19" t="s">
        <v>68</v>
      </c>
      <c r="D108" s="19" t="s">
        <v>144</v>
      </c>
      <c r="E108" s="53">
        <v>42484.705092592594</v>
      </c>
      <c r="F108" s="53">
        <v>42484.706122685187</v>
      </c>
      <c r="G108" s="62">
        <v>1</v>
      </c>
      <c r="H108" s="53" t="s">
        <v>311</v>
      </c>
      <c r="I108" s="53">
        <v>42484.732604166667</v>
      </c>
      <c r="J108" s="19">
        <v>1</v>
      </c>
      <c r="K108" s="19" t="str">
        <f t="shared" si="18"/>
        <v>4043/4044</v>
      </c>
      <c r="L108" s="20">
        <f t="shared" si="24"/>
        <v>2.6481481480004732E-2</v>
      </c>
      <c r="M108" s="21">
        <f t="shared" si="25"/>
        <v>38.133333331206813</v>
      </c>
      <c r="N108" s="21"/>
      <c r="O108" s="22"/>
      <c r="P108" s="17"/>
      <c r="R108" s="16" t="str">
        <f t="shared" si="19"/>
        <v>https://search-rtdc-monitor-bjffxe2xuh6vdkpspy63sjmuny.us-east-1.es.amazonaws.com/_plugin/kibana/#/discover/Steve-Slow-Train-Analysis-(2080s-and-2083s)?_g=(refreshInterval:(display:Off,section:0,value:0),time:(from:'2016-04-24 16:54:20-0600',mode:absolute,to:'2016-04-24 17:35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S108" s="16" t="str">
        <f t="shared" si="20"/>
        <v>N</v>
      </c>
      <c r="T108" s="16">
        <f t="shared" si="21"/>
        <v>4.7699999999999999E-2</v>
      </c>
      <c r="U108" s="16">
        <f t="shared" si="22"/>
        <v>23.336200000000002</v>
      </c>
      <c r="V108" s="16">
        <f t="shared" si="23"/>
        <v>23.288500000000003</v>
      </c>
      <c r="W108" s="49" t="e">
        <f>VLOOKUP(A108,Enforcements!$C$3:$J$31,8,0)</f>
        <v>#N/A</v>
      </c>
      <c r="X108" s="49" t="e">
        <f>VLOOKUP(A108,Enforcements!$C$3:$J$31,3,0)</f>
        <v>#N/A</v>
      </c>
    </row>
    <row r="109" spans="1:24" s="2" customFormat="1" x14ac:dyDescent="0.25">
      <c r="A109" s="18" t="s">
        <v>312</v>
      </c>
      <c r="B109" s="19">
        <v>4043</v>
      </c>
      <c r="C109" s="19" t="s">
        <v>68</v>
      </c>
      <c r="D109" s="19" t="s">
        <v>313</v>
      </c>
      <c r="E109" s="53">
        <v>42484.744305555556</v>
      </c>
      <c r="F109" s="53">
        <v>42484.74628472222</v>
      </c>
      <c r="G109" s="62">
        <v>2</v>
      </c>
      <c r="H109" s="53" t="s">
        <v>21</v>
      </c>
      <c r="I109" s="53">
        <v>42484.777557870373</v>
      </c>
      <c r="J109" s="19">
        <v>0</v>
      </c>
      <c r="K109" s="19" t="str">
        <f t="shared" si="18"/>
        <v>4043/4044</v>
      </c>
      <c r="L109" s="20">
        <f t="shared" si="24"/>
        <v>3.1273148153559305E-2</v>
      </c>
      <c r="M109" s="21">
        <f t="shared" si="25"/>
        <v>45.033333341125399</v>
      </c>
      <c r="N109" s="21"/>
      <c r="O109" s="22"/>
      <c r="P109" s="17"/>
      <c r="R109" s="16" t="str">
        <f t="shared" si="19"/>
        <v>https://search-rtdc-monitor-bjffxe2xuh6vdkpspy63sjmuny.us-east-1.es.amazonaws.com/_plugin/kibana/#/discover/Steve-Slow-Train-Analysis-(2080s-and-2083s)?_g=(refreshInterval:(display:Off,section:0,value:0),time:(from:'2016-04-24 17:50:48-0600',mode:absolute,to:'2016-04-24 18:40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S109" s="16" t="str">
        <f t="shared" si="20"/>
        <v>N</v>
      </c>
      <c r="T109" s="16">
        <f t="shared" si="21"/>
        <v>23.308</v>
      </c>
      <c r="U109" s="16">
        <f t="shared" si="22"/>
        <v>1.47E-2</v>
      </c>
      <c r="V109" s="16">
        <f t="shared" si="23"/>
        <v>23.293299999999999</v>
      </c>
      <c r="W109" s="49" t="e">
        <f>VLOOKUP(A109,Enforcements!$C$3:$J$31,8,0)</f>
        <v>#N/A</v>
      </c>
      <c r="X109" s="49" t="e">
        <f>VLOOKUP(A109,Enforcements!$C$3:$J$31,3,0)</f>
        <v>#N/A</v>
      </c>
    </row>
    <row r="110" spans="1:24" s="2" customFormat="1" x14ac:dyDescent="0.25">
      <c r="A110" s="18" t="s">
        <v>314</v>
      </c>
      <c r="B110" s="19">
        <v>4025</v>
      </c>
      <c r="C110" s="19" t="s">
        <v>68</v>
      </c>
      <c r="D110" s="19" t="s">
        <v>122</v>
      </c>
      <c r="E110" s="53">
        <v>42484.715162037035</v>
      </c>
      <c r="F110" s="53">
        <v>42484.716238425928</v>
      </c>
      <c r="G110" s="62">
        <v>1</v>
      </c>
      <c r="H110" s="53" t="s">
        <v>181</v>
      </c>
      <c r="I110" s="53">
        <v>42484.755636574075</v>
      </c>
      <c r="J110" s="19">
        <v>0</v>
      </c>
      <c r="K110" s="19" t="str">
        <f t="shared" si="18"/>
        <v>4025/4026</v>
      </c>
      <c r="L110" s="20">
        <f t="shared" si="24"/>
        <v>3.9398148146574385E-2</v>
      </c>
      <c r="M110" s="21">
        <f t="shared" si="25"/>
        <v>56.733333331067115</v>
      </c>
      <c r="N110" s="21"/>
      <c r="O110" s="22"/>
      <c r="P110" s="17"/>
      <c r="R110" s="16" t="str">
        <f t="shared" ref="R110:R148" si="26">"https://search-rtdc-monitor-bjffxe2xuh6vdkpspy63sjmuny.us-east-1.es.amazonaws.com/_plugin/kibana/#/discover/Steve-Slow-Train-Analysis-(2080s-and-2083s)?_g=(refreshInterval:(display:Off,section:0,value:0),time:(from:'"&amp;TEXT(E110-1/24/60,"yyyy-MM-DD hh:mm:ss")&amp;"-0600',mode:absolute,to:'"&amp;TEXT(I110+1/24/60,"yyyy-MM-DD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110&amp;"%22')),sort:!(Time,asc))"</f>
        <v>https://search-rtdc-monitor-bjffxe2xuh6vdkpspy63sjmuny.us-east-1.es.amazonaws.com/_plugin/kibana/#/discover/Steve-Slow-Train-Analysis-(2080s-and-2083s)?_g=(refreshInterval:(display:Off,section:0,value:0),time:(from:'2016-04-24 17:08:50-0600',mode:absolute,to:'2016-04-24 18:09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S110" s="16" t="str">
        <f t="shared" ref="S110:S148" si="27">IF(V110&lt;23,"Y","N")</f>
        <v>N</v>
      </c>
      <c r="T110" s="16">
        <f t="shared" ref="T110:T148" si="28">RIGHT(D110,LEN(D110)-4)/10000</f>
        <v>4.4699999999999997E-2</v>
      </c>
      <c r="U110" s="16">
        <f t="shared" ref="U110:U148" si="29">RIGHT(H110,LEN(H110)-4)/10000</f>
        <v>23.327999999999999</v>
      </c>
      <c r="V110" s="16">
        <f t="shared" ref="V110:V148" si="30">ABS(U110-T110)</f>
        <v>23.283300000000001</v>
      </c>
      <c r="W110" s="49" t="e">
        <f>VLOOKUP(A110,Enforcements!$C$3:$J$31,8,0)</f>
        <v>#N/A</v>
      </c>
      <c r="X110" s="49" t="e">
        <f>VLOOKUP(A110,Enforcements!$C$3:$J$31,3,0)</f>
        <v>#N/A</v>
      </c>
    </row>
    <row r="111" spans="1:24" s="2" customFormat="1" x14ac:dyDescent="0.25">
      <c r="A111" s="18" t="s">
        <v>315</v>
      </c>
      <c r="B111" s="19">
        <v>4026</v>
      </c>
      <c r="C111" s="19" t="s">
        <v>68</v>
      </c>
      <c r="D111" s="19" t="s">
        <v>183</v>
      </c>
      <c r="E111" s="53">
        <v>42484.758125</v>
      </c>
      <c r="F111" s="53">
        <v>42484.75953703704</v>
      </c>
      <c r="G111" s="62">
        <v>2</v>
      </c>
      <c r="H111" s="53" t="s">
        <v>316</v>
      </c>
      <c r="I111" s="53">
        <v>42484.778900462959</v>
      </c>
      <c r="J111" s="19">
        <v>0</v>
      </c>
      <c r="K111" s="19" t="str">
        <f t="shared" si="18"/>
        <v>4025/4026</v>
      </c>
      <c r="L111" s="20">
        <f t="shared" si="24"/>
        <v>1.936342591943685E-2</v>
      </c>
      <c r="M111" s="21"/>
      <c r="N111" s="21"/>
      <c r="O111" s="21">
        <f t="shared" si="25"/>
        <v>27.883333323989064</v>
      </c>
      <c r="P111" s="17" t="s">
        <v>408</v>
      </c>
      <c r="R111" s="16" t="str">
        <f t="shared" si="26"/>
        <v>https://search-rtdc-monitor-bjffxe2xuh6vdkpspy63sjmuny.us-east-1.es.amazonaws.com/_plugin/kibana/#/discover/Steve-Slow-Train-Analysis-(2080s-and-2083s)?_g=(refreshInterval:(display:Off,section:0,value:0),time:(from:'2016-04-24 18:10:42-0600',mode:absolute,to:'2016-04-24 18:42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S111" s="16" t="str">
        <f t="shared" si="27"/>
        <v>Y</v>
      </c>
      <c r="T111" s="16">
        <f t="shared" si="28"/>
        <v>23.297899999999998</v>
      </c>
      <c r="U111" s="16">
        <f t="shared" si="29"/>
        <v>4.8186</v>
      </c>
      <c r="V111" s="16">
        <f t="shared" si="30"/>
        <v>18.479299999999999</v>
      </c>
      <c r="W111" s="49" t="e">
        <f>VLOOKUP(A111,Enforcements!$C$3:$J$31,8,0)</f>
        <v>#N/A</v>
      </c>
      <c r="X111" s="49" t="e">
        <f>VLOOKUP(A111,Enforcements!$C$3:$J$31,3,0)</f>
        <v>#N/A</v>
      </c>
    </row>
    <row r="112" spans="1:24" s="2" customFormat="1" x14ac:dyDescent="0.25">
      <c r="A112" s="18" t="s">
        <v>317</v>
      </c>
      <c r="B112" s="19">
        <v>4029</v>
      </c>
      <c r="C112" s="19" t="s">
        <v>68</v>
      </c>
      <c r="D112" s="19" t="s">
        <v>291</v>
      </c>
      <c r="E112" s="53">
        <v>42484.724618055552</v>
      </c>
      <c r="F112" s="53">
        <v>42484.725740740738</v>
      </c>
      <c r="G112" s="62">
        <v>1</v>
      </c>
      <c r="H112" s="53" t="s">
        <v>318</v>
      </c>
      <c r="I112" s="53">
        <v>42484.757569444446</v>
      </c>
      <c r="J112" s="19">
        <v>1</v>
      </c>
      <c r="K112" s="19" t="str">
        <f t="shared" si="18"/>
        <v>4029/4030</v>
      </c>
      <c r="L112" s="20">
        <f t="shared" si="24"/>
        <v>3.1828703708015382E-2</v>
      </c>
      <c r="M112" s="21">
        <f t="shared" si="25"/>
        <v>45.83333333954215</v>
      </c>
      <c r="N112" s="21"/>
      <c r="O112" s="22"/>
      <c r="P112" s="17"/>
      <c r="R112" s="16" t="str">
        <f t="shared" si="26"/>
        <v>https://search-rtdc-monitor-bjffxe2xuh6vdkpspy63sjmuny.us-east-1.es.amazonaws.com/_plugin/kibana/#/discover/Steve-Slow-Train-Analysis-(2080s-and-2083s)?_g=(refreshInterval:(display:Off,section:0,value:0),time:(from:'2016-04-24 17:22:27-0600',mode:absolute,to:'2016-04-24 18:11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S112" s="16" t="str">
        <f t="shared" si="27"/>
        <v>N</v>
      </c>
      <c r="T112" s="16">
        <f t="shared" si="28"/>
        <v>4.7100000000000003E-2</v>
      </c>
      <c r="U112" s="16">
        <f t="shared" si="29"/>
        <v>23.296700000000001</v>
      </c>
      <c r="V112" s="16">
        <f t="shared" si="30"/>
        <v>23.249600000000001</v>
      </c>
      <c r="W112" s="49">
        <f>VLOOKUP(A112,Enforcements!$C$3:$J$31,8,0)</f>
        <v>20338</v>
      </c>
      <c r="X112" s="49" t="str">
        <f>VLOOKUP(A112,Enforcements!$C$3:$J$31,3,0)</f>
        <v>PERMANENT SPEED RESTRICTION</v>
      </c>
    </row>
    <row r="113" spans="1:24" s="2" customFormat="1" x14ac:dyDescent="0.25">
      <c r="A113" s="18" t="s">
        <v>319</v>
      </c>
      <c r="B113" s="19">
        <v>4030</v>
      </c>
      <c r="C113" s="19" t="s">
        <v>68</v>
      </c>
      <c r="D113" s="19" t="s">
        <v>320</v>
      </c>
      <c r="E113" s="53">
        <v>42484.766284722224</v>
      </c>
      <c r="F113" s="53">
        <v>42484.767893518518</v>
      </c>
      <c r="G113" s="62">
        <v>2</v>
      </c>
      <c r="H113" s="53" t="s">
        <v>291</v>
      </c>
      <c r="I113" s="53">
        <v>42484.800798611112</v>
      </c>
      <c r="J113" s="19">
        <v>0</v>
      </c>
      <c r="K113" s="19" t="str">
        <f t="shared" si="18"/>
        <v>4029/4030</v>
      </c>
      <c r="L113" s="20">
        <f t="shared" si="24"/>
        <v>3.2905092593864538E-2</v>
      </c>
      <c r="M113" s="21">
        <f t="shared" si="25"/>
        <v>47.383333335164934</v>
      </c>
      <c r="N113" s="21"/>
      <c r="O113" s="22"/>
      <c r="P113" s="17"/>
      <c r="R113" s="16" t="str">
        <f t="shared" si="26"/>
        <v>https://search-rtdc-monitor-bjffxe2xuh6vdkpspy63sjmuny.us-east-1.es.amazonaws.com/_plugin/kibana/#/discover/Steve-Slow-Train-Analysis-(2080s-and-2083s)?_g=(refreshInterval:(display:Off,section:0,value:0),time:(from:'2016-04-24 18:22:27-0600',mode:absolute,to:'2016-04-24 19:14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S113" s="16" t="str">
        <f t="shared" si="27"/>
        <v>N</v>
      </c>
      <c r="T113" s="16">
        <f t="shared" si="28"/>
        <v>23.280200000000001</v>
      </c>
      <c r="U113" s="16">
        <f t="shared" si="29"/>
        <v>4.7100000000000003E-2</v>
      </c>
      <c r="V113" s="16">
        <f t="shared" si="30"/>
        <v>23.2331</v>
      </c>
      <c r="W113" s="49" t="e">
        <f>VLOOKUP(A113,Enforcements!$C$3:$J$31,8,0)</f>
        <v>#N/A</v>
      </c>
      <c r="X113" s="49" t="e">
        <f>VLOOKUP(A113,Enforcements!$C$3:$J$31,3,0)</f>
        <v>#N/A</v>
      </c>
    </row>
    <row r="114" spans="1:24" s="2" customFormat="1" x14ac:dyDescent="0.25">
      <c r="A114" s="18" t="s">
        <v>321</v>
      </c>
      <c r="B114" s="19">
        <v>4009</v>
      </c>
      <c r="C114" s="19" t="s">
        <v>68</v>
      </c>
      <c r="D114" s="19" t="s">
        <v>277</v>
      </c>
      <c r="E114" s="53">
        <v>42484.738055555557</v>
      </c>
      <c r="F114" s="53">
        <v>42484.739953703705</v>
      </c>
      <c r="G114" s="62">
        <v>2</v>
      </c>
      <c r="H114" s="53" t="s">
        <v>322</v>
      </c>
      <c r="I114" s="53">
        <v>42484.767372685186</v>
      </c>
      <c r="J114" s="19">
        <v>0</v>
      </c>
      <c r="K114" s="19" t="str">
        <f t="shared" si="18"/>
        <v>4009/4010</v>
      </c>
      <c r="L114" s="20">
        <f t="shared" si="24"/>
        <v>2.7418981480877846E-2</v>
      </c>
      <c r="M114" s="21">
        <f t="shared" ref="M114:O120" si="31">$L114*24*60</f>
        <v>39.483333332464099</v>
      </c>
      <c r="N114" s="21"/>
      <c r="O114" s="22"/>
      <c r="P114" s="17"/>
      <c r="R114" s="16" t="str">
        <f t="shared" si="26"/>
        <v>https://search-rtdc-monitor-bjffxe2xuh6vdkpspy63sjmuny.us-east-1.es.amazonaws.com/_plugin/kibana/#/discover/Steve-Slow-Train-Analysis-(2080s-and-2083s)?_g=(refreshInterval:(display:Off,section:0,value:0),time:(from:'2016-04-24 17:41:48-0600',mode:absolute,to:'2016-04-24 18:26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S114" s="16" t="str">
        <f t="shared" si="27"/>
        <v>N</v>
      </c>
      <c r="T114" s="16">
        <f t="shared" si="28"/>
        <v>4.4900000000000002E-2</v>
      </c>
      <c r="U114" s="16">
        <f t="shared" si="29"/>
        <v>23.3263</v>
      </c>
      <c r="V114" s="16">
        <f t="shared" si="30"/>
        <v>23.281400000000001</v>
      </c>
      <c r="W114" s="49" t="e">
        <f>VLOOKUP(A114,Enforcements!$C$3:$J$31,8,0)</f>
        <v>#N/A</v>
      </c>
      <c r="X114" s="49" t="e">
        <f>VLOOKUP(A114,Enforcements!$C$3:$J$31,3,0)</f>
        <v>#N/A</v>
      </c>
    </row>
    <row r="115" spans="1:24" s="2" customFormat="1" x14ac:dyDescent="0.25">
      <c r="A115" s="18" t="s">
        <v>321</v>
      </c>
      <c r="B115" s="19">
        <v>4009</v>
      </c>
      <c r="C115" s="19" t="s">
        <v>68</v>
      </c>
      <c r="D115" s="19" t="s">
        <v>206</v>
      </c>
      <c r="E115" s="53">
        <v>42484.809965277775</v>
      </c>
      <c r="F115" s="53">
        <v>42484.810567129629</v>
      </c>
      <c r="G115" s="62">
        <v>0</v>
      </c>
      <c r="H115" s="53" t="s">
        <v>322</v>
      </c>
      <c r="I115" s="53">
        <v>42484.842731481483</v>
      </c>
      <c r="J115" s="19">
        <v>0</v>
      </c>
      <c r="K115" s="19" t="str">
        <f t="shared" si="18"/>
        <v>4009/4010</v>
      </c>
      <c r="L115" s="20">
        <f t="shared" si="24"/>
        <v>3.2164351854589768E-2</v>
      </c>
      <c r="M115" s="21">
        <f t="shared" si="31"/>
        <v>46.316666670609266</v>
      </c>
      <c r="N115" s="21"/>
      <c r="O115" s="22"/>
      <c r="P115" s="17"/>
      <c r="R115" s="16" t="str">
        <f t="shared" si="26"/>
        <v>https://search-rtdc-monitor-bjffxe2xuh6vdkpspy63sjmuny.us-east-1.es.amazonaws.com/_plugin/kibana/#/discover/Steve-Slow-Train-Analysis-(2080s-and-2083s)?_g=(refreshInterval:(display:Off,section:0,value:0),time:(from:'2016-04-24 19:25:21-0600',mode:absolute,to:'2016-04-24 20:14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S115" s="16" t="str">
        <f t="shared" si="27"/>
        <v>N</v>
      </c>
      <c r="T115" s="16">
        <f t="shared" si="28"/>
        <v>4.9299999999999997E-2</v>
      </c>
      <c r="U115" s="16">
        <f t="shared" si="29"/>
        <v>23.3263</v>
      </c>
      <c r="V115" s="16">
        <f t="shared" si="30"/>
        <v>23.277000000000001</v>
      </c>
      <c r="W115" s="49" t="e">
        <f>VLOOKUP(A115,Enforcements!$C$3:$J$31,8,0)</f>
        <v>#N/A</v>
      </c>
      <c r="X115" s="49" t="e">
        <f>VLOOKUP(A115,Enforcements!$C$3:$J$31,3,0)</f>
        <v>#N/A</v>
      </c>
    </row>
    <row r="116" spans="1:24" s="2" customFormat="1" x14ac:dyDescent="0.25">
      <c r="A116" s="18" t="s">
        <v>323</v>
      </c>
      <c r="B116" s="19">
        <v>4010</v>
      </c>
      <c r="C116" s="19" t="s">
        <v>68</v>
      </c>
      <c r="D116" s="19" t="s">
        <v>227</v>
      </c>
      <c r="E116" s="53">
        <v>42484.773310185185</v>
      </c>
      <c r="F116" s="53">
        <v>42484.77412037037</v>
      </c>
      <c r="G116" s="62">
        <v>1</v>
      </c>
      <c r="H116" s="53" t="s">
        <v>324</v>
      </c>
      <c r="I116" s="53">
        <v>42484.808229166665</v>
      </c>
      <c r="J116" s="19">
        <v>0</v>
      </c>
      <c r="K116" s="19" t="str">
        <f t="shared" si="18"/>
        <v>4009/4010</v>
      </c>
      <c r="L116" s="20">
        <f t="shared" si="24"/>
        <v>3.4108796295186039E-2</v>
      </c>
      <c r="M116" s="21">
        <f t="shared" si="31"/>
        <v>49.116666665067896</v>
      </c>
      <c r="N116" s="21"/>
      <c r="O116" s="22"/>
      <c r="P116" s="17"/>
      <c r="R116" s="16" t="str">
        <f t="shared" si="26"/>
        <v>https://search-rtdc-monitor-bjffxe2xuh6vdkpspy63sjmuny.us-east-1.es.amazonaws.com/_plugin/kibana/#/discover/Steve-Slow-Train-Analysis-(2080s-and-2083s)?_g=(refreshInterval:(display:Off,section:0,value:0),time:(from:'2016-04-24 18:32:34-0600',mode:absolute,to:'2016-04-24 19:24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S116" s="16" t="str">
        <f t="shared" si="27"/>
        <v>N</v>
      </c>
      <c r="T116" s="16">
        <f t="shared" si="28"/>
        <v>23.2972</v>
      </c>
      <c r="U116" s="16">
        <f t="shared" si="29"/>
        <v>1.8100000000000002E-2</v>
      </c>
      <c r="V116" s="16">
        <f t="shared" si="30"/>
        <v>23.2791</v>
      </c>
      <c r="W116" s="49" t="e">
        <f>VLOOKUP(A116,Enforcements!$C$3:$J$31,8,0)</f>
        <v>#N/A</v>
      </c>
      <c r="X116" s="49" t="e">
        <f>VLOOKUP(A116,Enforcements!$C$3:$J$31,3,0)</f>
        <v>#N/A</v>
      </c>
    </row>
    <row r="117" spans="1:24" s="2" customFormat="1" x14ac:dyDescent="0.25">
      <c r="A117" s="18" t="s">
        <v>325</v>
      </c>
      <c r="B117" s="19">
        <v>4027</v>
      </c>
      <c r="C117" s="19" t="s">
        <v>68</v>
      </c>
      <c r="D117" s="19" t="s">
        <v>175</v>
      </c>
      <c r="E117" s="53">
        <v>42484.747569444444</v>
      </c>
      <c r="F117" s="53">
        <v>42484.748472222222</v>
      </c>
      <c r="G117" s="62">
        <v>1</v>
      </c>
      <c r="H117" s="53" t="s">
        <v>97</v>
      </c>
      <c r="I117" s="53">
        <v>42484.775173611109</v>
      </c>
      <c r="J117" s="19">
        <v>1</v>
      </c>
      <c r="K117" s="19" t="str">
        <f t="shared" si="18"/>
        <v>4027/4028</v>
      </c>
      <c r="L117" s="20">
        <f t="shared" si="24"/>
        <v>2.6701388887886424E-2</v>
      </c>
      <c r="M117" s="21">
        <f t="shared" si="31"/>
        <v>38.44999999855645</v>
      </c>
      <c r="N117" s="21"/>
      <c r="O117" s="22"/>
      <c r="P117" s="17"/>
      <c r="R117" s="16" t="str">
        <f t="shared" si="26"/>
        <v>https://search-rtdc-monitor-bjffxe2xuh6vdkpspy63sjmuny.us-east-1.es.amazonaws.com/_plugin/kibana/#/discover/Steve-Slow-Train-Analysis-(2080s-and-2083s)?_g=(refreshInterval:(display:Off,section:0,value:0),time:(from:'2016-04-24 17:55:30-0600',mode:absolute,to:'2016-04-24 18:37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S117" s="16" t="str">
        <f t="shared" si="27"/>
        <v>N</v>
      </c>
      <c r="T117" s="16">
        <f t="shared" si="28"/>
        <v>4.5100000000000001E-2</v>
      </c>
      <c r="U117" s="16">
        <f t="shared" si="29"/>
        <v>23.328800000000001</v>
      </c>
      <c r="V117" s="16">
        <f t="shared" si="30"/>
        <v>23.2837</v>
      </c>
      <c r="W117" s="49" t="e">
        <f>VLOOKUP(A117,Enforcements!$C$3:$J$31,8,0)</f>
        <v>#N/A</v>
      </c>
      <c r="X117" s="49" t="e">
        <f>VLOOKUP(A117,Enforcements!$C$3:$J$31,3,0)</f>
        <v>#N/A</v>
      </c>
    </row>
    <row r="118" spans="1:24" s="2" customFormat="1" x14ac:dyDescent="0.25">
      <c r="A118" s="18" t="s">
        <v>326</v>
      </c>
      <c r="B118" s="19">
        <v>4028</v>
      </c>
      <c r="C118" s="19" t="s">
        <v>68</v>
      </c>
      <c r="D118" s="19" t="s">
        <v>327</v>
      </c>
      <c r="E118" s="53">
        <v>42484.797986111109</v>
      </c>
      <c r="F118" s="53">
        <v>42484.798518518517</v>
      </c>
      <c r="G118" s="62">
        <v>0</v>
      </c>
      <c r="H118" s="53" t="s">
        <v>328</v>
      </c>
      <c r="I118" s="53">
        <v>42484.819328703707</v>
      </c>
      <c r="J118" s="19">
        <v>1</v>
      </c>
      <c r="K118" s="19" t="str">
        <f t="shared" si="18"/>
        <v>4027/4028</v>
      </c>
      <c r="L118" s="20">
        <f t="shared" si="24"/>
        <v>2.0810185189475305E-2</v>
      </c>
      <c r="M118" s="21"/>
      <c r="N118" s="21"/>
      <c r="O118" s="21">
        <f>($L118+L119)*24*60</f>
        <v>36.166666676290333</v>
      </c>
      <c r="P118" s="17" t="s">
        <v>409</v>
      </c>
      <c r="R118" s="16" t="str">
        <f t="shared" si="26"/>
        <v>https://search-rtdc-monitor-bjffxe2xuh6vdkpspy63sjmuny.us-east-1.es.amazonaws.com/_plugin/kibana/#/discover/Steve-Slow-Train-Analysis-(2080s-and-2083s)?_g=(refreshInterval:(display:Off,section:0,value:0),time:(from:'2016-04-24 19:08:06-0600',mode:absolute,to:'2016-04-24 19:40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S118" s="16" t="str">
        <f t="shared" si="27"/>
        <v>Y</v>
      </c>
      <c r="T118" s="16">
        <f t="shared" si="28"/>
        <v>15.401300000000001</v>
      </c>
      <c r="U118" s="16">
        <f t="shared" si="29"/>
        <v>1.6899999999999998E-2</v>
      </c>
      <c r="V118" s="16">
        <f t="shared" si="30"/>
        <v>15.384400000000001</v>
      </c>
      <c r="W118" s="49">
        <f>VLOOKUP(A118,Enforcements!$C$3:$J$31,8,0)</f>
        <v>48048</v>
      </c>
      <c r="X118" s="49" t="str">
        <f>VLOOKUP(A118,Enforcements!$C$3:$J$31,3,0)</f>
        <v>GRADE CROSSING</v>
      </c>
    </row>
    <row r="119" spans="1:24" s="2" customFormat="1" x14ac:dyDescent="0.25">
      <c r="A119" s="18" t="s">
        <v>326</v>
      </c>
      <c r="B119" s="19">
        <v>4028</v>
      </c>
      <c r="C119" s="19" t="s">
        <v>68</v>
      </c>
      <c r="D119" s="19" t="s">
        <v>329</v>
      </c>
      <c r="E119" s="53">
        <v>42484.785092592596</v>
      </c>
      <c r="F119" s="53">
        <v>42484.785949074074</v>
      </c>
      <c r="G119" s="62">
        <v>1</v>
      </c>
      <c r="H119" s="53" t="s">
        <v>330</v>
      </c>
      <c r="I119" s="53">
        <v>42484.790254629632</v>
      </c>
      <c r="J119" s="19">
        <v>0</v>
      </c>
      <c r="K119" s="19" t="str">
        <f t="shared" si="18"/>
        <v>4027/4028</v>
      </c>
      <c r="L119" s="20">
        <f t="shared" si="24"/>
        <v>4.3055555579485372E-3</v>
      </c>
      <c r="M119" s="21"/>
      <c r="N119" s="21"/>
      <c r="O119" s="22"/>
      <c r="P119" s="17"/>
      <c r="R119" s="16" t="str">
        <f t="shared" si="26"/>
        <v>https://search-rtdc-monitor-bjffxe2xuh6vdkpspy63sjmuny.us-east-1.es.amazonaws.com/_plugin/kibana/#/discover/Steve-Slow-Train-Analysis-(2080s-and-2083s)?_g=(refreshInterval:(display:Off,section:0,value:0),time:(from:'2016-04-24 18:49:32-0600',mode:absolute,to:'2016-04-24 18:58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S119" s="16" t="str">
        <f t="shared" si="27"/>
        <v>Y</v>
      </c>
      <c r="T119" s="16">
        <f t="shared" si="28"/>
        <v>23.299099999999999</v>
      </c>
      <c r="U119" s="16">
        <f t="shared" si="29"/>
        <v>23.1831</v>
      </c>
      <c r="V119" s="16">
        <f t="shared" si="30"/>
        <v>0.11599999999999966</v>
      </c>
      <c r="W119" s="49">
        <f>VLOOKUP(A119,Enforcements!$C$3:$J$31,8,0)</f>
        <v>48048</v>
      </c>
      <c r="X119" s="49" t="str">
        <f>VLOOKUP(A119,Enforcements!$C$3:$J$31,3,0)</f>
        <v>GRADE CROSSING</v>
      </c>
    </row>
    <row r="120" spans="1:24" s="2" customFormat="1" x14ac:dyDescent="0.25">
      <c r="A120" s="18" t="s">
        <v>331</v>
      </c>
      <c r="B120" s="19">
        <v>4031</v>
      </c>
      <c r="C120" s="19" t="s">
        <v>68</v>
      </c>
      <c r="D120" s="19" t="s">
        <v>175</v>
      </c>
      <c r="E120" s="53">
        <v>42484.762141203704</v>
      </c>
      <c r="F120" s="53">
        <v>42484.765231481484</v>
      </c>
      <c r="G120" s="62">
        <v>4</v>
      </c>
      <c r="H120" s="53" t="s">
        <v>332</v>
      </c>
      <c r="I120" s="53">
        <v>42484.768425925926</v>
      </c>
      <c r="J120" s="19">
        <v>0</v>
      </c>
      <c r="K120" s="19" t="str">
        <f t="shared" si="18"/>
        <v>4031/4032</v>
      </c>
      <c r="L120" s="20">
        <f t="shared" si="24"/>
        <v>3.1944444417604245E-3</v>
      </c>
      <c r="M120" s="21"/>
      <c r="N120" s="21"/>
      <c r="O120" s="21">
        <f t="shared" si="31"/>
        <v>4.5999999961350113</v>
      </c>
      <c r="P120" s="17" t="s">
        <v>402</v>
      </c>
      <c r="R120" s="16" t="str">
        <f t="shared" si="26"/>
        <v>https://search-rtdc-monitor-bjffxe2xuh6vdkpspy63sjmuny.us-east-1.es.amazonaws.com/_plugin/kibana/#/discover/Steve-Slow-Train-Analysis-(2080s-and-2083s)?_g=(refreshInterval:(display:Off,section:0,value:0),time:(from:'2016-04-24 18:16:29-0600',mode:absolute,to:'2016-04-24 18:27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S120" s="16" t="str">
        <f t="shared" si="27"/>
        <v>Y</v>
      </c>
      <c r="T120" s="16">
        <f t="shared" si="28"/>
        <v>4.5100000000000001E-2</v>
      </c>
      <c r="U120" s="16">
        <f t="shared" si="29"/>
        <v>1.9140999999999999</v>
      </c>
      <c r="V120" s="16">
        <f t="shared" si="30"/>
        <v>1.869</v>
      </c>
      <c r="W120" s="49" t="e">
        <f>VLOOKUP(A120,Enforcements!$C$3:$J$31,8,0)</f>
        <v>#N/A</v>
      </c>
      <c r="X120" s="49" t="e">
        <f>VLOOKUP(A120,Enforcements!$C$3:$J$31,3,0)</f>
        <v>#N/A</v>
      </c>
    </row>
    <row r="121" spans="1:24" s="2" customFormat="1" x14ac:dyDescent="0.25">
      <c r="A121" s="18" t="s">
        <v>333</v>
      </c>
      <c r="B121" s="19">
        <v>4032</v>
      </c>
      <c r="C121" s="19" t="s">
        <v>68</v>
      </c>
      <c r="D121" s="19" t="s">
        <v>334</v>
      </c>
      <c r="E121" s="53">
        <v>42484.801354166666</v>
      </c>
      <c r="F121" s="53">
        <v>42484.802685185183</v>
      </c>
      <c r="G121" s="62">
        <v>1</v>
      </c>
      <c r="H121" s="53" t="s">
        <v>84</v>
      </c>
      <c r="I121" s="53">
        <v>42484.834224537037</v>
      </c>
      <c r="J121" s="19">
        <v>1</v>
      </c>
      <c r="K121" s="19" t="str">
        <f t="shared" si="18"/>
        <v>4031/4032</v>
      </c>
      <c r="L121" s="20">
        <f t="shared" si="24"/>
        <v>3.1539351854007691E-2</v>
      </c>
      <c r="M121" s="21">
        <f t="shared" ref="M121:M136" si="32">$L121*24*60</f>
        <v>45.416666669771075</v>
      </c>
      <c r="N121" s="21"/>
      <c r="O121" s="22"/>
      <c r="P121" s="17"/>
      <c r="R121" s="16" t="str">
        <f t="shared" si="26"/>
        <v>https://search-rtdc-monitor-bjffxe2xuh6vdkpspy63sjmuny.us-east-1.es.amazonaws.com/_plugin/kibana/#/discover/Steve-Slow-Train-Analysis-(2080s-and-2083s)?_g=(refreshInterval:(display:Off,section:0,value:0),time:(from:'2016-04-24 19:12:57-0600',mode:absolute,to:'2016-04-24 20:02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S121" s="16" t="str">
        <f t="shared" si="27"/>
        <v>N</v>
      </c>
      <c r="T121" s="16">
        <f t="shared" si="28"/>
        <v>23.309200000000001</v>
      </c>
      <c r="U121" s="16">
        <f t="shared" si="29"/>
        <v>1.54E-2</v>
      </c>
      <c r="V121" s="16">
        <f t="shared" si="30"/>
        <v>23.293800000000001</v>
      </c>
      <c r="W121" s="49" t="e">
        <f>VLOOKUP(A121,Enforcements!$C$3:$J$31,8,0)</f>
        <v>#N/A</v>
      </c>
      <c r="X121" s="49" t="e">
        <f>VLOOKUP(A121,Enforcements!$C$3:$J$31,3,0)</f>
        <v>#N/A</v>
      </c>
    </row>
    <row r="122" spans="1:24" s="2" customFormat="1" x14ac:dyDescent="0.25">
      <c r="A122" s="18" t="s">
        <v>335</v>
      </c>
      <c r="B122" s="19">
        <v>4040</v>
      </c>
      <c r="C122" s="19" t="s">
        <v>68</v>
      </c>
      <c r="D122" s="19" t="s">
        <v>156</v>
      </c>
      <c r="E122" s="53">
        <v>42484.768657407411</v>
      </c>
      <c r="F122" s="53">
        <v>42484.770104166666</v>
      </c>
      <c r="G122" s="62">
        <v>2</v>
      </c>
      <c r="H122" s="53" t="s">
        <v>198</v>
      </c>
      <c r="I122" s="53">
        <v>42484.798206018517</v>
      </c>
      <c r="J122" s="19">
        <v>0</v>
      </c>
      <c r="K122" s="19" t="str">
        <f t="shared" si="18"/>
        <v>4039/4040</v>
      </c>
      <c r="L122" s="20">
        <f t="shared" si="24"/>
        <v>2.810185185080627E-2</v>
      </c>
      <c r="M122" s="21">
        <f t="shared" si="32"/>
        <v>40.466666665161029</v>
      </c>
      <c r="N122" s="21"/>
      <c r="O122" s="22"/>
      <c r="P122" s="17"/>
      <c r="R122" s="16" t="str">
        <f t="shared" si="26"/>
        <v>https://search-rtdc-monitor-bjffxe2xuh6vdkpspy63sjmuny.us-east-1.es.amazonaws.com/_plugin/kibana/#/discover/Steve-Slow-Train-Analysis-(2080s-and-2083s)?_g=(refreshInterval:(display:Off,section:0,value:0),time:(from:'2016-04-24 18:25:52-0600',mode:absolute,to:'2016-04-24 19:10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S122" s="16" t="str">
        <f t="shared" si="27"/>
        <v>N</v>
      </c>
      <c r="T122" s="16">
        <f t="shared" si="28"/>
        <v>4.58E-2</v>
      </c>
      <c r="U122" s="16">
        <f t="shared" si="29"/>
        <v>23.331399999999999</v>
      </c>
      <c r="V122" s="16">
        <f t="shared" si="30"/>
        <v>23.285599999999999</v>
      </c>
      <c r="W122" s="49" t="e">
        <f>VLOOKUP(A122,Enforcements!$C$3:$J$31,8,0)</f>
        <v>#N/A</v>
      </c>
      <c r="X122" s="49" t="e">
        <f>VLOOKUP(A122,Enforcements!$C$3:$J$31,3,0)</f>
        <v>#N/A</v>
      </c>
    </row>
    <row r="123" spans="1:24" s="2" customFormat="1" x14ac:dyDescent="0.25">
      <c r="A123" s="18" t="s">
        <v>336</v>
      </c>
      <c r="B123" s="19">
        <v>4039</v>
      </c>
      <c r="C123" s="19" t="s">
        <v>68</v>
      </c>
      <c r="D123" s="19" t="s">
        <v>337</v>
      </c>
      <c r="E123" s="53">
        <v>42484.801527777781</v>
      </c>
      <c r="F123" s="53">
        <v>42484.802870370368</v>
      </c>
      <c r="G123" s="62">
        <v>1</v>
      </c>
      <c r="H123" s="53" t="s">
        <v>24</v>
      </c>
      <c r="I123" s="53">
        <v>42484.839189814818</v>
      </c>
      <c r="J123" s="19">
        <v>0</v>
      </c>
      <c r="K123" s="19" t="str">
        <f t="shared" si="18"/>
        <v>4039/4040</v>
      </c>
      <c r="L123" s="20">
        <f t="shared" si="24"/>
        <v>3.6319444450782612E-2</v>
      </c>
      <c r="M123" s="21">
        <f t="shared" si="32"/>
        <v>52.300000009126961</v>
      </c>
      <c r="N123" s="21"/>
      <c r="O123" s="22"/>
      <c r="P123" s="17"/>
      <c r="R123" s="16" t="str">
        <f t="shared" si="26"/>
        <v>https://search-rtdc-monitor-bjffxe2xuh6vdkpspy63sjmuny.us-east-1.es.amazonaws.com/_plugin/kibana/#/discover/Steve-Slow-Train-Analysis-(2080s-and-2083s)?_g=(refreshInterval:(display:Off,section:0,value:0),time:(from:'2016-04-24 19:13:12-0600',mode:absolute,to:'2016-04-24 20:09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S123" s="16" t="str">
        <f t="shared" si="27"/>
        <v>N</v>
      </c>
      <c r="T123" s="16">
        <f t="shared" si="28"/>
        <v>23.2987</v>
      </c>
      <c r="U123" s="16">
        <f t="shared" si="29"/>
        <v>1.4999999999999999E-2</v>
      </c>
      <c r="V123" s="16">
        <f t="shared" si="30"/>
        <v>23.2837</v>
      </c>
      <c r="W123" s="49" t="e">
        <f>VLOOKUP(A123,Enforcements!$C$3:$J$31,8,0)</f>
        <v>#N/A</v>
      </c>
      <c r="X123" s="49" t="e">
        <f>VLOOKUP(A123,Enforcements!$C$3:$J$31,3,0)</f>
        <v>#N/A</v>
      </c>
    </row>
    <row r="124" spans="1:24" s="2" customFormat="1" x14ac:dyDescent="0.25">
      <c r="A124" s="18" t="s">
        <v>338</v>
      </c>
      <c r="B124" s="19">
        <v>4025</v>
      </c>
      <c r="C124" s="19" t="s">
        <v>68</v>
      </c>
      <c r="D124" s="19" t="s">
        <v>216</v>
      </c>
      <c r="E124" s="53">
        <v>42484.792870370373</v>
      </c>
      <c r="F124" s="53">
        <v>42484.794085648151</v>
      </c>
      <c r="G124" s="62">
        <v>1</v>
      </c>
      <c r="H124" s="53" t="s">
        <v>339</v>
      </c>
      <c r="I124" s="53">
        <v>42484.824699074074</v>
      </c>
      <c r="J124" s="19">
        <v>1</v>
      </c>
      <c r="K124" s="19" t="str">
        <f t="shared" si="18"/>
        <v>4025/4026</v>
      </c>
      <c r="L124" s="20">
        <f t="shared" si="24"/>
        <v>3.0613425922638271E-2</v>
      </c>
      <c r="M124" s="21">
        <f t="shared" si="32"/>
        <v>44.08333332859911</v>
      </c>
      <c r="N124" s="21"/>
      <c r="O124" s="22"/>
      <c r="P124" s="17"/>
      <c r="R124" s="16" t="str">
        <f t="shared" si="26"/>
        <v>https://search-rtdc-monitor-bjffxe2xuh6vdkpspy63sjmuny.us-east-1.es.amazonaws.com/_plugin/kibana/#/discover/Steve-Slow-Train-Analysis-(2080s-and-2083s)?_g=(refreshInterval:(display:Off,section:0,value:0),time:(from:'2016-04-24 19:00:44-0600',mode:absolute,to:'2016-04-24 19:48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S124" s="16" t="str">
        <f t="shared" si="27"/>
        <v>N</v>
      </c>
      <c r="T124" s="16">
        <f t="shared" si="28"/>
        <v>4.6399999999999997E-2</v>
      </c>
      <c r="U124" s="16">
        <f t="shared" si="29"/>
        <v>23.331099999999999</v>
      </c>
      <c r="V124" s="16">
        <f t="shared" si="30"/>
        <v>23.284700000000001</v>
      </c>
      <c r="W124" s="49">
        <f>VLOOKUP(A124,Enforcements!$C$3:$J$31,8,0)</f>
        <v>20338</v>
      </c>
      <c r="X124" s="49" t="str">
        <f>VLOOKUP(A124,Enforcements!$C$3:$J$31,3,0)</f>
        <v>PERMANENT SPEED RESTRICTION</v>
      </c>
    </row>
    <row r="125" spans="1:24" s="2" customFormat="1" x14ac:dyDescent="0.25">
      <c r="A125" s="18" t="s">
        <v>340</v>
      </c>
      <c r="B125" s="19">
        <v>4026</v>
      </c>
      <c r="C125" s="19" t="s">
        <v>68</v>
      </c>
      <c r="D125" s="19" t="s">
        <v>211</v>
      </c>
      <c r="E125" s="53">
        <v>42484.827013888891</v>
      </c>
      <c r="F125" s="53">
        <v>42484.828275462962</v>
      </c>
      <c r="G125" s="62">
        <v>1</v>
      </c>
      <c r="H125" s="53" t="s">
        <v>341</v>
      </c>
      <c r="I125" s="53">
        <v>42484.853946759256</v>
      </c>
      <c r="J125" s="19">
        <v>0</v>
      </c>
      <c r="K125" s="19" t="str">
        <f t="shared" si="18"/>
        <v>4025/4026</v>
      </c>
      <c r="L125" s="20">
        <f t="shared" si="24"/>
        <v>2.5671296294603962E-2</v>
      </c>
      <c r="M125" s="21"/>
      <c r="N125" s="21"/>
      <c r="O125" s="21">
        <f>($L125+L126)*24*60</f>
        <v>48.933333330787718</v>
      </c>
      <c r="P125" s="17" t="s">
        <v>410</v>
      </c>
      <c r="R125" s="16" t="str">
        <f t="shared" si="26"/>
        <v>https://search-rtdc-monitor-bjffxe2xuh6vdkpspy63sjmuny.us-east-1.es.amazonaws.com/_plugin/kibana/#/discover/Steve-Slow-Train-Analysis-(2080s-and-2083s)?_g=(refreshInterval:(display:Off,section:0,value:0),time:(from:'2016-04-24 19:49:54-0600',mode:absolute,to:'2016-04-24 20:30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S125" s="16" t="str">
        <f t="shared" si="27"/>
        <v>Y</v>
      </c>
      <c r="T125" s="16">
        <f t="shared" si="28"/>
        <v>23.297999999999998</v>
      </c>
      <c r="U125" s="16">
        <f t="shared" si="29"/>
        <v>6.4154999999999998</v>
      </c>
      <c r="V125" s="16">
        <f t="shared" si="30"/>
        <v>16.8825</v>
      </c>
      <c r="W125" s="49" t="e">
        <f>VLOOKUP(A125,Enforcements!$C$3:$J$31,8,0)</f>
        <v>#N/A</v>
      </c>
      <c r="X125" s="49" t="e">
        <f>VLOOKUP(A125,Enforcements!$C$3:$J$31,3,0)</f>
        <v>#N/A</v>
      </c>
    </row>
    <row r="126" spans="1:24" s="2" customFormat="1" x14ac:dyDescent="0.25">
      <c r="A126" s="18" t="s">
        <v>340</v>
      </c>
      <c r="B126" s="19">
        <v>4026</v>
      </c>
      <c r="C126" s="19" t="s">
        <v>68</v>
      </c>
      <c r="D126" s="19" t="s">
        <v>342</v>
      </c>
      <c r="E126" s="53">
        <v>42484.859895833331</v>
      </c>
      <c r="F126" s="53">
        <v>42484.86074074074</v>
      </c>
      <c r="G126" s="62">
        <v>1</v>
      </c>
      <c r="H126" s="53" t="s">
        <v>92</v>
      </c>
      <c r="I126" s="53">
        <v>42484.869050925925</v>
      </c>
      <c r="J126" s="19">
        <v>0</v>
      </c>
      <c r="K126" s="19" t="str">
        <f t="shared" si="18"/>
        <v>4025/4026</v>
      </c>
      <c r="L126" s="20">
        <f t="shared" si="24"/>
        <v>8.3101851851097308E-3</v>
      </c>
      <c r="M126" s="21"/>
      <c r="N126" s="21"/>
      <c r="O126" s="22"/>
      <c r="P126" s="17"/>
      <c r="R126" s="16" t="str">
        <f t="shared" si="26"/>
        <v>https://search-rtdc-monitor-bjffxe2xuh6vdkpspy63sjmuny.us-east-1.es.amazonaws.com/_plugin/kibana/#/discover/Steve-Slow-Train-Analysis-(2080s-and-2083s)?_g=(refreshInterval:(display:Off,section:0,value:0),time:(from:'2016-04-24 20:37:15-0600',mode:absolute,to:'2016-04-24 20:52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S126" s="16" t="str">
        <f t="shared" si="27"/>
        <v>Y</v>
      </c>
      <c r="T126" s="16">
        <f t="shared" si="28"/>
        <v>3.6787999999999998</v>
      </c>
      <c r="U126" s="16">
        <f t="shared" si="29"/>
        <v>1.52E-2</v>
      </c>
      <c r="V126" s="16">
        <f t="shared" si="30"/>
        <v>3.6635999999999997</v>
      </c>
      <c r="W126" s="49" t="e">
        <f>VLOOKUP(A126,Enforcements!$C$3:$J$31,8,0)</f>
        <v>#N/A</v>
      </c>
      <c r="X126" s="49" t="e">
        <f>VLOOKUP(A126,Enforcements!$C$3:$J$31,3,0)</f>
        <v>#N/A</v>
      </c>
    </row>
    <row r="127" spans="1:24" s="2" customFormat="1" x14ac:dyDescent="0.25">
      <c r="A127" s="18" t="s">
        <v>343</v>
      </c>
      <c r="B127" s="19">
        <v>4010</v>
      </c>
      <c r="C127" s="19" t="s">
        <v>68</v>
      </c>
      <c r="D127" s="19" t="s">
        <v>284</v>
      </c>
      <c r="E127" s="53">
        <v>42484.84747685185</v>
      </c>
      <c r="F127" s="53">
        <v>42484.848414351851</v>
      </c>
      <c r="G127" s="62">
        <v>1</v>
      </c>
      <c r="H127" s="53" t="s">
        <v>262</v>
      </c>
      <c r="I127" s="53">
        <v>42484.881481481483</v>
      </c>
      <c r="J127" s="19">
        <v>0</v>
      </c>
      <c r="K127" s="19" t="str">
        <f t="shared" si="18"/>
        <v>4009/4010</v>
      </c>
      <c r="L127" s="20">
        <f t="shared" si="24"/>
        <v>3.3067129632399883E-2</v>
      </c>
      <c r="M127" s="21">
        <f t="shared" si="32"/>
        <v>47.616666670655832</v>
      </c>
      <c r="N127" s="21"/>
      <c r="O127" s="22"/>
      <c r="P127" s="17"/>
      <c r="R127" s="16" t="str">
        <f t="shared" si="26"/>
        <v>https://search-rtdc-monitor-bjffxe2xuh6vdkpspy63sjmuny.us-east-1.es.amazonaws.com/_plugin/kibana/#/discover/Steve-Slow-Train-Analysis-(2080s-and-2083s)?_g=(refreshInterval:(display:Off,section:0,value:0),time:(from:'2016-04-24 20:19:22-0600',mode:absolute,to:'2016-04-24 21:10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S127" s="16" t="str">
        <f t="shared" si="27"/>
        <v>N</v>
      </c>
      <c r="T127" s="16">
        <f t="shared" si="28"/>
        <v>23.296099999999999</v>
      </c>
      <c r="U127" s="16">
        <f t="shared" si="29"/>
        <v>1.72E-2</v>
      </c>
      <c r="V127" s="16">
        <f t="shared" si="30"/>
        <v>23.2789</v>
      </c>
      <c r="W127" s="49" t="e">
        <f>VLOOKUP(A127,Enforcements!$C$3:$J$31,8,0)</f>
        <v>#N/A</v>
      </c>
      <c r="X127" s="49" t="e">
        <f>VLOOKUP(A127,Enforcements!$C$3:$J$31,3,0)</f>
        <v>#N/A</v>
      </c>
    </row>
    <row r="128" spans="1:24" s="2" customFormat="1" x14ac:dyDescent="0.25">
      <c r="A128" s="18" t="s">
        <v>344</v>
      </c>
      <c r="B128" s="19">
        <v>4031</v>
      </c>
      <c r="C128" s="19" t="s">
        <v>68</v>
      </c>
      <c r="D128" s="19" t="s">
        <v>192</v>
      </c>
      <c r="E128" s="53">
        <v>42484.836585648147</v>
      </c>
      <c r="F128" s="53">
        <v>42484.838263888887</v>
      </c>
      <c r="G128" s="62">
        <v>2</v>
      </c>
      <c r="H128" s="53" t="s">
        <v>345</v>
      </c>
      <c r="I128" s="53">
        <v>42484.866331018522</v>
      </c>
      <c r="J128" s="19">
        <v>0</v>
      </c>
      <c r="K128" s="19" t="str">
        <f t="shared" si="18"/>
        <v>4031/4032</v>
      </c>
      <c r="L128" s="20">
        <f t="shared" si="24"/>
        <v>2.8067129635019228E-2</v>
      </c>
      <c r="M128" s="21">
        <f t="shared" si="32"/>
        <v>40.416666674427688</v>
      </c>
      <c r="N128" s="21"/>
      <c r="O128" s="22"/>
      <c r="P128" s="17"/>
      <c r="R128" s="16" t="str">
        <f t="shared" si="26"/>
        <v>https://search-rtdc-monitor-bjffxe2xuh6vdkpspy63sjmuny.us-east-1.es.amazonaws.com/_plugin/kibana/#/discover/Steve-Slow-Train-Analysis-(2080s-and-2083s)?_g=(refreshInterval:(display:Off,section:0,value:0),time:(from:'2016-04-24 20:03:41-0600',mode:absolute,to:'2016-04-24 20:48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S128" s="16" t="str">
        <f t="shared" si="27"/>
        <v>N</v>
      </c>
      <c r="T128" s="16">
        <f t="shared" si="28"/>
        <v>4.7300000000000002E-2</v>
      </c>
      <c r="U128" s="16">
        <f t="shared" si="29"/>
        <v>23.339500000000001</v>
      </c>
      <c r="V128" s="16">
        <f t="shared" si="30"/>
        <v>23.292200000000001</v>
      </c>
      <c r="W128" s="49" t="e">
        <f>VLOOKUP(A128,Enforcements!$C$3:$J$31,8,0)</f>
        <v>#N/A</v>
      </c>
      <c r="X128" s="49" t="e">
        <f>VLOOKUP(A128,Enforcements!$C$3:$J$31,3,0)</f>
        <v>#N/A</v>
      </c>
    </row>
    <row r="129" spans="1:24" s="2" customFormat="1" x14ac:dyDescent="0.25">
      <c r="A129" s="18" t="s">
        <v>346</v>
      </c>
      <c r="B129" s="19">
        <v>4032</v>
      </c>
      <c r="C129" s="19" t="s">
        <v>68</v>
      </c>
      <c r="D129" s="19" t="s">
        <v>347</v>
      </c>
      <c r="E129" s="53">
        <v>42484.870266203703</v>
      </c>
      <c r="F129" s="53">
        <v>42484.871354166666</v>
      </c>
      <c r="G129" s="62">
        <v>1</v>
      </c>
      <c r="H129" s="53" t="s">
        <v>83</v>
      </c>
      <c r="I129" s="53">
        <v>42484.899375000001</v>
      </c>
      <c r="J129" s="19">
        <v>0</v>
      </c>
      <c r="K129" s="19" t="str">
        <f t="shared" si="18"/>
        <v>4031/4032</v>
      </c>
      <c r="L129" s="20">
        <f t="shared" si="24"/>
        <v>2.8020833335176576E-2</v>
      </c>
      <c r="M129" s="21">
        <f t="shared" si="32"/>
        <v>40.350000002654269</v>
      </c>
      <c r="N129" s="21"/>
      <c r="O129" s="22"/>
      <c r="P129" s="17"/>
      <c r="R129" s="16" t="str">
        <f t="shared" si="26"/>
        <v>https://search-rtdc-monitor-bjffxe2xuh6vdkpspy63sjmuny.us-east-1.es.amazonaws.com/_plugin/kibana/#/discover/Steve-Slow-Train-Analysis-(2080s-and-2083s)?_g=(refreshInterval:(display:Off,section:0,value:0),time:(from:'2016-04-24 20:52:11-0600',mode:absolute,to:'2016-04-24 21:36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S129" s="16" t="str">
        <f t="shared" si="27"/>
        <v>N</v>
      </c>
      <c r="T129" s="16">
        <f t="shared" si="28"/>
        <v>23.308599999999998</v>
      </c>
      <c r="U129" s="16">
        <f t="shared" si="29"/>
        <v>1.4500000000000001E-2</v>
      </c>
      <c r="V129" s="16">
        <f t="shared" si="30"/>
        <v>23.294099999999997</v>
      </c>
      <c r="W129" s="49" t="e">
        <f>VLOOKUP(A129,Enforcements!$C$3:$J$31,8,0)</f>
        <v>#N/A</v>
      </c>
      <c r="X129" s="49" t="e">
        <f>VLOOKUP(A129,Enforcements!$C$3:$J$31,3,0)</f>
        <v>#N/A</v>
      </c>
    </row>
    <row r="130" spans="1:24" s="2" customFormat="1" x14ac:dyDescent="0.25">
      <c r="A130" s="18" t="s">
        <v>348</v>
      </c>
      <c r="B130" s="19">
        <v>4040</v>
      </c>
      <c r="C130" s="19" t="s">
        <v>68</v>
      </c>
      <c r="D130" s="19" t="s">
        <v>267</v>
      </c>
      <c r="E130" s="53">
        <v>42484.842175925929</v>
      </c>
      <c r="F130" s="53">
        <v>42484.843425925923</v>
      </c>
      <c r="G130" s="62">
        <v>1</v>
      </c>
      <c r="H130" s="53" t="s">
        <v>176</v>
      </c>
      <c r="I130" s="53">
        <v>42484.881296296298</v>
      </c>
      <c r="J130" s="19">
        <v>1</v>
      </c>
      <c r="K130" s="19" t="str">
        <f t="shared" si="18"/>
        <v>4039/4040</v>
      </c>
      <c r="L130" s="20">
        <f t="shared" si="24"/>
        <v>3.7870370375458151E-2</v>
      </c>
      <c r="M130" s="21">
        <f t="shared" si="32"/>
        <v>54.533333340659738</v>
      </c>
      <c r="N130" s="21"/>
      <c r="O130" s="22"/>
      <c r="P130" s="17"/>
      <c r="R130" s="16" t="str">
        <f t="shared" si="26"/>
        <v>https://search-rtdc-monitor-bjffxe2xuh6vdkpspy63sjmuny.us-east-1.es.amazonaws.com/_plugin/kibana/#/discover/Steve-Slow-Train-Analysis-(2080s-and-2083s)?_g=(refreshInterval:(display:Off,section:0,value:0),time:(from:'2016-04-24 20:11:44-0600',mode:absolute,to:'2016-04-24 21:10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S130" s="16" t="str">
        <f t="shared" si="27"/>
        <v>N</v>
      </c>
      <c r="T130" s="16">
        <f t="shared" si="28"/>
        <v>4.82E-2</v>
      </c>
      <c r="U130" s="16">
        <f t="shared" si="29"/>
        <v>23.3291</v>
      </c>
      <c r="V130" s="16">
        <f t="shared" si="30"/>
        <v>23.280899999999999</v>
      </c>
      <c r="W130" s="49">
        <f>VLOOKUP(A130,Enforcements!$C$3:$J$31,8,0)</f>
        <v>47865</v>
      </c>
      <c r="X130" s="49" t="str">
        <f>VLOOKUP(A130,Enforcements!$C$3:$J$31,3,0)</f>
        <v>GRADE CROSSING</v>
      </c>
    </row>
    <row r="131" spans="1:24" s="2" customFormat="1" x14ac:dyDescent="0.25">
      <c r="A131" s="18" t="s">
        <v>349</v>
      </c>
      <c r="B131" s="19">
        <v>4039</v>
      </c>
      <c r="C131" s="19" t="s">
        <v>68</v>
      </c>
      <c r="D131" s="19" t="s">
        <v>243</v>
      </c>
      <c r="E131" s="53">
        <v>42484.887071759258</v>
      </c>
      <c r="F131" s="53">
        <v>42484.888194444444</v>
      </c>
      <c r="G131" s="62">
        <v>1</v>
      </c>
      <c r="H131" s="53" t="s">
        <v>152</v>
      </c>
      <c r="I131" s="53">
        <v>42484.924571759257</v>
      </c>
      <c r="J131" s="19">
        <v>1</v>
      </c>
      <c r="K131" s="19" t="str">
        <f t="shared" si="18"/>
        <v>4039/4040</v>
      </c>
      <c r="L131" s="20">
        <f t="shared" si="24"/>
        <v>3.6377314812853001E-2</v>
      </c>
      <c r="M131" s="21">
        <f t="shared" si="32"/>
        <v>52.383333330508322</v>
      </c>
      <c r="N131" s="21"/>
      <c r="O131" s="22"/>
      <c r="P131" s="17"/>
      <c r="R131" s="16" t="str">
        <f t="shared" si="26"/>
        <v>https://search-rtdc-monitor-bjffxe2xuh6vdkpspy63sjmuny.us-east-1.es.amazonaws.com/_plugin/kibana/#/discover/Steve-Slow-Train-Analysis-(2080s-and-2083s)?_g=(refreshInterval:(display:Off,section:0,value:0),time:(from:'2016-04-24 21:16:23-0600',mode:absolute,to:'2016-04-24 22:12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S131" s="16" t="str">
        <f t="shared" si="27"/>
        <v>N</v>
      </c>
      <c r="T131" s="16">
        <f t="shared" si="28"/>
        <v>23.298200000000001</v>
      </c>
      <c r="U131" s="16">
        <f t="shared" si="29"/>
        <v>1.6E-2</v>
      </c>
      <c r="V131" s="16">
        <f t="shared" si="30"/>
        <v>23.282200000000003</v>
      </c>
      <c r="W131" s="49">
        <f>VLOOKUP(A131,Enforcements!$C$3:$J$31,8,0)</f>
        <v>228668</v>
      </c>
      <c r="X131" s="49" t="str">
        <f>VLOOKUP(A131,Enforcements!$C$3:$J$31,3,0)</f>
        <v>PERMANENT SPEED RESTRICTION</v>
      </c>
    </row>
    <row r="132" spans="1:24" s="2" customFormat="1" x14ac:dyDescent="0.25">
      <c r="A132" s="18" t="s">
        <v>350</v>
      </c>
      <c r="B132" s="19">
        <v>4025</v>
      </c>
      <c r="C132" s="19" t="s">
        <v>68</v>
      </c>
      <c r="D132" s="19" t="s">
        <v>180</v>
      </c>
      <c r="E132" s="53">
        <v>42484.873425925929</v>
      </c>
      <c r="F132" s="53">
        <v>42484.874421296299</v>
      </c>
      <c r="G132" s="62">
        <v>1</v>
      </c>
      <c r="H132" s="53" t="s">
        <v>351</v>
      </c>
      <c r="I132" s="53">
        <v>42484.903391203705</v>
      </c>
      <c r="J132" s="19">
        <v>0</v>
      </c>
      <c r="K132" s="19" t="str">
        <f t="shared" si="18"/>
        <v>4025/4026</v>
      </c>
      <c r="L132" s="20">
        <f t="shared" si="24"/>
        <v>2.8969907405553386E-2</v>
      </c>
      <c r="M132" s="21">
        <f t="shared" si="32"/>
        <v>41.716666663996875</v>
      </c>
      <c r="N132" s="21"/>
      <c r="O132" s="22"/>
      <c r="P132" s="17"/>
      <c r="R132" s="16" t="str">
        <f t="shared" si="26"/>
        <v>https://search-rtdc-monitor-bjffxe2xuh6vdkpspy63sjmuny.us-east-1.es.amazonaws.com/_plugin/kibana/#/discover/Steve-Slow-Train-Analysis-(2080s-and-2083s)?_g=(refreshInterval:(display:Off,section:0,value:0),time:(from:'2016-04-24 20:56:44-0600',mode:absolute,to:'2016-04-24 21:41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S132" s="16" t="str">
        <f t="shared" si="27"/>
        <v>N</v>
      </c>
      <c r="T132" s="16">
        <f t="shared" si="28"/>
        <v>4.5999999999999999E-2</v>
      </c>
      <c r="U132" s="16">
        <f t="shared" si="29"/>
        <v>23.328900000000001</v>
      </c>
      <c r="V132" s="16">
        <f t="shared" si="30"/>
        <v>23.282900000000001</v>
      </c>
      <c r="W132" s="49" t="e">
        <f>VLOOKUP(A132,Enforcements!$C$3:$J$31,8,0)</f>
        <v>#N/A</v>
      </c>
      <c r="X132" s="49" t="e">
        <f>VLOOKUP(A132,Enforcements!$C$3:$J$31,3,0)</f>
        <v>#N/A</v>
      </c>
    </row>
    <row r="133" spans="1:24" s="2" customFormat="1" x14ac:dyDescent="0.25">
      <c r="A133" s="18" t="s">
        <v>352</v>
      </c>
      <c r="B133" s="19">
        <v>4026</v>
      </c>
      <c r="C133" s="19" t="s">
        <v>68</v>
      </c>
      <c r="D133" s="19" t="s">
        <v>337</v>
      </c>
      <c r="E133" s="53">
        <v>42484.907002314816</v>
      </c>
      <c r="F133" s="53">
        <v>42484.907951388886</v>
      </c>
      <c r="G133" s="62">
        <v>1</v>
      </c>
      <c r="H133" s="53" t="s">
        <v>186</v>
      </c>
      <c r="I133" s="53">
        <v>42484.946064814816</v>
      </c>
      <c r="J133" s="19">
        <v>1</v>
      </c>
      <c r="K133" s="19" t="str">
        <f t="shared" si="18"/>
        <v>4025/4026</v>
      </c>
      <c r="L133" s="20">
        <f t="shared" si="24"/>
        <v>3.811342592962319E-2</v>
      </c>
      <c r="M133" s="21">
        <f t="shared" si="32"/>
        <v>54.883333338657394</v>
      </c>
      <c r="N133" s="21"/>
      <c r="O133" s="22"/>
      <c r="P133" s="17"/>
      <c r="R133" s="16" t="str">
        <f t="shared" si="26"/>
        <v>https://search-rtdc-monitor-bjffxe2xuh6vdkpspy63sjmuny.us-east-1.es.amazonaws.com/_plugin/kibana/#/discover/Steve-Slow-Train-Analysis-(2080s-and-2083s)?_g=(refreshInterval:(display:Off,section:0,value:0),time:(from:'2016-04-24 21:45:05-0600',mode:absolute,to:'2016-04-24 22:43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S133" s="16" t="str">
        <f t="shared" si="27"/>
        <v>N</v>
      </c>
      <c r="T133" s="16">
        <f t="shared" si="28"/>
        <v>23.2987</v>
      </c>
      <c r="U133" s="16">
        <f t="shared" si="29"/>
        <v>1.6299999999999999E-2</v>
      </c>
      <c r="V133" s="16">
        <f t="shared" si="30"/>
        <v>23.282399999999999</v>
      </c>
      <c r="W133" s="49" t="e">
        <f>VLOOKUP(A133,Enforcements!$C$3:$J$31,8,0)</f>
        <v>#N/A</v>
      </c>
      <c r="X133" s="49" t="e">
        <f>VLOOKUP(A133,Enforcements!$C$3:$J$31,3,0)</f>
        <v>#N/A</v>
      </c>
    </row>
    <row r="134" spans="1:24" s="2" customFormat="1" x14ac:dyDescent="0.25">
      <c r="A134" s="18" t="s">
        <v>353</v>
      </c>
      <c r="B134" s="19">
        <v>4009</v>
      </c>
      <c r="C134" s="19" t="s">
        <v>68</v>
      </c>
      <c r="D134" s="19" t="s">
        <v>354</v>
      </c>
      <c r="E134" s="53">
        <v>42484.883738425924</v>
      </c>
      <c r="F134" s="53">
        <v>42484.885196759256</v>
      </c>
      <c r="G134" s="62">
        <v>2</v>
      </c>
      <c r="H134" s="53" t="s">
        <v>193</v>
      </c>
      <c r="I134" s="53">
        <v>42484.922905092593</v>
      </c>
      <c r="J134" s="19">
        <v>0</v>
      </c>
      <c r="K134" s="19" t="str">
        <f t="shared" si="18"/>
        <v>4009/4010</v>
      </c>
      <c r="L134" s="20">
        <f t="shared" si="24"/>
        <v>3.7708333336922806E-2</v>
      </c>
      <c r="M134" s="21">
        <f t="shared" si="32"/>
        <v>54.30000000516884</v>
      </c>
      <c r="N134" s="21"/>
      <c r="O134" s="22"/>
      <c r="P134" s="17"/>
      <c r="R134" s="16" t="str">
        <f t="shared" si="26"/>
        <v>https://search-rtdc-monitor-bjffxe2xuh6vdkpspy63sjmuny.us-east-1.es.amazonaws.com/_plugin/kibana/#/discover/Steve-Slow-Train-Analysis-(2080s-and-2083s)?_g=(refreshInterval:(display:Off,section:0,value:0),time:(from:'2016-04-24 21:11:35-0600',mode:absolute,to:'2016-04-24 22:09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S134" s="16" t="str">
        <f t="shared" si="27"/>
        <v>N</v>
      </c>
      <c r="T134" s="16">
        <f t="shared" si="28"/>
        <v>4.9099999999999998E-2</v>
      </c>
      <c r="U134" s="16">
        <f t="shared" si="29"/>
        <v>23.3276</v>
      </c>
      <c r="V134" s="16">
        <f t="shared" si="30"/>
        <v>23.278500000000001</v>
      </c>
      <c r="W134" s="49" t="e">
        <f>VLOOKUP(A134,Enforcements!$C$3:$J$31,8,0)</f>
        <v>#N/A</v>
      </c>
      <c r="X134" s="49" t="e">
        <f>VLOOKUP(A134,Enforcements!$C$3:$J$31,3,0)</f>
        <v>#N/A</v>
      </c>
    </row>
    <row r="135" spans="1:24" s="2" customFormat="1" x14ac:dyDescent="0.25">
      <c r="A135" s="18" t="s">
        <v>355</v>
      </c>
      <c r="B135" s="19">
        <v>4010</v>
      </c>
      <c r="C135" s="19" t="s">
        <v>68</v>
      </c>
      <c r="D135" s="19" t="s">
        <v>356</v>
      </c>
      <c r="E135" s="53">
        <v>42484.92869212963</v>
      </c>
      <c r="F135" s="53">
        <v>42484.929988425924</v>
      </c>
      <c r="G135" s="62">
        <v>1</v>
      </c>
      <c r="H135" s="53" t="s">
        <v>92</v>
      </c>
      <c r="I135" s="53">
        <v>42484.966134259259</v>
      </c>
      <c r="J135" s="19">
        <v>1</v>
      </c>
      <c r="K135" s="19" t="str">
        <f t="shared" si="18"/>
        <v>4009/4010</v>
      </c>
      <c r="L135" s="20">
        <f t="shared" si="24"/>
        <v>3.6145833335467614E-2</v>
      </c>
      <c r="M135" s="21">
        <f t="shared" si="32"/>
        <v>52.050000003073364</v>
      </c>
      <c r="N135" s="21"/>
      <c r="O135" s="22"/>
      <c r="P135" s="17"/>
      <c r="R135" s="16" t="str">
        <f t="shared" si="26"/>
        <v>https://search-rtdc-monitor-bjffxe2xuh6vdkpspy63sjmuny.us-east-1.es.amazonaws.com/_plugin/kibana/#/discover/Steve-Slow-Train-Analysis-(2080s-and-2083s)?_g=(refreshInterval:(display:Off,section:0,value:0),time:(from:'2016-04-24 22:16:19-0600',mode:absolute,to:'2016-04-24 23:12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S135" s="16" t="str">
        <f t="shared" si="27"/>
        <v>N</v>
      </c>
      <c r="T135" s="16">
        <f t="shared" si="28"/>
        <v>23.295500000000001</v>
      </c>
      <c r="U135" s="16">
        <f t="shared" si="29"/>
        <v>1.52E-2</v>
      </c>
      <c r="V135" s="16">
        <f t="shared" si="30"/>
        <v>23.2803</v>
      </c>
      <c r="W135" s="49">
        <f>VLOOKUP(A135,Enforcements!$C$3:$J$31,8,0)</f>
        <v>119716</v>
      </c>
      <c r="X135" s="49" t="str">
        <f>VLOOKUP(A135,Enforcements!$C$3:$J$31,3,0)</f>
        <v>PERMANENT SPEED RESTRICTION</v>
      </c>
    </row>
    <row r="136" spans="1:24" s="2" customFormat="1" x14ac:dyDescent="0.25">
      <c r="A136" s="18" t="s">
        <v>357</v>
      </c>
      <c r="B136" s="19">
        <v>4031</v>
      </c>
      <c r="C136" s="19" t="s">
        <v>68</v>
      </c>
      <c r="D136" s="19" t="s">
        <v>156</v>
      </c>
      <c r="E136" s="53">
        <v>42484.902002314811</v>
      </c>
      <c r="F136" s="53">
        <v>42484.903310185182</v>
      </c>
      <c r="G136" s="62">
        <v>1</v>
      </c>
      <c r="H136" s="53" t="s">
        <v>358</v>
      </c>
      <c r="I136" s="53">
        <v>42484.941493055558</v>
      </c>
      <c r="J136" s="19">
        <v>1</v>
      </c>
      <c r="K136" s="19" t="str">
        <f t="shared" si="18"/>
        <v>4031/4032</v>
      </c>
      <c r="L136" s="20">
        <f t="shared" si="24"/>
        <v>3.8182870375749189E-2</v>
      </c>
      <c r="M136" s="21">
        <f t="shared" si="32"/>
        <v>54.983333341078833</v>
      </c>
      <c r="N136" s="21"/>
      <c r="O136" s="22"/>
      <c r="P136" s="17"/>
      <c r="R136" s="16" t="str">
        <f t="shared" si="26"/>
        <v>https://search-rtdc-monitor-bjffxe2xuh6vdkpspy63sjmuny.us-east-1.es.amazonaws.com/_plugin/kibana/#/discover/Steve-Slow-Train-Analysis-(2080s-and-2083s)?_g=(refreshInterval:(display:Off,section:0,value:0),time:(from:'2016-04-24 21:37:53-0600',mode:absolute,to:'2016-04-24 22:36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S136" s="16" t="str">
        <f t="shared" si="27"/>
        <v>N</v>
      </c>
      <c r="T136" s="16">
        <f t="shared" si="28"/>
        <v>4.58E-2</v>
      </c>
      <c r="U136" s="16">
        <f t="shared" si="29"/>
        <v>23.3399</v>
      </c>
      <c r="V136" s="16">
        <f t="shared" si="30"/>
        <v>23.2941</v>
      </c>
      <c r="W136" s="49" t="e">
        <f>VLOOKUP(A136,Enforcements!$C$3:$J$31,8,0)</f>
        <v>#N/A</v>
      </c>
      <c r="X136" s="49" t="e">
        <f>VLOOKUP(A136,Enforcements!$C$3:$J$31,3,0)</f>
        <v>#N/A</v>
      </c>
    </row>
    <row r="137" spans="1:24" s="2" customFormat="1" x14ac:dyDescent="0.25">
      <c r="A137" s="18" t="s">
        <v>359</v>
      </c>
      <c r="B137" s="19">
        <v>4032</v>
      </c>
      <c r="C137" s="19" t="s">
        <v>68</v>
      </c>
      <c r="D137" s="19" t="s">
        <v>360</v>
      </c>
      <c r="E137" s="53">
        <v>42484.943703703706</v>
      </c>
      <c r="F137" s="53">
        <v>42484.94462962963</v>
      </c>
      <c r="G137" s="62">
        <v>1</v>
      </c>
      <c r="H137" s="53" t="s">
        <v>21</v>
      </c>
      <c r="I137" s="53">
        <v>42484.98400462963</v>
      </c>
      <c r="J137" s="19">
        <v>0</v>
      </c>
      <c r="K137" s="19" t="str">
        <f t="shared" si="18"/>
        <v>4031/4032</v>
      </c>
      <c r="L137" s="20">
        <f t="shared" si="24"/>
        <v>3.9375000000291038E-2</v>
      </c>
      <c r="M137" s="21">
        <f t="shared" ref="M137:M148" si="33">$L137*24*60</f>
        <v>56.700000000419095</v>
      </c>
      <c r="N137" s="21"/>
      <c r="O137" s="22"/>
      <c r="P137" s="17"/>
      <c r="R137" s="16" t="str">
        <f t="shared" si="26"/>
        <v>https://search-rtdc-monitor-bjffxe2xuh6vdkpspy63sjmuny.us-east-1.es.amazonaws.com/_plugin/kibana/#/discover/Steve-Slow-Train-Analysis-(2080s-and-2083s)?_g=(refreshInterval:(display:Off,section:0,value:0),time:(from:'2016-04-24 22:37:56-0600',mode:absolute,to:'2016-04-24 23:37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S137" s="16" t="str">
        <f t="shared" si="27"/>
        <v>N</v>
      </c>
      <c r="T137" s="16">
        <f t="shared" si="28"/>
        <v>23.309699999999999</v>
      </c>
      <c r="U137" s="16">
        <f t="shared" si="29"/>
        <v>1.47E-2</v>
      </c>
      <c r="V137" s="16">
        <f t="shared" si="30"/>
        <v>23.294999999999998</v>
      </c>
      <c r="W137" s="49" t="e">
        <f>VLOOKUP(A137,Enforcements!$C$3:$J$31,8,0)</f>
        <v>#N/A</v>
      </c>
      <c r="X137" s="49" t="e">
        <f>VLOOKUP(A137,Enforcements!$C$3:$J$31,3,0)</f>
        <v>#N/A</v>
      </c>
    </row>
    <row r="138" spans="1:24" s="2" customFormat="1" x14ac:dyDescent="0.25">
      <c r="A138" s="18" t="s">
        <v>361</v>
      </c>
      <c r="B138" s="19">
        <v>4040</v>
      </c>
      <c r="C138" s="19" t="s">
        <v>68</v>
      </c>
      <c r="D138" s="19" t="s">
        <v>362</v>
      </c>
      <c r="E138" s="53">
        <v>42484.928912037038</v>
      </c>
      <c r="F138" s="53">
        <v>42484.929907407408</v>
      </c>
      <c r="G138" s="62">
        <v>1</v>
      </c>
      <c r="H138" s="53" t="s">
        <v>79</v>
      </c>
      <c r="I138" s="53">
        <v>42484.964571759258</v>
      </c>
      <c r="J138" s="19">
        <v>0</v>
      </c>
      <c r="K138" s="19" t="str">
        <f t="shared" si="18"/>
        <v>4039/4040</v>
      </c>
      <c r="L138" s="20">
        <f t="shared" si="24"/>
        <v>3.4664351849642117E-2</v>
      </c>
      <c r="M138" s="21">
        <f t="shared" si="33"/>
        <v>49.916666663484648</v>
      </c>
      <c r="N138" s="21"/>
      <c r="O138" s="22"/>
      <c r="P138" s="17"/>
      <c r="R138" s="16" t="str">
        <f t="shared" si="26"/>
        <v>https://search-rtdc-monitor-bjffxe2xuh6vdkpspy63sjmuny.us-east-1.es.amazonaws.com/_plugin/kibana/#/discover/Steve-Slow-Train-Analysis-(2080s-and-2083s)?_g=(refreshInterval:(display:Off,section:0,value:0),time:(from:'2016-04-24 22:16:38-0600',mode:absolute,to:'2016-04-24 23:09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S138" s="16" t="str">
        <f t="shared" si="27"/>
        <v>N</v>
      </c>
      <c r="T138" s="16">
        <f t="shared" si="28"/>
        <v>4.3299999999999998E-2</v>
      </c>
      <c r="U138" s="16">
        <f t="shared" si="29"/>
        <v>23.331199999999999</v>
      </c>
      <c r="V138" s="16">
        <f t="shared" si="30"/>
        <v>23.2879</v>
      </c>
      <c r="W138" s="49" t="e">
        <f>VLOOKUP(A138,Enforcements!$C$3:$J$31,8,0)</f>
        <v>#N/A</v>
      </c>
      <c r="X138" s="49" t="e">
        <f>VLOOKUP(A138,Enforcements!$C$3:$J$31,3,0)</f>
        <v>#N/A</v>
      </c>
    </row>
    <row r="139" spans="1:24" s="2" customFormat="1" x14ac:dyDescent="0.25">
      <c r="A139" s="18" t="s">
        <v>363</v>
      </c>
      <c r="B139" s="19">
        <v>4039</v>
      </c>
      <c r="C139" s="19" t="s">
        <v>68</v>
      </c>
      <c r="D139" s="19" t="s">
        <v>221</v>
      </c>
      <c r="E139" s="53">
        <v>42484.967546296299</v>
      </c>
      <c r="F139" s="53">
        <v>42484.968726851854</v>
      </c>
      <c r="G139" s="62">
        <v>1</v>
      </c>
      <c r="H139" s="53" t="s">
        <v>87</v>
      </c>
      <c r="I139" s="53">
        <v>42485.006643518522</v>
      </c>
      <c r="J139" s="19">
        <v>0</v>
      </c>
      <c r="K139" s="19" t="str">
        <f t="shared" si="18"/>
        <v>4039/4040</v>
      </c>
      <c r="L139" s="20">
        <f t="shared" si="24"/>
        <v>3.7916666668024845E-2</v>
      </c>
      <c r="M139" s="21">
        <f t="shared" si="33"/>
        <v>54.600000001955777</v>
      </c>
      <c r="N139" s="21"/>
      <c r="O139" s="22"/>
      <c r="P139" s="17"/>
      <c r="R139" s="16" t="str">
        <f t="shared" si="26"/>
        <v>https://search-rtdc-monitor-bjffxe2xuh6vdkpspy63sjmuny.us-east-1.es.amazonaws.com/_plugin/kibana/#/discover/Steve-Slow-Train-Analysis-(2080s-and-2083s)?_g=(refreshInterval:(display:Off,section:0,value:0),time:(from:'2016-04-24 23:12:16-0600',mode:absolute,to:'2016-04-25 00:10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S139" s="16" t="str">
        <f t="shared" si="27"/>
        <v>N</v>
      </c>
      <c r="T139" s="16">
        <f t="shared" si="28"/>
        <v>23.299399999999999</v>
      </c>
      <c r="U139" s="16">
        <f t="shared" si="29"/>
        <v>1.49E-2</v>
      </c>
      <c r="V139" s="16">
        <f t="shared" si="30"/>
        <v>23.284499999999998</v>
      </c>
      <c r="W139" s="49" t="e">
        <f>VLOOKUP(A139,Enforcements!$C$3:$J$31,8,0)</f>
        <v>#N/A</v>
      </c>
      <c r="X139" s="49" t="e">
        <f>VLOOKUP(A139,Enforcements!$C$3:$J$31,3,0)</f>
        <v>#N/A</v>
      </c>
    </row>
    <row r="140" spans="1:24" s="2" customFormat="1" x14ac:dyDescent="0.25">
      <c r="A140" s="18" t="s">
        <v>364</v>
      </c>
      <c r="B140" s="19">
        <v>4025</v>
      </c>
      <c r="C140" s="19" t="s">
        <v>68</v>
      </c>
      <c r="D140" s="19" t="s">
        <v>365</v>
      </c>
      <c r="E140" s="53">
        <v>42484.948055555556</v>
      </c>
      <c r="F140" s="53">
        <v>42484.949699074074</v>
      </c>
      <c r="G140" s="62">
        <v>2</v>
      </c>
      <c r="H140" s="53" t="s">
        <v>351</v>
      </c>
      <c r="I140" s="53">
        <v>42484.988298611112</v>
      </c>
      <c r="J140" s="19">
        <v>0</v>
      </c>
      <c r="K140" s="19" t="str">
        <f t="shared" si="18"/>
        <v>4025/4026</v>
      </c>
      <c r="L140" s="20">
        <f t="shared" si="24"/>
        <v>3.8599537037953269E-2</v>
      </c>
      <c r="M140" s="21">
        <f t="shared" si="33"/>
        <v>55.583333334652707</v>
      </c>
      <c r="N140" s="21"/>
      <c r="O140" s="22"/>
      <c r="P140" s="17"/>
      <c r="R140" s="16" t="str">
        <f t="shared" si="26"/>
        <v>https://search-rtdc-monitor-bjffxe2xuh6vdkpspy63sjmuny.us-east-1.es.amazonaws.com/_plugin/kibana/#/discover/Steve-Slow-Train-Analysis-(2080s-and-2083s)?_g=(refreshInterval:(display:Off,section:0,value:0),time:(from:'2016-04-24 22:44:12-0600',mode:absolute,to:'2016-04-24 23:44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S140" s="16" t="str">
        <f t="shared" si="27"/>
        <v>N</v>
      </c>
      <c r="T140" s="16">
        <f t="shared" si="28"/>
        <v>4.8000000000000001E-2</v>
      </c>
      <c r="U140" s="16">
        <f t="shared" si="29"/>
        <v>23.328900000000001</v>
      </c>
      <c r="V140" s="16">
        <f t="shared" si="30"/>
        <v>23.280900000000003</v>
      </c>
      <c r="W140" s="49" t="e">
        <f>VLOOKUP(A140,Enforcements!$C$3:$J$31,8,0)</f>
        <v>#N/A</v>
      </c>
      <c r="X140" s="49" t="e">
        <f>VLOOKUP(A140,Enforcements!$C$3:$J$31,3,0)</f>
        <v>#N/A</v>
      </c>
    </row>
    <row r="141" spans="1:24" s="2" customFormat="1" x14ac:dyDescent="0.25">
      <c r="A141" s="18" t="s">
        <v>366</v>
      </c>
      <c r="B141" s="19">
        <v>4026</v>
      </c>
      <c r="C141" s="19" t="s">
        <v>68</v>
      </c>
      <c r="D141" s="19" t="s">
        <v>367</v>
      </c>
      <c r="E141" s="53">
        <v>42484.992673611108</v>
      </c>
      <c r="F141" s="53">
        <v>42484.993611111109</v>
      </c>
      <c r="G141" s="62">
        <v>1</v>
      </c>
      <c r="H141" s="53" t="s">
        <v>21</v>
      </c>
      <c r="I141" s="53">
        <v>42485.029548611114</v>
      </c>
      <c r="J141" s="19">
        <v>0</v>
      </c>
      <c r="K141" s="19" t="str">
        <f t="shared" si="18"/>
        <v>4025/4026</v>
      </c>
      <c r="L141" s="20">
        <f t="shared" si="24"/>
        <v>3.5937500004365575E-2</v>
      </c>
      <c r="M141" s="21">
        <f t="shared" si="33"/>
        <v>51.750000006286427</v>
      </c>
      <c r="N141" s="21"/>
      <c r="O141" s="22"/>
      <c r="P141" s="17"/>
      <c r="R141" s="16" t="str">
        <f t="shared" si="26"/>
        <v>https://search-rtdc-monitor-bjffxe2xuh6vdkpspy63sjmuny.us-east-1.es.amazonaws.com/_plugin/kibana/#/discover/Steve-Slow-Train-Analysis-(2080s-and-2083s)?_g=(refreshInterval:(display:Off,section:0,value:0),time:(from:'2016-04-24 23:48:27-0600',mode:absolute,to:'2016-04-25 00:43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S141" s="16" t="str">
        <f t="shared" si="27"/>
        <v>N</v>
      </c>
      <c r="T141" s="16">
        <f t="shared" si="28"/>
        <v>23.299199999999999</v>
      </c>
      <c r="U141" s="16">
        <f t="shared" si="29"/>
        <v>1.47E-2</v>
      </c>
      <c r="V141" s="16">
        <f t="shared" si="30"/>
        <v>23.284499999999998</v>
      </c>
      <c r="W141" s="49" t="e">
        <f>VLOOKUP(A141,Enforcements!$C$3:$J$31,8,0)</f>
        <v>#N/A</v>
      </c>
      <c r="X141" s="49" t="e">
        <f>VLOOKUP(A141,Enforcements!$C$3:$J$31,3,0)</f>
        <v>#N/A</v>
      </c>
    </row>
    <row r="142" spans="1:24" s="2" customFormat="1" x14ac:dyDescent="0.25">
      <c r="A142" s="18" t="s">
        <v>368</v>
      </c>
      <c r="B142" s="19">
        <v>4009</v>
      </c>
      <c r="C142" s="19" t="s">
        <v>68</v>
      </c>
      <c r="D142" s="19" t="s">
        <v>369</v>
      </c>
      <c r="E142" s="53">
        <v>42484.970312500001</v>
      </c>
      <c r="F142" s="53">
        <v>42484.971331018518</v>
      </c>
      <c r="G142" s="62">
        <v>1</v>
      </c>
      <c r="H142" s="53" t="s">
        <v>370</v>
      </c>
      <c r="I142" s="53">
        <v>42484.988912037035</v>
      </c>
      <c r="J142" s="19">
        <v>0</v>
      </c>
      <c r="K142" s="19" t="str">
        <f t="shared" si="18"/>
        <v>4009/4010</v>
      </c>
      <c r="L142" s="20">
        <f t="shared" si="24"/>
        <v>1.7581018517375924E-2</v>
      </c>
      <c r="M142" s="21"/>
      <c r="N142" s="21">
        <f>($L142+L143)*24*60</f>
        <v>50.66666666069068</v>
      </c>
      <c r="O142" s="22"/>
      <c r="P142" s="17" t="s">
        <v>411</v>
      </c>
      <c r="R142" s="16" t="str">
        <f t="shared" si="26"/>
        <v>https://search-rtdc-monitor-bjffxe2xuh6vdkpspy63sjmuny.us-east-1.es.amazonaws.com/_plugin/kibana/#/discover/Steve-Slow-Train-Analysis-(2080s-and-2083s)?_g=(refreshInterval:(display:Off,section:0,value:0),time:(from:'2016-04-24 23:16:15-0600',mode:absolute,to:'2016-04-24 23:45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S142" s="16" t="str">
        <f t="shared" si="27"/>
        <v>Y</v>
      </c>
      <c r="T142" s="16">
        <f t="shared" si="28"/>
        <v>4.5699999999999998E-2</v>
      </c>
      <c r="U142" s="16">
        <f t="shared" si="29"/>
        <v>5.5667</v>
      </c>
      <c r="V142" s="16">
        <f t="shared" si="30"/>
        <v>5.5209999999999999</v>
      </c>
      <c r="W142" s="49" t="e">
        <f>VLOOKUP(A142,Enforcements!$C$3:$J$31,8,0)</f>
        <v>#N/A</v>
      </c>
      <c r="X142" s="49" t="e">
        <f>VLOOKUP(A142,Enforcements!$C$3:$J$31,3,0)</f>
        <v>#N/A</v>
      </c>
    </row>
    <row r="143" spans="1:24" s="2" customFormat="1" x14ac:dyDescent="0.25">
      <c r="A143" s="18" t="s">
        <v>368</v>
      </c>
      <c r="B143" s="19">
        <v>4009</v>
      </c>
      <c r="C143" s="19" t="s">
        <v>68</v>
      </c>
      <c r="D143" s="19" t="s">
        <v>371</v>
      </c>
      <c r="E143" s="53">
        <v>42484.990219907406</v>
      </c>
      <c r="F143" s="53">
        <v>42484.990798611114</v>
      </c>
      <c r="G143" s="62">
        <v>0</v>
      </c>
      <c r="H143" s="53" t="s">
        <v>176</v>
      </c>
      <c r="I143" s="53">
        <v>42485.008402777778</v>
      </c>
      <c r="J143" s="19">
        <v>0</v>
      </c>
      <c r="K143" s="19" t="str">
        <f t="shared" si="18"/>
        <v>4009/4010</v>
      </c>
      <c r="L143" s="20">
        <f t="shared" si="24"/>
        <v>1.7604166663659271E-2</v>
      </c>
      <c r="M143" s="21"/>
      <c r="N143" s="21"/>
      <c r="O143" s="22"/>
      <c r="P143" s="17"/>
      <c r="R143" s="16" t="str">
        <f t="shared" si="26"/>
        <v>https://search-rtdc-monitor-bjffxe2xuh6vdkpspy63sjmuny.us-east-1.es.amazonaws.com/_plugin/kibana/#/discover/Steve-Slow-Train-Analysis-(2080s-and-2083s)?_g=(refreshInterval:(display:Off,section:0,value:0),time:(from:'2016-04-24 23:44:55-0600',mode:absolute,to:'2016-04-25 00:13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S143" s="16" t="str">
        <f t="shared" si="27"/>
        <v>Y</v>
      </c>
      <c r="T143" s="16">
        <f t="shared" si="28"/>
        <v>6.4667000000000003</v>
      </c>
      <c r="U143" s="16">
        <f t="shared" si="29"/>
        <v>23.3291</v>
      </c>
      <c r="V143" s="16">
        <f t="shared" si="30"/>
        <v>16.862400000000001</v>
      </c>
      <c r="W143" s="49" t="e">
        <f>VLOOKUP(A143,Enforcements!$C$3:$J$31,8,0)</f>
        <v>#N/A</v>
      </c>
      <c r="X143" s="49" t="e">
        <f>VLOOKUP(A143,Enforcements!$C$3:$J$31,3,0)</f>
        <v>#N/A</v>
      </c>
    </row>
    <row r="144" spans="1:24" s="2" customFormat="1" x14ac:dyDescent="0.25">
      <c r="A144" s="18" t="s">
        <v>372</v>
      </c>
      <c r="B144" s="19">
        <v>4010</v>
      </c>
      <c r="C144" s="19" t="s">
        <v>68</v>
      </c>
      <c r="D144" s="19" t="s">
        <v>373</v>
      </c>
      <c r="E144" s="53">
        <v>42485.012835648151</v>
      </c>
      <c r="F144" s="53">
        <v>42485.013865740744</v>
      </c>
      <c r="G144" s="62">
        <v>1</v>
      </c>
      <c r="H144" s="53" t="s">
        <v>25</v>
      </c>
      <c r="I144" s="53">
        <v>42485.048379629632</v>
      </c>
      <c r="J144" s="19">
        <v>0</v>
      </c>
      <c r="K144" s="19" t="str">
        <f t="shared" si="18"/>
        <v>4009/4010</v>
      </c>
      <c r="L144" s="20">
        <f t="shared" si="24"/>
        <v>3.4513888887886424E-2</v>
      </c>
      <c r="M144" s="21">
        <f t="shared" si="33"/>
        <v>49.69999999855645</v>
      </c>
      <c r="N144" s="21"/>
      <c r="O144" s="22"/>
      <c r="P144" s="17"/>
      <c r="R144" s="16" t="str">
        <f t="shared" si="26"/>
        <v>https://search-rtdc-monitor-bjffxe2xuh6vdkpspy63sjmuny.us-east-1.es.amazonaws.com/_plugin/kibana/#/discover/Steve-Slow-Train-Analysis-(2080s-and-2083s)?_g=(refreshInterval:(display:Off,section:0,value:0),time:(from:'2016-04-25 00:17:29-0600',mode:absolute,to:'2016-04-25 01:10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S144" s="16" t="str">
        <f t="shared" si="27"/>
        <v>N</v>
      </c>
      <c r="T144" s="16">
        <f t="shared" si="28"/>
        <v>23.2973</v>
      </c>
      <c r="U144" s="16">
        <f t="shared" si="29"/>
        <v>1.5599999999999999E-2</v>
      </c>
      <c r="V144" s="16">
        <f t="shared" si="30"/>
        <v>23.281700000000001</v>
      </c>
      <c r="W144" s="49" t="e">
        <f>VLOOKUP(A144,Enforcements!$C$3:$J$31,8,0)</f>
        <v>#N/A</v>
      </c>
      <c r="X144" s="49" t="e">
        <f>VLOOKUP(A144,Enforcements!$C$3:$J$31,3,0)</f>
        <v>#N/A</v>
      </c>
    </row>
    <row r="145" spans="1:24" s="2" customFormat="1" x14ac:dyDescent="0.25">
      <c r="A145" s="18" t="s">
        <v>374</v>
      </c>
      <c r="B145" s="19">
        <v>4031</v>
      </c>
      <c r="C145" s="19" t="s">
        <v>68</v>
      </c>
      <c r="D145" s="19" t="s">
        <v>117</v>
      </c>
      <c r="E145" s="53">
        <v>42484.989803240744</v>
      </c>
      <c r="F145" s="53">
        <v>42484.991122685184</v>
      </c>
      <c r="G145" s="62">
        <v>1</v>
      </c>
      <c r="H145" s="53" t="s">
        <v>375</v>
      </c>
      <c r="I145" s="53">
        <v>42485.025949074072</v>
      </c>
      <c r="J145" s="19">
        <v>0</v>
      </c>
      <c r="K145" s="19" t="str">
        <f t="shared" ref="K145:K148" si="34">IF(ISEVEN(B145),(B145-1)&amp;"/"&amp;B145,B145&amp;"/"&amp;(B145+1))</f>
        <v>4031/4032</v>
      </c>
      <c r="L145" s="20">
        <f t="shared" ref="L145:L148" si="35">I145-F145</f>
        <v>3.4826388888177462E-2</v>
      </c>
      <c r="M145" s="21">
        <f t="shared" si="33"/>
        <v>50.149999998975545</v>
      </c>
      <c r="N145" s="21"/>
      <c r="O145" s="22"/>
      <c r="P145" s="17"/>
      <c r="R145" s="16" t="str">
        <f t="shared" si="26"/>
        <v>https://search-rtdc-monitor-bjffxe2xuh6vdkpspy63sjmuny.us-east-1.es.amazonaws.com/_plugin/kibana/#/discover/Steve-Slow-Train-Analysis-(2080s-and-2083s)?_g=(refreshInterval:(display:Off,section:0,value:0),time:(from:'2016-04-24 23:44:19-0600',mode:absolute,to:'2016-04-25 00:38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S145" s="16" t="str">
        <f t="shared" si="27"/>
        <v>N</v>
      </c>
      <c r="T145" s="16">
        <f t="shared" si="28"/>
        <v>4.6199999999999998E-2</v>
      </c>
      <c r="U145" s="16">
        <f t="shared" si="29"/>
        <v>23.341000000000001</v>
      </c>
      <c r="V145" s="16">
        <f t="shared" si="30"/>
        <v>23.294800000000002</v>
      </c>
      <c r="W145" s="49" t="e">
        <f>VLOOKUP(A145,Enforcements!$C$3:$J$31,8,0)</f>
        <v>#N/A</v>
      </c>
      <c r="X145" s="49" t="e">
        <f>VLOOKUP(A145,Enforcements!$C$3:$J$31,3,0)</f>
        <v>#N/A</v>
      </c>
    </row>
    <row r="146" spans="1:24" s="2" customFormat="1" x14ac:dyDescent="0.25">
      <c r="A146" s="18" t="s">
        <v>376</v>
      </c>
      <c r="B146" s="19">
        <v>4032</v>
      </c>
      <c r="C146" s="19" t="s">
        <v>68</v>
      </c>
      <c r="D146" s="19" t="s">
        <v>347</v>
      </c>
      <c r="E146" s="53">
        <v>42485.027951388889</v>
      </c>
      <c r="F146" s="53">
        <v>42485.028796296298</v>
      </c>
      <c r="G146" s="62">
        <v>1</v>
      </c>
      <c r="H146" s="53" t="s">
        <v>86</v>
      </c>
      <c r="I146" s="53">
        <v>42485.064976851849</v>
      </c>
      <c r="J146" s="19">
        <v>0</v>
      </c>
      <c r="K146" s="19" t="str">
        <f t="shared" si="34"/>
        <v>4031/4032</v>
      </c>
      <c r="L146" s="20">
        <f t="shared" si="35"/>
        <v>3.6180555551254656E-2</v>
      </c>
      <c r="M146" s="21">
        <f t="shared" si="33"/>
        <v>52.099999993806705</v>
      </c>
      <c r="N146" s="21"/>
      <c r="O146" s="22"/>
      <c r="P146" s="17"/>
      <c r="R146" s="16" t="str">
        <f t="shared" si="26"/>
        <v>https://search-rtdc-monitor-bjffxe2xuh6vdkpspy63sjmuny.us-east-1.es.amazonaws.com/_plugin/kibana/#/discover/Steve-Slow-Train-Analysis-(2080s-and-2083s)?_g=(refreshInterval:(display:Off,section:0,value:0),time:(from:'2016-04-25 00:39:15-0600',mode:absolute,to:'2016-04-25 01:34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S146" s="16" t="str">
        <f t="shared" si="27"/>
        <v>N</v>
      </c>
      <c r="T146" s="16">
        <f t="shared" si="28"/>
        <v>23.308599999999998</v>
      </c>
      <c r="U146" s="16">
        <f t="shared" si="29"/>
        <v>1.41E-2</v>
      </c>
      <c r="V146" s="16">
        <f t="shared" si="30"/>
        <v>23.294499999999999</v>
      </c>
      <c r="W146" s="49" t="e">
        <f>VLOOKUP(A146,Enforcements!$C$3:$J$31,8,0)</f>
        <v>#N/A</v>
      </c>
      <c r="X146" s="49" t="e">
        <f>VLOOKUP(A146,Enforcements!$C$3:$J$31,3,0)</f>
        <v>#N/A</v>
      </c>
    </row>
    <row r="147" spans="1:24" s="2" customFormat="1" x14ac:dyDescent="0.25">
      <c r="A147" s="18" t="s">
        <v>377</v>
      </c>
      <c r="B147" s="19">
        <v>4040</v>
      </c>
      <c r="C147" s="19" t="s">
        <v>68</v>
      </c>
      <c r="D147" s="19" t="s">
        <v>171</v>
      </c>
      <c r="E147" s="53">
        <v>42485.012048611112</v>
      </c>
      <c r="F147" s="53">
        <v>42485.014050925929</v>
      </c>
      <c r="G147" s="62">
        <v>2</v>
      </c>
      <c r="H147" s="53" t="s">
        <v>339</v>
      </c>
      <c r="I147" s="53">
        <v>42485.048043981478</v>
      </c>
      <c r="J147" s="19">
        <v>0</v>
      </c>
      <c r="K147" s="19" t="str">
        <f t="shared" si="34"/>
        <v>4039/4040</v>
      </c>
      <c r="L147" s="20">
        <f t="shared" si="35"/>
        <v>3.3993055549217388E-2</v>
      </c>
      <c r="M147" s="21">
        <f t="shared" si="33"/>
        <v>48.949999990873039</v>
      </c>
      <c r="N147" s="21"/>
      <c r="O147" s="22"/>
      <c r="P147" s="17"/>
      <c r="R147" s="16" t="str">
        <f t="shared" si="26"/>
        <v>https://search-rtdc-monitor-bjffxe2xuh6vdkpspy63sjmuny.us-east-1.es.amazonaws.com/_plugin/kibana/#/discover/Steve-Slow-Train-Analysis-(2080s-and-2083s)?_g=(refreshInterval:(display:Off,section:0,value:0),time:(from:'2016-04-25 00:16:21-0600',mode:absolute,to:'2016-04-25 01:10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S147" s="16" t="str">
        <f t="shared" si="27"/>
        <v>N</v>
      </c>
      <c r="T147" s="16">
        <f t="shared" si="28"/>
        <v>4.53E-2</v>
      </c>
      <c r="U147" s="16">
        <f t="shared" si="29"/>
        <v>23.331099999999999</v>
      </c>
      <c r="V147" s="16">
        <f t="shared" si="30"/>
        <v>23.285799999999998</v>
      </c>
      <c r="W147" s="49" t="e">
        <f>VLOOKUP(A147,Enforcements!$C$3:$J$31,8,0)</f>
        <v>#N/A</v>
      </c>
      <c r="X147" s="49" t="e">
        <f>VLOOKUP(A147,Enforcements!$C$3:$J$31,3,0)</f>
        <v>#N/A</v>
      </c>
    </row>
    <row r="148" spans="1:24" s="2" customFormat="1" ht="15.75" thickBot="1" x14ac:dyDescent="0.3">
      <c r="A148" s="66" t="s">
        <v>378</v>
      </c>
      <c r="B148" s="67">
        <v>4039</v>
      </c>
      <c r="C148" s="67" t="s">
        <v>68</v>
      </c>
      <c r="D148" s="67" t="s">
        <v>126</v>
      </c>
      <c r="E148" s="68">
        <v>42485.0544212963</v>
      </c>
      <c r="F148" s="68">
        <v>42485.055543981478</v>
      </c>
      <c r="G148" s="69">
        <v>1</v>
      </c>
      <c r="H148" s="68" t="s">
        <v>25</v>
      </c>
      <c r="I148" s="68">
        <v>42485.086585648147</v>
      </c>
      <c r="J148" s="67">
        <v>0</v>
      </c>
      <c r="K148" s="67" t="str">
        <f t="shared" si="34"/>
        <v>4039/4040</v>
      </c>
      <c r="L148" s="72">
        <f t="shared" si="35"/>
        <v>3.104166666889796E-2</v>
      </c>
      <c r="M148" s="21">
        <f t="shared" si="33"/>
        <v>44.700000003213063</v>
      </c>
      <c r="N148" s="70"/>
      <c r="O148" s="71"/>
      <c r="P148" s="17"/>
      <c r="R148" s="16" t="str">
        <f t="shared" si="26"/>
        <v>https://search-rtdc-monitor-bjffxe2xuh6vdkpspy63sjmuny.us-east-1.es.amazonaws.com/_plugin/kibana/#/discover/Steve-Slow-Train-Analysis-(2080s-and-2083s)?_g=(refreshInterval:(display:Off,section:0,value:0),time:(from:'2016-04-25 01:17:22-0600',mode:absolute,to:'2016-04-25 02:05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S148" s="16" t="str">
        <f t="shared" si="27"/>
        <v>N</v>
      </c>
      <c r="T148" s="16">
        <f t="shared" si="28"/>
        <v>23.298400000000001</v>
      </c>
      <c r="U148" s="16">
        <f t="shared" si="29"/>
        <v>1.5599999999999999E-2</v>
      </c>
      <c r="V148" s="16">
        <f t="shared" si="30"/>
        <v>23.282800000000002</v>
      </c>
      <c r="W148" s="49" t="e">
        <f>VLOOKUP(A148,Enforcements!$C$3:$J$31,8,0)</f>
        <v>#N/A</v>
      </c>
      <c r="X148" s="49" t="e">
        <f>VLOOKUP(A148,Enforcements!$C$3:$J$31,3,0)</f>
        <v>#N/A</v>
      </c>
    </row>
    <row r="149" spans="1:24" s="2" customFormat="1" ht="15.75" thickBot="1" x14ac:dyDescent="0.3">
      <c r="E149" s="54"/>
      <c r="F149" s="54"/>
      <c r="G149" s="63"/>
      <c r="H149" s="54"/>
      <c r="I149" s="73">
        <f>Z2</f>
        <v>42484</v>
      </c>
      <c r="J149" s="74"/>
      <c r="K149" s="65"/>
      <c r="L149" s="75" t="s">
        <v>9</v>
      </c>
      <c r="M149" s="76"/>
      <c r="N149" s="77"/>
      <c r="O149" s="5"/>
      <c r="W149" s="47"/>
      <c r="X149" s="47"/>
    </row>
    <row r="150" spans="1:24" s="2" customFormat="1" ht="15.75" thickBot="1" x14ac:dyDescent="0.3">
      <c r="E150" s="54"/>
      <c r="F150" s="54"/>
      <c r="G150" s="63"/>
      <c r="H150" s="54"/>
      <c r="I150" s="78" t="s">
        <v>11</v>
      </c>
      <c r="J150" s="79"/>
      <c r="K150" s="58"/>
      <c r="L150" s="9" t="s">
        <v>12</v>
      </c>
      <c r="M150" s="6" t="s">
        <v>13</v>
      </c>
      <c r="N150" s="7" t="s">
        <v>14</v>
      </c>
      <c r="O150" s="5"/>
      <c r="W150" s="47"/>
      <c r="X150" s="47"/>
    </row>
    <row r="151" spans="1:24" s="2" customFormat="1" ht="15.75" thickBot="1" x14ac:dyDescent="0.3">
      <c r="E151" s="54"/>
      <c r="F151" s="54"/>
      <c r="G151" s="63"/>
      <c r="H151" s="54"/>
      <c r="I151" s="55" t="s">
        <v>15</v>
      </c>
      <c r="J151" s="3">
        <f>COUNT(M3:O148)</f>
        <v>141</v>
      </c>
      <c r="K151" s="3"/>
      <c r="L151" s="9" t="s">
        <v>16</v>
      </c>
      <c r="M151" s="6" t="s">
        <v>16</v>
      </c>
      <c r="N151" s="7" t="s">
        <v>16</v>
      </c>
      <c r="O151" s="5"/>
      <c r="W151" s="47"/>
      <c r="X151" s="47"/>
    </row>
    <row r="152" spans="1:24" s="2" customFormat="1" ht="15.75" thickBot="1" x14ac:dyDescent="0.3">
      <c r="E152" s="54"/>
      <c r="F152" s="54"/>
      <c r="G152" s="63"/>
      <c r="H152" s="54"/>
      <c r="I152" s="55" t="s">
        <v>18</v>
      </c>
      <c r="J152" s="3">
        <f>COUNT(M3:M148)</f>
        <v>128</v>
      </c>
      <c r="K152" s="3"/>
      <c r="L152" s="10">
        <f>AVERAGE(M3:M148)</f>
        <v>45.254296875509681</v>
      </c>
      <c r="M152" s="6">
        <f>MIN(M3:M148)</f>
        <v>35.666666674660519</v>
      </c>
      <c r="N152" s="7">
        <f>MAX(M3:M148)</f>
        <v>97.066666663158685</v>
      </c>
      <c r="O152" s="5"/>
      <c r="W152" s="47"/>
      <c r="X152" s="47"/>
    </row>
    <row r="153" spans="1:24" ht="15.75" thickBot="1" x14ac:dyDescent="0.3">
      <c r="I153" s="56" t="s">
        <v>73</v>
      </c>
      <c r="J153" s="3">
        <f>COUNT(N3:N148)</f>
        <v>2</v>
      </c>
      <c r="K153" s="3"/>
      <c r="L153" s="10">
        <f>IFERROR(AVERAGE(N3:N148),0)</f>
        <v>55.34999999392312</v>
      </c>
      <c r="M153" s="6">
        <f>MIN(N3:N148)</f>
        <v>50.66666666069068</v>
      </c>
      <c r="N153" s="7">
        <f>MAX(N3:N148)</f>
        <v>60.03333332715556</v>
      </c>
    </row>
    <row r="154" spans="1:24" ht="15.75" thickBot="1" x14ac:dyDescent="0.3">
      <c r="I154" s="57" t="s">
        <v>10</v>
      </c>
      <c r="J154" s="3">
        <f>COUNT(O3:O148)</f>
        <v>11</v>
      </c>
      <c r="K154" s="3"/>
      <c r="L154" s="9" t="s">
        <v>16</v>
      </c>
      <c r="M154" s="6" t="s">
        <v>16</v>
      </c>
      <c r="N154" s="7" t="s">
        <v>16</v>
      </c>
    </row>
    <row r="155" spans="1:24" s="2" customFormat="1" ht="30.75" thickBot="1" x14ac:dyDescent="0.3">
      <c r="E155" s="54"/>
      <c r="F155" s="54"/>
      <c r="G155" s="63"/>
      <c r="H155" s="54"/>
      <c r="I155" s="55" t="s">
        <v>17</v>
      </c>
      <c r="J155" s="3">
        <f>COUNT(M3:N148)</f>
        <v>130</v>
      </c>
      <c r="K155" s="3"/>
      <c r="L155" s="10">
        <f>AVERAGE(M3:O148)</f>
        <v>43.81430260078568</v>
      </c>
      <c r="M155" s="6">
        <f>MIN(M3:N148)</f>
        <v>35.666666674660519</v>
      </c>
      <c r="N155" s="7">
        <f>MAX(M3:N148)</f>
        <v>97.066666663158685</v>
      </c>
      <c r="O155" s="5"/>
      <c r="W155" s="47"/>
      <c r="X155" s="47"/>
    </row>
    <row r="156" spans="1:24" ht="30.75" thickBot="1" x14ac:dyDescent="0.3">
      <c r="I156" s="55" t="s">
        <v>23</v>
      </c>
      <c r="J156" s="8">
        <f>J155/J151</f>
        <v>0.92198581560283688</v>
      </c>
      <c r="K156" s="8"/>
    </row>
  </sheetData>
  <sortState ref="A3:X27">
    <sortCondition ref="A3:A27"/>
  </sortState>
  <mergeCells count="4">
    <mergeCell ref="I149:J149"/>
    <mergeCell ref="L149:N149"/>
    <mergeCell ref="I150:J150"/>
    <mergeCell ref="A1:O1"/>
  </mergeCells>
  <conditionalFormatting sqref="S1:S1048576">
    <cfRule type="cellIs" dxfId="6" priority="7" operator="equal">
      <formula>"Y"</formula>
    </cfRule>
  </conditionalFormatting>
  <conditionalFormatting sqref="A3:P148">
    <cfRule type="expression" dxfId="5" priority="8">
      <formula>$M3&gt;$AB$2</formula>
    </cfRule>
    <cfRule type="expression" dxfId="4" priority="9">
      <formula>$O3&gt;0</formula>
    </cfRule>
    <cfRule type="expression" dxfId="3" priority="10">
      <formula>$N3&gt;0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showGridLines="0" topLeftCell="A13" zoomScale="85" zoomScaleNormal="85" workbookViewId="0">
      <selection sqref="A1:L1"/>
    </sheetView>
  </sheetViews>
  <sheetFormatPr defaultRowHeight="15" x14ac:dyDescent="0.25"/>
  <cols>
    <col min="1" max="1" width="18.42578125" style="32" customWidth="1"/>
    <col min="2" max="2" width="17.5703125" customWidth="1"/>
    <col min="3" max="3" width="8.5703125" customWidth="1"/>
    <col min="4" max="4" width="26.5703125" customWidth="1"/>
    <col min="5" max="5" width="23.5703125" customWidth="1"/>
    <col min="6" max="6" width="7.5703125" customWidth="1"/>
    <col min="7" max="7" width="7.140625" customWidth="1"/>
    <col min="8" max="8" width="9" customWidth="1"/>
    <col min="9" max="9" width="25.140625" customWidth="1"/>
    <col min="10" max="10" width="10.85546875" customWidth="1"/>
    <col min="11" max="11" width="32.7109375" customWidth="1"/>
    <col min="12" max="12" width="6.42578125" customWidth="1"/>
    <col min="13" max="13" width="37.85546875" bestFit="1" customWidth="1"/>
  </cols>
  <sheetData>
    <row r="1" spans="1:13" s="44" customFormat="1" ht="15" customHeight="1" x14ac:dyDescent="0.25">
      <c r="A1" s="81" t="str">
        <f>"Eagle P3 Braking Events - "&amp;TEXT('Train Runs'!$Z$2,"YYYY-mm-dd")</f>
        <v>Eagle P3 Braking Events - 2016-04-24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45"/>
    </row>
    <row r="2" spans="1:13" s="2" customFormat="1" ht="90" x14ac:dyDescent="0.25">
      <c r="A2" s="43" t="s">
        <v>67</v>
      </c>
      <c r="B2" s="42" t="s">
        <v>66</v>
      </c>
      <c r="C2" s="42" t="s">
        <v>65</v>
      </c>
      <c r="D2" s="42" t="s">
        <v>64</v>
      </c>
      <c r="E2" s="42" t="s">
        <v>63</v>
      </c>
      <c r="F2" s="42" t="s">
        <v>62</v>
      </c>
      <c r="G2" s="42" t="s">
        <v>61</v>
      </c>
      <c r="H2" s="42" t="s">
        <v>60</v>
      </c>
      <c r="I2" s="42" t="s">
        <v>59</v>
      </c>
      <c r="J2" s="42" t="s">
        <v>58</v>
      </c>
      <c r="K2" s="42" t="s">
        <v>57</v>
      </c>
      <c r="L2" s="42" t="s">
        <v>56</v>
      </c>
      <c r="M2" s="42" t="s">
        <v>31</v>
      </c>
    </row>
    <row r="3" spans="1:13" s="37" customFormat="1" x14ac:dyDescent="0.25">
      <c r="A3" s="41">
        <v>42484.75105324074</v>
      </c>
      <c r="B3" s="40" t="s">
        <v>53</v>
      </c>
      <c r="C3" s="40" t="s">
        <v>308</v>
      </c>
      <c r="D3" s="40" t="s">
        <v>48</v>
      </c>
      <c r="E3" s="40" t="s">
        <v>388</v>
      </c>
      <c r="F3" s="40">
        <v>790</v>
      </c>
      <c r="G3" s="40">
        <v>852</v>
      </c>
      <c r="H3" s="40">
        <v>98028</v>
      </c>
      <c r="I3" s="40" t="s">
        <v>51</v>
      </c>
      <c r="J3" s="40">
        <v>126678</v>
      </c>
      <c r="K3" s="39" t="s">
        <v>44</v>
      </c>
      <c r="L3" s="38" t="s">
        <v>39</v>
      </c>
      <c r="M3" s="39" t="s">
        <v>394</v>
      </c>
    </row>
    <row r="4" spans="1:13" s="37" customFormat="1" x14ac:dyDescent="0.25">
      <c r="A4" s="41">
        <v>42484.810474537036</v>
      </c>
      <c r="B4" s="40" t="s">
        <v>387</v>
      </c>
      <c r="C4" s="40" t="s">
        <v>326</v>
      </c>
      <c r="D4" s="40" t="s">
        <v>43</v>
      </c>
      <c r="E4" s="40" t="s">
        <v>55</v>
      </c>
      <c r="F4" s="40">
        <v>0</v>
      </c>
      <c r="G4" s="40">
        <v>95</v>
      </c>
      <c r="H4" s="40">
        <v>48270</v>
      </c>
      <c r="I4" s="40" t="s">
        <v>54</v>
      </c>
      <c r="J4" s="40">
        <v>48048</v>
      </c>
      <c r="K4" s="39" t="s">
        <v>44</v>
      </c>
      <c r="L4" s="38" t="s">
        <v>39</v>
      </c>
      <c r="M4" s="39" t="s">
        <v>389</v>
      </c>
    </row>
    <row r="5" spans="1:13" s="37" customFormat="1" x14ac:dyDescent="0.25">
      <c r="A5" s="41">
        <v>42484.862800925926</v>
      </c>
      <c r="B5" s="40" t="s">
        <v>379</v>
      </c>
      <c r="C5" s="40" t="s">
        <v>348</v>
      </c>
      <c r="D5" s="40" t="s">
        <v>43</v>
      </c>
      <c r="E5" s="40" t="s">
        <v>55</v>
      </c>
      <c r="F5" s="40">
        <v>0</v>
      </c>
      <c r="G5" s="40">
        <v>265</v>
      </c>
      <c r="H5" s="40">
        <v>46501</v>
      </c>
      <c r="I5" s="40" t="s">
        <v>54</v>
      </c>
      <c r="J5" s="40">
        <v>47865</v>
      </c>
      <c r="K5" s="39" t="s">
        <v>40</v>
      </c>
      <c r="L5" s="38" t="s">
        <v>39</v>
      </c>
      <c r="M5" s="39" t="s">
        <v>389</v>
      </c>
    </row>
    <row r="6" spans="1:13" s="37" customFormat="1" x14ac:dyDescent="0.25">
      <c r="A6" s="41">
        <v>42484.249560185184</v>
      </c>
      <c r="B6" s="40" t="s">
        <v>45</v>
      </c>
      <c r="C6" s="40" t="s">
        <v>125</v>
      </c>
      <c r="D6" s="40" t="s">
        <v>48</v>
      </c>
      <c r="E6" s="40" t="s">
        <v>52</v>
      </c>
      <c r="F6" s="40">
        <v>350</v>
      </c>
      <c r="G6" s="40">
        <v>402</v>
      </c>
      <c r="H6" s="40">
        <v>225911</v>
      </c>
      <c r="I6" s="40" t="s">
        <v>51</v>
      </c>
      <c r="J6" s="40">
        <v>228668</v>
      </c>
      <c r="K6" s="39" t="s">
        <v>44</v>
      </c>
      <c r="L6" s="38" t="s">
        <v>39</v>
      </c>
      <c r="M6" s="39" t="s">
        <v>393</v>
      </c>
    </row>
    <row r="7" spans="1:13" s="37" customFormat="1" x14ac:dyDescent="0.25">
      <c r="A7" s="41">
        <v>42484.307164351849</v>
      </c>
      <c r="B7" s="40" t="s">
        <v>76</v>
      </c>
      <c r="C7" s="40" t="s">
        <v>159</v>
      </c>
      <c r="D7" s="40" t="s">
        <v>43</v>
      </c>
      <c r="E7" s="40" t="s">
        <v>52</v>
      </c>
      <c r="F7" s="40">
        <v>300</v>
      </c>
      <c r="G7" s="40">
        <v>277</v>
      </c>
      <c r="H7" s="40">
        <v>19941</v>
      </c>
      <c r="I7" s="40" t="s">
        <v>51</v>
      </c>
      <c r="J7" s="40">
        <v>20338</v>
      </c>
      <c r="K7" s="39" t="s">
        <v>40</v>
      </c>
      <c r="L7" s="38" t="s">
        <v>39</v>
      </c>
      <c r="M7" s="39" t="s">
        <v>393</v>
      </c>
    </row>
    <row r="8" spans="1:13" s="37" customFormat="1" x14ac:dyDescent="0.25">
      <c r="A8" s="41">
        <v>42484.337337962963</v>
      </c>
      <c r="B8" s="40" t="s">
        <v>379</v>
      </c>
      <c r="C8" s="40" t="s">
        <v>174</v>
      </c>
      <c r="D8" s="40" t="s">
        <v>43</v>
      </c>
      <c r="E8" s="40" t="s">
        <v>52</v>
      </c>
      <c r="F8" s="40">
        <v>300</v>
      </c>
      <c r="G8" s="40">
        <v>272</v>
      </c>
      <c r="H8" s="40">
        <v>20204</v>
      </c>
      <c r="I8" s="40" t="s">
        <v>51</v>
      </c>
      <c r="J8" s="40">
        <v>20338</v>
      </c>
      <c r="K8" s="39" t="s">
        <v>40</v>
      </c>
      <c r="L8" s="38" t="s">
        <v>39</v>
      </c>
      <c r="M8" s="39" t="s">
        <v>393</v>
      </c>
    </row>
    <row r="9" spans="1:13" s="37" customFormat="1" x14ac:dyDescent="0.25">
      <c r="A9" s="41">
        <v>42484.477534722224</v>
      </c>
      <c r="B9" s="40" t="s">
        <v>380</v>
      </c>
      <c r="C9" s="40" t="s">
        <v>210</v>
      </c>
      <c r="D9" s="40" t="s">
        <v>43</v>
      </c>
      <c r="E9" s="40" t="s">
        <v>52</v>
      </c>
      <c r="F9" s="40">
        <v>300</v>
      </c>
      <c r="G9" s="40">
        <v>349</v>
      </c>
      <c r="H9" s="40">
        <v>22393</v>
      </c>
      <c r="I9" s="40" t="s">
        <v>51</v>
      </c>
      <c r="J9" s="40">
        <v>21848</v>
      </c>
      <c r="K9" s="39" t="s">
        <v>44</v>
      </c>
      <c r="L9" s="38" t="s">
        <v>39</v>
      </c>
      <c r="M9" s="39" t="s">
        <v>393</v>
      </c>
    </row>
    <row r="10" spans="1:13" s="37" customFormat="1" x14ac:dyDescent="0.25">
      <c r="A10" s="41">
        <v>42484.484189814815</v>
      </c>
      <c r="B10" s="40" t="s">
        <v>379</v>
      </c>
      <c r="C10" s="40" t="s">
        <v>232</v>
      </c>
      <c r="D10" s="40" t="s">
        <v>43</v>
      </c>
      <c r="E10" s="40" t="s">
        <v>52</v>
      </c>
      <c r="F10" s="40">
        <v>300</v>
      </c>
      <c r="G10" s="40">
        <v>271</v>
      </c>
      <c r="H10" s="40">
        <v>20046</v>
      </c>
      <c r="I10" s="40" t="s">
        <v>51</v>
      </c>
      <c r="J10" s="40">
        <v>20338</v>
      </c>
      <c r="K10" s="39" t="s">
        <v>40</v>
      </c>
      <c r="L10" s="38" t="s">
        <v>39</v>
      </c>
      <c r="M10" s="39" t="s">
        <v>393</v>
      </c>
    </row>
    <row r="11" spans="1:13" s="37" customFormat="1" x14ac:dyDescent="0.25">
      <c r="A11" s="41">
        <v>42484.501562500001</v>
      </c>
      <c r="B11" s="40" t="s">
        <v>385</v>
      </c>
      <c r="C11" s="40" t="s">
        <v>228</v>
      </c>
      <c r="D11" s="40" t="s">
        <v>43</v>
      </c>
      <c r="E11" s="40" t="s">
        <v>52</v>
      </c>
      <c r="F11" s="40">
        <v>150</v>
      </c>
      <c r="G11" s="40">
        <v>190</v>
      </c>
      <c r="H11" s="40">
        <v>229969</v>
      </c>
      <c r="I11" s="40" t="s">
        <v>51</v>
      </c>
      <c r="J11" s="40">
        <v>230436</v>
      </c>
      <c r="K11" s="39" t="s">
        <v>40</v>
      </c>
      <c r="L11" s="38" t="s">
        <v>39</v>
      </c>
      <c r="M11" s="39" t="s">
        <v>393</v>
      </c>
    </row>
    <row r="12" spans="1:13" s="37" customFormat="1" x14ac:dyDescent="0.25">
      <c r="A12" s="41">
        <v>42484.576828703706</v>
      </c>
      <c r="B12" s="40" t="s">
        <v>379</v>
      </c>
      <c r="C12" s="40" t="s">
        <v>258</v>
      </c>
      <c r="D12" s="40" t="s">
        <v>43</v>
      </c>
      <c r="E12" s="40" t="s">
        <v>52</v>
      </c>
      <c r="F12" s="40">
        <v>150</v>
      </c>
      <c r="G12" s="40">
        <v>131</v>
      </c>
      <c r="H12" s="40">
        <v>231562</v>
      </c>
      <c r="I12" s="40" t="s">
        <v>51</v>
      </c>
      <c r="J12" s="40">
        <v>232107</v>
      </c>
      <c r="K12" s="39" t="s">
        <v>40</v>
      </c>
      <c r="L12" s="38" t="s">
        <v>39</v>
      </c>
      <c r="M12" s="39" t="s">
        <v>393</v>
      </c>
    </row>
    <row r="13" spans="1:13" s="37" customFormat="1" x14ac:dyDescent="0.25">
      <c r="A13" s="41">
        <v>42484.609166666669</v>
      </c>
      <c r="B13" s="40" t="s">
        <v>381</v>
      </c>
      <c r="C13" s="40" t="s">
        <v>269</v>
      </c>
      <c r="D13" s="40" t="s">
        <v>43</v>
      </c>
      <c r="E13" s="40" t="s">
        <v>52</v>
      </c>
      <c r="F13" s="40">
        <v>150</v>
      </c>
      <c r="G13" s="40">
        <v>192</v>
      </c>
      <c r="H13" s="40">
        <v>231690</v>
      </c>
      <c r="I13" s="40" t="s">
        <v>51</v>
      </c>
      <c r="J13" s="40">
        <v>232080</v>
      </c>
      <c r="K13" s="39" t="s">
        <v>40</v>
      </c>
      <c r="L13" s="38" t="s">
        <v>39</v>
      </c>
      <c r="M13" s="39" t="s">
        <v>393</v>
      </c>
    </row>
    <row r="14" spans="1:13" s="37" customFormat="1" x14ac:dyDescent="0.25">
      <c r="A14" s="41">
        <v>42484.66269675926</v>
      </c>
      <c r="B14" s="40" t="s">
        <v>381</v>
      </c>
      <c r="C14" s="40" t="s">
        <v>294</v>
      </c>
      <c r="D14" s="40" t="s">
        <v>48</v>
      </c>
      <c r="E14" s="40" t="s">
        <v>52</v>
      </c>
      <c r="F14" s="40">
        <v>200</v>
      </c>
      <c r="G14" s="40">
        <v>256</v>
      </c>
      <c r="H14" s="40">
        <v>5398</v>
      </c>
      <c r="I14" s="40" t="s">
        <v>51</v>
      </c>
      <c r="J14" s="40">
        <v>4677</v>
      </c>
      <c r="K14" s="39" t="s">
        <v>40</v>
      </c>
      <c r="L14" s="38" t="s">
        <v>39</v>
      </c>
      <c r="M14" s="39" t="s">
        <v>393</v>
      </c>
    </row>
    <row r="15" spans="1:13" s="37" customFormat="1" x14ac:dyDescent="0.25">
      <c r="A15" s="41">
        <v>42484.670601851853</v>
      </c>
      <c r="B15" s="40" t="s">
        <v>76</v>
      </c>
      <c r="C15" s="40" t="s">
        <v>298</v>
      </c>
      <c r="D15" s="40" t="s">
        <v>43</v>
      </c>
      <c r="E15" s="40" t="s">
        <v>52</v>
      </c>
      <c r="F15" s="40">
        <v>300</v>
      </c>
      <c r="G15" s="40">
        <v>265</v>
      </c>
      <c r="H15" s="40">
        <v>19913</v>
      </c>
      <c r="I15" s="40" t="s">
        <v>51</v>
      </c>
      <c r="J15" s="40">
        <v>20338</v>
      </c>
      <c r="K15" s="39" t="s">
        <v>40</v>
      </c>
      <c r="L15" s="38" t="s">
        <v>39</v>
      </c>
      <c r="M15" s="39" t="s">
        <v>393</v>
      </c>
    </row>
    <row r="16" spans="1:13" s="37" customFormat="1" x14ac:dyDescent="0.25">
      <c r="A16" s="41">
        <v>42484.711064814815</v>
      </c>
      <c r="B16" s="40" t="s">
        <v>382</v>
      </c>
      <c r="C16" s="40" t="s">
        <v>299</v>
      </c>
      <c r="D16" s="40" t="s">
        <v>43</v>
      </c>
      <c r="E16" s="40" t="s">
        <v>52</v>
      </c>
      <c r="F16" s="40">
        <v>450</v>
      </c>
      <c r="G16" s="40">
        <v>451</v>
      </c>
      <c r="H16" s="40">
        <v>191116</v>
      </c>
      <c r="I16" s="40" t="s">
        <v>51</v>
      </c>
      <c r="J16" s="40">
        <v>191108</v>
      </c>
      <c r="K16" s="39" t="s">
        <v>44</v>
      </c>
      <c r="L16" s="38" t="s">
        <v>39</v>
      </c>
      <c r="M16" s="39" t="s">
        <v>393</v>
      </c>
    </row>
    <row r="17" spans="1:13" s="37" customFormat="1" x14ac:dyDescent="0.25">
      <c r="A17" s="41">
        <v>42484.733715277776</v>
      </c>
      <c r="B17" s="40" t="s">
        <v>381</v>
      </c>
      <c r="C17" s="40" t="s">
        <v>317</v>
      </c>
      <c r="D17" s="40" t="s">
        <v>43</v>
      </c>
      <c r="E17" s="40" t="s">
        <v>52</v>
      </c>
      <c r="F17" s="40">
        <v>300</v>
      </c>
      <c r="G17" s="40">
        <v>247</v>
      </c>
      <c r="H17" s="40">
        <v>19907</v>
      </c>
      <c r="I17" s="40" t="s">
        <v>51</v>
      </c>
      <c r="J17" s="40">
        <v>20338</v>
      </c>
      <c r="K17" s="39" t="s">
        <v>40</v>
      </c>
      <c r="L17" s="38" t="s">
        <v>39</v>
      </c>
      <c r="M17" s="39" t="s">
        <v>393</v>
      </c>
    </row>
    <row r="18" spans="1:13" s="37" customFormat="1" x14ac:dyDescent="0.25">
      <c r="A18" s="41">
        <v>42484.798506944448</v>
      </c>
      <c r="B18" s="40" t="s">
        <v>383</v>
      </c>
      <c r="C18" s="40" t="s">
        <v>338</v>
      </c>
      <c r="D18" s="40" t="s">
        <v>43</v>
      </c>
      <c r="E18" s="40" t="s">
        <v>52</v>
      </c>
      <c r="F18" s="40">
        <v>300</v>
      </c>
      <c r="G18" s="40">
        <v>270</v>
      </c>
      <c r="H18" s="40">
        <v>20073</v>
      </c>
      <c r="I18" s="40" t="s">
        <v>51</v>
      </c>
      <c r="J18" s="40">
        <v>20338</v>
      </c>
      <c r="K18" s="39" t="s">
        <v>40</v>
      </c>
      <c r="L18" s="38" t="s">
        <v>39</v>
      </c>
      <c r="M18" s="39" t="s">
        <v>393</v>
      </c>
    </row>
    <row r="19" spans="1:13" s="37" customFormat="1" x14ac:dyDescent="0.25">
      <c r="A19" s="41">
        <v>42484.896238425928</v>
      </c>
      <c r="B19" s="40" t="s">
        <v>53</v>
      </c>
      <c r="C19" s="40" t="s">
        <v>349</v>
      </c>
      <c r="D19" s="40" t="s">
        <v>48</v>
      </c>
      <c r="E19" s="40" t="s">
        <v>52</v>
      </c>
      <c r="F19" s="40">
        <v>350</v>
      </c>
      <c r="G19" s="40">
        <v>400</v>
      </c>
      <c r="H19" s="40">
        <v>225763</v>
      </c>
      <c r="I19" s="40" t="s">
        <v>51</v>
      </c>
      <c r="J19" s="40">
        <v>228668</v>
      </c>
      <c r="K19" s="40" t="s">
        <v>44</v>
      </c>
      <c r="L19" s="38" t="s">
        <v>39</v>
      </c>
      <c r="M19" s="39" t="s">
        <v>393</v>
      </c>
    </row>
    <row r="20" spans="1:13" s="37" customFormat="1" x14ac:dyDescent="0.25">
      <c r="A20" s="41">
        <v>42484.948738425926</v>
      </c>
      <c r="B20" s="40" t="s">
        <v>382</v>
      </c>
      <c r="C20" s="40" t="s">
        <v>355</v>
      </c>
      <c r="D20" s="40" t="s">
        <v>43</v>
      </c>
      <c r="E20" s="40" t="s">
        <v>52</v>
      </c>
      <c r="F20" s="40">
        <v>400</v>
      </c>
      <c r="G20" s="40">
        <v>415</v>
      </c>
      <c r="H20" s="40">
        <v>120481</v>
      </c>
      <c r="I20" s="40" t="s">
        <v>51</v>
      </c>
      <c r="J20" s="40">
        <v>119716</v>
      </c>
      <c r="K20" s="39" t="s">
        <v>44</v>
      </c>
      <c r="L20" s="38" t="s">
        <v>39</v>
      </c>
      <c r="M20" s="39" t="s">
        <v>393</v>
      </c>
    </row>
    <row r="21" spans="1:13" s="37" customFormat="1" x14ac:dyDescent="0.25">
      <c r="A21" s="41">
        <v>42484.147673611114</v>
      </c>
      <c r="B21" s="40" t="s">
        <v>383</v>
      </c>
      <c r="C21" s="40" t="s">
        <v>101</v>
      </c>
      <c r="D21" s="40" t="s">
        <v>43</v>
      </c>
      <c r="E21" s="40" t="s">
        <v>50</v>
      </c>
      <c r="F21" s="40">
        <v>0</v>
      </c>
      <c r="G21" s="40">
        <v>511</v>
      </c>
      <c r="H21" s="40">
        <v>33655</v>
      </c>
      <c r="I21" s="40" t="s">
        <v>49</v>
      </c>
      <c r="J21" s="40">
        <v>36645</v>
      </c>
      <c r="K21" s="39" t="s">
        <v>40</v>
      </c>
      <c r="L21" s="38" t="s">
        <v>47</v>
      </c>
      <c r="M21" s="39" t="s">
        <v>399</v>
      </c>
    </row>
    <row r="22" spans="1:13" s="37" customFormat="1" x14ac:dyDescent="0.25">
      <c r="A22" s="41">
        <v>42484.148414351854</v>
      </c>
      <c r="B22" s="40" t="s">
        <v>383</v>
      </c>
      <c r="C22" s="40" t="s">
        <v>101</v>
      </c>
      <c r="D22" s="40" t="s">
        <v>43</v>
      </c>
      <c r="E22" s="40" t="s">
        <v>50</v>
      </c>
      <c r="F22" s="40">
        <v>0</v>
      </c>
      <c r="G22" s="40">
        <v>59</v>
      </c>
      <c r="H22" s="40">
        <v>36462</v>
      </c>
      <c r="I22" s="40" t="s">
        <v>49</v>
      </c>
      <c r="J22" s="40">
        <v>36645</v>
      </c>
      <c r="K22" s="39" t="s">
        <v>40</v>
      </c>
      <c r="L22" s="38" t="s">
        <v>47</v>
      </c>
      <c r="M22" s="39" t="s">
        <v>399</v>
      </c>
    </row>
    <row r="23" spans="1:13" s="37" customFormat="1" x14ac:dyDescent="0.25">
      <c r="A23" s="41">
        <v>42484.149108796293</v>
      </c>
      <c r="B23" s="40" t="s">
        <v>383</v>
      </c>
      <c r="C23" s="40" t="s">
        <v>101</v>
      </c>
      <c r="D23" s="40" t="s">
        <v>43</v>
      </c>
      <c r="E23" s="40" t="s">
        <v>50</v>
      </c>
      <c r="F23" s="40">
        <v>0</v>
      </c>
      <c r="G23" s="40">
        <v>59</v>
      </c>
      <c r="H23" s="40">
        <v>36462</v>
      </c>
      <c r="I23" s="40" t="s">
        <v>49</v>
      </c>
      <c r="J23" s="40">
        <v>36645</v>
      </c>
      <c r="K23" s="39" t="s">
        <v>40</v>
      </c>
      <c r="L23" s="38" t="s">
        <v>47</v>
      </c>
      <c r="M23" s="39" t="s">
        <v>399</v>
      </c>
    </row>
    <row r="24" spans="1:13" s="37" customFormat="1" x14ac:dyDescent="0.25">
      <c r="A24" s="41">
        <v>42484.219976851855</v>
      </c>
      <c r="B24" s="40" t="s">
        <v>46</v>
      </c>
      <c r="C24" s="40" t="s">
        <v>116</v>
      </c>
      <c r="D24" s="40" t="s">
        <v>43</v>
      </c>
      <c r="E24" s="40" t="s">
        <v>50</v>
      </c>
      <c r="F24" s="40">
        <v>0</v>
      </c>
      <c r="G24" s="40">
        <v>588</v>
      </c>
      <c r="H24" s="40">
        <v>151460</v>
      </c>
      <c r="I24" s="40" t="s">
        <v>49</v>
      </c>
      <c r="J24" s="40">
        <v>155600</v>
      </c>
      <c r="K24" s="39" t="s">
        <v>40</v>
      </c>
      <c r="L24" s="38" t="s">
        <v>39</v>
      </c>
      <c r="M24" s="39" t="s">
        <v>400</v>
      </c>
    </row>
    <row r="25" spans="1:13" s="37" customFormat="1" x14ac:dyDescent="0.25">
      <c r="A25" s="41">
        <v>42484.308206018519</v>
      </c>
      <c r="B25" s="40" t="s">
        <v>53</v>
      </c>
      <c r="C25" s="40" t="s">
        <v>145</v>
      </c>
      <c r="D25" s="40" t="s">
        <v>43</v>
      </c>
      <c r="E25" s="40" t="s">
        <v>50</v>
      </c>
      <c r="F25" s="40">
        <v>0</v>
      </c>
      <c r="G25" s="40">
        <v>776</v>
      </c>
      <c r="H25" s="40">
        <v>140725</v>
      </c>
      <c r="I25" s="40" t="s">
        <v>49</v>
      </c>
      <c r="J25" s="40">
        <v>138851</v>
      </c>
      <c r="K25" s="39" t="s">
        <v>44</v>
      </c>
      <c r="L25" s="38" t="s">
        <v>47</v>
      </c>
      <c r="M25" s="39" t="s">
        <v>401</v>
      </c>
    </row>
    <row r="26" spans="1:13" s="37" customFormat="1" x14ac:dyDescent="0.25">
      <c r="A26" s="41">
        <v>42484.309756944444</v>
      </c>
      <c r="B26" s="40" t="s">
        <v>53</v>
      </c>
      <c r="C26" s="40" t="s">
        <v>145</v>
      </c>
      <c r="D26" s="40" t="s">
        <v>43</v>
      </c>
      <c r="E26" s="40" t="s">
        <v>50</v>
      </c>
      <c r="F26" s="40">
        <v>0</v>
      </c>
      <c r="G26" s="40">
        <v>123</v>
      </c>
      <c r="H26" s="40">
        <v>133653</v>
      </c>
      <c r="I26" s="40" t="s">
        <v>49</v>
      </c>
      <c r="J26" s="40">
        <v>133166</v>
      </c>
      <c r="K26" s="39" t="s">
        <v>44</v>
      </c>
      <c r="L26" s="38" t="s">
        <v>47</v>
      </c>
      <c r="M26" s="39" t="s">
        <v>401</v>
      </c>
    </row>
    <row r="27" spans="1:13" s="37" customFormat="1" x14ac:dyDescent="0.25">
      <c r="A27" s="41">
        <v>42484.364999999998</v>
      </c>
      <c r="B27" s="40" t="s">
        <v>381</v>
      </c>
      <c r="C27" s="40" t="s">
        <v>187</v>
      </c>
      <c r="D27" s="40" t="s">
        <v>43</v>
      </c>
      <c r="E27" s="40" t="s">
        <v>50</v>
      </c>
      <c r="F27" s="40">
        <v>0</v>
      </c>
      <c r="G27" s="40">
        <v>112</v>
      </c>
      <c r="H27" s="40">
        <v>1003</v>
      </c>
      <c r="I27" s="40" t="s">
        <v>49</v>
      </c>
      <c r="J27" s="40">
        <v>1692</v>
      </c>
      <c r="K27" s="39" t="s">
        <v>40</v>
      </c>
      <c r="L27" s="38" t="s">
        <v>39</v>
      </c>
      <c r="M27" s="39" t="s">
        <v>395</v>
      </c>
    </row>
    <row r="28" spans="1:13" s="37" customFormat="1" x14ac:dyDescent="0.25">
      <c r="A28" s="41">
        <v>42484.472094907411</v>
      </c>
      <c r="B28" s="40" t="s">
        <v>100</v>
      </c>
      <c r="C28" s="40" t="s">
        <v>222</v>
      </c>
      <c r="D28" s="40" t="s">
        <v>48</v>
      </c>
      <c r="E28" s="40" t="s">
        <v>50</v>
      </c>
      <c r="F28" s="40">
        <v>200</v>
      </c>
      <c r="G28" s="40">
        <v>251</v>
      </c>
      <c r="H28" s="40">
        <v>20663</v>
      </c>
      <c r="I28" s="40" t="s">
        <v>49</v>
      </c>
      <c r="J28" s="40">
        <v>10800</v>
      </c>
      <c r="K28" s="39" t="s">
        <v>40</v>
      </c>
      <c r="L28" s="38" t="s">
        <v>39</v>
      </c>
      <c r="M28" s="39" t="s">
        <v>391</v>
      </c>
    </row>
    <row r="29" spans="1:13" s="37" customFormat="1" x14ac:dyDescent="0.25">
      <c r="A29" s="41">
        <v>42484.584224537037</v>
      </c>
      <c r="B29" s="40" t="s">
        <v>381</v>
      </c>
      <c r="C29" s="40" t="s">
        <v>269</v>
      </c>
      <c r="D29" s="40" t="s">
        <v>43</v>
      </c>
      <c r="E29" s="40" t="s">
        <v>50</v>
      </c>
      <c r="F29" s="40">
        <v>0</v>
      </c>
      <c r="G29" s="40">
        <v>111</v>
      </c>
      <c r="H29" s="40">
        <v>1317</v>
      </c>
      <c r="I29" s="40" t="s">
        <v>49</v>
      </c>
      <c r="J29" s="40">
        <v>1692</v>
      </c>
      <c r="K29" s="39" t="s">
        <v>40</v>
      </c>
      <c r="L29" s="38" t="s">
        <v>47</v>
      </c>
      <c r="M29" s="39" t="s">
        <v>396</v>
      </c>
    </row>
    <row r="30" spans="1:13" s="37" customFormat="1" x14ac:dyDescent="0.25">
      <c r="A30" s="41">
        <v>42484.683946759258</v>
      </c>
      <c r="B30" s="40" t="s">
        <v>380</v>
      </c>
      <c r="C30" s="40" t="s">
        <v>287</v>
      </c>
      <c r="D30" s="40" t="s">
        <v>43</v>
      </c>
      <c r="E30" s="40" t="s">
        <v>50</v>
      </c>
      <c r="F30" s="40">
        <v>0</v>
      </c>
      <c r="G30" s="40">
        <v>473</v>
      </c>
      <c r="H30" s="40">
        <v>129881</v>
      </c>
      <c r="I30" s="40" t="s">
        <v>49</v>
      </c>
      <c r="J30" s="40">
        <v>127587</v>
      </c>
      <c r="K30" s="39" t="s">
        <v>44</v>
      </c>
      <c r="L30" s="38" t="s">
        <v>39</v>
      </c>
      <c r="M30" s="39" t="s">
        <v>390</v>
      </c>
    </row>
    <row r="31" spans="1:13" s="37" customFormat="1" x14ac:dyDescent="0.25">
      <c r="A31" s="41">
        <v>42484.251145833332</v>
      </c>
      <c r="B31" s="40" t="s">
        <v>382</v>
      </c>
      <c r="C31" s="40" t="s">
        <v>112</v>
      </c>
      <c r="D31" s="40" t="s">
        <v>48</v>
      </c>
      <c r="E31" s="40" t="s">
        <v>397</v>
      </c>
      <c r="F31" s="40">
        <v>0</v>
      </c>
      <c r="G31" s="40">
        <v>138</v>
      </c>
      <c r="H31" s="40">
        <v>3895</v>
      </c>
      <c r="I31" s="40" t="s">
        <v>398</v>
      </c>
      <c r="J31" s="40">
        <v>3902</v>
      </c>
      <c r="K31" s="39" t="s">
        <v>44</v>
      </c>
      <c r="L31" s="38" t="s">
        <v>47</v>
      </c>
      <c r="M31" s="39" t="s">
        <v>399</v>
      </c>
    </row>
    <row r="32" spans="1:13" s="37" customFormat="1" x14ac:dyDescent="0.25">
      <c r="A32" s="41">
        <v>42484.204305555555</v>
      </c>
      <c r="B32" s="40" t="s">
        <v>99</v>
      </c>
      <c r="C32" s="40" t="s">
        <v>105</v>
      </c>
      <c r="D32" s="40" t="s">
        <v>43</v>
      </c>
      <c r="E32" s="40" t="s">
        <v>42</v>
      </c>
      <c r="F32" s="40">
        <v>0</v>
      </c>
      <c r="G32" s="40">
        <v>36</v>
      </c>
      <c r="H32" s="40">
        <v>118</v>
      </c>
      <c r="I32" s="40" t="s">
        <v>41</v>
      </c>
      <c r="J32" s="40">
        <v>1</v>
      </c>
      <c r="K32" s="39" t="s">
        <v>44</v>
      </c>
      <c r="L32" s="38" t="s">
        <v>39</v>
      </c>
      <c r="M32" s="39" t="s">
        <v>392</v>
      </c>
    </row>
    <row r="33" spans="1:13" s="37" customFormat="1" x14ac:dyDescent="0.25">
      <c r="A33" s="41">
        <v>42484.233981481484</v>
      </c>
      <c r="B33" s="40" t="s">
        <v>46</v>
      </c>
      <c r="C33" s="40" t="s">
        <v>116</v>
      </c>
      <c r="D33" s="40" t="s">
        <v>43</v>
      </c>
      <c r="E33" s="40" t="s">
        <v>42</v>
      </c>
      <c r="F33" s="40">
        <v>0</v>
      </c>
      <c r="G33" s="40">
        <v>9</v>
      </c>
      <c r="H33" s="40">
        <v>233321</v>
      </c>
      <c r="I33" s="40" t="s">
        <v>41</v>
      </c>
      <c r="J33" s="40">
        <v>233491</v>
      </c>
      <c r="K33" s="39" t="s">
        <v>40</v>
      </c>
      <c r="L33" s="38" t="s">
        <v>39</v>
      </c>
      <c r="M33" s="39" t="s">
        <v>392</v>
      </c>
    </row>
    <row r="34" spans="1:13" s="37" customFormat="1" x14ac:dyDescent="0.25">
      <c r="A34" s="41">
        <v>42484.247083333335</v>
      </c>
      <c r="B34" s="40" t="s">
        <v>381</v>
      </c>
      <c r="C34" s="40" t="s">
        <v>127</v>
      </c>
      <c r="D34" s="40" t="s">
        <v>43</v>
      </c>
      <c r="E34" s="40" t="s">
        <v>42</v>
      </c>
      <c r="F34" s="40">
        <v>0</v>
      </c>
      <c r="G34" s="40">
        <v>42</v>
      </c>
      <c r="H34" s="40">
        <v>233359</v>
      </c>
      <c r="I34" s="40" t="s">
        <v>41</v>
      </c>
      <c r="J34" s="40">
        <v>233491</v>
      </c>
      <c r="K34" s="39" t="s">
        <v>40</v>
      </c>
      <c r="L34" s="38" t="s">
        <v>39</v>
      </c>
      <c r="M34" s="39" t="s">
        <v>392</v>
      </c>
    </row>
    <row r="35" spans="1:13" s="37" customFormat="1" x14ac:dyDescent="0.25">
      <c r="A35" s="41">
        <v>42484.253171296295</v>
      </c>
      <c r="B35" s="40" t="s">
        <v>382</v>
      </c>
      <c r="C35" s="40" t="s">
        <v>112</v>
      </c>
      <c r="D35" s="40" t="s">
        <v>43</v>
      </c>
      <c r="E35" s="40" t="s">
        <v>42</v>
      </c>
      <c r="F35" s="40">
        <v>0</v>
      </c>
      <c r="G35" s="40">
        <v>29</v>
      </c>
      <c r="H35" s="40">
        <v>920</v>
      </c>
      <c r="I35" s="40" t="s">
        <v>41</v>
      </c>
      <c r="J35" s="40">
        <v>839</v>
      </c>
      <c r="K35" s="39" t="s">
        <v>44</v>
      </c>
      <c r="L35" s="38" t="s">
        <v>39</v>
      </c>
      <c r="M35" s="39" t="s">
        <v>392</v>
      </c>
    </row>
    <row r="36" spans="1:13" s="37" customFormat="1" x14ac:dyDescent="0.25">
      <c r="A36" s="41">
        <v>42484.265717592592</v>
      </c>
      <c r="B36" s="40" t="s">
        <v>380</v>
      </c>
      <c r="C36" s="40" t="s">
        <v>118</v>
      </c>
      <c r="D36" s="40" t="s">
        <v>43</v>
      </c>
      <c r="E36" s="40" t="s">
        <v>42</v>
      </c>
      <c r="F36" s="40">
        <v>0</v>
      </c>
      <c r="G36" s="40">
        <v>6</v>
      </c>
      <c r="H36" s="40">
        <v>130</v>
      </c>
      <c r="I36" s="40" t="s">
        <v>41</v>
      </c>
      <c r="J36" s="40">
        <v>1</v>
      </c>
      <c r="K36" s="39" t="s">
        <v>44</v>
      </c>
      <c r="L36" s="38" t="s">
        <v>39</v>
      </c>
      <c r="M36" s="39" t="s">
        <v>392</v>
      </c>
    </row>
    <row r="37" spans="1:13" s="37" customFormat="1" x14ac:dyDescent="0.25">
      <c r="A37" s="41">
        <v>42484.316886574074</v>
      </c>
      <c r="B37" s="40" t="s">
        <v>381</v>
      </c>
      <c r="C37" s="40" t="s">
        <v>155</v>
      </c>
      <c r="D37" s="40" t="s">
        <v>43</v>
      </c>
      <c r="E37" s="40" t="s">
        <v>42</v>
      </c>
      <c r="F37" s="40">
        <v>0</v>
      </c>
      <c r="G37" s="40">
        <v>37</v>
      </c>
      <c r="H37" s="40">
        <v>233324</v>
      </c>
      <c r="I37" s="40" t="s">
        <v>41</v>
      </c>
      <c r="J37" s="40">
        <v>233491</v>
      </c>
      <c r="K37" s="39" t="s">
        <v>40</v>
      </c>
      <c r="L37" s="38" t="s">
        <v>39</v>
      </c>
      <c r="M37" s="39" t="s">
        <v>392</v>
      </c>
    </row>
    <row r="38" spans="1:13" s="37" customFormat="1" x14ac:dyDescent="0.25">
      <c r="A38" s="41">
        <v>42484.319745370369</v>
      </c>
      <c r="B38" s="40" t="s">
        <v>387</v>
      </c>
      <c r="C38" s="40" t="s">
        <v>139</v>
      </c>
      <c r="D38" s="40" t="s">
        <v>43</v>
      </c>
      <c r="E38" s="40" t="s">
        <v>42</v>
      </c>
      <c r="F38" s="40">
        <v>0</v>
      </c>
      <c r="G38" s="40">
        <v>6</v>
      </c>
      <c r="H38" s="40">
        <v>928</v>
      </c>
      <c r="I38" s="40" t="s">
        <v>41</v>
      </c>
      <c r="J38" s="40">
        <v>839</v>
      </c>
      <c r="K38" s="39" t="s">
        <v>44</v>
      </c>
      <c r="L38" s="38" t="s">
        <v>39</v>
      </c>
      <c r="M38" s="39" t="s">
        <v>392</v>
      </c>
    </row>
    <row r="39" spans="1:13" s="37" customFormat="1" x14ac:dyDescent="0.25">
      <c r="A39" s="41">
        <v>42484.327627314815</v>
      </c>
      <c r="B39" s="40" t="s">
        <v>76</v>
      </c>
      <c r="C39" s="40" t="s">
        <v>159</v>
      </c>
      <c r="D39" s="40" t="s">
        <v>43</v>
      </c>
      <c r="E39" s="40" t="s">
        <v>42</v>
      </c>
      <c r="F39" s="40">
        <v>0</v>
      </c>
      <c r="G39" s="40">
        <v>4</v>
      </c>
      <c r="H39" s="40">
        <v>233351</v>
      </c>
      <c r="I39" s="40" t="s">
        <v>41</v>
      </c>
      <c r="J39" s="40">
        <v>233491</v>
      </c>
      <c r="K39" s="39" t="s">
        <v>40</v>
      </c>
      <c r="L39" s="38" t="s">
        <v>39</v>
      </c>
      <c r="M39" s="39" t="s">
        <v>392</v>
      </c>
    </row>
    <row r="40" spans="1:13" s="37" customFormat="1" x14ac:dyDescent="0.25">
      <c r="A40" s="41">
        <v>42484.337442129632</v>
      </c>
      <c r="B40" s="40" t="s">
        <v>380</v>
      </c>
      <c r="C40" s="40" t="s">
        <v>150</v>
      </c>
      <c r="D40" s="40" t="s">
        <v>43</v>
      </c>
      <c r="E40" s="40" t="s">
        <v>42</v>
      </c>
      <c r="F40" s="40">
        <v>0</v>
      </c>
      <c r="G40" s="40">
        <v>5</v>
      </c>
      <c r="H40" s="40">
        <v>125</v>
      </c>
      <c r="I40" s="40" t="s">
        <v>41</v>
      </c>
      <c r="J40" s="40">
        <v>1</v>
      </c>
      <c r="K40" s="39" t="s">
        <v>44</v>
      </c>
      <c r="L40" s="38" t="s">
        <v>39</v>
      </c>
      <c r="M40" s="39" t="s">
        <v>392</v>
      </c>
    </row>
    <row r="41" spans="1:13" s="37" customFormat="1" x14ac:dyDescent="0.25">
      <c r="A41" s="41">
        <v>42484.366041666668</v>
      </c>
      <c r="B41" s="40" t="s">
        <v>382</v>
      </c>
      <c r="C41" s="40" t="s">
        <v>162</v>
      </c>
      <c r="D41" s="40" t="s">
        <v>43</v>
      </c>
      <c r="E41" s="40" t="s">
        <v>42</v>
      </c>
      <c r="F41" s="40">
        <v>0</v>
      </c>
      <c r="G41" s="40">
        <v>47</v>
      </c>
      <c r="H41" s="40">
        <v>988</v>
      </c>
      <c r="I41" s="40" t="s">
        <v>41</v>
      </c>
      <c r="J41" s="40">
        <v>839</v>
      </c>
      <c r="K41" s="39" t="s">
        <v>44</v>
      </c>
      <c r="L41" s="38" t="s">
        <v>39</v>
      </c>
      <c r="M41" s="39" t="s">
        <v>392</v>
      </c>
    </row>
    <row r="42" spans="1:13" s="37" customFormat="1" x14ac:dyDescent="0.25">
      <c r="A42" s="41">
        <v>42484.368993055556</v>
      </c>
      <c r="B42" s="40" t="s">
        <v>46</v>
      </c>
      <c r="C42" s="40" t="s">
        <v>179</v>
      </c>
      <c r="D42" s="40" t="s">
        <v>43</v>
      </c>
      <c r="E42" s="40" t="s">
        <v>42</v>
      </c>
      <c r="F42" s="40">
        <v>0</v>
      </c>
      <c r="G42" s="40">
        <v>9</v>
      </c>
      <c r="H42" s="40">
        <v>233323</v>
      </c>
      <c r="I42" s="40" t="s">
        <v>41</v>
      </c>
      <c r="J42" s="40">
        <v>233491</v>
      </c>
      <c r="K42" s="39" t="s">
        <v>40</v>
      </c>
      <c r="L42" s="38" t="s">
        <v>39</v>
      </c>
      <c r="M42" s="39" t="s">
        <v>392</v>
      </c>
    </row>
    <row r="43" spans="1:13" s="37" customFormat="1" x14ac:dyDescent="0.25">
      <c r="A43" s="41">
        <v>42484.379016203704</v>
      </c>
      <c r="B43" s="40" t="s">
        <v>383</v>
      </c>
      <c r="C43" s="40" t="s">
        <v>120</v>
      </c>
      <c r="D43" s="40" t="s">
        <v>43</v>
      </c>
      <c r="E43" s="40" t="s">
        <v>42</v>
      </c>
      <c r="F43" s="40">
        <v>0</v>
      </c>
      <c r="G43" s="40">
        <v>5</v>
      </c>
      <c r="H43" s="40">
        <v>233324</v>
      </c>
      <c r="I43" s="40" t="s">
        <v>41</v>
      </c>
      <c r="J43" s="40">
        <v>233491</v>
      </c>
      <c r="K43" s="39" t="s">
        <v>40</v>
      </c>
      <c r="L43" s="38" t="s">
        <v>39</v>
      </c>
      <c r="M43" s="39" t="s">
        <v>392</v>
      </c>
    </row>
    <row r="44" spans="1:13" s="37" customFormat="1" x14ac:dyDescent="0.25">
      <c r="A44" s="41">
        <v>42484.391504629632</v>
      </c>
      <c r="B44" s="40" t="s">
        <v>381</v>
      </c>
      <c r="C44" s="40" t="s">
        <v>187</v>
      </c>
      <c r="D44" s="40" t="s">
        <v>43</v>
      </c>
      <c r="E44" s="40" t="s">
        <v>42</v>
      </c>
      <c r="F44" s="40">
        <v>0</v>
      </c>
      <c r="G44" s="40">
        <v>30</v>
      </c>
      <c r="H44" s="40">
        <v>233419</v>
      </c>
      <c r="I44" s="40" t="s">
        <v>41</v>
      </c>
      <c r="J44" s="40">
        <v>233491</v>
      </c>
      <c r="K44" s="39" t="s">
        <v>40</v>
      </c>
      <c r="L44" s="38" t="s">
        <v>39</v>
      </c>
      <c r="M44" s="39" t="s">
        <v>392</v>
      </c>
    </row>
    <row r="45" spans="1:13" s="37" customFormat="1" x14ac:dyDescent="0.25">
      <c r="A45" s="41">
        <v>42484.40121527778</v>
      </c>
      <c r="B45" s="40" t="s">
        <v>53</v>
      </c>
      <c r="C45" s="40" t="s">
        <v>177</v>
      </c>
      <c r="D45" s="40" t="s">
        <v>43</v>
      </c>
      <c r="E45" s="40" t="s">
        <v>42</v>
      </c>
      <c r="F45" s="40">
        <v>0</v>
      </c>
      <c r="G45" s="40">
        <v>51</v>
      </c>
      <c r="H45" s="40">
        <v>165</v>
      </c>
      <c r="I45" s="40" t="s">
        <v>41</v>
      </c>
      <c r="J45" s="40">
        <v>1</v>
      </c>
      <c r="K45" s="39" t="s">
        <v>44</v>
      </c>
      <c r="L45" s="38" t="s">
        <v>39</v>
      </c>
      <c r="M45" s="39" t="s">
        <v>392</v>
      </c>
    </row>
    <row r="46" spans="1:13" s="37" customFormat="1" x14ac:dyDescent="0.25">
      <c r="A46" s="41">
        <v>42484.410925925928</v>
      </c>
      <c r="B46" s="40" t="s">
        <v>380</v>
      </c>
      <c r="C46" s="40" t="s">
        <v>182</v>
      </c>
      <c r="D46" s="40" t="s">
        <v>43</v>
      </c>
      <c r="E46" s="40" t="s">
        <v>42</v>
      </c>
      <c r="F46" s="40">
        <v>0</v>
      </c>
      <c r="G46" s="40">
        <v>7</v>
      </c>
      <c r="H46" s="40">
        <v>121</v>
      </c>
      <c r="I46" s="40" t="s">
        <v>41</v>
      </c>
      <c r="J46" s="40">
        <v>1</v>
      </c>
      <c r="K46" s="39" t="s">
        <v>44</v>
      </c>
      <c r="L46" s="38" t="s">
        <v>39</v>
      </c>
      <c r="M46" s="39" t="s">
        <v>392</v>
      </c>
    </row>
    <row r="47" spans="1:13" s="37" customFormat="1" x14ac:dyDescent="0.25">
      <c r="A47" s="41">
        <v>42484.444814814815</v>
      </c>
      <c r="B47" s="40" t="s">
        <v>384</v>
      </c>
      <c r="C47" s="40" t="s">
        <v>194</v>
      </c>
      <c r="D47" s="40" t="s">
        <v>43</v>
      </c>
      <c r="E47" s="40" t="s">
        <v>42</v>
      </c>
      <c r="F47" s="40">
        <v>0</v>
      </c>
      <c r="G47" s="40">
        <v>21</v>
      </c>
      <c r="H47" s="40">
        <v>901</v>
      </c>
      <c r="I47" s="40" t="s">
        <v>41</v>
      </c>
      <c r="J47" s="40">
        <v>839</v>
      </c>
      <c r="K47" s="39" t="s">
        <v>44</v>
      </c>
      <c r="L47" s="38" t="s">
        <v>39</v>
      </c>
      <c r="M47" s="39" t="s">
        <v>392</v>
      </c>
    </row>
    <row r="48" spans="1:13" s="37" customFormat="1" x14ac:dyDescent="0.25">
      <c r="A48" s="41">
        <v>42484.463472222225</v>
      </c>
      <c r="B48" s="40" t="s">
        <v>381</v>
      </c>
      <c r="C48" s="40" t="s">
        <v>215</v>
      </c>
      <c r="D48" s="40" t="s">
        <v>43</v>
      </c>
      <c r="E48" s="40" t="s">
        <v>42</v>
      </c>
      <c r="F48" s="40">
        <v>0</v>
      </c>
      <c r="G48" s="40">
        <v>38</v>
      </c>
      <c r="H48" s="40">
        <v>233339</v>
      </c>
      <c r="I48" s="40" t="s">
        <v>41</v>
      </c>
      <c r="J48" s="40">
        <v>233491</v>
      </c>
      <c r="K48" s="39" t="s">
        <v>40</v>
      </c>
      <c r="L48" s="38" t="s">
        <v>39</v>
      </c>
      <c r="M48" s="39" t="s">
        <v>392</v>
      </c>
    </row>
    <row r="49" spans="1:13" s="37" customFormat="1" x14ac:dyDescent="0.25">
      <c r="A49" s="41">
        <v>42484.473437499997</v>
      </c>
      <c r="B49" s="40" t="s">
        <v>53</v>
      </c>
      <c r="C49" s="40" t="s">
        <v>208</v>
      </c>
      <c r="D49" s="40" t="s">
        <v>43</v>
      </c>
      <c r="E49" s="40" t="s">
        <v>42</v>
      </c>
      <c r="F49" s="40">
        <v>0</v>
      </c>
      <c r="G49" s="40">
        <v>6</v>
      </c>
      <c r="H49" s="40">
        <v>136</v>
      </c>
      <c r="I49" s="40" t="s">
        <v>41</v>
      </c>
      <c r="J49" s="40">
        <v>1</v>
      </c>
      <c r="K49" s="39" t="s">
        <v>44</v>
      </c>
      <c r="L49" s="38" t="s">
        <v>39</v>
      </c>
      <c r="M49" s="39" t="s">
        <v>392</v>
      </c>
    </row>
    <row r="50" spans="1:13" s="37" customFormat="1" x14ac:dyDescent="0.25">
      <c r="A50" s="41">
        <v>42484.484895833331</v>
      </c>
      <c r="B50" s="40" t="s">
        <v>380</v>
      </c>
      <c r="C50" s="40" t="s">
        <v>210</v>
      </c>
      <c r="D50" s="40" t="s">
        <v>43</v>
      </c>
      <c r="E50" s="40" t="s">
        <v>42</v>
      </c>
      <c r="F50" s="40">
        <v>0</v>
      </c>
      <c r="G50" s="40">
        <v>6</v>
      </c>
      <c r="H50" s="40">
        <v>119</v>
      </c>
      <c r="I50" s="40" t="s">
        <v>41</v>
      </c>
      <c r="J50" s="40">
        <v>1</v>
      </c>
      <c r="K50" s="39" t="s">
        <v>44</v>
      </c>
      <c r="L50" s="38" t="s">
        <v>39</v>
      </c>
      <c r="M50" s="39" t="s">
        <v>392</v>
      </c>
    </row>
    <row r="51" spans="1:13" s="37" customFormat="1" x14ac:dyDescent="0.25">
      <c r="A51" s="41">
        <v>42484.492835648147</v>
      </c>
      <c r="B51" s="40" t="s">
        <v>45</v>
      </c>
      <c r="C51" s="40" t="s">
        <v>213</v>
      </c>
      <c r="D51" s="40" t="s">
        <v>43</v>
      </c>
      <c r="E51" s="40" t="s">
        <v>42</v>
      </c>
      <c r="F51" s="40">
        <v>0</v>
      </c>
      <c r="G51" s="40">
        <v>58</v>
      </c>
      <c r="H51" s="40">
        <v>200</v>
      </c>
      <c r="I51" s="40" t="s">
        <v>41</v>
      </c>
      <c r="J51" s="40">
        <v>1</v>
      </c>
      <c r="K51" s="39" t="s">
        <v>44</v>
      </c>
      <c r="L51" s="38" t="s">
        <v>39</v>
      </c>
      <c r="M51" s="39" t="s">
        <v>392</v>
      </c>
    </row>
    <row r="52" spans="1:13" s="37" customFormat="1" x14ac:dyDescent="0.25">
      <c r="A52" s="41">
        <v>42484.503472222219</v>
      </c>
      <c r="B52" s="40" t="s">
        <v>385</v>
      </c>
      <c r="C52" s="40" t="s">
        <v>228</v>
      </c>
      <c r="D52" s="40" t="s">
        <v>43</v>
      </c>
      <c r="E52" s="40" t="s">
        <v>42</v>
      </c>
      <c r="F52" s="40">
        <v>0</v>
      </c>
      <c r="G52" s="40">
        <v>45</v>
      </c>
      <c r="H52" s="40">
        <v>233304</v>
      </c>
      <c r="I52" s="40" t="s">
        <v>41</v>
      </c>
      <c r="J52" s="40">
        <v>233491</v>
      </c>
      <c r="K52" s="39" t="s">
        <v>40</v>
      </c>
      <c r="L52" s="38" t="s">
        <v>39</v>
      </c>
      <c r="M52" s="39" t="s">
        <v>392</v>
      </c>
    </row>
    <row r="53" spans="1:13" s="37" customFormat="1" x14ac:dyDescent="0.25">
      <c r="A53" s="41">
        <v>42484.525636574072</v>
      </c>
      <c r="B53" s="40" t="s">
        <v>383</v>
      </c>
      <c r="C53" s="40" t="s">
        <v>239</v>
      </c>
      <c r="D53" s="40" t="s">
        <v>43</v>
      </c>
      <c r="E53" s="40" t="s">
        <v>42</v>
      </c>
      <c r="F53" s="40">
        <v>0</v>
      </c>
      <c r="G53" s="40">
        <v>69</v>
      </c>
      <c r="H53" s="40">
        <v>233305</v>
      </c>
      <c r="I53" s="40" t="s">
        <v>41</v>
      </c>
      <c r="J53" s="40">
        <v>233491</v>
      </c>
      <c r="K53" s="39" t="s">
        <v>40</v>
      </c>
      <c r="L53" s="38" t="s">
        <v>39</v>
      </c>
      <c r="M53" s="39" t="s">
        <v>392</v>
      </c>
    </row>
    <row r="54" spans="1:13" s="37" customFormat="1" x14ac:dyDescent="0.25">
      <c r="A54" s="41">
        <v>42484.537280092591</v>
      </c>
      <c r="B54" s="40" t="s">
        <v>386</v>
      </c>
      <c r="C54" s="40" t="s">
        <v>229</v>
      </c>
      <c r="D54" s="40" t="s">
        <v>43</v>
      </c>
      <c r="E54" s="40" t="s">
        <v>42</v>
      </c>
      <c r="F54" s="40">
        <v>0</v>
      </c>
      <c r="G54" s="40">
        <v>40</v>
      </c>
      <c r="H54" s="40">
        <v>109</v>
      </c>
      <c r="I54" s="40" t="s">
        <v>41</v>
      </c>
      <c r="J54" s="40">
        <v>1</v>
      </c>
      <c r="K54" s="39" t="s">
        <v>44</v>
      </c>
      <c r="L54" s="38" t="s">
        <v>39</v>
      </c>
      <c r="M54" s="39" t="s">
        <v>392</v>
      </c>
    </row>
    <row r="55" spans="1:13" s="37" customFormat="1" x14ac:dyDescent="0.25">
      <c r="A55" s="41">
        <v>42484.537905092591</v>
      </c>
      <c r="B55" s="40" t="s">
        <v>381</v>
      </c>
      <c r="C55" s="40" t="s">
        <v>245</v>
      </c>
      <c r="D55" s="40" t="s">
        <v>43</v>
      </c>
      <c r="E55" s="40" t="s">
        <v>42</v>
      </c>
      <c r="F55" s="40">
        <v>0</v>
      </c>
      <c r="G55" s="40">
        <v>39</v>
      </c>
      <c r="H55" s="40">
        <v>233346</v>
      </c>
      <c r="I55" s="40" t="s">
        <v>41</v>
      </c>
      <c r="J55" s="40">
        <v>233491</v>
      </c>
      <c r="K55" s="39" t="s">
        <v>40</v>
      </c>
      <c r="L55" s="38" t="s">
        <v>39</v>
      </c>
      <c r="M55" s="39" t="s">
        <v>392</v>
      </c>
    </row>
    <row r="56" spans="1:13" s="37" customFormat="1" x14ac:dyDescent="0.25">
      <c r="A56" s="41">
        <v>42484.54550925926</v>
      </c>
      <c r="B56" s="40" t="s">
        <v>76</v>
      </c>
      <c r="C56" s="40" t="s">
        <v>249</v>
      </c>
      <c r="D56" s="40" t="s">
        <v>43</v>
      </c>
      <c r="E56" s="40" t="s">
        <v>42</v>
      </c>
      <c r="F56" s="40">
        <v>0</v>
      </c>
      <c r="G56" s="40">
        <v>5</v>
      </c>
      <c r="H56" s="40">
        <v>233322</v>
      </c>
      <c r="I56" s="40" t="s">
        <v>41</v>
      </c>
      <c r="J56" s="40">
        <v>233491</v>
      </c>
      <c r="K56" s="39" t="s">
        <v>40</v>
      </c>
      <c r="L56" s="38" t="s">
        <v>39</v>
      </c>
      <c r="M56" s="39" t="s">
        <v>392</v>
      </c>
    </row>
    <row r="57" spans="1:13" s="37" customFormat="1" x14ac:dyDescent="0.25">
      <c r="A57" s="41">
        <v>42484.547754629632</v>
      </c>
      <c r="B57" s="40" t="s">
        <v>53</v>
      </c>
      <c r="C57" s="40" t="s">
        <v>233</v>
      </c>
      <c r="D57" s="40" t="s">
        <v>43</v>
      </c>
      <c r="E57" s="40" t="s">
        <v>42</v>
      </c>
      <c r="F57" s="40">
        <v>0</v>
      </c>
      <c r="G57" s="40">
        <v>42</v>
      </c>
      <c r="H57" s="40">
        <v>129</v>
      </c>
      <c r="I57" s="40" t="s">
        <v>41</v>
      </c>
      <c r="J57" s="40">
        <v>1</v>
      </c>
      <c r="K57" s="39" t="s">
        <v>44</v>
      </c>
      <c r="L57" s="38" t="s">
        <v>39</v>
      </c>
      <c r="M57" s="39" t="s">
        <v>392</v>
      </c>
    </row>
    <row r="58" spans="1:13" s="37" customFormat="1" x14ac:dyDescent="0.25">
      <c r="A58" s="41">
        <v>42484.556921296295</v>
      </c>
      <c r="B58" s="40" t="s">
        <v>380</v>
      </c>
      <c r="C58" s="40" t="s">
        <v>238</v>
      </c>
      <c r="D58" s="40" t="s">
        <v>43</v>
      </c>
      <c r="E58" s="40" t="s">
        <v>42</v>
      </c>
      <c r="F58" s="40">
        <v>0</v>
      </c>
      <c r="G58" s="40">
        <v>54</v>
      </c>
      <c r="H58" s="40">
        <v>178</v>
      </c>
      <c r="I58" s="40" t="s">
        <v>41</v>
      </c>
      <c r="J58" s="40">
        <v>1</v>
      </c>
      <c r="K58" s="39" t="s">
        <v>44</v>
      </c>
      <c r="L58" s="38" t="s">
        <v>39</v>
      </c>
      <c r="M58" s="39" t="s">
        <v>392</v>
      </c>
    </row>
    <row r="59" spans="1:13" s="37" customFormat="1" x14ac:dyDescent="0.25">
      <c r="A59" s="41">
        <v>42484.56659722222</v>
      </c>
      <c r="B59" s="40" t="s">
        <v>45</v>
      </c>
      <c r="C59" s="40" t="s">
        <v>242</v>
      </c>
      <c r="D59" s="40" t="s">
        <v>43</v>
      </c>
      <c r="E59" s="40" t="s">
        <v>42</v>
      </c>
      <c r="F59" s="40">
        <v>0</v>
      </c>
      <c r="G59" s="40">
        <v>55</v>
      </c>
      <c r="H59" s="40">
        <v>205</v>
      </c>
      <c r="I59" s="40" t="s">
        <v>41</v>
      </c>
      <c r="J59" s="40">
        <v>1</v>
      </c>
      <c r="K59" s="39" t="s">
        <v>44</v>
      </c>
      <c r="L59" s="38" t="s">
        <v>39</v>
      </c>
      <c r="M59" s="39" t="s">
        <v>392</v>
      </c>
    </row>
    <row r="60" spans="1:13" s="37" customFormat="1" x14ac:dyDescent="0.25">
      <c r="A60" s="41">
        <v>42484.587476851855</v>
      </c>
      <c r="B60" s="40" t="s">
        <v>382</v>
      </c>
      <c r="C60" s="40" t="s">
        <v>250</v>
      </c>
      <c r="D60" s="40" t="s">
        <v>43</v>
      </c>
      <c r="E60" s="40" t="s">
        <v>42</v>
      </c>
      <c r="F60" s="40">
        <v>0</v>
      </c>
      <c r="G60" s="40">
        <v>39</v>
      </c>
      <c r="H60" s="40">
        <v>152</v>
      </c>
      <c r="I60" s="40" t="s">
        <v>41</v>
      </c>
      <c r="J60" s="40">
        <v>1</v>
      </c>
      <c r="K60" s="39" t="s">
        <v>44</v>
      </c>
      <c r="L60" s="38" t="s">
        <v>39</v>
      </c>
      <c r="M60" s="39" t="s">
        <v>392</v>
      </c>
    </row>
    <row r="61" spans="1:13" s="37" customFormat="1" x14ac:dyDescent="0.25">
      <c r="A61" s="41">
        <v>42484.597650462965</v>
      </c>
      <c r="B61" s="40" t="s">
        <v>387</v>
      </c>
      <c r="C61" s="40" t="s">
        <v>252</v>
      </c>
      <c r="D61" s="40" t="s">
        <v>43</v>
      </c>
      <c r="E61" s="40" t="s">
        <v>42</v>
      </c>
      <c r="F61" s="40">
        <v>0</v>
      </c>
      <c r="G61" s="40">
        <v>5</v>
      </c>
      <c r="H61" s="40">
        <v>121</v>
      </c>
      <c r="I61" s="40" t="s">
        <v>41</v>
      </c>
      <c r="J61" s="40">
        <v>1</v>
      </c>
      <c r="K61" s="39" t="s">
        <v>44</v>
      </c>
      <c r="L61" s="38" t="s">
        <v>39</v>
      </c>
      <c r="M61" s="39" t="s">
        <v>392</v>
      </c>
    </row>
    <row r="62" spans="1:13" s="37" customFormat="1" x14ac:dyDescent="0.25">
      <c r="A62" s="41">
        <v>42484.601203703707</v>
      </c>
      <c r="B62" s="40" t="s">
        <v>383</v>
      </c>
      <c r="C62" s="40" t="s">
        <v>266</v>
      </c>
      <c r="D62" s="40" t="s">
        <v>43</v>
      </c>
      <c r="E62" s="40" t="s">
        <v>42</v>
      </c>
      <c r="F62" s="40">
        <v>0</v>
      </c>
      <c r="G62" s="40">
        <v>8</v>
      </c>
      <c r="H62" s="40">
        <v>233359</v>
      </c>
      <c r="I62" s="40" t="s">
        <v>41</v>
      </c>
      <c r="J62" s="40">
        <v>233491</v>
      </c>
      <c r="K62" s="39" t="s">
        <v>40</v>
      </c>
      <c r="L62" s="38" t="s">
        <v>39</v>
      </c>
      <c r="M62" s="39" t="s">
        <v>392</v>
      </c>
    </row>
    <row r="63" spans="1:13" s="37" customFormat="1" x14ac:dyDescent="0.25">
      <c r="A63" s="41">
        <v>42484.610312500001</v>
      </c>
      <c r="B63" s="40" t="s">
        <v>381</v>
      </c>
      <c r="C63" s="40" t="s">
        <v>269</v>
      </c>
      <c r="D63" s="40" t="s">
        <v>43</v>
      </c>
      <c r="E63" s="40" t="s">
        <v>42</v>
      </c>
      <c r="F63" s="40">
        <v>0</v>
      </c>
      <c r="G63" s="40">
        <v>25</v>
      </c>
      <c r="H63" s="40">
        <v>233437</v>
      </c>
      <c r="I63" s="40" t="s">
        <v>41</v>
      </c>
      <c r="J63" s="40">
        <v>233491</v>
      </c>
      <c r="K63" s="39" t="s">
        <v>40</v>
      </c>
      <c r="L63" s="38" t="s">
        <v>39</v>
      </c>
      <c r="M63" s="39" t="s">
        <v>392</v>
      </c>
    </row>
    <row r="64" spans="1:13" s="37" customFormat="1" x14ac:dyDescent="0.25">
      <c r="A64" s="41">
        <v>42484.629027777781</v>
      </c>
      <c r="B64" s="40" t="s">
        <v>100</v>
      </c>
      <c r="C64" s="40" t="s">
        <v>276</v>
      </c>
      <c r="D64" s="40" t="s">
        <v>43</v>
      </c>
      <c r="E64" s="40" t="s">
        <v>42</v>
      </c>
      <c r="F64" s="40">
        <v>0</v>
      </c>
      <c r="G64" s="40">
        <v>7</v>
      </c>
      <c r="H64" s="40">
        <v>233326</v>
      </c>
      <c r="I64" s="40" t="s">
        <v>41</v>
      </c>
      <c r="J64" s="40">
        <v>233491</v>
      </c>
      <c r="K64" s="39" t="s">
        <v>40</v>
      </c>
      <c r="L64" s="38" t="s">
        <v>39</v>
      </c>
      <c r="M64" s="39" t="s">
        <v>392</v>
      </c>
    </row>
    <row r="65" spans="1:13" s="37" customFormat="1" x14ac:dyDescent="0.25">
      <c r="A65" s="41">
        <v>42484.660381944443</v>
      </c>
      <c r="B65" s="40" t="s">
        <v>46</v>
      </c>
      <c r="C65" s="40" t="s">
        <v>285</v>
      </c>
      <c r="D65" s="40" t="s">
        <v>43</v>
      </c>
      <c r="E65" s="40" t="s">
        <v>42</v>
      </c>
      <c r="F65" s="40">
        <v>0</v>
      </c>
      <c r="G65" s="40">
        <v>41</v>
      </c>
      <c r="H65" s="40">
        <v>233374</v>
      </c>
      <c r="I65" s="40" t="s">
        <v>41</v>
      </c>
      <c r="J65" s="40">
        <v>233491</v>
      </c>
      <c r="K65" s="39" t="s">
        <v>40</v>
      </c>
      <c r="L65" s="38" t="s">
        <v>39</v>
      </c>
      <c r="M65" s="39" t="s">
        <v>392</v>
      </c>
    </row>
    <row r="66" spans="1:13" s="37" customFormat="1" x14ac:dyDescent="0.25">
      <c r="A66" s="41">
        <v>42484.689409722225</v>
      </c>
      <c r="B66" s="40" t="s">
        <v>381</v>
      </c>
      <c r="C66" s="40" t="s">
        <v>294</v>
      </c>
      <c r="D66" s="40" t="s">
        <v>43</v>
      </c>
      <c r="E66" s="40" t="s">
        <v>42</v>
      </c>
      <c r="F66" s="40">
        <v>0</v>
      </c>
      <c r="G66" s="40">
        <v>51</v>
      </c>
      <c r="H66" s="40">
        <v>233314</v>
      </c>
      <c r="I66" s="40" t="s">
        <v>41</v>
      </c>
      <c r="J66" s="40">
        <v>233491</v>
      </c>
      <c r="K66" s="39" t="s">
        <v>40</v>
      </c>
      <c r="L66" s="38" t="s">
        <v>39</v>
      </c>
      <c r="M66" s="39" t="s">
        <v>392</v>
      </c>
    </row>
    <row r="67" spans="1:13" s="37" customFormat="1" x14ac:dyDescent="0.25">
      <c r="A67" s="41">
        <v>42484.691828703704</v>
      </c>
      <c r="B67" s="40" t="s">
        <v>76</v>
      </c>
      <c r="C67" s="40" t="s">
        <v>298</v>
      </c>
      <c r="D67" s="40" t="s">
        <v>43</v>
      </c>
      <c r="E67" s="40" t="s">
        <v>42</v>
      </c>
      <c r="F67" s="40">
        <v>0</v>
      </c>
      <c r="G67" s="40">
        <v>9</v>
      </c>
      <c r="H67" s="40">
        <v>233339</v>
      </c>
      <c r="I67" s="40" t="s">
        <v>41</v>
      </c>
      <c r="J67" s="40">
        <v>233491</v>
      </c>
      <c r="K67" s="39" t="s">
        <v>40</v>
      </c>
      <c r="L67" s="38" t="s">
        <v>39</v>
      </c>
      <c r="M67" s="39" t="s">
        <v>392</v>
      </c>
    </row>
    <row r="68" spans="1:13" s="37" customFormat="1" x14ac:dyDescent="0.25">
      <c r="A68" s="41">
        <v>42484.699687499997</v>
      </c>
      <c r="B68" s="40" t="s">
        <v>380</v>
      </c>
      <c r="C68" s="40" t="s">
        <v>287</v>
      </c>
      <c r="D68" s="40" t="s">
        <v>43</v>
      </c>
      <c r="E68" s="40" t="s">
        <v>42</v>
      </c>
      <c r="F68" s="40">
        <v>0</v>
      </c>
      <c r="G68" s="40">
        <v>4</v>
      </c>
      <c r="H68" s="40">
        <v>127</v>
      </c>
      <c r="I68" s="40" t="s">
        <v>41</v>
      </c>
      <c r="J68" s="40">
        <v>1</v>
      </c>
      <c r="K68" s="39" t="s">
        <v>44</v>
      </c>
      <c r="L68" s="38" t="s">
        <v>39</v>
      </c>
      <c r="M68" s="39" t="s">
        <v>392</v>
      </c>
    </row>
    <row r="69" spans="1:13" s="37" customFormat="1" x14ac:dyDescent="0.25">
      <c r="A69" s="41">
        <v>42484.7033912037</v>
      </c>
      <c r="B69" s="40" t="s">
        <v>100</v>
      </c>
      <c r="C69" s="40" t="s">
        <v>300</v>
      </c>
      <c r="D69" s="40" t="s">
        <v>43</v>
      </c>
      <c r="E69" s="40" t="s">
        <v>42</v>
      </c>
      <c r="F69" s="40">
        <v>0</v>
      </c>
      <c r="G69" s="40">
        <v>8</v>
      </c>
      <c r="H69" s="40">
        <v>233327</v>
      </c>
      <c r="I69" s="40" t="s">
        <v>41</v>
      </c>
      <c r="J69" s="40">
        <v>233491</v>
      </c>
      <c r="K69" s="39" t="s">
        <v>40</v>
      </c>
      <c r="L69" s="38" t="s">
        <v>39</v>
      </c>
      <c r="M69" s="39" t="s">
        <v>392</v>
      </c>
    </row>
    <row r="70" spans="1:13" s="37" customFormat="1" x14ac:dyDescent="0.25">
      <c r="A70" s="41">
        <v>42484.711747685185</v>
      </c>
      <c r="B70" s="40" t="s">
        <v>45</v>
      </c>
      <c r="C70" s="40" t="s">
        <v>292</v>
      </c>
      <c r="D70" s="40" t="s">
        <v>43</v>
      </c>
      <c r="E70" s="40" t="s">
        <v>42</v>
      </c>
      <c r="F70" s="40">
        <v>0</v>
      </c>
      <c r="G70" s="40">
        <v>50</v>
      </c>
      <c r="H70" s="40">
        <v>149</v>
      </c>
      <c r="I70" s="40" t="s">
        <v>41</v>
      </c>
      <c r="J70" s="40">
        <v>1</v>
      </c>
      <c r="K70" s="39" t="s">
        <v>44</v>
      </c>
      <c r="L70" s="38" t="s">
        <v>39</v>
      </c>
      <c r="M70" s="39" t="s">
        <v>392</v>
      </c>
    </row>
    <row r="71" spans="1:13" s="37" customFormat="1" x14ac:dyDescent="0.25">
      <c r="A71" s="41">
        <v>42484.732499999998</v>
      </c>
      <c r="B71" s="40" t="s">
        <v>46</v>
      </c>
      <c r="C71" s="40" t="s">
        <v>310</v>
      </c>
      <c r="D71" s="40" t="s">
        <v>43</v>
      </c>
      <c r="E71" s="40" t="s">
        <v>42</v>
      </c>
      <c r="F71" s="40">
        <v>0</v>
      </c>
      <c r="G71" s="40">
        <v>45</v>
      </c>
      <c r="H71" s="40">
        <v>233351</v>
      </c>
      <c r="I71" s="40" t="s">
        <v>41</v>
      </c>
      <c r="J71" s="40">
        <v>233491</v>
      </c>
      <c r="K71" s="39" t="s">
        <v>40</v>
      </c>
      <c r="L71" s="38" t="s">
        <v>39</v>
      </c>
      <c r="M71" s="39" t="s">
        <v>392</v>
      </c>
    </row>
    <row r="72" spans="1:13" s="37" customFormat="1" x14ac:dyDescent="0.25">
      <c r="A72" s="41">
        <v>42484.745972222219</v>
      </c>
      <c r="B72" s="40" t="s">
        <v>387</v>
      </c>
      <c r="C72" s="40" t="s">
        <v>301</v>
      </c>
      <c r="D72" s="40" t="s">
        <v>43</v>
      </c>
      <c r="E72" s="40" t="s">
        <v>42</v>
      </c>
      <c r="F72" s="40">
        <v>0</v>
      </c>
      <c r="G72" s="40">
        <v>9</v>
      </c>
      <c r="H72" s="40">
        <v>114</v>
      </c>
      <c r="I72" s="40" t="s">
        <v>41</v>
      </c>
      <c r="J72" s="40">
        <v>1</v>
      </c>
      <c r="K72" s="39" t="s">
        <v>44</v>
      </c>
      <c r="L72" s="38" t="s">
        <v>39</v>
      </c>
      <c r="M72" s="39" t="s">
        <v>392</v>
      </c>
    </row>
    <row r="73" spans="1:13" s="37" customFormat="1" x14ac:dyDescent="0.25">
      <c r="A73" s="41">
        <v>42484.775046296294</v>
      </c>
      <c r="B73" s="40" t="s">
        <v>100</v>
      </c>
      <c r="C73" s="40" t="s">
        <v>325</v>
      </c>
      <c r="D73" s="40" t="s">
        <v>43</v>
      </c>
      <c r="E73" s="40" t="s">
        <v>42</v>
      </c>
      <c r="F73" s="40">
        <v>0</v>
      </c>
      <c r="G73" s="40">
        <v>3</v>
      </c>
      <c r="H73" s="40">
        <v>233320</v>
      </c>
      <c r="I73" s="40" t="s">
        <v>41</v>
      </c>
      <c r="J73" s="40">
        <v>233491</v>
      </c>
      <c r="K73" s="39" t="s">
        <v>40</v>
      </c>
      <c r="L73" s="38" t="s">
        <v>39</v>
      </c>
      <c r="M73" s="39" t="s">
        <v>392</v>
      </c>
    </row>
    <row r="74" spans="1:13" s="37" customFormat="1" x14ac:dyDescent="0.25">
      <c r="A74" s="41">
        <v>42484.834108796298</v>
      </c>
      <c r="B74" s="40" t="s">
        <v>386</v>
      </c>
      <c r="C74" s="40" t="s">
        <v>333</v>
      </c>
      <c r="D74" s="40" t="s">
        <v>43</v>
      </c>
      <c r="E74" s="40" t="s">
        <v>42</v>
      </c>
      <c r="F74" s="40">
        <v>0</v>
      </c>
      <c r="G74" s="40">
        <v>6</v>
      </c>
      <c r="H74" s="40">
        <v>123</v>
      </c>
      <c r="I74" s="40" t="s">
        <v>41</v>
      </c>
      <c r="J74" s="40">
        <v>1</v>
      </c>
      <c r="K74" s="39" t="s">
        <v>44</v>
      </c>
      <c r="L74" s="38" t="s">
        <v>39</v>
      </c>
      <c r="M74" s="39" t="s">
        <v>392</v>
      </c>
    </row>
    <row r="75" spans="1:13" s="37" customFormat="1" x14ac:dyDescent="0.25">
      <c r="A75" s="41">
        <v>42484.941331018519</v>
      </c>
      <c r="B75" s="40" t="s">
        <v>385</v>
      </c>
      <c r="C75" s="40" t="s">
        <v>357</v>
      </c>
      <c r="D75" s="40" t="s">
        <v>43</v>
      </c>
      <c r="E75" s="40" t="s">
        <v>42</v>
      </c>
      <c r="F75" s="40">
        <v>0</v>
      </c>
      <c r="G75" s="40">
        <v>7</v>
      </c>
      <c r="H75" s="40">
        <v>233447</v>
      </c>
      <c r="I75" s="40" t="s">
        <v>41</v>
      </c>
      <c r="J75" s="40">
        <v>233491</v>
      </c>
      <c r="K75" s="39" t="s">
        <v>40</v>
      </c>
      <c r="L75" s="38" t="s">
        <v>39</v>
      </c>
      <c r="M75" s="39" t="s">
        <v>392</v>
      </c>
    </row>
    <row r="76" spans="1:13" s="37" customFormat="1" x14ac:dyDescent="0.25">
      <c r="A76" s="41">
        <v>42484.945972222224</v>
      </c>
      <c r="B76" s="40" t="s">
        <v>45</v>
      </c>
      <c r="C76" s="40" t="s">
        <v>352</v>
      </c>
      <c r="D76" s="40" t="s">
        <v>43</v>
      </c>
      <c r="E76" s="40" t="s">
        <v>42</v>
      </c>
      <c r="F76" s="40">
        <v>0</v>
      </c>
      <c r="G76" s="40">
        <v>56</v>
      </c>
      <c r="H76" s="40">
        <v>198</v>
      </c>
      <c r="I76" s="40" t="s">
        <v>41</v>
      </c>
      <c r="J76" s="40">
        <v>1</v>
      </c>
      <c r="K76" s="39" t="s">
        <v>44</v>
      </c>
      <c r="L76" s="38" t="s">
        <v>39</v>
      </c>
      <c r="M76" s="39" t="s">
        <v>392</v>
      </c>
    </row>
    <row r="77" spans="1:13" ht="15.75" thickBot="1" x14ac:dyDescent="0.3"/>
    <row r="78" spans="1:13" x14ac:dyDescent="0.25">
      <c r="K78" s="36" t="s">
        <v>38</v>
      </c>
      <c r="L78" s="35">
        <f>COUNTIF(L3:L76,"=Y")</f>
        <v>7</v>
      </c>
    </row>
    <row r="79" spans="1:13" ht="15.75" thickBot="1" x14ac:dyDescent="0.3">
      <c r="K79" s="34" t="s">
        <v>37</v>
      </c>
      <c r="L79" s="33">
        <f>COUNTA(L3:L76)-L78</f>
        <v>67</v>
      </c>
    </row>
  </sheetData>
  <autoFilter ref="A2:M2">
    <sortState ref="A3:M76">
      <sortCondition ref="E2"/>
    </sortState>
  </autoFilter>
  <mergeCells count="1">
    <mergeCell ref="A1:L1"/>
  </mergeCells>
  <conditionalFormatting sqref="M2 L2:L1048576">
    <cfRule type="cellIs" dxfId="2" priority="3" operator="equal">
      <formula>"Y"</formula>
    </cfRule>
  </conditionalFormatting>
  <conditionalFormatting sqref="B3:L76 M3:M59">
    <cfRule type="expression" dxfId="1" priority="2">
      <formula>$L3="Y"</formula>
    </cfRule>
  </conditionalFormatting>
  <conditionalFormatting sqref="M75">
    <cfRule type="expression" dxfId="0" priority="1">
      <formula>$L75="Y"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Train Runs</vt:lpstr>
      <vt:lpstr>Enforcements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2016-04-25T23:13:25Z</dcterms:modified>
</cp:coreProperties>
</file>