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Analysis\2016-04-12 RTDC Report since 03-01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</sheets>
  <definedNames>
    <definedName name="_xlnm._FilterDatabase" localSheetId="1" hidden="1">Enforcements!$A$2:$M$2</definedName>
    <definedName name="_xlnm._FilterDatabase" localSheetId="0" hidden="1">'Train Runs'!$A$2:$X$2</definedName>
    <definedName name="Denver_Train_Runs_04122016" localSheetId="0">'Train Runs'!$A$2:$J$46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  <c r="O7" i="1"/>
  <c r="M4" i="1"/>
  <c r="M5" i="1"/>
  <c r="M6" i="1"/>
  <c r="M8" i="1"/>
  <c r="M9" i="1"/>
  <c r="M10" i="1"/>
  <c r="M12" i="1"/>
  <c r="M13" i="1"/>
  <c r="M14" i="1"/>
  <c r="M15" i="1"/>
  <c r="M17" i="1"/>
  <c r="M19" i="1"/>
  <c r="M21" i="1"/>
  <c r="M22" i="1"/>
  <c r="M23" i="1"/>
  <c r="M24" i="1"/>
  <c r="M26" i="1"/>
  <c r="M28" i="1"/>
  <c r="M30" i="1"/>
  <c r="M32" i="1"/>
  <c r="M33" i="1"/>
  <c r="M34" i="1"/>
  <c r="M35" i="1"/>
  <c r="M36" i="1"/>
  <c r="M37" i="1"/>
  <c r="M39" i="1"/>
  <c r="M40" i="1"/>
  <c r="M3" i="1"/>
  <c r="W38" i="1"/>
  <c r="X38" i="1"/>
  <c r="W36" i="1"/>
  <c r="X36" i="1"/>
  <c r="W41" i="1"/>
  <c r="X41" i="1"/>
  <c r="W40" i="1"/>
  <c r="X40" i="1"/>
  <c r="W39" i="1"/>
  <c r="X39" i="1"/>
  <c r="W37" i="1"/>
  <c r="X37" i="1"/>
  <c r="W33" i="1"/>
  <c r="X33" i="1"/>
  <c r="W35" i="1"/>
  <c r="X35" i="1"/>
  <c r="W31" i="1"/>
  <c r="X31" i="1"/>
  <c r="W34" i="1"/>
  <c r="X34" i="1"/>
  <c r="W29" i="1"/>
  <c r="X29" i="1"/>
  <c r="W32" i="1"/>
  <c r="X32" i="1"/>
  <c r="W27" i="1"/>
  <c r="X27" i="1"/>
  <c r="W25" i="1"/>
  <c r="X25" i="1"/>
  <c r="W30" i="1"/>
  <c r="X30" i="1"/>
  <c r="W28" i="1"/>
  <c r="X28" i="1"/>
  <c r="W22" i="1"/>
  <c r="X22" i="1"/>
  <c r="W26" i="1"/>
  <c r="X26" i="1"/>
  <c r="W20" i="1"/>
  <c r="X20" i="1"/>
  <c r="W24" i="1"/>
  <c r="X24" i="1"/>
  <c r="W23" i="1"/>
  <c r="X23" i="1"/>
  <c r="W21" i="1"/>
  <c r="X21" i="1"/>
  <c r="W18" i="1"/>
  <c r="X18" i="1"/>
  <c r="W19" i="1"/>
  <c r="X19" i="1"/>
  <c r="W16" i="1"/>
  <c r="X16" i="1"/>
  <c r="W15" i="1"/>
  <c r="X15" i="1"/>
  <c r="W17" i="1"/>
  <c r="X17" i="1"/>
  <c r="W12" i="1"/>
  <c r="X12" i="1"/>
  <c r="W10" i="1"/>
  <c r="X10" i="1"/>
  <c r="W14" i="1"/>
  <c r="X14" i="1"/>
  <c r="W8" i="1"/>
  <c r="X8" i="1"/>
  <c r="W13" i="1"/>
  <c r="X13" i="1"/>
  <c r="W6" i="1"/>
  <c r="X6" i="1"/>
  <c r="W11" i="1"/>
  <c r="X11" i="1"/>
  <c r="W9" i="1"/>
  <c r="X9" i="1"/>
  <c r="W7" i="1"/>
  <c r="X7" i="1"/>
  <c r="W4" i="1"/>
  <c r="X4" i="1"/>
  <c r="W5" i="1"/>
  <c r="X5" i="1"/>
  <c r="W3" i="1"/>
  <c r="X3" i="1"/>
  <c r="X42" i="1"/>
  <c r="W42" i="1"/>
  <c r="R25" i="1" l="1"/>
  <c r="T25" i="1"/>
  <c r="U25" i="1"/>
  <c r="R30" i="1"/>
  <c r="T30" i="1"/>
  <c r="U30" i="1"/>
  <c r="R28" i="1"/>
  <c r="T28" i="1"/>
  <c r="V28" i="1" s="1"/>
  <c r="S28" i="1" s="1"/>
  <c r="U28" i="1"/>
  <c r="R22" i="1"/>
  <c r="T22" i="1"/>
  <c r="U22" i="1"/>
  <c r="R26" i="1"/>
  <c r="T26" i="1"/>
  <c r="U26" i="1"/>
  <c r="V26" i="1" s="1"/>
  <c r="S26" i="1" s="1"/>
  <c r="R20" i="1"/>
  <c r="T20" i="1"/>
  <c r="U20" i="1"/>
  <c r="V20" i="1"/>
  <c r="S20" i="1" s="1"/>
  <c r="R24" i="1"/>
  <c r="T24" i="1"/>
  <c r="U24" i="1"/>
  <c r="R23" i="1"/>
  <c r="T23" i="1"/>
  <c r="U23" i="1"/>
  <c r="R21" i="1"/>
  <c r="T21" i="1"/>
  <c r="U21" i="1"/>
  <c r="V21" i="1" s="1"/>
  <c r="S21" i="1" s="1"/>
  <c r="R18" i="1"/>
  <c r="T18" i="1"/>
  <c r="U18" i="1"/>
  <c r="V18" i="1"/>
  <c r="S18" i="1" s="1"/>
  <c r="R19" i="1"/>
  <c r="T19" i="1"/>
  <c r="U19" i="1"/>
  <c r="V19" i="1"/>
  <c r="S19" i="1" s="1"/>
  <c r="R16" i="1"/>
  <c r="T16" i="1"/>
  <c r="U16" i="1"/>
  <c r="V16" i="1" s="1"/>
  <c r="S16" i="1" s="1"/>
  <c r="R15" i="1"/>
  <c r="T15" i="1"/>
  <c r="U15" i="1"/>
  <c r="R17" i="1"/>
  <c r="T17" i="1"/>
  <c r="V17" i="1" s="1"/>
  <c r="S17" i="1" s="1"/>
  <c r="U17" i="1"/>
  <c r="R12" i="1"/>
  <c r="T12" i="1"/>
  <c r="U12" i="1"/>
  <c r="V12" i="1" s="1"/>
  <c r="S12" i="1" s="1"/>
  <c r="R10" i="1"/>
  <c r="T10" i="1"/>
  <c r="U10" i="1"/>
  <c r="R14" i="1"/>
  <c r="T14" i="1"/>
  <c r="U14" i="1"/>
  <c r="R8" i="1"/>
  <c r="T8" i="1"/>
  <c r="U8" i="1"/>
  <c r="R13" i="1"/>
  <c r="T13" i="1"/>
  <c r="U13" i="1"/>
  <c r="R6" i="1"/>
  <c r="T6" i="1"/>
  <c r="U6" i="1"/>
  <c r="R11" i="1"/>
  <c r="T11" i="1"/>
  <c r="U11" i="1"/>
  <c r="R9" i="1"/>
  <c r="T9" i="1"/>
  <c r="U9" i="1"/>
  <c r="V9" i="1" s="1"/>
  <c r="S9" i="1" s="1"/>
  <c r="R7" i="1"/>
  <c r="T7" i="1"/>
  <c r="U7" i="1"/>
  <c r="R4" i="1"/>
  <c r="T4" i="1"/>
  <c r="U4" i="1"/>
  <c r="R5" i="1"/>
  <c r="T5" i="1"/>
  <c r="U5" i="1"/>
  <c r="R3" i="1"/>
  <c r="T3" i="1"/>
  <c r="U3" i="1"/>
  <c r="A1" i="3"/>
  <c r="K25" i="1"/>
  <c r="L25" i="1"/>
  <c r="M25" i="1" s="1"/>
  <c r="K30" i="1"/>
  <c r="L30" i="1"/>
  <c r="K28" i="1"/>
  <c r="L28" i="1"/>
  <c r="K22" i="1"/>
  <c r="L22" i="1"/>
  <c r="K26" i="1"/>
  <c r="L26" i="1"/>
  <c r="K20" i="1"/>
  <c r="L20" i="1"/>
  <c r="M20" i="1" s="1"/>
  <c r="K24" i="1"/>
  <c r="L24" i="1"/>
  <c r="K23" i="1"/>
  <c r="L23" i="1"/>
  <c r="K21" i="1"/>
  <c r="L21" i="1"/>
  <c r="K18" i="1"/>
  <c r="L18" i="1"/>
  <c r="M18" i="1" s="1"/>
  <c r="K19" i="1"/>
  <c r="L19" i="1"/>
  <c r="K16" i="1"/>
  <c r="L16" i="1"/>
  <c r="M16" i="1" s="1"/>
  <c r="K15" i="1"/>
  <c r="L15" i="1"/>
  <c r="K17" i="1"/>
  <c r="L17" i="1"/>
  <c r="K12" i="1"/>
  <c r="L12" i="1"/>
  <c r="K10" i="1"/>
  <c r="L10" i="1"/>
  <c r="K14" i="1"/>
  <c r="L14" i="1"/>
  <c r="K8" i="1"/>
  <c r="L8" i="1"/>
  <c r="K13" i="1"/>
  <c r="L13" i="1"/>
  <c r="K6" i="1"/>
  <c r="L6" i="1"/>
  <c r="K11" i="1"/>
  <c r="L11" i="1"/>
  <c r="M11" i="1" s="1"/>
  <c r="K9" i="1"/>
  <c r="L9" i="1"/>
  <c r="K7" i="1"/>
  <c r="K4" i="1"/>
  <c r="L4" i="1"/>
  <c r="K5" i="1"/>
  <c r="L5" i="1"/>
  <c r="K3" i="1"/>
  <c r="L3" i="1"/>
  <c r="V13" i="1" l="1"/>
  <c r="S13" i="1" s="1"/>
  <c r="V3" i="1"/>
  <c r="S3" i="1" s="1"/>
  <c r="V11" i="1"/>
  <c r="S11" i="1" s="1"/>
  <c r="V7" i="1"/>
  <c r="S7" i="1" s="1"/>
  <c r="V8" i="1"/>
  <c r="S8" i="1" s="1"/>
  <c r="V4" i="1"/>
  <c r="S4" i="1" s="1"/>
  <c r="V15" i="1"/>
  <c r="S15" i="1" s="1"/>
  <c r="V24" i="1"/>
  <c r="S24" i="1" s="1"/>
  <c r="V30" i="1"/>
  <c r="S30" i="1" s="1"/>
  <c r="V5" i="1"/>
  <c r="S5" i="1" s="1"/>
  <c r="V10" i="1"/>
  <c r="S10" i="1" s="1"/>
  <c r="V23" i="1"/>
  <c r="S23" i="1" s="1"/>
  <c r="V6" i="1"/>
  <c r="S6" i="1" s="1"/>
  <c r="V14" i="1"/>
  <c r="S14" i="1" s="1"/>
  <c r="V22" i="1"/>
  <c r="S22" i="1" s="1"/>
  <c r="V25" i="1"/>
  <c r="S25" i="1" s="1"/>
  <c r="I43" i="1"/>
  <c r="K37" i="1" l="1"/>
  <c r="L37" i="1"/>
  <c r="K39" i="1"/>
  <c r="L39" i="1"/>
  <c r="K36" i="1"/>
  <c r="L36" i="1"/>
  <c r="K42" i="1"/>
  <c r="L42" i="1"/>
  <c r="K41" i="1"/>
  <c r="L41" i="1"/>
  <c r="M41" i="1" s="1"/>
  <c r="K40" i="1"/>
  <c r="L40" i="1"/>
  <c r="K38" i="1"/>
  <c r="L38" i="1"/>
  <c r="M38" i="1" s="1"/>
  <c r="K33" i="1"/>
  <c r="L33" i="1"/>
  <c r="K32" i="1"/>
  <c r="L32" i="1"/>
  <c r="K31" i="1"/>
  <c r="L31" i="1"/>
  <c r="M31" i="1" s="1"/>
  <c r="K27" i="1"/>
  <c r="L27" i="1"/>
  <c r="M27" i="1" s="1"/>
  <c r="K35" i="1"/>
  <c r="L35" i="1"/>
  <c r="K34" i="1"/>
  <c r="L34" i="1"/>
  <c r="K29" i="1"/>
  <c r="L29" i="1"/>
  <c r="M29" i="1" s="1"/>
  <c r="J47" i="1" l="1"/>
  <c r="J46" i="1"/>
  <c r="R39" i="1"/>
  <c r="T39" i="1"/>
  <c r="U39" i="1"/>
  <c r="J49" i="1" l="1"/>
  <c r="J48" i="1"/>
  <c r="J45" i="1"/>
  <c r="V39" i="1"/>
  <c r="S39" i="1" s="1"/>
  <c r="R37" i="1"/>
  <c r="R36" i="1"/>
  <c r="R42" i="1"/>
  <c r="R41" i="1"/>
  <c r="R40" i="1"/>
  <c r="R38" i="1"/>
  <c r="R33" i="1"/>
  <c r="R32" i="1"/>
  <c r="R31" i="1"/>
  <c r="R27" i="1"/>
  <c r="R35" i="1"/>
  <c r="R34" i="1"/>
  <c r="R29" i="1"/>
  <c r="L23" i="3"/>
  <c r="L24" i="3" s="1"/>
  <c r="J50" i="1" l="1"/>
  <c r="A1" i="1"/>
  <c r="T37" i="1" l="1"/>
  <c r="U37" i="1"/>
  <c r="T36" i="1"/>
  <c r="U36" i="1"/>
  <c r="T42" i="1"/>
  <c r="U42" i="1"/>
  <c r="T41" i="1"/>
  <c r="U41" i="1"/>
  <c r="T40" i="1"/>
  <c r="U40" i="1"/>
  <c r="T38" i="1"/>
  <c r="U38" i="1"/>
  <c r="T33" i="1"/>
  <c r="U33" i="1"/>
  <c r="T32" i="1"/>
  <c r="U32" i="1"/>
  <c r="T31" i="1"/>
  <c r="U31" i="1"/>
  <c r="T27" i="1"/>
  <c r="U27" i="1"/>
  <c r="T35" i="1"/>
  <c r="U35" i="1"/>
  <c r="T34" i="1"/>
  <c r="U34" i="1"/>
  <c r="T29" i="1"/>
  <c r="U29" i="1"/>
  <c r="V35" i="1" l="1"/>
  <c r="S35" i="1" s="1"/>
  <c r="V29" i="1"/>
  <c r="S29" i="1" s="1"/>
  <c r="V34" i="1"/>
  <c r="S34" i="1" s="1"/>
  <c r="V32" i="1"/>
  <c r="S32" i="1" s="1"/>
  <c r="V33" i="1"/>
  <c r="S33" i="1" s="1"/>
  <c r="V40" i="1"/>
  <c r="S40" i="1" s="1"/>
  <c r="V36" i="1"/>
  <c r="S36" i="1" s="1"/>
  <c r="V42" i="1"/>
  <c r="S42" i="1" s="1"/>
  <c r="V27" i="1"/>
  <c r="S27" i="1" s="1"/>
  <c r="V41" i="1"/>
  <c r="S41" i="1" s="1"/>
  <c r="V31" i="1"/>
  <c r="S31" i="1" s="1"/>
  <c r="V38" i="1"/>
  <c r="S38" i="1" s="1"/>
  <c r="V37" i="1"/>
  <c r="S37" i="1" s="1"/>
  <c r="N47" i="1"/>
  <c r="M47" i="1"/>
  <c r="L47" i="1"/>
  <c r="M49" i="1" l="1"/>
  <c r="M46" i="1"/>
  <c r="N49" i="1"/>
  <c r="L49" i="1"/>
  <c r="L46" i="1"/>
  <c r="N46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<sst xmlns="http://schemas.openxmlformats.org/spreadsheetml/2006/main" count="376" uniqueCount="194">
  <si>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</si>
  <si>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</si>
  <si>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</si>
  <si>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</si>
  <si>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</si>
  <si>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</si>
  <si>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</si>
  <si>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</si>
  <si>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204:143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</si>
  <si>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</si>
  <si>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</si>
  <si>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</si>
  <si>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</si>
  <si>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</si>
  <si>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</si>
  <si>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</si>
  <si>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</si>
  <si>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</si>
  <si>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</si>
  <si>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</si>
  <si>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204:158</t>
  </si>
  <si>
    <t>Total Completed PTC runs (%)</t>
  </si>
  <si>
    <t>204:150</t>
  </si>
  <si>
    <t>204:156</t>
  </si>
  <si>
    <t>Color Legend</t>
  </si>
  <si>
    <t>Trip Start MP</t>
  </si>
  <si>
    <t>Trip End MP</t>
  </si>
  <si>
    <t>Trip Distance</t>
  </si>
  <si>
    <t>Concerning?</t>
  </si>
  <si>
    <t>Comments</t>
  </si>
  <si>
    <t>Operating Date</t>
  </si>
  <si>
    <t>Train Run with multiple inits</t>
  </si>
  <si>
    <t>Train Run where PTC was Cut Out during some or all of the trip</t>
  </si>
  <si>
    <t>Train Run with other issues. See comments for more details</t>
  </si>
  <si>
    <t>Onboard Software Version</t>
  </si>
  <si>
    <t>Training enforcement</t>
  </si>
  <si>
    <t>Possible System Enforcement</t>
  </si>
  <si>
    <t>N</t>
  </si>
  <si>
    <t>Increasing Mileposts (1)</t>
  </si>
  <si>
    <t>Form based authority (4)</t>
  </si>
  <si>
    <t>TRACK WARRANT AUTHORITY</t>
  </si>
  <si>
    <t>Predictive Enforcement (2)</t>
  </si>
  <si>
    <t>Decreasing Mileposts (2)</t>
  </si>
  <si>
    <t>rtdc.l.rtdc.4026:itc</t>
  </si>
  <si>
    <t>Reactive Enforcement (3)</t>
  </si>
  <si>
    <t>Signal based authority (5)</t>
  </si>
  <si>
    <t>SIGNAL</t>
  </si>
  <si>
    <t>Speed (6)</t>
  </si>
  <si>
    <t>PERMANENT SPEED RESTRICTION</t>
  </si>
  <si>
    <t>Bulletin (2)</t>
  </si>
  <si>
    <t>GRADE CROSSING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</si>
  <si>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</si>
  <si>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</si>
  <si>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</si>
  <si>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</si>
  <si>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</si>
  <si>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</si>
  <si>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</si>
  <si>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</si>
  <si>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</si>
  <si>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</si>
  <si>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</si>
  <si>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</si>
  <si>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DE.1.0.6.0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</si>
  <si>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</si>
  <si>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</si>
  <si>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</si>
  <si>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</si>
  <si>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</si>
  <si>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</si>
  <si>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</si>
  <si>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</si>
  <si>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Married Pair</t>
  </si>
  <si>
    <t>204:233312</t>
  </si>
  <si>
    <t>204:233298</t>
  </si>
  <si>
    <t>204:145</t>
  </si>
  <si>
    <t>204:138</t>
  </si>
  <si>
    <t>204:233297</t>
  </si>
  <si>
    <t>204:233326</t>
  </si>
  <si>
    <t>204:152</t>
  </si>
  <si>
    <t>204:233288</t>
  </si>
  <si>
    <t>204:233301</t>
  </si>
  <si>
    <t>rtdc.l.rtdc.4030:itc</t>
  </si>
  <si>
    <t>rtdc.l.rtdc.4027:itc</t>
  </si>
  <si>
    <t>204:232993</t>
  </si>
  <si>
    <t>204:462</t>
  </si>
  <si>
    <t>204:447</t>
  </si>
  <si>
    <t>204:232984</t>
  </si>
  <si>
    <t>204:455</t>
  </si>
  <si>
    <t>204:453</t>
  </si>
  <si>
    <t>204:451</t>
  </si>
  <si>
    <t>204:460</t>
  </si>
  <si>
    <t>204:163</t>
  </si>
  <si>
    <t>204:473</t>
  </si>
  <si>
    <t>204:233314</t>
  </si>
  <si>
    <t>204:232998</t>
  </si>
  <si>
    <t>204:232994</t>
  </si>
  <si>
    <t>204:232982</t>
  </si>
  <si>
    <t>204:233305</t>
  </si>
  <si>
    <t>204:449</t>
  </si>
  <si>
    <t>204:471</t>
  </si>
  <si>
    <t>204:178</t>
  </si>
  <si>
    <t>204:232985</t>
  </si>
  <si>
    <t>204:467</t>
  </si>
  <si>
    <t>204:181</t>
  </si>
  <si>
    <t>204:233311</t>
  </si>
  <si>
    <t>204:480</t>
  </si>
  <si>
    <t>204:457</t>
  </si>
  <si>
    <t>204:232973</t>
  </si>
  <si>
    <t>rtdc.l.rtdc.4029:itc</t>
  </si>
  <si>
    <t>rtdc.l.rtdc.4025:itc</t>
  </si>
  <si>
    <t>Routing @ 40th</t>
  </si>
  <si>
    <t>Onboard - GPS issues</t>
  </si>
  <si>
    <t>rtdc.l.rtdc.4042:itc</t>
  </si>
  <si>
    <t>103-25</t>
  </si>
  <si>
    <t>110-25</t>
  </si>
  <si>
    <t>117-25</t>
  </si>
  <si>
    <t>123-25</t>
  </si>
  <si>
    <t>rtdc.l.rtdc.4019:itc</t>
  </si>
  <si>
    <t>114-25</t>
  </si>
  <si>
    <t>118-25</t>
  </si>
  <si>
    <t>rtdc.l.rtdc.4041:itc</t>
  </si>
  <si>
    <t>116-25</t>
  </si>
  <si>
    <t>rtdc.l.rtdc.4038:itc</t>
  </si>
  <si>
    <t>121-25</t>
  </si>
  <si>
    <t>129-25</t>
  </si>
  <si>
    <t>124-25</t>
  </si>
  <si>
    <t>131-25</t>
  </si>
  <si>
    <t>141-25</t>
  </si>
  <si>
    <t>132-25</t>
  </si>
  <si>
    <t>rtdc.l.rtdc.4018:itc</t>
  </si>
  <si>
    <t>139-25</t>
  </si>
  <si>
    <t>rtdc.l.rtdc.4007:itc</t>
  </si>
  <si>
    <t>147-25</t>
  </si>
  <si>
    <t>143-25</t>
  </si>
  <si>
    <t>145-25</t>
  </si>
  <si>
    <t>144-25</t>
  </si>
  <si>
    <t>Early Arrival</t>
  </si>
  <si>
    <t>Speed limits</t>
  </si>
  <si>
    <t>End of line</t>
  </si>
  <si>
    <t>151-25</t>
  </si>
  <si>
    <t>204:232989</t>
  </si>
  <si>
    <t>204:198</t>
  </si>
  <si>
    <t>142-25</t>
  </si>
  <si>
    <t>149-25</t>
  </si>
  <si>
    <t>204:1160</t>
  </si>
  <si>
    <t>204:233307</t>
  </si>
  <si>
    <t>204:444</t>
  </si>
  <si>
    <t>138-25</t>
  </si>
  <si>
    <t>204:232988</t>
  </si>
  <si>
    <t>134-25</t>
  </si>
  <si>
    <t>137-25</t>
  </si>
  <si>
    <t>204:584</t>
  </si>
  <si>
    <t>204:233309</t>
  </si>
  <si>
    <t>130-25</t>
  </si>
  <si>
    <t>128-25</t>
  </si>
  <si>
    <t>133-25</t>
  </si>
  <si>
    <t>204:466</t>
  </si>
  <si>
    <t>204:234</t>
  </si>
  <si>
    <t>204:233286</t>
  </si>
  <si>
    <t>122-25</t>
  </si>
  <si>
    <t>204:232953</t>
  </si>
  <si>
    <t>127-25</t>
  </si>
  <si>
    <t>204:1152</t>
  </si>
  <si>
    <t>125-25</t>
  </si>
  <si>
    <t>204:233342</t>
  </si>
  <si>
    <t>204:232919</t>
  </si>
  <si>
    <t>204:511</t>
  </si>
  <si>
    <t>204:233065</t>
  </si>
  <si>
    <t>204:232963</t>
  </si>
  <si>
    <t>108-25</t>
  </si>
  <si>
    <t>113-25</t>
  </si>
  <si>
    <t>106-25</t>
  </si>
  <si>
    <t>204:232635</t>
  </si>
  <si>
    <t>204:1122</t>
  </si>
  <si>
    <t>111-25</t>
  </si>
  <si>
    <t>204:779</t>
  </si>
  <si>
    <t>204:233300</t>
  </si>
  <si>
    <t>104-25</t>
  </si>
  <si>
    <t>204:232664</t>
  </si>
  <si>
    <t>109-25</t>
  </si>
  <si>
    <t>204:233282</t>
  </si>
  <si>
    <t>107-25</t>
  </si>
  <si>
    <t>204:233310</t>
  </si>
  <si>
    <t>105-25</t>
  </si>
  <si>
    <t>204:728</t>
  </si>
  <si>
    <t>102-25</t>
  </si>
  <si>
    <t>204:232650</t>
  </si>
  <si>
    <t>204:754</t>
  </si>
  <si>
    <t>204:233284</t>
  </si>
  <si>
    <t>101-25</t>
  </si>
  <si>
    <t>204:755</t>
  </si>
  <si>
    <t>Hard cut out by crew</t>
  </si>
  <si>
    <t>Routing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</si>
</sst>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4" borderId="5" xfId="0" applyFill="1" applyBorder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Fill="1" applyBorder="1"/>
    <xf numFmtId="1" fontId="0" fillId="0" borderId="10" xfId="0" applyNumberFormat="1" applyFill="1" applyBorder="1"/>
    <xf numFmtId="0" fontId="0" fillId="0" borderId="1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" fontId="0" fillId="0" borderId="15" xfId="0" applyNumberFormat="1" applyFill="1" applyBorder="1" applyAlignment="1">
      <alignment horizontal="left"/>
    </xf>
    <xf numFmtId="0" fontId="0" fillId="2" borderId="5" xfId="0" applyFill="1" applyBorder="1"/>
    <xf numFmtId="0" fontId="0" fillId="3" borderId="5" xfId="0" applyFill="1" applyBorder="1"/>
    <xf numFmtId="0" fontId="1" fillId="0" borderId="5" xfId="0" applyFont="1" applyBorder="1"/>
    <xf numFmtId="0" fontId="1" fillId="0" borderId="11" xfId="0" applyFont="1" applyFill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20" fontId="1" fillId="0" borderId="12" xfId="0" applyNumberFormat="1" applyFont="1" applyFill="1" applyBorder="1" applyAlignment="1">
      <alignment horizontal="left" vertical="center" wrapText="1"/>
    </xf>
    <xf numFmtId="1" fontId="1" fillId="0" borderId="12" xfId="0" applyNumberFormat="1" applyFont="1" applyBorder="1" applyAlignment="1">
      <alignment horizontal="left" vertical="center" wrapText="1"/>
    </xf>
    <xf numFmtId="1" fontId="1" fillId="0" borderId="13" xfId="0" applyNumberFormat="1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167" fontId="0" fillId="0" borderId="0" xfId="0" applyNumberFormat="1"/>
    <xf numFmtId="0" fontId="0" fillId="0" borderId="8" xfId="0" applyBorder="1"/>
    <xf numFmtId="0" fontId="0" fillId="0" borderId="7" xfId="0" applyBorder="1" applyAlignment="1">
      <alignment vertical="center" wrapText="1"/>
    </xf>
    <xf numFmtId="0" fontId="0" fillId="2" borderId="18" xfId="0" applyFill="1" applyBorder="1"/>
    <xf numFmtId="0" fontId="0" fillId="2" borderId="19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/>
    </xf>
    <xf numFmtId="0" fontId="4" fillId="0" borderId="16" xfId="0" applyFont="1" applyBorder="1" applyAlignment="1">
      <alignment horizontal="center" wrapText="1"/>
    </xf>
    <xf numFmtId="166" fontId="5" fillId="0" borderId="17" xfId="0" applyNumberFormat="1" applyFont="1" applyBorder="1" applyAlignment="1">
      <alignment horizontal="center" vertical="center" wrapText="1"/>
    </xf>
    <xf numFmtId="167" fontId="1" fillId="0" borderId="12" xfId="0" applyNumberFormat="1" applyFont="1" applyBorder="1" applyAlignment="1">
      <alignment horizontal="left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wrapText="1"/>
    </xf>
    <xf numFmtId="0" fontId="1" fillId="0" borderId="17" xfId="0" applyFont="1" applyFill="1" applyBorder="1" applyAlignment="1">
      <alignment horizontal="center" vertical="center"/>
    </xf>
    <xf numFmtId="2" fontId="1" fillId="0" borderId="12" xfId="0" applyNumberFormat="1" applyFont="1" applyBorder="1" applyAlignment="1">
      <alignment horizontal="left" vertical="center" wrapText="1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6" fontId="0" fillId="0" borderId="0" xfId="0" applyNumberFormat="1" applyBorder="1" applyAlignment="1">
      <alignment horizontal="center" wrapText="1"/>
    </xf>
    <xf numFmtId="166" fontId="0" fillId="0" borderId="7" xfId="0" applyNumberFormat="1" applyBorder="1" applyAlignment="1">
      <alignment horizontal="center" wrapText="1"/>
    </xf>
    <xf numFmtId="166" fontId="0" fillId="0" borderId="8" xfId="0" applyNumberForma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</cellXfs>
  <cellStyles count="1">
    <cellStyle name="Normal" xfId="0" builtinId="0"/>
  </cellStyles>
  <dxfs count="17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0"/>
  <sheetViews>
    <sheetView showGridLines="0" tabSelected="1" zoomScale="85" zoomScaleNormal="85" workbookViewId="0">
      <selection activeCell="M19" sqref="M19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32" customWidth="1"/>
    <col min="6" max="6" width="20.140625" style="32" customWidth="1"/>
    <col min="7" max="7" width="18.42578125" style="64" hidden="1" customWidth="1"/>
    <col min="8" max="8" width="3.140625" style="32" hidden="1" customWidth="1"/>
    <col min="9" max="9" width="19.7109375" style="32" customWidth="1"/>
    <col min="10" max="10" width="8.7109375" customWidth="1"/>
    <col min="11" max="11" width="10" bestFit="1" customWidth="1"/>
    <col min="12" max="12" width="9.5703125" style="1" customWidth="1"/>
    <col min="13" max="13" width="8.85546875" style="4" customWidth="1"/>
    <col min="14" max="14" width="9.140625" style="4"/>
    <col min="15" max="15" width="6" style="4" customWidth="1"/>
    <col min="16" max="16" width="29.28515625" customWidth="1"/>
    <col min="17" max="17" width="4.28515625" customWidth="1"/>
    <col min="18" max="18" width="6.7109375" customWidth="1"/>
    <col min="19" max="19" width="10.140625" customWidth="1"/>
    <col min="23" max="23" width="9.140625" style="46"/>
    <col min="24" max="24" width="17.85546875" style="46" customWidth="1"/>
    <col min="26" max="26" width="12.42578125" customWidth="1"/>
    <col min="27" max="27" width="58.85546875" customWidth="1"/>
    <col min="28" max="28" width="15.85546875" customWidth="1"/>
  </cols>
  <sheetData>
    <row r="1" spans="1:89" ht="57.75" customHeight="1" thickBot="1" x14ac:dyDescent="0.35">
      <c r="A1" s="73" t="str">
        <f>"Eagle P3 System Performance - "&amp;TEXT(Z2,"yyyy-mm-dd")</f>
        <v>Eagle P3 System Performance - 2016-04-25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Z1" s="50" t="s">
        <v>30</v>
      </c>
      <c r="AB1" s="59" t="s">
        <v>71</v>
      </c>
    </row>
    <row r="2" spans="1:89" s="12" customFormat="1" ht="69" customHeight="1" thickBot="1" x14ac:dyDescent="0.3">
      <c r="A2" s="26" t="s">
        <v>0</v>
      </c>
      <c r="B2" s="27" t="s">
        <v>69</v>
      </c>
      <c r="C2" s="27" t="s">
        <v>34</v>
      </c>
      <c r="D2" s="27" t="s">
        <v>1</v>
      </c>
      <c r="E2" s="52" t="s">
        <v>2</v>
      </c>
      <c r="F2" s="52" t="s">
        <v>3</v>
      </c>
      <c r="G2" s="61" t="s">
        <v>4</v>
      </c>
      <c r="H2" s="52" t="s">
        <v>5</v>
      </c>
      <c r="I2" s="52" t="s">
        <v>6</v>
      </c>
      <c r="J2" s="27" t="s">
        <v>7</v>
      </c>
      <c r="K2" s="27" t="s">
        <v>72</v>
      </c>
      <c r="L2" s="28" t="s">
        <v>9</v>
      </c>
      <c r="M2" s="27" t="s">
        <v>66</v>
      </c>
      <c r="N2" s="29" t="s">
        <v>67</v>
      </c>
      <c r="O2" s="30" t="s">
        <v>19</v>
      </c>
      <c r="P2" s="31" t="s">
        <v>29</v>
      </c>
      <c r="Q2" s="11"/>
      <c r="R2" s="15" t="s">
        <v>70</v>
      </c>
      <c r="S2" s="15" t="s">
        <v>28</v>
      </c>
      <c r="T2" s="15" t="s">
        <v>25</v>
      </c>
      <c r="U2" s="15" t="s">
        <v>26</v>
      </c>
      <c r="V2" s="15" t="s">
        <v>27</v>
      </c>
      <c r="W2" s="48" t="s">
        <v>64</v>
      </c>
      <c r="X2" s="48" t="s">
        <v>65</v>
      </c>
      <c r="Y2" s="11"/>
      <c r="Z2" s="51">
        <v>42485</v>
      </c>
      <c r="AA2" s="11"/>
      <c r="AB2" s="60">
        <v>50</v>
      </c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</row>
    <row r="3" spans="1:89" s="2" customFormat="1" x14ac:dyDescent="0.25">
      <c r="A3" s="18" t="s">
        <v>190</v>
      </c>
      <c r="B3" s="19">
        <v>4018</v>
      </c>
      <c r="C3" s="19" t="s">
        <v>63</v>
      </c>
      <c r="D3" s="19" t="s">
        <v>191</v>
      </c>
      <c r="E3" s="53">
        <v>42485.128587962965</v>
      </c>
      <c r="F3" s="53">
        <v>42485.130231481482</v>
      </c>
      <c r="G3" s="62">
        <v>2</v>
      </c>
      <c r="H3" s="53" t="s">
        <v>81</v>
      </c>
      <c r="I3" s="53">
        <v>42485.160949074074</v>
      </c>
      <c r="J3" s="19">
        <v>0</v>
      </c>
      <c r="K3" s="19" t="str">
        <f>IF(ISEVEN(B3),(B3-1)&amp;"/"&amp;B3,B3&amp;"/"&amp;(B3+1))</f>
        <v>4017/4018</v>
      </c>
      <c r="L3" s="20">
        <f>I3-F3</f>
        <v>3.071759259182727E-2</v>
      </c>
      <c r="M3" s="21">
        <f>$L3*24*60</f>
        <v>44.233333332231268</v>
      </c>
      <c r="N3" s="21"/>
      <c r="O3" s="22"/>
      <c r="P3" s="17"/>
      <c r="R3" s="16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https://search-rtdc-monitor-bjffxe2xuh6vdkpspy63sjmuny.us-east-1.es.amazonaws.com/_plugin/kibana/#/discover/Steve-Slow-Train-Analysis-(2080s-and-2083s)?_g=(refreshInterval:(display:Off,section:0,value:0),time:(from:'2016-04-25 03:04:10-0600',mode:absolute,to:'2016-04-25 03:52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S3" s="16" t="str">
        <f>IF(V3&lt;23,"Y","N")</f>
        <v>N</v>
      </c>
      <c r="T3" s="16">
        <f>RIGHT(D3,LEN(D3)-4)/10000</f>
        <v>7.5499999999999998E-2</v>
      </c>
      <c r="U3" s="16">
        <f>RIGHT(H3,LEN(H3)-4)/10000</f>
        <v>23.330100000000002</v>
      </c>
      <c r="V3" s="16">
        <f>ABS(U3-T3)</f>
        <v>23.2546</v>
      </c>
      <c r="W3" s="49" t="e">
        <f>VLOOKUP(A3,Enforcements!$C$3:$J$9,8,0)</f>
        <v>#N/A</v>
      </c>
      <c r="X3" s="49" t="e">
        <f>VLOOKUP(A3,Enforcements!$C$3:$J$9,3,0)</f>
        <v>#N/A</v>
      </c>
    </row>
    <row r="4" spans="1:89" s="2" customFormat="1" x14ac:dyDescent="0.25">
      <c r="A4" s="18" t="s">
        <v>186</v>
      </c>
      <c r="B4" s="19">
        <v>4019</v>
      </c>
      <c r="C4" s="19" t="s">
        <v>63</v>
      </c>
      <c r="D4" s="19" t="s">
        <v>187</v>
      </c>
      <c r="E4" s="53">
        <v>42485.168402777781</v>
      </c>
      <c r="F4" s="53">
        <v>42485.169791666667</v>
      </c>
      <c r="G4" s="62">
        <v>1</v>
      </c>
      <c r="H4" s="53" t="s">
        <v>8</v>
      </c>
      <c r="I4" s="53">
        <v>42485.203576388885</v>
      </c>
      <c r="J4" s="19">
        <v>0</v>
      </c>
      <c r="K4" s="19" t="str">
        <f>IF(ISEVEN(B4),(B4-1)&amp;"/"&amp;B4,B4&amp;"/"&amp;(B4+1))</f>
        <v>4019/4020</v>
      </c>
      <c r="L4" s="20">
        <f>I4-F4</f>
        <v>3.3784722218115348E-2</v>
      </c>
      <c r="M4" s="21">
        <f t="shared" ref="M4:O42" si="0">$L4*24*60</f>
        <v>48.649999994086102</v>
      </c>
      <c r="N4" s="21"/>
      <c r="O4" s="22"/>
      <c r="P4" s="17"/>
      <c r="R4" s="16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https://search-rtdc-monitor-bjffxe2xuh6vdkpspy63sjmuny.us-east-1.es.amazonaws.com/_plugin/kibana/#/discover/Steve-Slow-Train-Analysis-(2080s-and-2083s)?_g=(refreshInterval:(display:Off,section:0,value:0),time:(from:'2016-04-25 04:01:30-0600',mode:absolute,to:'2016-04-25 04:54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S4" s="16" t="str">
        <f>IF(V4&lt;23,"Y","N")</f>
        <v>N</v>
      </c>
      <c r="T4" s="16">
        <f>RIGHT(D4,LEN(D4)-4)/10000</f>
        <v>23.265000000000001</v>
      </c>
      <c r="U4" s="16">
        <f>RIGHT(H4,LEN(H4)-4)/10000</f>
        <v>1.43E-2</v>
      </c>
      <c r="V4" s="16">
        <f>ABS(U4-T4)</f>
        <v>23.250700000000002</v>
      </c>
      <c r="W4" s="49" t="e">
        <f>VLOOKUP(A4,Enforcements!$C$3:$J$9,8,0)</f>
        <v>#N/A</v>
      </c>
      <c r="X4" s="49" t="e">
        <f>VLOOKUP(A4,Enforcements!$C$3:$J$9,3,0)</f>
        <v>#N/A</v>
      </c>
    </row>
    <row r="5" spans="1:89" s="2" customFormat="1" x14ac:dyDescent="0.25">
      <c r="A5" s="18" t="s">
        <v>114</v>
      </c>
      <c r="B5" s="19">
        <v>4042</v>
      </c>
      <c r="C5" s="19" t="s">
        <v>63</v>
      </c>
      <c r="D5" s="19" t="s">
        <v>188</v>
      </c>
      <c r="E5" s="53">
        <v>42485.148877314816</v>
      </c>
      <c r="F5" s="53">
        <v>42485.150034722225</v>
      </c>
      <c r="G5" s="62">
        <v>1</v>
      </c>
      <c r="H5" s="53" t="s">
        <v>189</v>
      </c>
      <c r="I5" s="53">
        <v>42485.183854166666</v>
      </c>
      <c r="J5" s="19">
        <v>1</v>
      </c>
      <c r="K5" s="19" t="str">
        <f>IF(ISEVEN(B5),(B5-1)&amp;"/"&amp;B5,B5&amp;"/"&amp;(B5+1))</f>
        <v>4041/4042</v>
      </c>
      <c r="L5" s="20">
        <f>I5-F5</f>
        <v>3.3819444441178348E-2</v>
      </c>
      <c r="M5" s="21">
        <f t="shared" si="0"/>
        <v>48.699999995296821</v>
      </c>
      <c r="N5" s="21"/>
      <c r="O5" s="22"/>
      <c r="P5" s="17"/>
      <c r="R5" s="16" t="str">
        <f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https://search-rtdc-monitor-bjffxe2xuh6vdkpspy63sjmuny.us-east-1.es.amazonaws.com/_plugin/kibana/#/discover/Steve-Slow-Train-Analysis-(2080s-and-2083s)?_g=(refreshInterval:(display:Off,section:0,value:0),time:(from:'2016-04-25 03:33:23-0600',mode:absolute,to:'2016-04-25 04:25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S5" s="16" t="str">
        <f>IF(V5&lt;23,"Y","N")</f>
        <v>N</v>
      </c>
      <c r="T5" s="16">
        <f>RIGHT(D5,LEN(D5)-4)/10000</f>
        <v>7.5399999999999995E-2</v>
      </c>
      <c r="U5" s="16">
        <f>RIGHT(H5,LEN(H5)-4)/10000</f>
        <v>23.328399999999998</v>
      </c>
      <c r="V5" s="16">
        <f>ABS(U5-T5)</f>
        <v>23.253</v>
      </c>
      <c r="W5" s="49" t="e">
        <f>VLOOKUP(A5,Enforcements!$C$3:$J$9,8,0)</f>
        <v>#N/A</v>
      </c>
      <c r="X5" s="49" t="e">
        <f>VLOOKUP(A5,Enforcements!$C$3:$J$9,3,0)</f>
        <v>#N/A</v>
      </c>
      <c r="Z5" s="25" t="s">
        <v>24</v>
      </c>
      <c r="AA5" s="13"/>
    </row>
    <row r="6" spans="1:89" s="2" customFormat="1" x14ac:dyDescent="0.25">
      <c r="A6" s="18" t="s">
        <v>178</v>
      </c>
      <c r="B6" s="19">
        <v>4030</v>
      </c>
      <c r="C6" s="19" t="s">
        <v>63</v>
      </c>
      <c r="D6" s="19" t="s">
        <v>179</v>
      </c>
      <c r="E6" s="53">
        <v>42485.191666666666</v>
      </c>
      <c r="F6" s="53">
        <v>42485.193240740744</v>
      </c>
      <c r="G6" s="62">
        <v>2</v>
      </c>
      <c r="H6" s="53" t="s">
        <v>22</v>
      </c>
      <c r="I6" s="53">
        <v>42485.222800925927</v>
      </c>
      <c r="J6" s="19">
        <v>0</v>
      </c>
      <c r="K6" s="19" t="str">
        <f>IF(ISEVEN(B6),(B6-1)&amp;"/"&amp;B6,B6&amp;"/"&amp;(B6+1))</f>
        <v>4029/4030</v>
      </c>
      <c r="L6" s="20">
        <f>I6-F6</f>
        <v>2.9560185183072463E-2</v>
      </c>
      <c r="M6" s="21">
        <f t="shared" si="0"/>
        <v>42.566666663624346</v>
      </c>
      <c r="N6" s="21"/>
      <c r="O6" s="22"/>
      <c r="P6" s="17"/>
      <c r="R6" s="16" t="str">
        <f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https://search-rtdc-monitor-bjffxe2xuh6vdkpspy63sjmuny.us-east-1.es.amazonaws.com/_plugin/kibana/#/discover/Steve-Slow-Train-Analysis-(2080s-and-2083s)?_g=(refreshInterval:(display:Off,section:0,value:0),time:(from:'2016-04-25 04:35:00-0600',mode:absolute,to:'2016-04-25 05:21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S6" s="16" t="str">
        <f>IF(V6&lt;23,"Y","N")</f>
        <v>N</v>
      </c>
      <c r="T6" s="16">
        <f>RIGHT(D6,LEN(D6)-4)/10000</f>
        <v>23.266400000000001</v>
      </c>
      <c r="U6" s="16">
        <f>RIGHT(H6,LEN(H6)-4)/10000</f>
        <v>1.4999999999999999E-2</v>
      </c>
      <c r="V6" s="16">
        <f>ABS(U6-T6)</f>
        <v>23.2514</v>
      </c>
      <c r="W6" s="49" t="e">
        <f>VLOOKUP(A6,Enforcements!$C$3:$J$9,8,0)</f>
        <v>#N/A</v>
      </c>
      <c r="X6" s="49" t="e">
        <f>VLOOKUP(A6,Enforcements!$C$3:$J$9,3,0)</f>
        <v>#N/A</v>
      </c>
      <c r="Z6" s="23"/>
      <c r="AA6" s="13" t="s">
        <v>31</v>
      </c>
    </row>
    <row r="7" spans="1:89" s="2" customFormat="1" x14ac:dyDescent="0.25">
      <c r="A7" s="18" t="s">
        <v>184</v>
      </c>
      <c r="B7" s="19">
        <v>4007</v>
      </c>
      <c r="C7" s="19" t="s">
        <v>63</v>
      </c>
      <c r="D7" s="19" t="s">
        <v>185</v>
      </c>
      <c r="E7" s="53">
        <v>42485.176770833335</v>
      </c>
      <c r="F7" s="53">
        <v>42485.178101851852</v>
      </c>
      <c r="G7" s="62">
        <v>1</v>
      </c>
      <c r="H7" s="53" t="s">
        <v>185</v>
      </c>
      <c r="I7" s="53">
        <v>42485.178101851852</v>
      </c>
      <c r="J7" s="19">
        <v>0</v>
      </c>
      <c r="K7" s="19" t="str">
        <f>IF(ISEVEN(B7),(B7-1)&amp;"/"&amp;B7,B7&amp;"/"&amp;(B7+1))</f>
        <v>4007/4008</v>
      </c>
      <c r="L7" s="20">
        <v>1.1574074074074073E-5</v>
      </c>
      <c r="M7" s="21"/>
      <c r="N7" s="21"/>
      <c r="O7" s="21">
        <f t="shared" si="0"/>
        <v>1.6666666666666666E-2</v>
      </c>
      <c r="P7" s="17" t="s">
        <v>112</v>
      </c>
      <c r="R7" s="16" t="str">
        <f>"https://search-rtdc-monitor-bjffxe2xuh6vdkpspy63sjmuny.us-east-1.es.amazonaws.com/_plugin/kibana/#/discover/Steve-Slow-Train-Analysis-(2080s-and-2083s)?_g=(refreshInterval:(display:Off,section:0,value:0),time:(from:'"&amp;TEXT(E7-1/24/60,"yyyy-MM-DD hh:mm:ss")&amp;"-0600',mode:absolute,to:'"&amp;TEXT(I7+1/24/60,"yyyy-MM-DD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&amp;"%22')),sort:!(Time,asc))"</f>
        <v>https://search-rtdc-monitor-bjffxe2xuh6vdkpspy63sjmuny.us-east-1.es.amazonaws.com/_plugin/kibana/#/discover/Steve-Slow-Train-Analysis-(2080s-and-2083s)?_g=(refreshInterval:(display:Off,section:0,value:0),time:(from:'2016-04-25 04:13:33-0600',mode:absolute,to:'2016-04-25 04:17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S7" s="16" t="str">
        <f>IF(V7&lt;23,"Y","N")</f>
        <v>Y</v>
      </c>
      <c r="T7" s="16">
        <f>RIGHT(D7,LEN(D7)-4)/10000</f>
        <v>7.2800000000000004E-2</v>
      </c>
      <c r="U7" s="16">
        <f>RIGHT(H7,LEN(H7)-4)/10000</f>
        <v>7.2800000000000004E-2</v>
      </c>
      <c r="V7" s="16">
        <f>ABS(U7-T7)</f>
        <v>0</v>
      </c>
      <c r="W7" s="49" t="e">
        <f>VLOOKUP(A7,Enforcements!$C$3:$J$9,8,0)</f>
        <v>#N/A</v>
      </c>
      <c r="X7" s="49" t="e">
        <f>VLOOKUP(A7,Enforcements!$C$3:$J$9,3,0)</f>
        <v>#N/A</v>
      </c>
      <c r="Z7" s="24"/>
      <c r="AA7" s="13" t="s">
        <v>32</v>
      </c>
    </row>
    <row r="8" spans="1:89" s="2" customFormat="1" x14ac:dyDescent="0.25">
      <c r="A8" s="18" t="s">
        <v>172</v>
      </c>
      <c r="B8" s="19">
        <v>4028</v>
      </c>
      <c r="C8" s="19" t="s">
        <v>63</v>
      </c>
      <c r="D8" s="19" t="s">
        <v>173</v>
      </c>
      <c r="E8" s="53">
        <v>42485.210532407407</v>
      </c>
      <c r="F8" s="53">
        <v>42485.211840277778</v>
      </c>
      <c r="G8" s="62">
        <v>1</v>
      </c>
      <c r="H8" s="53" t="s">
        <v>174</v>
      </c>
      <c r="I8" s="53">
        <v>42485.245370370372</v>
      </c>
      <c r="J8" s="19">
        <v>0</v>
      </c>
      <c r="K8" s="19" t="str">
        <f>IF(ISEVEN(B8),(B8-1)&amp;"/"&amp;B8,B8&amp;"/"&amp;(B8+1))</f>
        <v>4027/4028</v>
      </c>
      <c r="L8" s="20">
        <f>I8-F8</f>
        <v>3.3530092594446614E-2</v>
      </c>
      <c r="M8" s="21">
        <f t="shared" si="0"/>
        <v>48.283333336003125</v>
      </c>
      <c r="N8" s="21"/>
      <c r="O8" s="22"/>
      <c r="P8" s="17"/>
      <c r="R8" s="16" t="str">
        <f>"https://search-rtdc-monitor-bjffxe2xuh6vdkpspy63sjmuny.us-east-1.es.amazonaws.com/_plugin/kibana/#/discover/Steve-Slow-Train-Analysis-(2080s-and-2083s)?_g=(refreshInterval:(display:Off,section:0,value:0),time:(from:'"&amp;TEXT(E8-1/24/60,"yyyy-MM-DD hh:mm:ss")&amp;"-0600',mode:absolute,to:'"&amp;TEXT(I8+1/24/60,"yyyy-MM-DD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&amp;"%22')),sort:!(Time,asc))"</f>
        <v>https://search-rtdc-monitor-bjffxe2xuh6vdkpspy63sjmuny.us-east-1.es.amazonaws.com/_plugin/kibana/#/discover/Steve-Slow-Train-Analysis-(2080s-and-2083s)?_g=(refreshInterval:(display:Off,section:0,value:0),time:(from:'2016-04-25 05:02:10-0600',mode:absolute,to:'2016-04-25 05:54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S8" s="16" t="str">
        <f>IF(V8&lt;23,"Y","N")</f>
        <v>N</v>
      </c>
      <c r="T8" s="16">
        <f>RIGHT(D8,LEN(D8)-4)/10000</f>
        <v>23.263500000000001</v>
      </c>
      <c r="U8" s="16">
        <f>RIGHT(H8,LEN(H8)-4)/10000</f>
        <v>0.11219999999999999</v>
      </c>
      <c r="V8" s="16">
        <f>ABS(U8-T8)</f>
        <v>23.151299999999999</v>
      </c>
      <c r="W8" s="49" t="e">
        <f>VLOOKUP(A8,Enforcements!$C$3:$J$9,8,0)</f>
        <v>#N/A</v>
      </c>
      <c r="X8" s="49" t="e">
        <f>VLOOKUP(A8,Enforcements!$C$3:$J$9,3,0)</f>
        <v>#N/A</v>
      </c>
      <c r="Z8" s="14"/>
      <c r="AA8" s="13" t="s">
        <v>33</v>
      </c>
    </row>
    <row r="9" spans="1:89" s="2" customFormat="1" x14ac:dyDescent="0.25">
      <c r="A9" s="18" t="s">
        <v>182</v>
      </c>
      <c r="B9" s="19">
        <v>4038</v>
      </c>
      <c r="C9" s="19" t="s">
        <v>63</v>
      </c>
      <c r="D9" s="19" t="s">
        <v>86</v>
      </c>
      <c r="E9" s="53">
        <v>42485.184571759259</v>
      </c>
      <c r="F9" s="53">
        <v>42485.185740740744</v>
      </c>
      <c r="G9" s="62">
        <v>1</v>
      </c>
      <c r="H9" s="53" t="s">
        <v>183</v>
      </c>
      <c r="I9" s="53">
        <v>42485.214039351849</v>
      </c>
      <c r="J9" s="19">
        <v>0</v>
      </c>
      <c r="K9" s="19" t="str">
        <f>IF(ISEVEN(B9),(B9-1)&amp;"/"&amp;B9,B9&amp;"/"&amp;(B9+1))</f>
        <v>4037/4038</v>
      </c>
      <c r="L9" s="20">
        <f>I9-F9</f>
        <v>2.8298611105128657E-2</v>
      </c>
      <c r="M9" s="21">
        <f t="shared" si="0"/>
        <v>40.749999991385266</v>
      </c>
      <c r="N9" s="21"/>
      <c r="O9" s="22"/>
      <c r="P9" s="17"/>
      <c r="R9" s="16" t="str">
        <f>"https://search-rtdc-monitor-bjffxe2xuh6vdkpspy63sjmuny.us-east-1.es.amazonaws.com/_plugin/kibana/#/discover/Steve-Slow-Train-Analysis-(2080s-and-2083s)?_g=(refreshInterval:(display:Off,section:0,value:0),time:(from:'"&amp;TEXT(E9-1/24/60,"yyyy-MM-DD hh:mm:ss")&amp;"-0600',mode:absolute,to:'"&amp;TEXT(I9+1/24/60,"yyyy-MM-DD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&amp;"%22')),sort:!(Time,asc))"</f>
        <v>https://search-rtdc-monitor-bjffxe2xuh6vdkpspy63sjmuny.us-east-1.es.amazonaws.com/_plugin/kibana/#/discover/Steve-Slow-Train-Analysis-(2080s-and-2083s)?_g=(refreshInterval:(display:Off,section:0,value:0),time:(from:'2016-04-25 04:24:47-0600',mode:absolute,to:'2016-04-25 05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S9" s="16" t="str">
        <f>IF(V9&lt;23,"Y","N")</f>
        <v>N</v>
      </c>
      <c r="T9" s="16">
        <f>RIGHT(D9,LEN(D9)-4)/10000</f>
        <v>4.4699999999999997E-2</v>
      </c>
      <c r="U9" s="16">
        <f>RIGHT(H9,LEN(H9)-4)/10000</f>
        <v>23.331</v>
      </c>
      <c r="V9" s="16">
        <f>ABS(U9-T9)</f>
        <v>23.286300000000001</v>
      </c>
      <c r="W9" s="49" t="e">
        <f>VLOOKUP(A9,Enforcements!$C$3:$J$9,8,0)</f>
        <v>#N/A</v>
      </c>
      <c r="X9" s="49" t="e">
        <f>VLOOKUP(A9,Enforcements!$C$3:$J$9,3,0)</f>
        <v>#N/A</v>
      </c>
    </row>
    <row r="10" spans="1:89" s="2" customFormat="1" x14ac:dyDescent="0.25">
      <c r="A10" s="18" t="s">
        <v>170</v>
      </c>
      <c r="B10" s="19">
        <v>4037</v>
      </c>
      <c r="C10" s="19" t="s">
        <v>63</v>
      </c>
      <c r="D10" s="19" t="s">
        <v>84</v>
      </c>
      <c r="E10" s="53">
        <v>42485.220636574071</v>
      </c>
      <c r="F10" s="53">
        <v>42485.222233796296</v>
      </c>
      <c r="G10" s="62">
        <v>2</v>
      </c>
      <c r="H10" s="53" t="s">
        <v>75</v>
      </c>
      <c r="I10" s="53">
        <v>42485.256377314814</v>
      </c>
      <c r="J10" s="19">
        <v>0</v>
      </c>
      <c r="K10" s="19" t="str">
        <f>IF(ISEVEN(B10),(B10-1)&amp;"/"&amp;B10,B10&amp;"/"&amp;(B10+1))</f>
        <v>4037/4038</v>
      </c>
      <c r="L10" s="20">
        <f>I10-F10</f>
        <v>3.4143518518249039E-2</v>
      </c>
      <c r="M10" s="21">
        <f t="shared" si="0"/>
        <v>49.166666666278616</v>
      </c>
      <c r="N10" s="21"/>
      <c r="O10" s="22"/>
      <c r="P10" s="17"/>
      <c r="R10" s="16" t="str">
        <f>"https://search-rtdc-monitor-bjffxe2xuh6vdkpspy63sjmuny.us-east-1.es.amazonaws.com/_plugin/kibana/#/discover/Steve-Slow-Train-Analysis-(2080s-and-2083s)?_g=(refreshInterval:(display:Off,section:0,value:0),time:(from:'"&amp;TEXT(E10-1/24/60,"yyyy-MM-DD hh:mm:ss")&amp;"-0600',mode:absolute,to:'"&amp;TEXT(I10+1/24/60,"yyyy-MM-DD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&amp;"%22')),sort:!(Time,asc))"</f>
        <v>https://search-rtdc-monitor-bjffxe2xuh6vdkpspy63sjmuny.us-east-1.es.amazonaws.com/_plugin/kibana/#/discover/Steve-Slow-Train-Analysis-(2080s-and-2083s)?_g=(refreshInterval:(display:Off,section:0,value:0),time:(from:'2016-04-25 05:16:43-0600',mode:absolute,to:'2016-04-25 06:10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S10" s="16" t="str">
        <f>IF(V10&lt;23,"Y","N")</f>
        <v>N</v>
      </c>
      <c r="T10" s="16">
        <f>RIGHT(D10,LEN(D10)-4)/10000</f>
        <v>23.299299999999999</v>
      </c>
      <c r="U10" s="16">
        <f>RIGHT(H10,LEN(H10)-4)/10000</f>
        <v>1.4500000000000001E-2</v>
      </c>
      <c r="V10" s="16">
        <f>ABS(U10-T10)</f>
        <v>23.284799999999997</v>
      </c>
      <c r="W10" s="49" t="e">
        <f>VLOOKUP(A10,Enforcements!$C$3:$J$9,8,0)</f>
        <v>#N/A</v>
      </c>
      <c r="X10" s="49" t="e">
        <f>VLOOKUP(A10,Enforcements!$C$3:$J$9,3,0)</f>
        <v>#N/A</v>
      </c>
    </row>
    <row r="11" spans="1:89" s="2" customFormat="1" x14ac:dyDescent="0.25">
      <c r="A11" s="18" t="s">
        <v>180</v>
      </c>
      <c r="B11" s="19">
        <v>4025</v>
      </c>
      <c r="C11" s="19" t="s">
        <v>63</v>
      </c>
      <c r="D11" s="19" t="s">
        <v>93</v>
      </c>
      <c r="E11" s="53">
        <v>42485.187361111108</v>
      </c>
      <c r="F11" s="53">
        <v>42485.198067129626</v>
      </c>
      <c r="G11" s="62">
        <v>1</v>
      </c>
      <c r="H11" s="53" t="s">
        <v>181</v>
      </c>
      <c r="I11" s="53">
        <v>42485.224270833336</v>
      </c>
      <c r="J11" s="19">
        <v>0</v>
      </c>
      <c r="K11" s="19" t="str">
        <f>IF(ISEVEN(B11),(B11-1)&amp;"/"&amp;B11,B11&amp;"/"&amp;(B11+1))</f>
        <v>4025/4026</v>
      </c>
      <c r="L11" s="20">
        <f>I11-F11</f>
        <v>2.620370371005265E-2</v>
      </c>
      <c r="M11" s="21">
        <f t="shared" si="0"/>
        <v>37.733333342475817</v>
      </c>
      <c r="N11" s="21"/>
      <c r="O11" s="22"/>
      <c r="P11" s="17"/>
      <c r="R11" s="16" t="str">
        <f>"https://search-rtdc-monitor-bjffxe2xuh6vdkpspy63sjmuny.us-east-1.es.amazonaws.com/_plugin/kibana/#/discover/Steve-Slow-Train-Analysis-(2080s-and-2083s)?_g=(refreshInterval:(display:Off,section:0,value:0),time:(from:'"&amp;TEXT(E11-1/24/60,"yyyy-MM-DD hh:mm:ss")&amp;"-0600',mode:absolute,to:'"&amp;TEXT(I11+1/24/60,"yyyy-MM-DD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&amp;"%22')),sort:!(Time,asc))"</f>
        <v>https://search-rtdc-monitor-bjffxe2xuh6vdkpspy63sjmuny.us-east-1.es.amazonaws.com/_plugin/kibana/#/discover/Steve-Slow-Train-Analysis-(2080s-and-2083s)?_g=(refreshInterval:(display:Off,section:0,value:0),time:(from:'2016-04-25 04:28:48-0600',mode:absolute,to:'2016-04-25 05:23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S11" s="16" t="str">
        <f>IF(V11&lt;23,"Y","N")</f>
        <v>N</v>
      </c>
      <c r="T11" s="16">
        <f>RIGHT(D11,LEN(D11)-4)/10000</f>
        <v>4.7300000000000002E-2</v>
      </c>
      <c r="U11" s="16">
        <f>RIGHT(H11,LEN(H11)-4)/10000</f>
        <v>23.328199999999999</v>
      </c>
      <c r="V11" s="16">
        <f>ABS(U11-T11)</f>
        <v>23.280899999999999</v>
      </c>
      <c r="W11" s="49" t="e">
        <f>VLOOKUP(A11,Enforcements!$C$3:$J$9,8,0)</f>
        <v>#N/A</v>
      </c>
      <c r="X11" s="49" t="e">
        <f>VLOOKUP(A11,Enforcements!$C$3:$J$9,3,0)</f>
        <v>#N/A</v>
      </c>
    </row>
    <row r="12" spans="1:89" s="2" customFormat="1" x14ac:dyDescent="0.25">
      <c r="A12" s="18" t="s">
        <v>115</v>
      </c>
      <c r="B12" s="19">
        <v>4026</v>
      </c>
      <c r="C12" s="19" t="s">
        <v>63</v>
      </c>
      <c r="D12" s="19" t="s">
        <v>169</v>
      </c>
      <c r="E12" s="53">
        <v>42485.233414351853</v>
      </c>
      <c r="F12" s="53">
        <v>42485.234618055554</v>
      </c>
      <c r="G12" s="62">
        <v>1</v>
      </c>
      <c r="H12" s="53" t="s">
        <v>23</v>
      </c>
      <c r="I12" s="53">
        <v>42485.266481481478</v>
      </c>
      <c r="J12" s="19">
        <v>1</v>
      </c>
      <c r="K12" s="19" t="str">
        <f>IF(ISEVEN(B12),(B12-1)&amp;"/"&amp;B12,B12&amp;"/"&amp;(B12+1))</f>
        <v>4025/4026</v>
      </c>
      <c r="L12" s="20">
        <f>I12-F12</f>
        <v>3.1863425923802424E-2</v>
      </c>
      <c r="M12" s="21">
        <f t="shared" si="0"/>
        <v>45.883333330275491</v>
      </c>
      <c r="N12" s="21"/>
      <c r="O12" s="22"/>
      <c r="P12" s="17"/>
      <c r="R12" s="16" t="str">
        <f>"https://search-rtdc-monitor-bjffxe2xuh6vdkpspy63sjmuny.us-east-1.es.amazonaws.com/_plugin/kibana/#/discover/Steve-Slow-Train-Analysis-(2080s-and-2083s)?_g=(refreshInterval:(display:Off,section:0,value:0),time:(from:'"&amp;TEXT(E12-1/24/60,"yyyy-MM-DD hh:mm:ss")&amp;"-0600',mode:absolute,to:'"&amp;TEXT(I12+1/24/60,"yyyy-MM-DD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&amp;"%22')),sort:!(Time,asc))"</f>
        <v>https://search-rtdc-monitor-bjffxe2xuh6vdkpspy63sjmuny.us-east-1.es.amazonaws.com/_plugin/kibana/#/discover/Steve-Slow-Train-Analysis-(2080s-and-2083s)?_g=(refreshInterval:(display:Off,section:0,value:0),time:(from:'2016-04-25 05:35:07-0600',mode:absolute,to:'2016-04-25 06:24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12" s="16" t="str">
        <f>IF(V12&lt;23,"Y","N")</f>
        <v>N</v>
      </c>
      <c r="T12" s="16">
        <f>RIGHT(D12,LEN(D12)-4)/10000</f>
        <v>23.296299999999999</v>
      </c>
      <c r="U12" s="16">
        <f>RIGHT(H12,LEN(H12)-4)/10000</f>
        <v>1.5599999999999999E-2</v>
      </c>
      <c r="V12" s="16">
        <f>ABS(U12-T12)</f>
        <v>23.2807</v>
      </c>
      <c r="W12" s="49">
        <f>VLOOKUP(A12,Enforcements!$C$3:$J$9,8,0)</f>
        <v>229055</v>
      </c>
      <c r="X12" s="49" t="str">
        <f>VLOOKUP(A12,Enforcements!$C$3:$J$9,3,0)</f>
        <v>PERMANENT SPEED RESTRICTION</v>
      </c>
    </row>
    <row r="13" spans="1:89" s="2" customFormat="1" x14ac:dyDescent="0.25">
      <c r="A13" s="18" t="s">
        <v>175</v>
      </c>
      <c r="B13" s="19">
        <v>4018</v>
      </c>
      <c r="C13" s="19" t="s">
        <v>63</v>
      </c>
      <c r="D13" s="19" t="s">
        <v>176</v>
      </c>
      <c r="E13" s="53">
        <v>42485.206886574073</v>
      </c>
      <c r="F13" s="53">
        <v>42485.208703703705</v>
      </c>
      <c r="G13" s="62">
        <v>2</v>
      </c>
      <c r="H13" s="53" t="s">
        <v>177</v>
      </c>
      <c r="I13" s="53">
        <v>42485.235902777778</v>
      </c>
      <c r="J13" s="19">
        <v>0</v>
      </c>
      <c r="K13" s="19" t="str">
        <f>IF(ISEVEN(B13),(B13-1)&amp;"/"&amp;B13,B13&amp;"/"&amp;(B13+1))</f>
        <v>4017/4018</v>
      </c>
      <c r="L13" s="20">
        <f>I13-F13</f>
        <v>2.7199074072996154E-2</v>
      </c>
      <c r="M13" s="21">
        <f t="shared" si="0"/>
        <v>39.166666665114462</v>
      </c>
      <c r="N13" s="21"/>
      <c r="O13" s="22"/>
      <c r="P13" s="17"/>
      <c r="R13" s="16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https://search-rtdc-monitor-bjffxe2xuh6vdkpspy63sjmuny.us-east-1.es.amazonaws.com/_plugin/kibana/#/discover/Steve-Slow-Train-Analysis-(2080s-and-2083s)?_g=(refreshInterval:(display:Off,section:0,value:0),time:(from:'2016-04-25 04:56:55-0600',mode:absolute,to:'2016-04-25 05:40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S13" s="16" t="str">
        <f>IF(V13&lt;23,"Y","N")</f>
        <v>N</v>
      </c>
      <c r="T13" s="16">
        <f>RIGHT(D13,LEN(D13)-4)/10000</f>
        <v>7.7899999999999997E-2</v>
      </c>
      <c r="U13" s="16">
        <f>RIGHT(H13,LEN(H13)-4)/10000</f>
        <v>23.33</v>
      </c>
      <c r="V13" s="16">
        <f>ABS(U13-T13)</f>
        <v>23.252099999999999</v>
      </c>
      <c r="W13" s="49" t="e">
        <f>VLOOKUP(A13,Enforcements!$C$3:$J$9,8,0)</f>
        <v>#N/A</v>
      </c>
      <c r="X13" s="49" t="e">
        <f>VLOOKUP(A13,Enforcements!$C$3:$J$9,3,0)</f>
        <v>#N/A</v>
      </c>
    </row>
    <row r="14" spans="1:89" s="2" customFormat="1" x14ac:dyDescent="0.25">
      <c r="A14" s="18" t="s">
        <v>171</v>
      </c>
      <c r="B14" s="19">
        <v>4020</v>
      </c>
      <c r="C14" s="19" t="s">
        <v>63</v>
      </c>
      <c r="D14" s="19" t="s">
        <v>99</v>
      </c>
      <c r="E14" s="53">
        <v>42485.212858796294</v>
      </c>
      <c r="F14" s="53">
        <v>42485.214571759258</v>
      </c>
      <c r="G14" s="62">
        <v>2</v>
      </c>
      <c r="H14" s="53" t="s">
        <v>159</v>
      </c>
      <c r="I14" s="53">
        <v>42485.243622685186</v>
      </c>
      <c r="J14" s="19">
        <v>0</v>
      </c>
      <c r="K14" s="19" t="str">
        <f>IF(ISEVEN(B14),(B14-1)&amp;"/"&amp;B14,B14&amp;"/"&amp;(B14+1))</f>
        <v>4019/4020</v>
      </c>
      <c r="L14" s="20">
        <f>I14-F14</f>
        <v>2.9050925928459037E-2</v>
      </c>
      <c r="M14" s="21">
        <f t="shared" si="0"/>
        <v>41.833333336981013</v>
      </c>
      <c r="N14" s="21"/>
      <c r="O14" s="22"/>
      <c r="P14" s="17"/>
      <c r="R14" s="16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https://search-rtdc-monitor-bjffxe2xuh6vdkpspy63sjmuny.us-east-1.es.amazonaws.com/_plugin/kibana/#/discover/Steve-Slow-Train-Analysis-(2080s-and-2083s)?_g=(refreshInterval:(display:Off,section:0,value:0),time:(from:'2016-04-25 05:05:31-0600',mode:absolute,to:'2016-04-25 05:51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S14" s="16" t="str">
        <f>IF(V14&lt;23,"Y","N")</f>
        <v>N</v>
      </c>
      <c r="T14" s="16">
        <f>RIGHT(D14,LEN(D14)-4)/10000</f>
        <v>4.4900000000000002E-2</v>
      </c>
      <c r="U14" s="16">
        <f>RIGHT(H14,LEN(H14)-4)/10000</f>
        <v>23.328600000000002</v>
      </c>
      <c r="V14" s="16">
        <f>ABS(U14-T14)</f>
        <v>23.283700000000003</v>
      </c>
      <c r="W14" s="49" t="e">
        <f>VLOOKUP(A14,Enforcements!$C$3:$J$9,8,0)</f>
        <v>#N/A</v>
      </c>
      <c r="X14" s="49" t="e">
        <f>VLOOKUP(A14,Enforcements!$C$3:$J$9,3,0)</f>
        <v>#N/A</v>
      </c>
    </row>
    <row r="15" spans="1:89" s="2" customFormat="1" x14ac:dyDescent="0.25">
      <c r="A15" s="18" t="s">
        <v>119</v>
      </c>
      <c r="B15" s="19">
        <v>4019</v>
      </c>
      <c r="C15" s="19" t="s">
        <v>63</v>
      </c>
      <c r="D15" s="19" t="s">
        <v>87</v>
      </c>
      <c r="E15" s="53">
        <v>42485.250891203701</v>
      </c>
      <c r="F15" s="53">
        <v>42485.25172453704</v>
      </c>
      <c r="G15" s="62">
        <v>1</v>
      </c>
      <c r="H15" s="53" t="s">
        <v>101</v>
      </c>
      <c r="I15" s="53">
        <v>42485.28392361111</v>
      </c>
      <c r="J15" s="19">
        <v>1</v>
      </c>
      <c r="K15" s="19" t="str">
        <f>IF(ISEVEN(B15),(B15-1)&amp;"/"&amp;B15,B15&amp;"/"&amp;(B15+1))</f>
        <v>4019/4020</v>
      </c>
      <c r="L15" s="20">
        <f>I15-F15</f>
        <v>3.219907407037681E-2</v>
      </c>
      <c r="M15" s="21">
        <f t="shared" si="0"/>
        <v>46.366666661342606</v>
      </c>
      <c r="N15" s="21"/>
      <c r="O15" s="22"/>
      <c r="P15" s="17"/>
      <c r="R15" s="16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https://search-rtdc-monitor-bjffxe2xuh6vdkpspy63sjmuny.us-east-1.es.amazonaws.com/_plugin/kibana/#/discover/Steve-Slow-Train-Analysis-(2080s-and-2083s)?_g=(refreshInterval:(display:Off,section:0,value:0),time:(from:'2016-04-25 06:00:17-0600',mode:absolute,to:'2016-04-25 06:49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S15" s="16" t="str">
        <f>IF(V15&lt;23,"Y","N")</f>
        <v>N</v>
      </c>
      <c r="T15" s="16">
        <f>RIGHT(D15,LEN(D15)-4)/10000</f>
        <v>23.298400000000001</v>
      </c>
      <c r="U15" s="16">
        <f>RIGHT(H15,LEN(H15)-4)/10000</f>
        <v>1.78E-2</v>
      </c>
      <c r="V15" s="16">
        <f>ABS(U15-T15)</f>
        <v>23.2806</v>
      </c>
      <c r="W15" s="49" t="e">
        <f>VLOOKUP(A15,Enforcements!$C$3:$J$9,8,0)</f>
        <v>#N/A</v>
      </c>
      <c r="X15" s="49" t="e">
        <f>VLOOKUP(A15,Enforcements!$C$3:$J$9,3,0)</f>
        <v>#N/A</v>
      </c>
    </row>
    <row r="16" spans="1:89" s="2" customFormat="1" x14ac:dyDescent="0.25">
      <c r="A16" s="18" t="s">
        <v>122</v>
      </c>
      <c r="B16" s="19">
        <v>4041</v>
      </c>
      <c r="C16" s="19" t="s">
        <v>63</v>
      </c>
      <c r="D16" s="19" t="s">
        <v>96</v>
      </c>
      <c r="E16" s="53">
        <v>42485.258009259262</v>
      </c>
      <c r="F16" s="53">
        <v>42485.268587962964</v>
      </c>
      <c r="G16" s="62">
        <v>1</v>
      </c>
      <c r="H16" s="53" t="s">
        <v>104</v>
      </c>
      <c r="I16" s="53">
        <v>42485.294247685182</v>
      </c>
      <c r="J16" s="19">
        <v>1</v>
      </c>
      <c r="K16" s="19" t="str">
        <f>IF(ISEVEN(B16),(B16-1)&amp;"/"&amp;B16,B16&amp;"/"&amp;(B16+1))</f>
        <v>4041/4042</v>
      </c>
      <c r="L16" s="20">
        <f>I16-F16</f>
        <v>2.565972221782431E-2</v>
      </c>
      <c r="M16" s="21">
        <f t="shared" si="0"/>
        <v>36.949999993667006</v>
      </c>
      <c r="N16" s="21"/>
      <c r="O16" s="22"/>
      <c r="P16" s="17"/>
      <c r="R16" s="16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https://search-rtdc-monitor-bjffxe2xuh6vdkpspy63sjmuny.us-east-1.es.amazonaws.com/_plugin/kibana/#/discover/Steve-Slow-Train-Analysis-(2080s-and-2083s)?_g=(refreshInterval:(display:Off,section:0,value:0),time:(from:'2016-04-25 06:10:32-0600',mode:absolute,to:'2016-04-25 07:04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S16" s="16" t="str">
        <f>IF(V16&lt;23,"Y","N")</f>
        <v>N</v>
      </c>
      <c r="T16" s="16">
        <f>RIGHT(D16,LEN(D16)-4)/10000</f>
        <v>23.299399999999999</v>
      </c>
      <c r="U16" s="16">
        <f>RIGHT(H16,LEN(H16)-4)/10000</f>
        <v>1.8100000000000002E-2</v>
      </c>
      <c r="V16" s="16">
        <f>ABS(U16-T16)</f>
        <v>23.281299999999998</v>
      </c>
      <c r="W16" s="49">
        <f>VLOOKUP(A16,Enforcements!$C$3:$J$9,8,0)</f>
        <v>21848</v>
      </c>
      <c r="X16" s="49" t="str">
        <f>VLOOKUP(A16,Enforcements!$C$3:$J$9,3,0)</f>
        <v>PERMANENT SPEED RESTRICTION</v>
      </c>
    </row>
    <row r="17" spans="1:24" s="2" customFormat="1" x14ac:dyDescent="0.25">
      <c r="A17" s="18" t="s">
        <v>116</v>
      </c>
      <c r="B17" s="19">
        <v>4029</v>
      </c>
      <c r="C17" s="19" t="s">
        <v>63</v>
      </c>
      <c r="D17" s="19" t="s">
        <v>167</v>
      </c>
      <c r="E17" s="53">
        <v>42485.235798611109</v>
      </c>
      <c r="F17" s="53">
        <v>42485.237199074072</v>
      </c>
      <c r="G17" s="62">
        <v>2</v>
      </c>
      <c r="H17" s="53" t="s">
        <v>168</v>
      </c>
      <c r="I17" s="53">
        <v>42485.264675925922</v>
      </c>
      <c r="J17" s="19">
        <v>1</v>
      </c>
      <c r="K17" s="19" t="str">
        <f>IF(ISEVEN(B17),(B17-1)&amp;"/"&amp;B17,B17&amp;"/"&amp;(B17+1))</f>
        <v>4029/4030</v>
      </c>
      <c r="L17" s="20">
        <f>I17-F17</f>
        <v>2.7476851850224193E-2</v>
      </c>
      <c r="M17" s="21">
        <f t="shared" si="0"/>
        <v>39.566666664322838</v>
      </c>
      <c r="N17" s="21"/>
      <c r="O17" s="22"/>
      <c r="P17" s="17"/>
      <c r="R17" s="16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https://search-rtdc-monitor-bjffxe2xuh6vdkpspy63sjmuny.us-east-1.es.amazonaws.com/_plugin/kibana/#/discover/Steve-Slow-Train-Analysis-(2080s-and-2083s)?_g=(refreshInterval:(display:Off,section:0,value:0),time:(from:'2016-04-25 05:38:33-0600',mode:absolute,to:'2016-04-25 06:22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S17" s="16" t="str">
        <f>IF(V17&lt;23,"Y","N")</f>
        <v>N</v>
      </c>
      <c r="T17" s="16">
        <f>RIGHT(D17,LEN(D17)-4)/10000</f>
        <v>5.11E-2</v>
      </c>
      <c r="U17" s="16">
        <f>RIGHT(H17,LEN(H17)-4)/10000</f>
        <v>23.3065</v>
      </c>
      <c r="V17" s="16">
        <f>ABS(U17-T17)</f>
        <v>23.255399999999998</v>
      </c>
      <c r="W17" s="49" t="e">
        <f>VLOOKUP(A17,Enforcements!$C$3:$J$9,8,0)</f>
        <v>#N/A</v>
      </c>
      <c r="X17" s="49" t="e">
        <f>VLOOKUP(A17,Enforcements!$C$3:$J$9,3,0)</f>
        <v>#N/A</v>
      </c>
    </row>
    <row r="18" spans="1:24" s="2" customFormat="1" x14ac:dyDescent="0.25">
      <c r="A18" s="18" t="s">
        <v>120</v>
      </c>
      <c r="B18" s="19">
        <v>4030</v>
      </c>
      <c r="C18" s="19" t="s">
        <v>63</v>
      </c>
      <c r="D18" s="19" t="s">
        <v>166</v>
      </c>
      <c r="E18" s="53">
        <v>42485.266851851855</v>
      </c>
      <c r="F18" s="53">
        <v>42485.278749999998</v>
      </c>
      <c r="G18" s="62">
        <v>1</v>
      </c>
      <c r="H18" s="53" t="s">
        <v>79</v>
      </c>
      <c r="I18" s="53">
        <v>42485.307372685187</v>
      </c>
      <c r="J18" s="19">
        <v>1</v>
      </c>
      <c r="K18" s="19" t="str">
        <f>IF(ISEVEN(B18),(B18-1)&amp;"/"&amp;B18,B18&amp;"/"&amp;(B18+1))</f>
        <v>4029/4030</v>
      </c>
      <c r="L18" s="20">
        <f>I18-F18</f>
        <v>2.8622685189475305E-2</v>
      </c>
      <c r="M18" s="21">
        <f t="shared" si="0"/>
        <v>41.21666667284444</v>
      </c>
      <c r="N18" s="21"/>
      <c r="O18" s="22"/>
      <c r="P18" s="17"/>
      <c r="R18" s="16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https://search-rtdc-monitor-bjffxe2xuh6vdkpspy63sjmuny.us-east-1.es.amazonaws.com/_plugin/kibana/#/discover/Steve-Slow-Train-Analysis-(2080s-and-2083s)?_g=(refreshInterval:(display:Off,section:0,value:0),time:(from:'2016-04-25 06:23:16-0600',mode:absolute,to:'2016-04-25 07:23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S18" s="16" t="str">
        <f>IF(V18&lt;23,"Y","N")</f>
        <v>N</v>
      </c>
      <c r="T18" s="16">
        <f>RIGHT(D18,LEN(D18)-4)/10000</f>
        <v>23.291899999999998</v>
      </c>
      <c r="U18" s="16">
        <f>RIGHT(H18,LEN(H18)-4)/10000</f>
        <v>1.52E-2</v>
      </c>
      <c r="V18" s="16">
        <f>ABS(U18-T18)</f>
        <v>23.276699999999998</v>
      </c>
      <c r="W18" s="49">
        <f>VLOOKUP(A18,Enforcements!$C$3:$J$9,8,0)</f>
        <v>127587</v>
      </c>
      <c r="X18" s="49" t="str">
        <f>VLOOKUP(A18,Enforcements!$C$3:$J$9,3,0)</f>
        <v>SIGNAL</v>
      </c>
    </row>
    <row r="19" spans="1:24" s="2" customFormat="1" x14ac:dyDescent="0.25">
      <c r="A19" s="18" t="s">
        <v>124</v>
      </c>
      <c r="B19" s="19">
        <v>4038</v>
      </c>
      <c r="C19" s="19" t="s">
        <v>63</v>
      </c>
      <c r="D19" s="19" t="s">
        <v>107</v>
      </c>
      <c r="E19" s="53">
        <v>42485.25880787037</v>
      </c>
      <c r="F19" s="53">
        <v>42485.259837962964</v>
      </c>
      <c r="G19" s="62">
        <v>1</v>
      </c>
      <c r="H19" s="53" t="s">
        <v>80</v>
      </c>
      <c r="I19" s="53">
        <v>42485.29346064815</v>
      </c>
      <c r="J19" s="19">
        <v>1</v>
      </c>
      <c r="K19" s="19" t="str">
        <f>IF(ISEVEN(B19),(B19-1)&amp;"/"&amp;B19,B19&amp;"/"&amp;(B19+1))</f>
        <v>4037/4038</v>
      </c>
      <c r="L19" s="20">
        <f>I19-F19</f>
        <v>3.3622685186855961E-2</v>
      </c>
      <c r="M19" s="21">
        <f t="shared" si="0"/>
        <v>48.416666669072583</v>
      </c>
      <c r="N19" s="21"/>
      <c r="O19" s="22"/>
      <c r="P19" s="17"/>
      <c r="R19" s="16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https://search-rtdc-monitor-bjffxe2xuh6vdkpspy63sjmuny.us-east-1.es.amazonaws.com/_plugin/kibana/#/discover/Steve-Slow-Train-Analysis-(2080s-and-2083s)?_g=(refreshInterval:(display:Off,section:0,value:0),time:(from:'2016-04-25 06:11:41-0600',mode:absolute,to:'2016-04-25 07:03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S19" s="16" t="str">
        <f>IF(V19&lt;23,"Y","N")</f>
        <v>N</v>
      </c>
      <c r="T19" s="16">
        <f>RIGHT(D19,LEN(D19)-4)/10000</f>
        <v>4.5699999999999998E-2</v>
      </c>
      <c r="U19" s="16">
        <f>RIGHT(H19,LEN(H19)-4)/10000</f>
        <v>23.328800000000001</v>
      </c>
      <c r="V19" s="16">
        <f>ABS(U19-T19)</f>
        <v>23.283100000000001</v>
      </c>
      <c r="W19" s="49" t="e">
        <f>VLOOKUP(A19,Enforcements!$C$3:$J$9,8,0)</f>
        <v>#N/A</v>
      </c>
      <c r="X19" s="49" t="e">
        <f>VLOOKUP(A19,Enforcements!$C$3:$J$9,3,0)</f>
        <v>#N/A</v>
      </c>
    </row>
    <row r="20" spans="1:24" s="2" customFormat="1" x14ac:dyDescent="0.25">
      <c r="A20" s="18" t="s">
        <v>160</v>
      </c>
      <c r="B20" s="19">
        <v>4037</v>
      </c>
      <c r="C20" s="19" t="s">
        <v>63</v>
      </c>
      <c r="D20" s="19" t="s">
        <v>161</v>
      </c>
      <c r="E20" s="53">
        <v>42485.295717592591</v>
      </c>
      <c r="F20" s="53">
        <v>42485.299583333333</v>
      </c>
      <c r="G20" s="62">
        <v>2</v>
      </c>
      <c r="H20" s="53" t="s">
        <v>100</v>
      </c>
      <c r="I20" s="53">
        <v>42485.332962962966</v>
      </c>
      <c r="J20" s="19">
        <v>0</v>
      </c>
      <c r="K20" s="19" t="str">
        <f>IF(ISEVEN(B20),(B20-1)&amp;"/"&amp;B20,B20&amp;"/"&amp;(B20+1))</f>
        <v>4037/4038</v>
      </c>
      <c r="L20" s="20">
        <f>I20-F20</f>
        <v>3.3379629632690921E-2</v>
      </c>
      <c r="M20" s="21">
        <f t="shared" si="0"/>
        <v>48.066666671074927</v>
      </c>
      <c r="N20" s="21"/>
      <c r="O20" s="22"/>
      <c r="P20" s="17"/>
      <c r="R20" s="16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https://search-rtdc-monitor-bjffxe2xuh6vdkpspy63sjmuny.us-east-1.es.amazonaws.com/_plugin/kibana/#/discover/Steve-Slow-Train-Analysis-(2080s-and-2083s)?_g=(refreshInterval:(display:Off,section:0,value:0),time:(from:'2016-04-25 07:04:50-0600',mode:absolute,to:'2016-04-25 08:00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S20" s="16" t="str">
        <f>IF(V20&lt;23,"Y","N")</f>
        <v>N</v>
      </c>
      <c r="T20" s="16">
        <f>RIGHT(D20,LEN(D20)-4)/10000</f>
        <v>23.295300000000001</v>
      </c>
      <c r="U20" s="16">
        <f>RIGHT(H20,LEN(H20)-4)/10000</f>
        <v>4.7100000000000003E-2</v>
      </c>
      <c r="V20" s="16">
        <f>ABS(U20-T20)</f>
        <v>23.248200000000001</v>
      </c>
      <c r="W20" s="49" t="e">
        <f>VLOOKUP(A20,Enforcements!$C$3:$J$9,8,0)</f>
        <v>#N/A</v>
      </c>
      <c r="X20" s="49" t="e">
        <f>VLOOKUP(A20,Enforcements!$C$3:$J$9,3,0)</f>
        <v>#N/A</v>
      </c>
    </row>
    <row r="21" spans="1:24" s="2" customFormat="1" x14ac:dyDescent="0.25">
      <c r="A21" s="18" t="s">
        <v>117</v>
      </c>
      <c r="B21" s="19">
        <v>4025</v>
      </c>
      <c r="C21" s="19" t="s">
        <v>63</v>
      </c>
      <c r="D21" s="19" t="s">
        <v>90</v>
      </c>
      <c r="E21" s="53">
        <v>42485.268877314818</v>
      </c>
      <c r="F21" s="53">
        <v>42485.269837962966</v>
      </c>
      <c r="G21" s="62">
        <v>1</v>
      </c>
      <c r="H21" s="53" t="s">
        <v>165</v>
      </c>
      <c r="I21" s="53">
        <v>42485.29859953704</v>
      </c>
      <c r="J21" s="19">
        <v>1</v>
      </c>
      <c r="K21" s="19" t="str">
        <f>IF(ISEVEN(B21),(B21-1)&amp;"/"&amp;B21,B21&amp;"/"&amp;(B21+1))</f>
        <v>4025/4026</v>
      </c>
      <c r="L21" s="20">
        <f>I21-F21</f>
        <v>2.8761574074451346E-2</v>
      </c>
      <c r="M21" s="21">
        <f t="shared" si="0"/>
        <v>41.416666667209938</v>
      </c>
      <c r="N21" s="21"/>
      <c r="O21" s="22"/>
      <c r="P21" s="17"/>
      <c r="R21" s="16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https://search-rtdc-monitor-bjffxe2xuh6vdkpspy63sjmuny.us-east-1.es.amazonaws.com/_plugin/kibana/#/discover/Steve-Slow-Train-Analysis-(2080s-and-2083s)?_g=(refreshInterval:(display:Off,section:0,value:0),time:(from:'2016-04-25 06:26:11-0600',mode:absolute,to:'2016-04-25 07:10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S21" s="16" t="str">
        <f>IF(V21&lt;23,"Y","N")</f>
        <v>N</v>
      </c>
      <c r="T21" s="16">
        <f>RIGHT(D21,LEN(D21)-4)/10000</f>
        <v>4.5100000000000001E-2</v>
      </c>
      <c r="U21" s="16">
        <f>RIGHT(H21,LEN(H21)-4)/10000</f>
        <v>23.334199999999999</v>
      </c>
      <c r="V21" s="16">
        <f>ABS(U21-T21)</f>
        <v>23.289099999999998</v>
      </c>
      <c r="W21" s="49">
        <f>VLOOKUP(A21,Enforcements!$C$3:$J$9,8,0)</f>
        <v>0</v>
      </c>
      <c r="X21" s="49" t="str">
        <f>VLOOKUP(A21,Enforcements!$C$3:$J$9,3,0)</f>
        <v>PERMANENT SPEED RESTRICTION</v>
      </c>
    </row>
    <row r="22" spans="1:24" s="2" customFormat="1" x14ac:dyDescent="0.25">
      <c r="A22" s="18" t="s">
        <v>126</v>
      </c>
      <c r="B22" s="19">
        <v>4026</v>
      </c>
      <c r="C22" s="19" t="s">
        <v>63</v>
      </c>
      <c r="D22" s="19" t="s">
        <v>102</v>
      </c>
      <c r="E22" s="53">
        <v>42485.301666666666</v>
      </c>
      <c r="F22" s="53">
        <v>42485.302835648145</v>
      </c>
      <c r="G22" s="62">
        <v>1</v>
      </c>
      <c r="H22" s="53" t="s">
        <v>158</v>
      </c>
      <c r="I22" s="53">
        <v>42485.335960648146</v>
      </c>
      <c r="J22" s="19">
        <v>1</v>
      </c>
      <c r="K22" s="19" t="str">
        <f>IF(ISEVEN(B22),(B22-1)&amp;"/"&amp;B22,B22&amp;"/"&amp;(B22+1))</f>
        <v>4025/4026</v>
      </c>
      <c r="L22" s="20">
        <f>I22-F22</f>
        <v>3.312500000174623E-2</v>
      </c>
      <c r="M22" s="21">
        <f t="shared" si="0"/>
        <v>47.700000002514571</v>
      </c>
      <c r="N22" s="21"/>
      <c r="O22" s="21"/>
      <c r="P22" s="17"/>
      <c r="R22" s="16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https://search-rtdc-monitor-bjffxe2xuh6vdkpspy63sjmuny.us-east-1.es.amazonaws.com/_plugin/kibana/#/discover/Steve-Slow-Train-Analysis-(2080s-and-2083s)?_g=(refreshInterval:(display:Off,section:0,value:0),time:(from:'2016-04-25 07:13:24-0600',mode:absolute,to:'2016-04-25 08:04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22" s="16" t="str">
        <f>IF(V22&lt;23,"Y","N")</f>
        <v>N</v>
      </c>
      <c r="T22" s="16">
        <f>RIGHT(D22,LEN(D22)-4)/10000</f>
        <v>23.298500000000001</v>
      </c>
      <c r="U22" s="16">
        <f>RIGHT(H22,LEN(H22)-4)/10000</f>
        <v>2.3400000000000001E-2</v>
      </c>
      <c r="V22" s="16">
        <f>ABS(U22-T22)</f>
        <v>23.275100000000002</v>
      </c>
      <c r="W22" s="49" t="e">
        <f>VLOOKUP(A22,Enforcements!$C$3:$J$9,8,0)</f>
        <v>#N/A</v>
      </c>
      <c r="X22" s="49" t="e">
        <f>VLOOKUP(A22,Enforcements!$C$3:$J$9,3,0)</f>
        <v>#N/A</v>
      </c>
    </row>
    <row r="23" spans="1:24" s="2" customFormat="1" x14ac:dyDescent="0.25">
      <c r="A23" s="18" t="s">
        <v>164</v>
      </c>
      <c r="B23" s="19">
        <v>4018</v>
      </c>
      <c r="C23" s="19" t="s">
        <v>63</v>
      </c>
      <c r="D23" s="19" t="s">
        <v>89</v>
      </c>
      <c r="E23" s="53">
        <v>42485.276493055557</v>
      </c>
      <c r="F23" s="53">
        <v>42485.27820601852</v>
      </c>
      <c r="G23" s="62">
        <v>2</v>
      </c>
      <c r="H23" s="53" t="s">
        <v>78</v>
      </c>
      <c r="I23" s="53">
        <v>42485.307916666665</v>
      </c>
      <c r="J23" s="19">
        <v>0</v>
      </c>
      <c r="K23" s="19" t="str">
        <f>IF(ISEVEN(B23),(B23-1)&amp;"/"&amp;B23,B23&amp;"/"&amp;(B23+1))</f>
        <v>4017/4018</v>
      </c>
      <c r="L23" s="20">
        <f>I23-F23</f>
        <v>2.9710648144828156E-2</v>
      </c>
      <c r="M23" s="21">
        <f t="shared" si="0"/>
        <v>42.783333328552544</v>
      </c>
      <c r="N23" s="21"/>
      <c r="O23" s="22"/>
      <c r="P23" s="17"/>
      <c r="R23" s="16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https://search-rtdc-monitor-bjffxe2xuh6vdkpspy63sjmuny.us-east-1.es.amazonaws.com/_plugin/kibana/#/discover/Steve-Slow-Train-Analysis-(2080s-and-2083s)?_g=(refreshInterval:(display:Off,section:0,value:0),time:(from:'2016-04-25 06:37:09-0600',mode:absolute,to:'2016-04-25 07:24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S23" s="16" t="str">
        <f>IF(V23&lt;23,"Y","N")</f>
        <v>N</v>
      </c>
      <c r="T23" s="16">
        <f>RIGHT(D23,LEN(D23)-4)/10000</f>
        <v>4.53E-2</v>
      </c>
      <c r="U23" s="16">
        <f>RIGHT(H23,LEN(H23)-4)/10000</f>
        <v>23.332599999999999</v>
      </c>
      <c r="V23" s="16">
        <f>ABS(U23-T23)</f>
        <v>23.287299999999998</v>
      </c>
      <c r="W23" s="49" t="e">
        <f>VLOOKUP(A23,Enforcements!$C$3:$J$9,8,0)</f>
        <v>#N/A</v>
      </c>
      <c r="X23" s="49" t="e">
        <f>VLOOKUP(A23,Enforcements!$C$3:$J$9,3,0)</f>
        <v>#N/A</v>
      </c>
    </row>
    <row r="24" spans="1:24" s="2" customFormat="1" x14ac:dyDescent="0.25">
      <c r="A24" s="18" t="s">
        <v>162</v>
      </c>
      <c r="B24" s="19">
        <v>4027</v>
      </c>
      <c r="C24" s="19" t="s">
        <v>63</v>
      </c>
      <c r="D24" s="19" t="s">
        <v>163</v>
      </c>
      <c r="E24" s="53">
        <v>42485.288206018522</v>
      </c>
      <c r="F24" s="53">
        <v>42485.2893287037</v>
      </c>
      <c r="G24" s="62">
        <v>1</v>
      </c>
      <c r="H24" s="53" t="s">
        <v>94</v>
      </c>
      <c r="I24" s="53">
        <v>42485.317418981482</v>
      </c>
      <c r="J24" s="19">
        <v>0</v>
      </c>
      <c r="K24" s="19" t="str">
        <f>IF(ISEVEN(B24),(B24-1)&amp;"/"&amp;B24,B24&amp;"/"&amp;(B24+1))</f>
        <v>4027/4028</v>
      </c>
      <c r="L24" s="20">
        <f>I24-F24</f>
        <v>2.8090277781302575E-2</v>
      </c>
      <c r="M24" s="21">
        <f t="shared" si="0"/>
        <v>40.450000005075708</v>
      </c>
      <c r="N24" s="21"/>
      <c r="O24" s="22"/>
      <c r="P24" s="17"/>
      <c r="R24" s="16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https://search-rtdc-monitor-bjffxe2xuh6vdkpspy63sjmuny.us-east-1.es.amazonaws.com/_plugin/kibana/#/discover/Steve-Slow-Train-Analysis-(2080s-and-2083s)?_g=(refreshInterval:(display:Off,section:0,value:0),time:(from:'2016-04-25 06:54:01-0600',mode:absolute,to:'2016-04-25 07:38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S24" s="16" t="str">
        <f>IF(V24&lt;23,"Y","N")</f>
        <v>N</v>
      </c>
      <c r="T24" s="16">
        <f>RIGHT(D24,LEN(D24)-4)/10000</f>
        <v>0.1152</v>
      </c>
      <c r="U24" s="16">
        <f>RIGHT(H24,LEN(H24)-4)/10000</f>
        <v>23.331399999999999</v>
      </c>
      <c r="V24" s="16">
        <f>ABS(U24-T24)</f>
        <v>23.216199999999997</v>
      </c>
      <c r="W24" s="49" t="e">
        <f>VLOOKUP(A24,Enforcements!$C$3:$J$9,8,0)</f>
        <v>#N/A</v>
      </c>
      <c r="X24" s="49" t="e">
        <f>VLOOKUP(A24,Enforcements!$C$3:$J$9,3,0)</f>
        <v>#N/A</v>
      </c>
    </row>
    <row r="25" spans="1:24" s="2" customFormat="1" x14ac:dyDescent="0.25">
      <c r="A25" s="18" t="s">
        <v>155</v>
      </c>
      <c r="B25" s="19">
        <v>4028</v>
      </c>
      <c r="C25" s="19" t="s">
        <v>63</v>
      </c>
      <c r="D25" s="19" t="s">
        <v>95</v>
      </c>
      <c r="E25" s="53">
        <v>42485.323935185188</v>
      </c>
      <c r="F25" s="53">
        <v>42485.330821759257</v>
      </c>
      <c r="G25" s="62">
        <v>2</v>
      </c>
      <c r="H25" s="53" t="s">
        <v>20</v>
      </c>
      <c r="I25" s="53">
        <v>42485.365567129629</v>
      </c>
      <c r="J25" s="19">
        <v>0</v>
      </c>
      <c r="K25" s="19" t="str">
        <f>IF(ISEVEN(B25),(B25-1)&amp;"/"&amp;B25,B25&amp;"/"&amp;(B25+1))</f>
        <v>4027/4028</v>
      </c>
      <c r="L25" s="20">
        <f>I25-F25</f>
        <v>3.4745370372547768E-2</v>
      </c>
      <c r="M25" s="21">
        <f t="shared" si="0"/>
        <v>50.033333336468786</v>
      </c>
      <c r="N25" s="21"/>
      <c r="O25" s="22"/>
      <c r="P25" s="17" t="s">
        <v>193</v>
      </c>
      <c r="R25" s="16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https://search-rtdc-monitor-bjffxe2xuh6vdkpspy63sjmuny.us-east-1.es.amazonaws.com/_plugin/kibana/#/discover/Steve-Slow-Train-Analysis-(2080s-and-2083s)?_g=(refreshInterval:(display:Off,section:0,value:0),time:(from:'2016-04-25 07:45:28-0600',mode:absolute,to:'2016-04-25 08:47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S25" s="16" t="str">
        <f>IF(V25&lt;23,"Y","N")</f>
        <v>N</v>
      </c>
      <c r="T25" s="16">
        <f>RIGHT(D25,LEN(D25)-4)/10000</f>
        <v>23.299800000000001</v>
      </c>
      <c r="U25" s="16">
        <f>RIGHT(H25,LEN(H25)-4)/10000</f>
        <v>1.5800000000000002E-2</v>
      </c>
      <c r="V25" s="16">
        <f>ABS(U25-T25)</f>
        <v>23.284000000000002</v>
      </c>
      <c r="W25" s="49" t="e">
        <f>VLOOKUP(A25,Enforcements!$C$3:$J$9,8,0)</f>
        <v>#N/A</v>
      </c>
      <c r="X25" s="49" t="e">
        <f>VLOOKUP(A25,Enforcements!$C$3:$J$9,3,0)</f>
        <v>#N/A</v>
      </c>
    </row>
    <row r="26" spans="1:24" s="2" customFormat="1" x14ac:dyDescent="0.25">
      <c r="A26" s="18" t="s">
        <v>125</v>
      </c>
      <c r="B26" s="19">
        <v>4042</v>
      </c>
      <c r="C26" s="19" t="s">
        <v>63</v>
      </c>
      <c r="D26" s="19" t="s">
        <v>91</v>
      </c>
      <c r="E26" s="53">
        <v>42485.297800925924</v>
      </c>
      <c r="F26" s="53">
        <v>42485.298773148148</v>
      </c>
      <c r="G26" s="62">
        <v>1</v>
      </c>
      <c r="H26" s="53" t="s">
        <v>159</v>
      </c>
      <c r="I26" s="53">
        <v>42485.327349537038</v>
      </c>
      <c r="J26" s="19">
        <v>2</v>
      </c>
      <c r="K26" s="19" t="str">
        <f>IF(ISEVEN(B26),(B26-1)&amp;"/"&amp;B26,B26&amp;"/"&amp;(B26+1))</f>
        <v>4041/4042</v>
      </c>
      <c r="L26" s="20">
        <f>I26-F26</f>
        <v>2.8576388889632653E-2</v>
      </c>
      <c r="M26" s="21">
        <f t="shared" si="0"/>
        <v>41.150000001071021</v>
      </c>
      <c r="N26" s="21"/>
      <c r="O26" s="22"/>
      <c r="P26" s="17"/>
      <c r="R26" s="16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https://search-rtdc-monitor-bjffxe2xuh6vdkpspy63sjmuny.us-east-1.es.amazonaws.com/_plugin/kibana/#/discover/Steve-Slow-Train-Analysis-(2080s-and-2083s)?_g=(refreshInterval:(display:Off,section:0,value:0),time:(from:'2016-04-25 07:07:50-0600',mode:absolute,to:'2016-04-25 07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S26" s="16" t="str">
        <f>IF(V26&lt;23,"Y","N")</f>
        <v>N</v>
      </c>
      <c r="T26" s="16">
        <f>RIGHT(D26,LEN(D26)-4)/10000</f>
        <v>4.5999999999999999E-2</v>
      </c>
      <c r="U26" s="16">
        <f>RIGHT(H26,LEN(H26)-4)/10000</f>
        <v>23.328600000000002</v>
      </c>
      <c r="V26" s="16">
        <f>ABS(U26-T26)</f>
        <v>23.282600000000002</v>
      </c>
      <c r="W26" s="49">
        <f>VLOOKUP(A26,Enforcements!$C$3:$J$9,8,0)</f>
        <v>232080</v>
      </c>
      <c r="X26" s="49" t="str">
        <f>VLOOKUP(A26,Enforcements!$C$3:$J$9,3,0)</f>
        <v>PERMANENT SPEED RESTRICTION</v>
      </c>
    </row>
    <row r="27" spans="1:24" s="2" customFormat="1" x14ac:dyDescent="0.25">
      <c r="A27" s="18" t="s">
        <v>154</v>
      </c>
      <c r="B27" s="19">
        <v>4041</v>
      </c>
      <c r="C27" s="19" t="s">
        <v>63</v>
      </c>
      <c r="D27" s="19" t="s">
        <v>108</v>
      </c>
      <c r="E27" s="53">
        <v>42485.338125000002</v>
      </c>
      <c r="F27" s="53">
        <v>42485.341249999998</v>
      </c>
      <c r="G27" s="62">
        <v>1</v>
      </c>
      <c r="H27" s="53" t="s">
        <v>20</v>
      </c>
      <c r="I27" s="53">
        <v>42485.374467592592</v>
      </c>
      <c r="J27" s="19">
        <v>0</v>
      </c>
      <c r="K27" s="19" t="str">
        <f>IF(ISEVEN(B27),(B27-1)&amp;"/"&amp;B27,B27&amp;"/"&amp;(B27+1))</f>
        <v>4041/4042</v>
      </c>
      <c r="L27" s="20">
        <f>I27-F27</f>
        <v>3.3217592594155576E-2</v>
      </c>
      <c r="M27" s="21">
        <f t="shared" si="0"/>
        <v>47.83333333558403</v>
      </c>
      <c r="N27" s="21"/>
      <c r="O27" s="22"/>
      <c r="P27" s="17"/>
      <c r="R27" s="16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https://search-rtdc-monitor-bjffxe2xuh6vdkpspy63sjmuny.us-east-1.es.amazonaws.com/_plugin/kibana/#/discover/Steve-Slow-Train-Analysis-(2080s-and-2083s)?_g=(refreshInterval:(display:Off,section:0,value:0),time:(from:'2016-04-25 08:05:54-0600',mode:absolute,to:'2016-04-25 09:00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S27" s="16" t="str">
        <f>IF(V27&lt;23,"Y","N")</f>
        <v>N</v>
      </c>
      <c r="T27" s="16">
        <f>RIGHT(D27,LEN(D27)-4)/10000</f>
        <v>23.2973</v>
      </c>
      <c r="U27" s="16">
        <f>RIGHT(H27,LEN(H27)-4)/10000</f>
        <v>1.5800000000000002E-2</v>
      </c>
      <c r="V27" s="16">
        <f>ABS(U27-T27)</f>
        <v>23.281500000000001</v>
      </c>
      <c r="W27" s="49" t="e">
        <f>VLOOKUP(A27,Enforcements!$C$3:$J$9,8,0)</f>
        <v>#N/A</v>
      </c>
      <c r="X27" s="49" t="e">
        <f>VLOOKUP(A27,Enforcements!$C$3:$J$9,3,0)</f>
        <v>#N/A</v>
      </c>
    </row>
    <row r="28" spans="1:24" s="2" customFormat="1" x14ac:dyDescent="0.25">
      <c r="A28" s="18" t="s">
        <v>127</v>
      </c>
      <c r="B28" s="19">
        <v>4029</v>
      </c>
      <c r="C28" s="19" t="s">
        <v>63</v>
      </c>
      <c r="D28" s="19" t="s">
        <v>107</v>
      </c>
      <c r="E28" s="53">
        <v>42485.309791666667</v>
      </c>
      <c r="F28" s="53">
        <v>42485.310833333337</v>
      </c>
      <c r="G28" s="62">
        <v>1</v>
      </c>
      <c r="H28" s="53" t="s">
        <v>74</v>
      </c>
      <c r="I28" s="53">
        <v>42485.337627314817</v>
      </c>
      <c r="J28" s="19">
        <v>1</v>
      </c>
      <c r="K28" s="19" t="str">
        <f>IF(ISEVEN(B28),(B28-1)&amp;"/"&amp;B28,B28&amp;"/"&amp;(B28+1))</f>
        <v>4029/4030</v>
      </c>
      <c r="L28" s="20">
        <f>I28-F28</f>
        <v>2.679398148029577E-2</v>
      </c>
      <c r="M28" s="21">
        <f t="shared" si="0"/>
        <v>38.583333331625909</v>
      </c>
      <c r="N28" s="21"/>
      <c r="O28" s="22"/>
      <c r="P28" s="17"/>
      <c r="R28" s="16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https://search-rtdc-monitor-bjffxe2xuh6vdkpspy63sjmuny.us-east-1.es.amazonaws.com/_plugin/kibana/#/discover/Steve-Slow-Train-Analysis-(2080s-and-2083s)?_g=(refreshInterval:(display:Off,section:0,value:0),time:(from:'2016-04-25 07:25:06-0600',mode:absolute,to:'2016-04-25 08:07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S28" s="16" t="str">
        <f>IF(V28&lt;23,"Y","N")</f>
        <v>N</v>
      </c>
      <c r="T28" s="16">
        <f>RIGHT(D28,LEN(D28)-4)/10000</f>
        <v>4.5699999999999998E-2</v>
      </c>
      <c r="U28" s="16">
        <f>RIGHT(H28,LEN(H28)-4)/10000</f>
        <v>23.329799999999999</v>
      </c>
      <c r="V28" s="16">
        <f>ABS(U28-T28)</f>
        <v>23.284099999999999</v>
      </c>
      <c r="W28" s="49" t="e">
        <f>VLOOKUP(A28,Enforcements!$C$3:$J$9,8,0)</f>
        <v>#N/A</v>
      </c>
      <c r="X28" s="49" t="e">
        <f>VLOOKUP(A28,Enforcements!$C$3:$J$9,3,0)</f>
        <v>#N/A</v>
      </c>
    </row>
    <row r="29" spans="1:24" s="2" customFormat="1" x14ac:dyDescent="0.25">
      <c r="A29" s="18" t="s">
        <v>129</v>
      </c>
      <c r="B29" s="19">
        <v>4030</v>
      </c>
      <c r="C29" s="19" t="s">
        <v>63</v>
      </c>
      <c r="D29" s="19" t="s">
        <v>96</v>
      </c>
      <c r="E29" s="53">
        <v>42485.33934027778</v>
      </c>
      <c r="F29" s="53">
        <v>42485.351585648146</v>
      </c>
      <c r="G29" s="62">
        <v>1</v>
      </c>
      <c r="H29" s="53" t="s">
        <v>23</v>
      </c>
      <c r="I29" s="53">
        <v>42485.377789351849</v>
      </c>
      <c r="J29" s="19">
        <v>1</v>
      </c>
      <c r="K29" s="19" t="str">
        <f>IF(ISEVEN(B29),(B29-1)&amp;"/"&amp;B29,B29&amp;"/"&amp;(B29+1))</f>
        <v>4029/4030</v>
      </c>
      <c r="L29" s="20">
        <f>I29-F29</f>
        <v>2.6203703702776693E-2</v>
      </c>
      <c r="M29" s="21">
        <f t="shared" si="0"/>
        <v>37.733333331998438</v>
      </c>
      <c r="N29" s="21"/>
      <c r="O29" s="22"/>
      <c r="P29" s="17"/>
      <c r="R29" s="16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https://search-rtdc-monitor-bjffxe2xuh6vdkpspy63sjmuny.us-east-1.es.amazonaws.com/_plugin/kibana/#/discover/Steve-Slow-Train-Analysis-(2080s-and-2083s)?_g=(refreshInterval:(display:Off,section:0,value:0),time:(from:'2016-04-25 08:07:39-0600',mode:absolute,to:'2016-04-25 09:05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S29" s="16" t="str">
        <f>IF(V29&lt;23,"Y","N")</f>
        <v>N</v>
      </c>
      <c r="T29" s="16">
        <f>RIGHT(D29,LEN(D29)-4)/10000</f>
        <v>23.299399999999999</v>
      </c>
      <c r="U29" s="16">
        <f>RIGHT(H29,LEN(H29)-4)/10000</f>
        <v>1.5599999999999999E-2</v>
      </c>
      <c r="V29" s="16">
        <f>ABS(U29-T29)</f>
        <v>23.283799999999999</v>
      </c>
      <c r="W29" s="49" t="e">
        <f>VLOOKUP(A29,Enforcements!$C$3:$J$9,8,0)</f>
        <v>#N/A</v>
      </c>
      <c r="X29" s="49" t="e">
        <f>VLOOKUP(A29,Enforcements!$C$3:$J$9,3,0)</f>
        <v>#N/A</v>
      </c>
    </row>
    <row r="30" spans="1:24" s="2" customFormat="1" x14ac:dyDescent="0.25">
      <c r="A30" s="18" t="s">
        <v>156</v>
      </c>
      <c r="B30" s="19">
        <v>4007</v>
      </c>
      <c r="C30" s="19" t="s">
        <v>63</v>
      </c>
      <c r="D30" s="19" t="s">
        <v>157</v>
      </c>
      <c r="E30" s="53">
        <v>42485.319513888891</v>
      </c>
      <c r="F30" s="53">
        <v>42485.320925925924</v>
      </c>
      <c r="G30" s="62">
        <v>2</v>
      </c>
      <c r="H30" s="53" t="s">
        <v>98</v>
      </c>
      <c r="I30" s="53">
        <v>42485.348796296297</v>
      </c>
      <c r="J30" s="19">
        <v>0</v>
      </c>
      <c r="K30" s="19" t="str">
        <f>IF(ISEVEN(B30),(B30-1)&amp;"/"&amp;B30,B30&amp;"/"&amp;(B30+1))</f>
        <v>4007/4008</v>
      </c>
      <c r="L30" s="20">
        <f>I30-F30</f>
        <v>2.7870370373420883E-2</v>
      </c>
      <c r="M30" s="21">
        <f t="shared" si="0"/>
        <v>40.133333337726071</v>
      </c>
      <c r="N30" s="21"/>
      <c r="O30" s="22"/>
      <c r="P30" s="17"/>
      <c r="R30" s="16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https://search-rtdc-monitor-bjffxe2xuh6vdkpspy63sjmuny.us-east-1.es.amazonaws.com/_plugin/kibana/#/discover/Steve-Slow-Train-Analysis-(2080s-and-2083s)?_g=(refreshInterval:(display:Off,section:0,value:0),time:(from:'2016-04-25 07:39:06-0600',mode:absolute,to:'2016-04-25 08:23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S30" s="16" t="str">
        <f>IF(V30&lt;23,"Y","N")</f>
        <v>N</v>
      </c>
      <c r="T30" s="16">
        <f>RIGHT(D30,LEN(D30)-4)/10000</f>
        <v>4.6600000000000003E-2</v>
      </c>
      <c r="U30" s="16">
        <f>RIGHT(H30,LEN(H30)-4)/10000</f>
        <v>23.330500000000001</v>
      </c>
      <c r="V30" s="16">
        <f>ABS(U30-T30)</f>
        <v>23.283899999999999</v>
      </c>
      <c r="W30" s="49" t="e">
        <f>VLOOKUP(A30,Enforcements!$C$3:$J$9,8,0)</f>
        <v>#N/A</v>
      </c>
      <c r="X30" s="49" t="e">
        <f>VLOOKUP(A30,Enforcements!$C$3:$J$9,3,0)</f>
        <v>#N/A</v>
      </c>
    </row>
    <row r="31" spans="1:24" s="2" customFormat="1" x14ac:dyDescent="0.25">
      <c r="A31" s="18" t="s">
        <v>150</v>
      </c>
      <c r="B31" s="19">
        <v>4008</v>
      </c>
      <c r="C31" s="19" t="s">
        <v>63</v>
      </c>
      <c r="D31" s="19" t="s">
        <v>87</v>
      </c>
      <c r="E31" s="53">
        <v>42485.352083333331</v>
      </c>
      <c r="F31" s="53">
        <v>42485.362083333333</v>
      </c>
      <c r="G31" s="62">
        <v>1</v>
      </c>
      <c r="H31" s="53" t="s">
        <v>22</v>
      </c>
      <c r="I31" s="53">
        <v>42485.390798611108</v>
      </c>
      <c r="J31" s="19">
        <v>0</v>
      </c>
      <c r="K31" s="19" t="str">
        <f>IF(ISEVEN(B31),(B31-1)&amp;"/"&amp;B31,B31&amp;"/"&amp;(B31+1))</f>
        <v>4007/4008</v>
      </c>
      <c r="L31" s="20">
        <f>I31-F31</f>
        <v>2.8715277774608694E-2</v>
      </c>
      <c r="M31" s="21">
        <f t="shared" si="0"/>
        <v>41.349999995436519</v>
      </c>
      <c r="N31" s="21"/>
      <c r="O31" s="22"/>
      <c r="P31" s="17"/>
      <c r="R31" s="16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https://search-rtdc-monitor-bjffxe2xuh6vdkpspy63sjmuny.us-east-1.es.amazonaws.com/_plugin/kibana/#/discover/Steve-Slow-Train-Analysis-(2080s-and-2083s)?_g=(refreshInterval:(display:Off,section:0,value:0),time:(from:'2016-04-25 08:26:00-0600',mode:absolute,to:'2016-04-25 09:23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S31" s="16" t="str">
        <f>IF(V31&lt;23,"Y","N")</f>
        <v>N</v>
      </c>
      <c r="T31" s="16">
        <f>RIGHT(D31,LEN(D31)-4)/10000</f>
        <v>23.298400000000001</v>
      </c>
      <c r="U31" s="16">
        <f>RIGHT(H31,LEN(H31)-4)/10000</f>
        <v>1.4999999999999999E-2</v>
      </c>
      <c r="V31" s="16">
        <f>ABS(U31-T31)</f>
        <v>23.2834</v>
      </c>
      <c r="W31" s="49" t="e">
        <f>VLOOKUP(A31,Enforcements!$C$3:$J$9,8,0)</f>
        <v>#N/A</v>
      </c>
      <c r="X31" s="49" t="e">
        <f>VLOOKUP(A31,Enforcements!$C$3:$J$9,3,0)</f>
        <v>#N/A</v>
      </c>
    </row>
    <row r="32" spans="1:24" s="2" customFormat="1" x14ac:dyDescent="0.25">
      <c r="A32" s="18" t="s">
        <v>151</v>
      </c>
      <c r="B32" s="19">
        <v>4025</v>
      </c>
      <c r="C32" s="19" t="s">
        <v>63</v>
      </c>
      <c r="D32" s="19" t="s">
        <v>152</v>
      </c>
      <c r="E32" s="53">
        <v>42485.338067129633</v>
      </c>
      <c r="F32" s="53">
        <v>42485.338888888888</v>
      </c>
      <c r="G32" s="62">
        <v>1</v>
      </c>
      <c r="H32" s="53" t="s">
        <v>153</v>
      </c>
      <c r="I32" s="53">
        <v>42485.368657407409</v>
      </c>
      <c r="J32" s="19">
        <v>0</v>
      </c>
      <c r="K32" s="19" t="str">
        <f>IF(ISEVEN(B32),(B32-1)&amp;"/"&amp;B32,B32&amp;"/"&amp;(B32+1))</f>
        <v>4025/4026</v>
      </c>
      <c r="L32" s="20">
        <f>I32-F32</f>
        <v>2.976851852145046E-2</v>
      </c>
      <c r="M32" s="21">
        <f t="shared" si="0"/>
        <v>42.866666670888662</v>
      </c>
      <c r="N32" s="21"/>
      <c r="O32" s="21"/>
      <c r="P32" s="17"/>
      <c r="R32" s="16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https://search-rtdc-monitor-bjffxe2xuh6vdkpspy63sjmuny.us-east-1.es.amazonaws.com/_plugin/kibana/#/discover/Steve-Slow-Train-Analysis-(2080s-and-2083s)?_g=(refreshInterval:(display:Off,section:0,value:0),time:(from:'2016-04-25 08:05:49-0600',mode:absolute,to:'2016-04-25 08:51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S32" s="16" t="str">
        <f>IF(V32&lt;23,"Y","N")</f>
        <v>N</v>
      </c>
      <c r="T32" s="16">
        <f>RIGHT(D32,LEN(D32)-4)/10000</f>
        <v>5.8400000000000001E-2</v>
      </c>
      <c r="U32" s="16">
        <f>RIGHT(H32,LEN(H32)-4)/10000</f>
        <v>23.3309</v>
      </c>
      <c r="V32" s="16">
        <f>ABS(U32-T32)</f>
        <v>23.272500000000001</v>
      </c>
      <c r="W32" s="49" t="e">
        <f>VLOOKUP(A32,Enforcements!$C$3:$J$9,8,0)</f>
        <v>#N/A</v>
      </c>
      <c r="X32" s="49" t="e">
        <f>VLOOKUP(A32,Enforcements!$C$3:$J$9,3,0)</f>
        <v>#N/A</v>
      </c>
    </row>
    <row r="33" spans="1:24" s="2" customFormat="1" x14ac:dyDescent="0.25">
      <c r="A33" s="18" t="s">
        <v>148</v>
      </c>
      <c r="B33" s="19">
        <v>4026</v>
      </c>
      <c r="C33" s="19" t="s">
        <v>63</v>
      </c>
      <c r="D33" s="19" t="s">
        <v>149</v>
      </c>
      <c r="E33" s="53">
        <v>42485.374837962961</v>
      </c>
      <c r="F33" s="53">
        <v>42485.375578703701</v>
      </c>
      <c r="G33" s="62">
        <v>1</v>
      </c>
      <c r="H33" s="53" t="s">
        <v>92</v>
      </c>
      <c r="I33" s="53">
        <v>42485.408842592595</v>
      </c>
      <c r="J33" s="19">
        <v>0</v>
      </c>
      <c r="K33" s="19" t="str">
        <f>IF(ISEVEN(B33),(B33-1)&amp;"/"&amp;B33,B33&amp;"/"&amp;(B33+1))</f>
        <v>4025/4026</v>
      </c>
      <c r="L33" s="20">
        <f>I33-F33</f>
        <v>3.3263888893998228E-2</v>
      </c>
      <c r="M33" s="21">
        <f t="shared" si="0"/>
        <v>47.900000007357448</v>
      </c>
      <c r="N33" s="21"/>
      <c r="O33" s="21"/>
      <c r="P33" s="17"/>
      <c r="R33" s="16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https://search-rtdc-monitor-bjffxe2xuh6vdkpspy63sjmuny.us-east-1.es.amazonaws.com/_plugin/kibana/#/discover/Steve-Slow-Train-Analysis-(2080s-and-2083s)?_g=(refreshInterval:(display:Off,section:0,value:0),time:(from:'2016-04-25 08:58:46-0600',mode:absolute,to:'2016-04-25 09:49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33" s="16" t="str">
        <f>IF(V33&lt;23,"Y","N")</f>
        <v>N</v>
      </c>
      <c r="T33" s="16">
        <f>RIGHT(D33,LEN(D33)-4)/10000</f>
        <v>23.2988</v>
      </c>
      <c r="U33" s="16">
        <f>RIGHT(H33,LEN(H33)-4)/10000</f>
        <v>1.6299999999999999E-2</v>
      </c>
      <c r="V33" s="16">
        <f>ABS(U33-T33)</f>
        <v>23.282499999999999</v>
      </c>
      <c r="W33" s="49" t="e">
        <f>VLOOKUP(A33,Enforcements!$C$3:$J$9,8,0)</f>
        <v>#N/A</v>
      </c>
      <c r="X33" s="49" t="e">
        <f>VLOOKUP(A33,Enforcements!$C$3:$J$9,3,0)</f>
        <v>#N/A</v>
      </c>
    </row>
    <row r="34" spans="1:24" s="2" customFormat="1" x14ac:dyDescent="0.25">
      <c r="A34" s="18" t="s">
        <v>131</v>
      </c>
      <c r="B34" s="19">
        <v>4018</v>
      </c>
      <c r="C34" s="19" t="s">
        <v>63</v>
      </c>
      <c r="D34" s="19" t="s">
        <v>103</v>
      </c>
      <c r="E34" s="53">
        <v>42485.351481481484</v>
      </c>
      <c r="F34" s="53">
        <v>42485.35261574074</v>
      </c>
      <c r="G34" s="62">
        <v>1</v>
      </c>
      <c r="H34" s="53" t="s">
        <v>77</v>
      </c>
      <c r="I34" s="53">
        <v>42485.38082175926</v>
      </c>
      <c r="J34" s="19">
        <v>1</v>
      </c>
      <c r="K34" s="19" t="str">
        <f>IF(ISEVEN(B34),(B34-1)&amp;"/"&amp;B34,B34&amp;"/"&amp;(B34+1))</f>
        <v>4017/4018</v>
      </c>
      <c r="L34" s="20">
        <f>I34-F34</f>
        <v>2.8206018519995268E-2</v>
      </c>
      <c r="M34" s="21">
        <f t="shared" si="0"/>
        <v>40.616666668793187</v>
      </c>
      <c r="N34" s="21"/>
      <c r="O34" s="22"/>
      <c r="P34" s="17"/>
      <c r="R34" s="16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https://search-rtdc-monitor-bjffxe2xuh6vdkpspy63sjmuny.us-east-1.es.amazonaws.com/_plugin/kibana/#/discover/Steve-Slow-Train-Analysis-(2080s-and-2083s)?_g=(refreshInterval:(display:Off,section:0,value:0),time:(from:'2016-04-25 08:25:08-0600',mode:absolute,to:'2016-04-25 09:09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S34" s="16" t="str">
        <f>IF(V34&lt;23,"Y","N")</f>
        <v>N</v>
      </c>
      <c r="T34" s="16">
        <f>RIGHT(D34,LEN(D34)-4)/10000</f>
        <v>4.6699999999999998E-2</v>
      </c>
      <c r="U34" s="16">
        <f>RIGHT(H34,LEN(H34)-4)/10000</f>
        <v>23.329699999999999</v>
      </c>
      <c r="V34" s="16">
        <f>ABS(U34-T34)</f>
        <v>23.282999999999998</v>
      </c>
      <c r="W34" s="49" t="e">
        <f>VLOOKUP(A34,Enforcements!$C$3:$J$9,8,0)</f>
        <v>#N/A</v>
      </c>
      <c r="X34" s="49" t="e">
        <f>VLOOKUP(A34,Enforcements!$C$3:$J$9,3,0)</f>
        <v>#N/A</v>
      </c>
    </row>
    <row r="35" spans="1:24" s="2" customFormat="1" x14ac:dyDescent="0.25">
      <c r="A35" s="18" t="s">
        <v>128</v>
      </c>
      <c r="B35" s="19">
        <v>4027</v>
      </c>
      <c r="C35" s="19" t="s">
        <v>63</v>
      </c>
      <c r="D35" s="19" t="s">
        <v>85</v>
      </c>
      <c r="E35" s="53">
        <v>42485.367638888885</v>
      </c>
      <c r="F35" s="53">
        <v>42485.368645833332</v>
      </c>
      <c r="G35" s="62">
        <v>1</v>
      </c>
      <c r="H35" s="53" t="s">
        <v>73</v>
      </c>
      <c r="I35" s="53">
        <v>42485.396458333336</v>
      </c>
      <c r="J35" s="19">
        <v>1</v>
      </c>
      <c r="K35" s="19" t="str">
        <f>IF(ISEVEN(B35),(B35-1)&amp;"/"&amp;B35,B35&amp;"/"&amp;(B35+1))</f>
        <v>4027/4028</v>
      </c>
      <c r="L35" s="20">
        <f>I35-F35</f>
        <v>2.7812500004074536E-2</v>
      </c>
      <c r="M35" s="21">
        <f t="shared" si="0"/>
        <v>40.050000005867332</v>
      </c>
      <c r="N35" s="21"/>
      <c r="O35" s="22"/>
      <c r="P35" s="17"/>
      <c r="R35" s="16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https://search-rtdc-monitor-bjffxe2xuh6vdkpspy63sjmuny.us-east-1.es.amazonaws.com/_plugin/kibana/#/discover/Steve-Slow-Train-Analysis-(2080s-and-2083s)?_g=(refreshInterval:(display:Off,section:0,value:0),time:(from:'2016-04-25 08:48:24-0600',mode:absolute,to:'2016-04-25 09:31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S35" s="16" t="str">
        <f>IF(V35&lt;23,"Y","N")</f>
        <v>N</v>
      </c>
      <c r="T35" s="16">
        <f>RIGHT(D35,LEN(D35)-4)/10000</f>
        <v>4.6199999999999998E-2</v>
      </c>
      <c r="U35" s="16">
        <f>RIGHT(H35,LEN(H35)-4)/10000</f>
        <v>23.331199999999999</v>
      </c>
      <c r="V35" s="16">
        <f>ABS(U35-T35)</f>
        <v>23.285</v>
      </c>
      <c r="W35" s="49">
        <f>VLOOKUP(A35,Enforcements!$C$3:$J$9,8,0)</f>
        <v>58783</v>
      </c>
      <c r="X35" s="49" t="str">
        <f>VLOOKUP(A35,Enforcements!$C$3:$J$9,3,0)</f>
        <v>GRADE CROSSING</v>
      </c>
    </row>
    <row r="36" spans="1:24" s="2" customFormat="1" x14ac:dyDescent="0.25">
      <c r="A36" s="18" t="s">
        <v>143</v>
      </c>
      <c r="B36" s="19">
        <v>4028</v>
      </c>
      <c r="C36" s="19" t="s">
        <v>63</v>
      </c>
      <c r="D36" s="19" t="s">
        <v>97</v>
      </c>
      <c r="E36" s="53">
        <v>42485.399652777778</v>
      </c>
      <c r="F36" s="53">
        <v>42485.400520833333</v>
      </c>
      <c r="G36" s="62">
        <v>1</v>
      </c>
      <c r="H36" s="53" t="s">
        <v>76</v>
      </c>
      <c r="I36" s="53">
        <v>42485.429548611108</v>
      </c>
      <c r="J36" s="19">
        <v>0</v>
      </c>
      <c r="K36" s="19" t="str">
        <f>IF(ISEVEN(B36),(B36-1)&amp;"/"&amp;B36,B36&amp;"/"&amp;(B36+1))</f>
        <v>4027/4028</v>
      </c>
      <c r="L36" s="20">
        <f>I36-F36</f>
        <v>2.9027777774899732E-2</v>
      </c>
      <c r="M36" s="21">
        <f t="shared" si="0"/>
        <v>41.799999995855615</v>
      </c>
      <c r="N36" s="21"/>
      <c r="O36" s="22"/>
      <c r="P36" s="17"/>
      <c r="R36" s="16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https://search-rtdc-monitor-bjffxe2xuh6vdkpspy63sjmuny.us-east-1.es.amazonaws.com/_plugin/kibana/#/discover/Steve-Slow-Train-Analysis-(2080s-and-2083s)?_g=(refreshInterval:(display:Off,section:0,value:0),time:(from:'2016-04-25 09:34:30-0600',mode:absolute,to:'2016-04-25 10:19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S36" s="16" t="str">
        <f>IF(V36&lt;23,"Y","N")</f>
        <v>N</v>
      </c>
      <c r="T36" s="16">
        <f>RIGHT(D36,LEN(D36)-4)/10000</f>
        <v>23.298200000000001</v>
      </c>
      <c r="U36" s="16">
        <f>RIGHT(H36,LEN(H36)-4)/10000</f>
        <v>1.38E-2</v>
      </c>
      <c r="V36" s="16">
        <f>ABS(U36-T36)</f>
        <v>23.284400000000002</v>
      </c>
      <c r="W36" s="49" t="e">
        <f>VLOOKUP(A36,Enforcements!$C$3:$J$9,8,0)</f>
        <v>#N/A</v>
      </c>
      <c r="X36" s="49" t="e">
        <f>VLOOKUP(A36,Enforcements!$C$3:$J$9,3,0)</f>
        <v>#N/A</v>
      </c>
    </row>
    <row r="37" spans="1:24" s="2" customFormat="1" x14ac:dyDescent="0.25">
      <c r="A37" s="18" t="s">
        <v>134</v>
      </c>
      <c r="B37" s="19">
        <v>4042</v>
      </c>
      <c r="C37" s="19" t="s">
        <v>63</v>
      </c>
      <c r="D37" s="19" t="s">
        <v>106</v>
      </c>
      <c r="E37" s="53">
        <v>42485.375555555554</v>
      </c>
      <c r="F37" s="53">
        <v>42485.377025462964</v>
      </c>
      <c r="G37" s="62">
        <v>2</v>
      </c>
      <c r="H37" s="53" t="s">
        <v>77</v>
      </c>
      <c r="I37" s="53">
        <v>42485.402418981481</v>
      </c>
      <c r="J37" s="19">
        <v>1</v>
      </c>
      <c r="K37" s="19" t="str">
        <f>IF(ISEVEN(B37),(B37-1)&amp;"/"&amp;B37,B37&amp;"/"&amp;(B37+1))</f>
        <v>4041/4042</v>
      </c>
      <c r="L37" s="20">
        <f>I37-F37</f>
        <v>2.5393518517375924E-2</v>
      </c>
      <c r="M37" s="21">
        <f t="shared" si="0"/>
        <v>36.56666666502133</v>
      </c>
      <c r="N37" s="21"/>
      <c r="O37" s="22"/>
      <c r="P37" s="17"/>
      <c r="R37" s="16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https://search-rtdc-monitor-bjffxe2xuh6vdkpspy63sjmuny.us-east-1.es.amazonaws.com/_plugin/kibana/#/discover/Steve-Slow-Train-Analysis-(2080s-and-2083s)?_g=(refreshInterval:(display:Off,section:0,value:0),time:(from:'2016-04-25 08:59:48-0600',mode:absolute,to:'2016-04-25 09:40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S37" s="16" t="str">
        <f>IF(V37&lt;23,"Y","N")</f>
        <v>N</v>
      </c>
      <c r="T37" s="16">
        <f>RIGHT(D37,LEN(D37)-4)/10000</f>
        <v>4.8000000000000001E-2</v>
      </c>
      <c r="U37" s="16">
        <f>RIGHT(H37,LEN(H37)-4)/10000</f>
        <v>23.329699999999999</v>
      </c>
      <c r="V37" s="16">
        <f>ABS(U37-T37)</f>
        <v>23.281700000000001</v>
      </c>
      <c r="W37" s="49" t="e">
        <f>VLOOKUP(A37,Enforcements!$C$3:$J$9,8,0)</f>
        <v>#N/A</v>
      </c>
      <c r="X37" s="49" t="e">
        <f>VLOOKUP(A37,Enforcements!$C$3:$J$9,3,0)</f>
        <v>#N/A</v>
      </c>
    </row>
    <row r="38" spans="1:24" s="2" customFormat="1" x14ac:dyDescent="0.25">
      <c r="A38" s="18" t="s">
        <v>136</v>
      </c>
      <c r="B38" s="19">
        <v>4041</v>
      </c>
      <c r="C38" s="19" t="s">
        <v>63</v>
      </c>
      <c r="D38" s="19" t="s">
        <v>141</v>
      </c>
      <c r="E38" s="53">
        <v>42485.404247685183</v>
      </c>
      <c r="F38" s="53">
        <v>42485.414236111108</v>
      </c>
      <c r="G38" s="62">
        <v>1</v>
      </c>
      <c r="H38" s="53" t="s">
        <v>142</v>
      </c>
      <c r="I38" s="53">
        <v>42485.439872685187</v>
      </c>
      <c r="J38" s="19">
        <v>1</v>
      </c>
      <c r="K38" s="19" t="str">
        <f>IF(ISEVEN(B38),(B38-1)&amp;"/"&amp;B38,B38&amp;"/"&amp;(B38+1))</f>
        <v>4041/4042</v>
      </c>
      <c r="L38" s="20">
        <f>I38-F38</f>
        <v>2.5636574078816921E-2</v>
      </c>
      <c r="M38" s="21">
        <f t="shared" si="0"/>
        <v>36.916666673496366</v>
      </c>
      <c r="N38" s="21"/>
      <c r="O38" s="22"/>
      <c r="P38" s="17"/>
      <c r="R38" s="16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https://search-rtdc-monitor-bjffxe2xuh6vdkpspy63sjmuny.us-east-1.es.amazonaws.com/_plugin/kibana/#/discover/Steve-Slow-Train-Analysis-(2080s-and-2083s)?_g=(refreshInterval:(display:Off,section:0,value:0),time:(from:'2016-04-25 09:41:07-0600',mode:absolute,to:'2016-04-25 10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S38" s="16" t="str">
        <f>IF(V38&lt;23,"Y","N")</f>
        <v>N</v>
      </c>
      <c r="T38" s="16">
        <f>RIGHT(D38,LEN(D38)-4)/10000</f>
        <v>23.2989</v>
      </c>
      <c r="U38" s="16">
        <f>RIGHT(H38,LEN(H38)-4)/10000</f>
        <v>1.9800000000000002E-2</v>
      </c>
      <c r="V38" s="16">
        <f>ABS(U38-T38)</f>
        <v>23.2791</v>
      </c>
      <c r="W38" s="49" t="e">
        <f>VLOOKUP(A38,Enforcements!$C$3:$J$9,8,0)</f>
        <v>#N/A</v>
      </c>
      <c r="X38" s="49" t="e">
        <f>VLOOKUP(A38,Enforcements!$C$3:$J$9,3,0)</f>
        <v>#N/A</v>
      </c>
    </row>
    <row r="39" spans="1:24" s="2" customFormat="1" x14ac:dyDescent="0.25">
      <c r="A39" s="18" t="s">
        <v>135</v>
      </c>
      <c r="B39" s="19">
        <v>4029</v>
      </c>
      <c r="C39" s="19" t="s">
        <v>63</v>
      </c>
      <c r="D39" s="19" t="s">
        <v>99</v>
      </c>
      <c r="E39" s="53">
        <v>42485.38140046296</v>
      </c>
      <c r="F39" s="53">
        <v>42485.382534722223</v>
      </c>
      <c r="G39" s="62">
        <v>1</v>
      </c>
      <c r="H39" s="53" t="s">
        <v>105</v>
      </c>
      <c r="I39" s="53">
        <v>42485.410370370373</v>
      </c>
      <c r="J39" s="19">
        <v>1</v>
      </c>
      <c r="K39" s="19" t="str">
        <f>IF(ISEVEN(B39),(B39-1)&amp;"/"&amp;B39,B39&amp;"/"&amp;(B39+1))</f>
        <v>4029/4030</v>
      </c>
      <c r="L39" s="20">
        <f>I39-F39</f>
        <v>2.7835648150357883E-2</v>
      </c>
      <c r="M39" s="21">
        <f t="shared" si="0"/>
        <v>40.083333336515352</v>
      </c>
      <c r="N39" s="21"/>
      <c r="O39" s="22"/>
      <c r="P39" s="17"/>
      <c r="R39" s="16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https://search-rtdc-monitor-bjffxe2xuh6vdkpspy63sjmuny.us-east-1.es.amazonaws.com/_plugin/kibana/#/discover/Steve-Slow-Train-Analysis-(2080s-and-2083s)?_g=(refreshInterval:(display:Off,section:0,value:0),time:(from:'2016-04-25 09:08:13-0600',mode:absolute,to:'2016-04-25 09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S39" s="16" t="str">
        <f>IF(V39&lt;23,"Y","N")</f>
        <v>N</v>
      </c>
      <c r="T39" s="16">
        <f>RIGHT(D39,LEN(D39)-4)/10000</f>
        <v>4.4900000000000002E-2</v>
      </c>
      <c r="U39" s="16">
        <f>RIGHT(H39,LEN(H39)-4)/10000</f>
        <v>23.331099999999999</v>
      </c>
      <c r="V39" s="16">
        <f>ABS(U39-T39)</f>
        <v>23.286200000000001</v>
      </c>
      <c r="W39" s="49" t="e">
        <f>VLOOKUP(A39,Enforcements!$C$3:$J$9,8,0)</f>
        <v>#N/A</v>
      </c>
      <c r="X39" s="49" t="e">
        <f>VLOOKUP(A39,Enforcements!$C$3:$J$9,3,0)</f>
        <v>#N/A</v>
      </c>
    </row>
    <row r="40" spans="1:24" s="2" customFormat="1" x14ac:dyDescent="0.25">
      <c r="A40" s="18" t="s">
        <v>133</v>
      </c>
      <c r="B40" s="19">
        <v>4007</v>
      </c>
      <c r="C40" s="19" t="s">
        <v>63</v>
      </c>
      <c r="D40" s="19" t="s">
        <v>147</v>
      </c>
      <c r="E40" s="53">
        <v>42485.392905092594</v>
      </c>
      <c r="F40" s="53">
        <v>42485.394375000003</v>
      </c>
      <c r="G40" s="62">
        <v>2</v>
      </c>
      <c r="H40" s="53" t="s">
        <v>94</v>
      </c>
      <c r="I40" s="53">
        <v>42485.4219212963</v>
      </c>
      <c r="J40" s="19">
        <v>1</v>
      </c>
      <c r="K40" s="19" t="str">
        <f>IF(ISEVEN(B40),(B40-1)&amp;"/"&amp;B40,B40&amp;"/"&amp;(B40+1))</f>
        <v>4007/4008</v>
      </c>
      <c r="L40" s="20">
        <f>I40-F40</f>
        <v>2.7546296296350192E-2</v>
      </c>
      <c r="M40" s="21">
        <f t="shared" si="0"/>
        <v>39.666666666744277</v>
      </c>
      <c r="N40" s="21"/>
      <c r="O40" s="22"/>
      <c r="P40" s="17"/>
      <c r="R40" s="16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https://search-rtdc-monitor-bjffxe2xuh6vdkpspy63sjmuny.us-east-1.es.amazonaws.com/_plugin/kibana/#/discover/Steve-Slow-Train-Analysis-(2080s-and-2083s)?_g=(refreshInterval:(display:Off,section:0,value:0),time:(from:'2016-04-25 09:24:47-0600',mode:absolute,to:'2016-04-25 10:08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S40" s="16" t="str">
        <f>IF(V40&lt;23,"Y","N")</f>
        <v>N</v>
      </c>
      <c r="T40" s="16">
        <f>RIGHT(D40,LEN(D40)-4)/10000</f>
        <v>4.4400000000000002E-2</v>
      </c>
      <c r="U40" s="16">
        <f>RIGHT(H40,LEN(H40)-4)/10000</f>
        <v>23.331399999999999</v>
      </c>
      <c r="V40" s="16">
        <f>ABS(U40-T40)</f>
        <v>23.286999999999999</v>
      </c>
      <c r="W40" s="49">
        <f>VLOOKUP(A40,Enforcements!$C$3:$J$9,8,0)</f>
        <v>20338</v>
      </c>
      <c r="X40" s="49" t="str">
        <f>VLOOKUP(A40,Enforcements!$C$3:$J$9,3,0)</f>
        <v>PERMANENT SPEED RESTRICTION</v>
      </c>
    </row>
    <row r="41" spans="1:24" s="2" customFormat="1" x14ac:dyDescent="0.25">
      <c r="A41" s="18" t="s">
        <v>144</v>
      </c>
      <c r="B41" s="19">
        <v>4009</v>
      </c>
      <c r="C41" s="19" t="s">
        <v>63</v>
      </c>
      <c r="D41" s="19" t="s">
        <v>145</v>
      </c>
      <c r="E41" s="53">
        <v>42485.397037037037</v>
      </c>
      <c r="F41" s="53">
        <v>42485.406782407408</v>
      </c>
      <c r="G41" s="62">
        <v>1</v>
      </c>
      <c r="H41" s="53" t="s">
        <v>146</v>
      </c>
      <c r="I41" s="53">
        <v>42485.432881944442</v>
      </c>
      <c r="J41" s="19">
        <v>0</v>
      </c>
      <c r="K41" s="19" t="str">
        <f>IF(ISEVEN(B41),(B41-1)&amp;"/"&amp;B41,B41&amp;"/"&amp;(B41+1))</f>
        <v>4009/4010</v>
      </c>
      <c r="L41" s="20">
        <f>I41-F41</f>
        <v>2.6099537033587694E-2</v>
      </c>
      <c r="M41" s="21">
        <f t="shared" si="0"/>
        <v>37.58333332836628</v>
      </c>
      <c r="N41" s="21"/>
      <c r="O41" s="22"/>
      <c r="P41" s="17"/>
      <c r="R41" s="16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https://search-rtdc-monitor-bjffxe2xuh6vdkpspy63sjmuny.us-east-1.es.amazonaws.com/_plugin/kibana/#/discover/Steve-Slow-Train-Analysis-(2080s-and-2083s)?_g=(refreshInterval:(display:Off,section:0,value:0),time:(from:'2016-04-25 09:30:44-0600',mode:absolute,to:'2016-04-25 10:24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S41" s="16" t="str">
        <f>IF(V41&lt;23,"Y","N")</f>
        <v>N</v>
      </c>
      <c r="T41" s="16">
        <f>RIGHT(D41,LEN(D41)-4)/10000</f>
        <v>0.11600000000000001</v>
      </c>
      <c r="U41" s="16">
        <f>RIGHT(H41,LEN(H41)-4)/10000</f>
        <v>23.3307</v>
      </c>
      <c r="V41" s="16">
        <f>ABS(U41-T41)</f>
        <v>23.214700000000001</v>
      </c>
      <c r="W41" s="49" t="e">
        <f>VLOOKUP(A41,Enforcements!$C$3:$J$9,8,0)</f>
        <v>#N/A</v>
      </c>
      <c r="X41" s="49" t="e">
        <f>VLOOKUP(A41,Enforcements!$C$3:$J$9,3,0)</f>
        <v>#N/A</v>
      </c>
    </row>
    <row r="42" spans="1:24" s="2" customFormat="1" x14ac:dyDescent="0.25">
      <c r="A42" s="18" t="s">
        <v>140</v>
      </c>
      <c r="B42" s="19">
        <v>4025</v>
      </c>
      <c r="C42" s="19" t="s">
        <v>63</v>
      </c>
      <c r="D42" s="19" t="s">
        <v>85</v>
      </c>
      <c r="E42" s="53">
        <v>42485.411793981482</v>
      </c>
      <c r="F42" s="53">
        <v>42485.412824074076</v>
      </c>
      <c r="G42" s="62">
        <v>1</v>
      </c>
      <c r="H42" s="53" t="s">
        <v>88</v>
      </c>
      <c r="I42" s="53">
        <v>42485.415983796294</v>
      </c>
      <c r="J42" s="19">
        <v>0</v>
      </c>
      <c r="K42" s="19" t="str">
        <f>IF(ISEVEN(B42),(B42-1)&amp;"/"&amp;B42,B42&amp;"/"&amp;(B42+1))</f>
        <v>4025/4026</v>
      </c>
      <c r="L42" s="20">
        <f>I42-F42</f>
        <v>3.159722218697425E-3</v>
      </c>
      <c r="M42" s="21"/>
      <c r="N42" s="21"/>
      <c r="O42" s="21">
        <f t="shared" si="0"/>
        <v>4.549999994924292</v>
      </c>
      <c r="P42" s="17" t="s">
        <v>192</v>
      </c>
      <c r="R42" s="16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https://search-rtdc-monitor-bjffxe2xuh6vdkpspy63sjmuny.us-east-1.es.amazonaws.com/_plugin/kibana/#/discover/Steve-Slow-Train-Analysis-(2080s-and-2083s)?_g=(refreshInterval:(display:Off,section:0,value:0),time:(from:'2016-04-25 09:51:59-0600',mode:absolute,to:'2016-04-25 10:00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S42" s="16" t="str">
        <f>IF(V42&lt;23,"Y","N")</f>
        <v>Y</v>
      </c>
      <c r="T42" s="16">
        <f>RIGHT(D42,LEN(D42)-4)/10000</f>
        <v>4.6199999999999998E-2</v>
      </c>
      <c r="U42" s="16">
        <f>RIGHT(H42,LEN(H42)-4)/10000</f>
        <v>4.5499999999999999E-2</v>
      </c>
      <c r="V42" s="16">
        <f>ABS(U42-T42)</f>
        <v>6.9999999999999923E-4</v>
      </c>
      <c r="W42" s="49" t="e">
        <f>VLOOKUP(A42,Enforcements!$C$3:$J$9,8,0)</f>
        <v>#N/A</v>
      </c>
      <c r="X42" s="49" t="e">
        <f>VLOOKUP(A42,Enforcements!$C$3:$J$9,3,0)</f>
        <v>#N/A</v>
      </c>
    </row>
    <row r="43" spans="1:24" s="2" customFormat="1" ht="15.75" thickBot="1" x14ac:dyDescent="0.3">
      <c r="E43" s="54"/>
      <c r="F43" s="54"/>
      <c r="G43" s="63"/>
      <c r="H43" s="54"/>
      <c r="I43" s="66">
        <f>Z2</f>
        <v>42485</v>
      </c>
      <c r="J43" s="67"/>
      <c r="K43" s="65"/>
      <c r="L43" s="68" t="s">
        <v>9</v>
      </c>
      <c r="M43" s="69"/>
      <c r="N43" s="70"/>
      <c r="O43" s="5"/>
      <c r="W43" s="47"/>
      <c r="X43" s="47"/>
    </row>
    <row r="44" spans="1:24" s="2" customFormat="1" ht="15.75" thickBot="1" x14ac:dyDescent="0.3">
      <c r="E44" s="54"/>
      <c r="F44" s="54"/>
      <c r="G44" s="63"/>
      <c r="H44" s="54"/>
      <c r="I44" s="71" t="s">
        <v>11</v>
      </c>
      <c r="J44" s="72"/>
      <c r="K44" s="58"/>
      <c r="L44" s="9" t="s">
        <v>12</v>
      </c>
      <c r="M44" s="6" t="s">
        <v>13</v>
      </c>
      <c r="N44" s="7" t="s">
        <v>14</v>
      </c>
      <c r="O44" s="5"/>
      <c r="W44" s="47"/>
      <c r="X44" s="47"/>
    </row>
    <row r="45" spans="1:24" s="2" customFormat="1" ht="15.75" thickBot="1" x14ac:dyDescent="0.3">
      <c r="E45" s="54"/>
      <c r="F45" s="54"/>
      <c r="G45" s="63"/>
      <c r="H45" s="54"/>
      <c r="I45" s="55" t="s">
        <v>15</v>
      </c>
      <c r="J45" s="3">
        <f>COUNT(M3:O42)</f>
        <v>40</v>
      </c>
      <c r="K45" s="3"/>
      <c r="L45" s="9" t="s">
        <v>16</v>
      </c>
      <c r="M45" s="6" t="s">
        <v>16</v>
      </c>
      <c r="N45" s="7" t="s">
        <v>16</v>
      </c>
      <c r="O45" s="5"/>
      <c r="W45" s="47"/>
      <c r="X45" s="47"/>
    </row>
    <row r="46" spans="1:24" s="2" customFormat="1" ht="15.75" thickBot="1" x14ac:dyDescent="0.3">
      <c r="E46" s="54"/>
      <c r="F46" s="54"/>
      <c r="G46" s="63"/>
      <c r="H46" s="54"/>
      <c r="I46" s="55" t="s">
        <v>18</v>
      </c>
      <c r="J46" s="3">
        <f>COUNT(M3:M42)</f>
        <v>38</v>
      </c>
      <c r="K46" s="3"/>
      <c r="L46" s="10">
        <f>AVERAGE(M3:M42)</f>
        <v>42.651754386269637</v>
      </c>
      <c r="M46" s="6">
        <f>MIN(M3:M42)</f>
        <v>36.56666666502133</v>
      </c>
      <c r="N46" s="7">
        <f>MAX(M3:M42)</f>
        <v>50.033333336468786</v>
      </c>
      <c r="O46" s="5"/>
      <c r="W46" s="47"/>
      <c r="X46" s="47"/>
    </row>
    <row r="47" spans="1:24" ht="15.75" thickBot="1" x14ac:dyDescent="0.3">
      <c r="I47" s="56" t="s">
        <v>68</v>
      </c>
      <c r="J47" s="3">
        <f>COUNT(N3:N42)</f>
        <v>0</v>
      </c>
      <c r="K47" s="3"/>
      <c r="L47" s="10">
        <f>IFERROR(AVERAGE(N3:N42),0)</f>
        <v>0</v>
      </c>
      <c r="M47" s="6">
        <f>MIN(N3:N42)</f>
        <v>0</v>
      </c>
      <c r="N47" s="7">
        <f>MAX(N3:N42)</f>
        <v>0</v>
      </c>
    </row>
    <row r="48" spans="1:24" ht="15.75" thickBot="1" x14ac:dyDescent="0.3">
      <c r="I48" s="57" t="s">
        <v>10</v>
      </c>
      <c r="J48" s="3">
        <f>COUNT(O3:O42)</f>
        <v>2</v>
      </c>
      <c r="K48" s="3"/>
      <c r="L48" s="9" t="s">
        <v>16</v>
      </c>
      <c r="M48" s="6" t="s">
        <v>16</v>
      </c>
      <c r="N48" s="7" t="s">
        <v>16</v>
      </c>
    </row>
    <row r="49" spans="5:24" s="2" customFormat="1" ht="30.75" thickBot="1" x14ac:dyDescent="0.3">
      <c r="E49" s="54"/>
      <c r="F49" s="54"/>
      <c r="G49" s="63"/>
      <c r="H49" s="54"/>
      <c r="I49" s="55" t="s">
        <v>17</v>
      </c>
      <c r="J49" s="3">
        <f>COUNT(M3:N42)</f>
        <v>38</v>
      </c>
      <c r="K49" s="3"/>
      <c r="L49" s="10">
        <f>AVERAGE(M3:O42)</f>
        <v>40.633333333495926</v>
      </c>
      <c r="M49" s="6">
        <f>MIN(M3:N42)</f>
        <v>36.56666666502133</v>
      </c>
      <c r="N49" s="7">
        <f>MAX(M3:N42)</f>
        <v>50.033333336468786</v>
      </c>
      <c r="O49" s="5"/>
      <c r="W49" s="47"/>
      <c r="X49" s="47"/>
    </row>
    <row r="50" spans="5:24" ht="30.75" thickBot="1" x14ac:dyDescent="0.3">
      <c r="I50" s="55" t="s">
        <v>21</v>
      </c>
      <c r="J50" s="8">
        <f>J49/J45</f>
        <v>0.95</v>
      </c>
      <c r="K50" s="8"/>
    </row>
  </sheetData>
  <sortState ref="A3:X42">
    <sortCondition ref="A3:A42"/>
  </sortState>
  <mergeCells count="4">
    <mergeCell ref="I43:J43"/>
    <mergeCell ref="L43:N43"/>
    <mergeCell ref="I44:J44"/>
    <mergeCell ref="A1:O1"/>
  </mergeCells>
  <conditionalFormatting sqref="S1:S1048576">
    <cfRule type="cellIs" dxfId="14" priority="7" operator="equal">
      <formula>"Y"</formula>
    </cfRule>
  </conditionalFormatting>
  <conditionalFormatting sqref="A3:P42">
    <cfRule type="expression" dxfId="11" priority="8">
      <formula>$M3&gt;$AB$2</formula>
    </cfRule>
    <cfRule type="expression" dxfId="10" priority="9">
      <formula>$O3&gt;0</formula>
    </cfRule>
    <cfRule type="expression" dxfId="9" priority="10">
      <formula>$N3&gt;0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="85" zoomScaleNormal="85" workbookViewId="0">
      <selection activeCell="C18" sqref="C18"/>
    </sheetView>
  </sheetViews>
  <sheetFormatPr defaultRowHeight="15" x14ac:dyDescent="0.25"/>
  <cols>
    <col min="1" max="1" width="18.42578125" style="32" customWidth="1"/>
    <col min="2" max="2" width="17.5703125" customWidth="1"/>
    <col min="3" max="3" width="8.5703125" customWidth="1"/>
    <col min="4" max="4" width="26.5703125" customWidth="1"/>
    <col min="5" max="5" width="23.5703125" customWidth="1"/>
    <col min="6" max="6" width="7.5703125" customWidth="1"/>
    <col min="7" max="7" width="7.140625" customWidth="1"/>
    <col min="8" max="8" width="9" customWidth="1"/>
    <col min="9" max="9" width="25.140625" customWidth="1"/>
    <col min="10" max="10" width="10.85546875" customWidth="1"/>
    <col min="11" max="11" width="32.7109375" customWidth="1"/>
    <col min="12" max="12" width="6.42578125" customWidth="1"/>
    <col min="13" max="13" width="37.85546875" bestFit="1" customWidth="1"/>
  </cols>
  <sheetData>
    <row r="1" spans="1:13" s="44" customFormat="1" ht="15" customHeight="1" x14ac:dyDescent="0.25">
      <c r="A1" s="74" t="str">
        <f>"Eagle P3 Braking Events - "&amp;TEXT('Train Runs'!$Z$2,"YYYY-mm-dd")</f>
        <v>Eagle P3 Braking Events - 2016-04-25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45"/>
    </row>
    <row r="2" spans="1:13" s="2" customFormat="1" ht="90" x14ac:dyDescent="0.25">
      <c r="A2" s="43" t="s">
        <v>62</v>
      </c>
      <c r="B2" s="42" t="s">
        <v>61</v>
      </c>
      <c r="C2" s="42" t="s">
        <v>60</v>
      </c>
      <c r="D2" s="42" t="s">
        <v>59</v>
      </c>
      <c r="E2" s="42" t="s">
        <v>58</v>
      </c>
      <c r="F2" s="42" t="s">
        <v>57</v>
      </c>
      <c r="G2" s="42" t="s">
        <v>56</v>
      </c>
      <c r="H2" s="42" t="s">
        <v>55</v>
      </c>
      <c r="I2" s="42" t="s">
        <v>54</v>
      </c>
      <c r="J2" s="42" t="s">
        <v>53</v>
      </c>
      <c r="K2" s="42" t="s">
        <v>52</v>
      </c>
      <c r="L2" s="42" t="s">
        <v>51</v>
      </c>
      <c r="M2" s="42" t="s">
        <v>29</v>
      </c>
    </row>
    <row r="3" spans="1:13" s="37" customFormat="1" x14ac:dyDescent="0.25">
      <c r="A3" s="41">
        <v>42485.377465277779</v>
      </c>
      <c r="B3" s="40" t="s">
        <v>83</v>
      </c>
      <c r="C3" s="40" t="s">
        <v>128</v>
      </c>
      <c r="D3" s="40" t="s">
        <v>41</v>
      </c>
      <c r="E3" s="40" t="s">
        <v>50</v>
      </c>
      <c r="F3" s="40">
        <v>520</v>
      </c>
      <c r="G3" s="40">
        <v>582</v>
      </c>
      <c r="H3" s="40">
        <v>58500</v>
      </c>
      <c r="I3" s="40" t="s">
        <v>49</v>
      </c>
      <c r="J3" s="40">
        <v>58783</v>
      </c>
      <c r="K3" s="39" t="s">
        <v>38</v>
      </c>
      <c r="L3" s="38" t="s">
        <v>37</v>
      </c>
      <c r="M3" s="39" t="s">
        <v>137</v>
      </c>
    </row>
    <row r="4" spans="1:13" s="37" customFormat="1" x14ac:dyDescent="0.25">
      <c r="A4" s="41">
        <v>42485.238043981481</v>
      </c>
      <c r="B4" s="40" t="s">
        <v>43</v>
      </c>
      <c r="C4" s="40" t="s">
        <v>115</v>
      </c>
      <c r="D4" s="40" t="s">
        <v>41</v>
      </c>
      <c r="E4" s="40" t="s">
        <v>48</v>
      </c>
      <c r="F4" s="40">
        <v>150</v>
      </c>
      <c r="G4" s="40">
        <v>178</v>
      </c>
      <c r="H4" s="40">
        <v>229210</v>
      </c>
      <c r="I4" s="40" t="s">
        <v>47</v>
      </c>
      <c r="J4" s="40">
        <v>229055</v>
      </c>
      <c r="K4" s="39" t="s">
        <v>42</v>
      </c>
      <c r="L4" s="38" t="s">
        <v>37</v>
      </c>
      <c r="M4" s="39" t="s">
        <v>138</v>
      </c>
    </row>
    <row r="5" spans="1:13" s="37" customFormat="1" x14ac:dyDescent="0.25">
      <c r="A5" s="41">
        <v>42485.2734837963</v>
      </c>
      <c r="B5" s="40" t="s">
        <v>110</v>
      </c>
      <c r="C5" s="40" t="s">
        <v>117</v>
      </c>
      <c r="D5" s="40" t="s">
        <v>44</v>
      </c>
      <c r="E5" s="40" t="s">
        <v>48</v>
      </c>
      <c r="F5" s="40">
        <v>150</v>
      </c>
      <c r="G5" s="40">
        <v>201</v>
      </c>
      <c r="H5" s="40">
        <v>2559</v>
      </c>
      <c r="I5" s="40" t="s">
        <v>47</v>
      </c>
      <c r="J5" s="40">
        <v>0</v>
      </c>
      <c r="K5" s="39" t="s">
        <v>38</v>
      </c>
      <c r="L5" s="38" t="s">
        <v>37</v>
      </c>
      <c r="M5" s="39" t="s">
        <v>138</v>
      </c>
    </row>
    <row r="6" spans="1:13" s="37" customFormat="1" x14ac:dyDescent="0.25">
      <c r="A6" s="41">
        <v>42485.289444444446</v>
      </c>
      <c r="B6" s="40" t="s">
        <v>121</v>
      </c>
      <c r="C6" s="40" t="s">
        <v>122</v>
      </c>
      <c r="D6" s="40" t="s">
        <v>41</v>
      </c>
      <c r="E6" s="40" t="s">
        <v>48</v>
      </c>
      <c r="F6" s="40">
        <v>300</v>
      </c>
      <c r="G6" s="40">
        <v>509</v>
      </c>
      <c r="H6" s="40">
        <v>24875</v>
      </c>
      <c r="I6" s="40" t="s">
        <v>47</v>
      </c>
      <c r="J6" s="40">
        <v>21848</v>
      </c>
      <c r="K6" s="39" t="s">
        <v>42</v>
      </c>
      <c r="L6" s="38" t="s">
        <v>37</v>
      </c>
      <c r="M6" s="39" t="s">
        <v>138</v>
      </c>
    </row>
    <row r="7" spans="1:13" s="37" customFormat="1" x14ac:dyDescent="0.25">
      <c r="A7" s="41">
        <v>42485.326111111113</v>
      </c>
      <c r="B7" s="40" t="s">
        <v>113</v>
      </c>
      <c r="C7" s="40" t="s">
        <v>125</v>
      </c>
      <c r="D7" s="40" t="s">
        <v>41</v>
      </c>
      <c r="E7" s="40" t="s">
        <v>48</v>
      </c>
      <c r="F7" s="40">
        <v>150</v>
      </c>
      <c r="G7" s="40">
        <v>123</v>
      </c>
      <c r="H7" s="40">
        <v>231525</v>
      </c>
      <c r="I7" s="40" t="s">
        <v>47</v>
      </c>
      <c r="J7" s="40">
        <v>232080</v>
      </c>
      <c r="K7" s="39" t="s">
        <v>38</v>
      </c>
      <c r="L7" s="38" t="s">
        <v>37</v>
      </c>
      <c r="M7" s="39" t="s">
        <v>138</v>
      </c>
    </row>
    <row r="8" spans="1:13" s="37" customFormat="1" x14ac:dyDescent="0.25">
      <c r="A8" s="41">
        <v>42485.400300925925</v>
      </c>
      <c r="B8" s="40" t="s">
        <v>132</v>
      </c>
      <c r="C8" s="40" t="s">
        <v>133</v>
      </c>
      <c r="D8" s="40" t="s">
        <v>41</v>
      </c>
      <c r="E8" s="40" t="s">
        <v>48</v>
      </c>
      <c r="F8" s="40">
        <v>300</v>
      </c>
      <c r="G8" s="40">
        <v>293</v>
      </c>
      <c r="H8" s="40">
        <v>20283</v>
      </c>
      <c r="I8" s="40" t="s">
        <v>47</v>
      </c>
      <c r="J8" s="40">
        <v>20338</v>
      </c>
      <c r="K8" s="39" t="s">
        <v>38</v>
      </c>
      <c r="L8" s="38" t="s">
        <v>37</v>
      </c>
      <c r="M8" s="39" t="s">
        <v>138</v>
      </c>
    </row>
    <row r="9" spans="1:13" s="37" customFormat="1" x14ac:dyDescent="0.25">
      <c r="A9" s="41">
        <v>42485.287835648145</v>
      </c>
      <c r="B9" s="40" t="s">
        <v>82</v>
      </c>
      <c r="C9" s="40" t="s">
        <v>120</v>
      </c>
      <c r="D9" s="40" t="s">
        <v>41</v>
      </c>
      <c r="E9" s="40" t="s">
        <v>46</v>
      </c>
      <c r="F9" s="40">
        <v>0</v>
      </c>
      <c r="G9" s="40">
        <v>480</v>
      </c>
      <c r="H9" s="40">
        <v>130122</v>
      </c>
      <c r="I9" s="40" t="s">
        <v>45</v>
      </c>
      <c r="J9" s="40">
        <v>127587</v>
      </c>
      <c r="K9" s="39" t="s">
        <v>42</v>
      </c>
      <c r="L9" s="38" t="s">
        <v>37</v>
      </c>
      <c r="M9" s="39" t="s">
        <v>111</v>
      </c>
    </row>
    <row r="10" spans="1:13" s="37" customFormat="1" x14ac:dyDescent="0.25">
      <c r="A10" s="41">
        <v>42485.183749999997</v>
      </c>
      <c r="B10" s="40" t="s">
        <v>113</v>
      </c>
      <c r="C10" s="40" t="s">
        <v>114</v>
      </c>
      <c r="D10" s="40" t="s">
        <v>41</v>
      </c>
      <c r="E10" s="40" t="s">
        <v>40</v>
      </c>
      <c r="F10" s="40">
        <v>0</v>
      </c>
      <c r="G10" s="40">
        <v>6</v>
      </c>
      <c r="H10" s="40">
        <v>233318</v>
      </c>
      <c r="I10" s="40" t="s">
        <v>39</v>
      </c>
      <c r="J10" s="40">
        <v>233491</v>
      </c>
      <c r="K10" s="39" t="s">
        <v>38</v>
      </c>
      <c r="L10" s="38" t="s">
        <v>37</v>
      </c>
      <c r="M10" s="39" t="s">
        <v>139</v>
      </c>
    </row>
    <row r="11" spans="1:13" s="37" customFormat="1" x14ac:dyDescent="0.25">
      <c r="A11" s="41">
        <v>42485.264560185184</v>
      </c>
      <c r="B11" s="40" t="s">
        <v>109</v>
      </c>
      <c r="C11" s="40" t="s">
        <v>116</v>
      </c>
      <c r="D11" s="40" t="s">
        <v>41</v>
      </c>
      <c r="E11" s="40" t="s">
        <v>40</v>
      </c>
      <c r="F11" s="40">
        <v>0</v>
      </c>
      <c r="G11" s="40">
        <v>7</v>
      </c>
      <c r="H11" s="40">
        <v>233420</v>
      </c>
      <c r="I11" s="40" t="s">
        <v>39</v>
      </c>
      <c r="J11" s="40">
        <v>233491</v>
      </c>
      <c r="K11" s="39" t="s">
        <v>38</v>
      </c>
      <c r="L11" s="38" t="s">
        <v>37</v>
      </c>
      <c r="M11" s="39" t="s">
        <v>139</v>
      </c>
    </row>
    <row r="12" spans="1:13" s="37" customFormat="1" x14ac:dyDescent="0.25">
      <c r="A12" s="41">
        <v>42485.283807870372</v>
      </c>
      <c r="B12" s="40" t="s">
        <v>118</v>
      </c>
      <c r="C12" s="40" t="s">
        <v>119</v>
      </c>
      <c r="D12" s="40" t="s">
        <v>41</v>
      </c>
      <c r="E12" s="40" t="s">
        <v>40</v>
      </c>
      <c r="F12" s="40">
        <v>0</v>
      </c>
      <c r="G12" s="40">
        <v>5</v>
      </c>
      <c r="H12" s="40">
        <v>145</v>
      </c>
      <c r="I12" s="40" t="s">
        <v>39</v>
      </c>
      <c r="J12" s="40">
        <v>1</v>
      </c>
      <c r="K12" s="39" t="s">
        <v>42</v>
      </c>
      <c r="L12" s="38" t="s">
        <v>37</v>
      </c>
      <c r="M12" s="39" t="s">
        <v>139</v>
      </c>
    </row>
    <row r="13" spans="1:13" s="37" customFormat="1" x14ac:dyDescent="0.25">
      <c r="A13" s="41">
        <v>42485.293344907404</v>
      </c>
      <c r="B13" s="40" t="s">
        <v>123</v>
      </c>
      <c r="C13" s="40" t="s">
        <v>124</v>
      </c>
      <c r="D13" s="40" t="s">
        <v>41</v>
      </c>
      <c r="E13" s="40" t="s">
        <v>40</v>
      </c>
      <c r="F13" s="40">
        <v>0</v>
      </c>
      <c r="G13" s="40">
        <v>8</v>
      </c>
      <c r="H13" s="40">
        <v>233312</v>
      </c>
      <c r="I13" s="40" t="s">
        <v>39</v>
      </c>
      <c r="J13" s="40">
        <v>233491</v>
      </c>
      <c r="K13" s="39" t="s">
        <v>38</v>
      </c>
      <c r="L13" s="38" t="s">
        <v>37</v>
      </c>
      <c r="M13" s="39" t="s">
        <v>139</v>
      </c>
    </row>
    <row r="14" spans="1:13" s="37" customFormat="1" x14ac:dyDescent="0.25">
      <c r="A14" s="41">
        <v>42485.327245370368</v>
      </c>
      <c r="B14" s="40" t="s">
        <v>113</v>
      </c>
      <c r="C14" s="40" t="s">
        <v>125</v>
      </c>
      <c r="D14" s="40" t="s">
        <v>41</v>
      </c>
      <c r="E14" s="40" t="s">
        <v>40</v>
      </c>
      <c r="F14" s="40">
        <v>0</v>
      </c>
      <c r="G14" s="40">
        <v>5</v>
      </c>
      <c r="H14" s="40">
        <v>233316</v>
      </c>
      <c r="I14" s="40" t="s">
        <v>39</v>
      </c>
      <c r="J14" s="40">
        <v>233491</v>
      </c>
      <c r="K14" s="39" t="s">
        <v>38</v>
      </c>
      <c r="L14" s="38" t="s">
        <v>37</v>
      </c>
      <c r="M14" s="39" t="s">
        <v>139</v>
      </c>
    </row>
    <row r="15" spans="1:13" s="37" customFormat="1" x14ac:dyDescent="0.25">
      <c r="A15" s="41">
        <v>42485.335405092592</v>
      </c>
      <c r="B15" s="40" t="s">
        <v>43</v>
      </c>
      <c r="C15" s="40" t="s">
        <v>126</v>
      </c>
      <c r="D15" s="40" t="s">
        <v>41</v>
      </c>
      <c r="E15" s="40" t="s">
        <v>40</v>
      </c>
      <c r="F15" s="40">
        <v>0</v>
      </c>
      <c r="G15" s="40">
        <v>86</v>
      </c>
      <c r="H15" s="40">
        <v>289</v>
      </c>
      <c r="I15" s="40" t="s">
        <v>39</v>
      </c>
      <c r="J15" s="40">
        <v>1</v>
      </c>
      <c r="K15" s="39" t="s">
        <v>42</v>
      </c>
      <c r="L15" s="38" t="s">
        <v>37</v>
      </c>
      <c r="M15" s="39" t="s">
        <v>139</v>
      </c>
    </row>
    <row r="16" spans="1:13" s="37" customFormat="1" x14ac:dyDescent="0.25">
      <c r="A16" s="41">
        <v>42485.337511574071</v>
      </c>
      <c r="B16" s="40" t="s">
        <v>109</v>
      </c>
      <c r="C16" s="40" t="s">
        <v>127</v>
      </c>
      <c r="D16" s="40" t="s">
        <v>41</v>
      </c>
      <c r="E16" s="40" t="s">
        <v>40</v>
      </c>
      <c r="F16" s="40">
        <v>0</v>
      </c>
      <c r="G16" s="40">
        <v>9</v>
      </c>
      <c r="H16" s="40">
        <v>233331</v>
      </c>
      <c r="I16" s="40" t="s">
        <v>39</v>
      </c>
      <c r="J16" s="40">
        <v>233491</v>
      </c>
      <c r="K16" s="39" t="s">
        <v>38</v>
      </c>
      <c r="L16" s="38" t="s">
        <v>37</v>
      </c>
      <c r="M16" s="39" t="s">
        <v>139</v>
      </c>
    </row>
    <row r="17" spans="1:13" s="37" customFormat="1" x14ac:dyDescent="0.25">
      <c r="A17" s="41">
        <v>42485.377650462964</v>
      </c>
      <c r="B17" s="40" t="s">
        <v>82</v>
      </c>
      <c r="C17" s="40" t="s">
        <v>129</v>
      </c>
      <c r="D17" s="40" t="s">
        <v>41</v>
      </c>
      <c r="E17" s="40" t="s">
        <v>40</v>
      </c>
      <c r="F17" s="40">
        <v>0</v>
      </c>
      <c r="G17" s="40">
        <v>9</v>
      </c>
      <c r="H17" s="40">
        <v>121</v>
      </c>
      <c r="I17" s="40" t="s">
        <v>39</v>
      </c>
      <c r="J17" s="40">
        <v>1</v>
      </c>
      <c r="K17" s="39" t="s">
        <v>42</v>
      </c>
      <c r="L17" s="38" t="s">
        <v>37</v>
      </c>
      <c r="M17" s="39" t="s">
        <v>139</v>
      </c>
    </row>
    <row r="18" spans="1:13" s="37" customFormat="1" x14ac:dyDescent="0.25">
      <c r="A18" s="41">
        <v>42485.380335648151</v>
      </c>
      <c r="B18" s="40" t="s">
        <v>130</v>
      </c>
      <c r="C18" s="40" t="s">
        <v>131</v>
      </c>
      <c r="D18" s="40" t="s">
        <v>41</v>
      </c>
      <c r="E18" s="40" t="s">
        <v>40</v>
      </c>
      <c r="F18" s="40">
        <v>0</v>
      </c>
      <c r="G18" s="40">
        <v>9</v>
      </c>
      <c r="H18" s="40">
        <v>233329</v>
      </c>
      <c r="I18" s="40" t="s">
        <v>39</v>
      </c>
      <c r="J18" s="40">
        <v>233491</v>
      </c>
      <c r="K18" s="39" t="s">
        <v>38</v>
      </c>
      <c r="L18" s="38" t="s">
        <v>37</v>
      </c>
      <c r="M18" s="39" t="s">
        <v>139</v>
      </c>
    </row>
    <row r="19" spans="1:13" s="37" customFormat="1" x14ac:dyDescent="0.25">
      <c r="A19" s="41">
        <v>42485.402337962965</v>
      </c>
      <c r="B19" s="40" t="s">
        <v>113</v>
      </c>
      <c r="C19" s="40" t="s">
        <v>134</v>
      </c>
      <c r="D19" s="40" t="s">
        <v>41</v>
      </c>
      <c r="E19" s="40" t="s">
        <v>40</v>
      </c>
      <c r="F19" s="40">
        <v>0</v>
      </c>
      <c r="G19" s="40">
        <v>7</v>
      </c>
      <c r="H19" s="40">
        <v>233344</v>
      </c>
      <c r="I19" s="40" t="s">
        <v>39</v>
      </c>
      <c r="J19" s="40">
        <v>233491</v>
      </c>
      <c r="K19" s="40" t="s">
        <v>38</v>
      </c>
      <c r="L19" s="38" t="s">
        <v>37</v>
      </c>
      <c r="M19" s="39" t="s">
        <v>139</v>
      </c>
    </row>
    <row r="20" spans="1:13" s="37" customFormat="1" x14ac:dyDescent="0.25">
      <c r="A20" s="41">
        <v>42485.410231481481</v>
      </c>
      <c r="B20" s="40" t="s">
        <v>109</v>
      </c>
      <c r="C20" s="40" t="s">
        <v>135</v>
      </c>
      <c r="D20" s="40" t="s">
        <v>41</v>
      </c>
      <c r="E20" s="40" t="s">
        <v>40</v>
      </c>
      <c r="F20" s="40">
        <v>0</v>
      </c>
      <c r="G20" s="40">
        <v>7</v>
      </c>
      <c r="H20" s="40">
        <v>233339</v>
      </c>
      <c r="I20" s="40" t="s">
        <v>39</v>
      </c>
      <c r="J20" s="40">
        <v>233491</v>
      </c>
      <c r="K20" s="39" t="s">
        <v>38</v>
      </c>
      <c r="L20" s="38" t="s">
        <v>37</v>
      </c>
      <c r="M20" s="39" t="s">
        <v>139</v>
      </c>
    </row>
    <row r="21" spans="1:13" s="37" customFormat="1" x14ac:dyDescent="0.25">
      <c r="A21" s="41">
        <v>42485.439502314817</v>
      </c>
      <c r="B21" s="40" t="s">
        <v>121</v>
      </c>
      <c r="C21" s="40" t="s">
        <v>136</v>
      </c>
      <c r="D21" s="40" t="s">
        <v>41</v>
      </c>
      <c r="E21" s="40" t="s">
        <v>40</v>
      </c>
      <c r="F21" s="40">
        <v>0</v>
      </c>
      <c r="G21" s="40">
        <v>75</v>
      </c>
      <c r="H21" s="40">
        <v>251</v>
      </c>
      <c r="I21" s="40" t="s">
        <v>39</v>
      </c>
      <c r="J21" s="40">
        <v>1</v>
      </c>
      <c r="K21" s="39" t="s">
        <v>42</v>
      </c>
      <c r="L21" s="38" t="s">
        <v>37</v>
      </c>
      <c r="M21" s="39" t="s">
        <v>139</v>
      </c>
    </row>
    <row r="22" spans="1:13" ht="15.75" thickBot="1" x14ac:dyDescent="0.3"/>
    <row r="23" spans="1:13" x14ac:dyDescent="0.25">
      <c r="K23" s="36" t="s">
        <v>36</v>
      </c>
      <c r="L23" s="35">
        <f>COUNTIF(L3:L21,"=Y")</f>
        <v>0</v>
      </c>
    </row>
    <row r="24" spans="1:13" ht="15.75" thickBot="1" x14ac:dyDescent="0.3">
      <c r="K24" s="34" t="s">
        <v>35</v>
      </c>
      <c r="L24" s="33">
        <f>COUNTA(L3:L21)-L23</f>
        <v>19</v>
      </c>
    </row>
  </sheetData>
  <autoFilter ref="A2:M2">
    <sortState ref="A3:M21">
      <sortCondition ref="E2"/>
    </sortState>
  </autoFilter>
  <mergeCells count="1">
    <mergeCell ref="A1:L1"/>
  </mergeCells>
  <conditionalFormatting sqref="M2 L2:L1048576">
    <cfRule type="cellIs" dxfId="13" priority="3" operator="equal">
      <formula>"Y"</formula>
    </cfRule>
  </conditionalFormatting>
  <conditionalFormatting sqref="B3:M21">
    <cfRule type="expression" dxfId="12" priority="2">
      <formula>$L3="Y"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Train Runs</vt:lpstr>
      <vt:lpstr>Enforcements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2016-04-26T14:55:41Z</dcterms:modified>
</cp:coreProperties>
</file>