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</sheets>
  <definedNames>
    <definedName name="_xlnm._FilterDatabase" localSheetId="1" hidden="1">Enforcements!$A$2:$M$2</definedName>
    <definedName name="_xlnm._FilterDatabase" localSheetId="0" hidden="1">'Train Runs'!$A$2:$X$2</definedName>
    <definedName name="Denver_Train_Runs_04122016" localSheetId="0">'Train Runs'!$A$2:$J$16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T12" i="1"/>
  <c r="U12" i="1"/>
  <c r="V12" i="1"/>
  <c r="S12" i="1" s="1"/>
  <c r="W12" i="1"/>
  <c r="X12" i="1"/>
  <c r="R11" i="1"/>
  <c r="T11" i="1"/>
  <c r="U11" i="1"/>
  <c r="W11" i="1"/>
  <c r="X11" i="1"/>
  <c r="R9" i="1"/>
  <c r="T9" i="1"/>
  <c r="U9" i="1"/>
  <c r="W9" i="1"/>
  <c r="X9" i="1"/>
  <c r="K12" i="1"/>
  <c r="L12" i="1"/>
  <c r="M12" i="1"/>
  <c r="K11" i="1"/>
  <c r="L11" i="1"/>
  <c r="M11" i="1" s="1"/>
  <c r="V11" i="1" l="1"/>
  <c r="S11" i="1" s="1"/>
  <c r="V9" i="1"/>
  <c r="S9" i="1" s="1"/>
  <c r="L7" i="1" l="1"/>
  <c r="M7" i="1" s="1"/>
  <c r="L6" i="1"/>
  <c r="M6" i="1" s="1"/>
  <c r="L5" i="1"/>
  <c r="M5" i="1"/>
  <c r="W3" i="1" l="1"/>
  <c r="X3" i="1"/>
  <c r="W5" i="1"/>
  <c r="X5" i="1"/>
  <c r="W7" i="1"/>
  <c r="X7" i="1"/>
  <c r="W4" i="1"/>
  <c r="X4" i="1"/>
  <c r="W6" i="1"/>
  <c r="X6" i="1"/>
  <c r="W8" i="1"/>
  <c r="X8" i="1"/>
  <c r="W10" i="1"/>
  <c r="X10" i="1"/>
  <c r="R3" i="1" l="1"/>
  <c r="T3" i="1"/>
  <c r="U3" i="1"/>
  <c r="R5" i="1"/>
  <c r="T5" i="1"/>
  <c r="U5" i="1"/>
  <c r="R7" i="1"/>
  <c r="T7" i="1"/>
  <c r="U7" i="1"/>
  <c r="R4" i="1"/>
  <c r="T4" i="1"/>
  <c r="U4" i="1"/>
  <c r="R6" i="1"/>
  <c r="T6" i="1"/>
  <c r="U6" i="1"/>
  <c r="R8" i="1"/>
  <c r="T8" i="1"/>
  <c r="U8" i="1"/>
  <c r="R10" i="1"/>
  <c r="T10" i="1"/>
  <c r="U10" i="1"/>
  <c r="A1" i="3"/>
  <c r="K3" i="1"/>
  <c r="L3" i="1"/>
  <c r="M3" i="1" s="1"/>
  <c r="K5" i="1"/>
  <c r="K7" i="1"/>
  <c r="K4" i="1"/>
  <c r="L4" i="1"/>
  <c r="M4" i="1" s="1"/>
  <c r="K6" i="1"/>
  <c r="K9" i="1"/>
  <c r="L9" i="1"/>
  <c r="M9" i="1" s="1"/>
  <c r="K8" i="1"/>
  <c r="L8" i="1"/>
  <c r="M8" i="1" s="1"/>
  <c r="K10" i="1"/>
  <c r="L10" i="1"/>
  <c r="M10" i="1" s="1"/>
  <c r="V4" i="1" l="1"/>
  <c r="S4" i="1" s="1"/>
  <c r="V10" i="1"/>
  <c r="S10" i="1" s="1"/>
  <c r="V6" i="1"/>
  <c r="S6" i="1" s="1"/>
  <c r="V5" i="1"/>
  <c r="S5" i="1" s="1"/>
  <c r="V8" i="1"/>
  <c r="S8" i="1" s="1"/>
  <c r="V3" i="1"/>
  <c r="S3" i="1" s="1"/>
  <c r="V7" i="1"/>
  <c r="S7" i="1" s="1"/>
  <c r="I13" i="1"/>
  <c r="J17" i="1" l="1"/>
  <c r="J16" i="1"/>
  <c r="J19" i="1" l="1"/>
  <c r="J18" i="1"/>
  <c r="J15" i="1"/>
  <c r="L16" i="3"/>
  <c r="L17" i="3" s="1"/>
  <c r="J20" i="1" l="1"/>
  <c r="A1" i="1"/>
  <c r="N17" i="1" l="1"/>
  <c r="M17" i="1"/>
  <c r="L17" i="1"/>
  <c r="M19" i="1" l="1"/>
  <c r="M16" i="1"/>
  <c r="N19" i="1"/>
  <c r="L19" i="1"/>
  <c r="L16" i="1"/>
  <c r="N16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<sst xmlns="http://schemas.openxmlformats.org/spreadsheetml/2006/main" count="190" uniqueCount="96">
  <si>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</si>
  <si>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</si>
  <si>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</si>
  <si>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</si>
  <si>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</si>
  <si>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</si>
  <si>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</si>
  <si>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</si>
  <si>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</si>
  <si>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</si>
  <si>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</si>
  <si>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</si>
  <si>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</si>
  <si>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</si>
  <si>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</si>
  <si>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</si>
  <si>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</si>
  <si>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</si>
  <si>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</si>
  <si>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</si>
  <si>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Color Legend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</si>
  <si>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</si>
  <si>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</si>
  <si>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</si>
  <si>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</si>
  <si>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</si>
  <si>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</si>
  <si>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</si>
  <si>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</si>
  <si>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</si>
  <si>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</si>
  <si>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</si>
  <si>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</si>
  <si>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</si>
  <si>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</si>
  <si>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</si>
  <si>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</si>
  <si>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</si>
  <si>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</si>
  <si>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Reactive Enforcement (3)</t>
  </si>
  <si>
    <t>Signal based authority (5)</t>
  </si>
  <si>
    <t>SIGNAL</t>
  </si>
  <si>
    <t>Speed (6)</t>
  </si>
  <si>
    <t>PERMANENT SPEED RESTRICTION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</si>
  <si>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</si>
  <si>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</si>
  <si>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</si>
  <si>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</si>
  <si>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</si>
  <si>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</si>
  <si>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</si>
  <si>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</si>
  <si>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</si>
  <si>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</si>
  <si>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</si>
  <si>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</si>
  <si>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</si>
  <si>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</si>
  <si>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</si>
  <si>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</si>
  <si>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</si>
  <si>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</si>
  <si>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</si>
  <si>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</si>
  <si>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</si>
  <si>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</si>
  <si>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204:233298</t>
  </si>
  <si>
    <t>rtdc.l.rtdc.4027:itc</t>
  </si>
  <si>
    <t>204:232988</t>
  </si>
  <si>
    <t>204:233309</t>
  </si>
  <si>
    <t>204:232963</t>
  </si>
  <si>
    <t>EXTRA 13-28</t>
  </si>
  <si>
    <t>204:876</t>
  </si>
  <si>
    <t>204:1182</t>
  </si>
  <si>
    <t>204:233257</t>
  </si>
  <si>
    <t>204:2089</t>
  </si>
  <si>
    <t>204:1273</t>
  </si>
  <si>
    <t>204:232949</t>
  </si>
  <si>
    <t>204:952</t>
  </si>
  <si>
    <t>204:1316</t>
  </si>
  <si>
    <t>204:233261</t>
  </si>
  <si>
    <t>204:232981</t>
  </si>
  <si>
    <t>204:992</t>
  </si>
  <si>
    <t>204:446</t>
  </si>
  <si>
    <t>Y</t>
  </si>
  <si>
    <t>Aspect flipped back and forth between STOP and PROCEED CAB. Signal team investigating.</t>
  </si>
  <si>
    <t>Unexpected enforcement @ 40th (Signal team investigating)</t>
  </si>
  <si>
    <t>204:232761</t>
  </si>
  <si>
    <t>204:322</t>
  </si>
  <si>
    <t>204:1184</t>
  </si>
  <si>
    <t>204:233078</t>
  </si>
  <si>
    <t xml:space="preserve">rtdc.l.rtdc.4027:itc </t>
  </si>
  <si>
    <t xml:space="preserve">rtdc.l.rtdc.4028:itc </t>
  </si>
  <si>
    <t>Predictive Warning (0)</t>
  </si>
  <si>
    <t>Unknown (0)</t>
  </si>
  <si>
    <t>Maintenance being performed on logic controller @ ML1443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</si>
</sst>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/>
    <xf numFmtId="1" fontId="0" fillId="0" borderId="10" xfId="0" applyNumberFormat="1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0" fontId="1" fillId="0" borderId="12" xfId="0" applyNumberFormat="1" applyFont="1" applyFill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left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4" fillId="0" borderId="16" xfId="0" applyFont="1" applyBorder="1" applyAlignment="1">
      <alignment horizontal="center" wrapText="1"/>
    </xf>
    <xf numFmtId="166" fontId="5" fillId="0" borderId="17" xfId="0" applyNumberFormat="1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left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left" vertical="center" wrapText="1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167" fontId="0" fillId="0" borderId="22" xfId="0" applyNumberFormat="1" applyFill="1" applyBorder="1" applyAlignment="1">
      <alignment horizontal="left"/>
    </xf>
    <xf numFmtId="2" fontId="0" fillId="0" borderId="22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1" fontId="0" fillId="0" borderId="23" xfId="0" applyNumberFormat="1" applyFill="1" applyBorder="1" applyAlignment="1">
      <alignment horizontal="left"/>
    </xf>
    <xf numFmtId="0" fontId="0" fillId="4" borderId="0" xfId="0" applyFill="1" applyBorder="1"/>
    <xf numFmtId="0" fontId="0" fillId="0" borderId="0" xfId="0" applyBorder="1"/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0"/>
  <sheetViews>
    <sheetView showGridLines="0" tabSelected="1" zoomScale="85" zoomScaleNormal="85" workbookViewId="0">
      <selection sqref="A1:O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32" customWidth="1"/>
    <col min="6" max="6" width="20.140625" style="32" customWidth="1"/>
    <col min="7" max="7" width="18.42578125" style="64" hidden="1" customWidth="1"/>
    <col min="8" max="8" width="3.140625" style="32" hidden="1" customWidth="1"/>
    <col min="9" max="9" width="19.7109375" style="32" customWidth="1"/>
    <col min="10" max="10" width="8.7109375" customWidth="1"/>
    <col min="11" max="11" width="10" bestFit="1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29.28515625" customWidth="1"/>
    <col min="17" max="17" width="4.28515625" customWidth="1"/>
    <col min="18" max="18" width="6.7109375" customWidth="1"/>
    <col min="19" max="19" width="10.140625" customWidth="1"/>
    <col min="23" max="23" width="9.140625" style="46"/>
    <col min="24" max="24" width="17.85546875" style="46" customWidth="1"/>
    <col min="26" max="26" width="12.42578125" customWidth="1"/>
    <col min="27" max="27" width="58.85546875" customWidth="1"/>
    <col min="28" max="28" width="15.85546875" customWidth="1"/>
  </cols>
  <sheetData>
    <row r="1" spans="1:89" ht="57.75" customHeight="1" thickBot="1" x14ac:dyDescent="0.35">
      <c r="A1" s="73" t="str">
        <f>"Eagle P3 System Performance - "&amp;TEXT(Z2,"yyyy-mm-dd")</f>
        <v>Eagle P3 System Performance - 2016-04-28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Z1" s="50" t="s">
        <v>26</v>
      </c>
      <c r="AB1" s="59" t="s">
        <v>64</v>
      </c>
    </row>
    <row r="2" spans="1:89" s="12" customFormat="1" ht="69" customHeight="1" thickBot="1" x14ac:dyDescent="0.3">
      <c r="A2" s="26" t="s">
        <v>0</v>
      </c>
      <c r="B2" s="27" t="s">
        <v>62</v>
      </c>
      <c r="C2" s="27" t="s">
        <v>30</v>
      </c>
      <c r="D2" s="27" t="s">
        <v>1</v>
      </c>
      <c r="E2" s="52" t="s">
        <v>2</v>
      </c>
      <c r="F2" s="52" t="s">
        <v>3</v>
      </c>
      <c r="G2" s="61" t="s">
        <v>4</v>
      </c>
      <c r="H2" s="52" t="s">
        <v>5</v>
      </c>
      <c r="I2" s="52" t="s">
        <v>6</v>
      </c>
      <c r="J2" s="27" t="s">
        <v>7</v>
      </c>
      <c r="K2" s="27" t="s">
        <v>65</v>
      </c>
      <c r="L2" s="28" t="s">
        <v>8</v>
      </c>
      <c r="M2" s="27" t="s">
        <v>59</v>
      </c>
      <c r="N2" s="29" t="s">
        <v>60</v>
      </c>
      <c r="O2" s="30" t="s">
        <v>18</v>
      </c>
      <c r="P2" s="31" t="s">
        <v>25</v>
      </c>
      <c r="Q2" s="11"/>
      <c r="R2" s="15" t="s">
        <v>63</v>
      </c>
      <c r="S2" s="15" t="s">
        <v>24</v>
      </c>
      <c r="T2" s="15" t="s">
        <v>21</v>
      </c>
      <c r="U2" s="15" t="s">
        <v>22</v>
      </c>
      <c r="V2" s="15" t="s">
        <v>23</v>
      </c>
      <c r="W2" s="48" t="s">
        <v>57</v>
      </c>
      <c r="X2" s="48" t="s">
        <v>58</v>
      </c>
      <c r="Y2" s="11"/>
      <c r="Z2" s="51">
        <v>42488</v>
      </c>
      <c r="AA2" s="11"/>
      <c r="AB2" s="60">
        <v>50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spans="1:89" s="2" customFormat="1" x14ac:dyDescent="0.25">
      <c r="A3" s="18" t="s">
        <v>71</v>
      </c>
      <c r="B3" s="19">
        <v>4027</v>
      </c>
      <c r="C3" s="19" t="s">
        <v>56</v>
      </c>
      <c r="D3" s="19" t="s">
        <v>83</v>
      </c>
      <c r="E3" s="53">
        <v>42488.779849537037</v>
      </c>
      <c r="F3" s="53">
        <v>42488.781701388885</v>
      </c>
      <c r="G3" s="62">
        <v>2</v>
      </c>
      <c r="H3" s="53" t="s">
        <v>66</v>
      </c>
      <c r="I3" s="53">
        <v>42488.808229166665</v>
      </c>
      <c r="J3" s="19">
        <v>1</v>
      </c>
      <c r="K3" s="19" t="str">
        <f>IF(ISEVEN(B3),(B3-1)&amp;"/"&amp;B3,B3&amp;"/"&amp;(B3+1))</f>
        <v>4027/4028</v>
      </c>
      <c r="L3" s="20">
        <f>I3-F3</f>
        <v>2.6527777779847383E-2</v>
      </c>
      <c r="M3" s="21">
        <f>L3*24*60</f>
        <v>38.200000002980232</v>
      </c>
      <c r="N3" s="21"/>
      <c r="O3" s="22"/>
      <c r="P3" s="17"/>
      <c r="R3" s="16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https://search-rtdc-monitor-bjffxe2xuh6vdkpspy63sjmuny.us-east-1.es.amazonaws.com/_plugin/kibana/#/discover/Steve-Slow-Train-Analysis-(2080s-and-2083s)?_g=(refreshInterval:(display:Off,section:0,value:0),time:(from:'2016-04-28 18:41:59-0600',mode:absolute,to:'2016-04-28 19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3" s="16" t="str">
        <f>IF(V3&lt;23,"Y","N")</f>
        <v>N</v>
      </c>
      <c r="T3" s="16">
        <f>RIGHT(D3,LEN(D3)-4)/10000</f>
        <v>4.4600000000000001E-2</v>
      </c>
      <c r="U3" s="16">
        <f>RIGHT(H3,LEN(H3)-4)/10000</f>
        <v>23.329799999999999</v>
      </c>
      <c r="V3" s="16">
        <f>ABS(U3-T3)</f>
        <v>23.2852</v>
      </c>
      <c r="W3" s="49">
        <f>VLOOKUP(A3,Enforcements!$C$3:$J$14,8,0)</f>
        <v>11201</v>
      </c>
      <c r="X3" s="49" t="str">
        <f>VLOOKUP(A3,Enforcements!$C$3:$J$14,3,0)</f>
        <v>PERMANENT SPEED RESTRICTION</v>
      </c>
    </row>
    <row r="4" spans="1:89" s="2" customFormat="1" x14ac:dyDescent="0.25">
      <c r="A4" s="18" t="s">
        <v>71</v>
      </c>
      <c r="B4" s="19">
        <v>4028</v>
      </c>
      <c r="C4" s="19" t="s">
        <v>56</v>
      </c>
      <c r="D4" s="19" t="s">
        <v>81</v>
      </c>
      <c r="E4" s="53">
        <v>42488.815347222226</v>
      </c>
      <c r="F4" s="53">
        <v>42488.817233796297</v>
      </c>
      <c r="G4" s="62">
        <v>2</v>
      </c>
      <c r="H4" s="53" t="s">
        <v>82</v>
      </c>
      <c r="I4" s="53">
        <v>42488.845868055556</v>
      </c>
      <c r="J4" s="19">
        <v>1</v>
      </c>
      <c r="K4" s="19" t="str">
        <f>IF(ISEVEN(B4),(B4-1)&amp;"/"&amp;B4,B4&amp;"/"&amp;(B4+1))</f>
        <v>4027/4028</v>
      </c>
      <c r="L4" s="20">
        <f>I4-F4</f>
        <v>2.8634259258979E-2</v>
      </c>
      <c r="M4" s="21">
        <f>L4*24*60</f>
        <v>41.23333333292976</v>
      </c>
      <c r="N4" s="21"/>
      <c r="O4" s="22"/>
      <c r="P4" s="17"/>
      <c r="R4" s="16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https://search-rtdc-monitor-bjffxe2xuh6vdkpspy63sjmuny.us-east-1.es.amazonaws.com/_plugin/kibana/#/discover/Steve-Slow-Train-Analysis-(2080s-and-2083s)?_g=(refreshInterval:(display:Off,section:0,value:0),time:(from:'2016-04-28 19:33:06-0600',mode:absolute,to:'2016-04-28 20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4" s="16" t="str">
        <f>IF(V4&lt;23,"Y","N")</f>
        <v>N</v>
      </c>
      <c r="T4" s="16">
        <f>RIGHT(D4,LEN(D4)-4)/10000</f>
        <v>23.298100000000002</v>
      </c>
      <c r="U4" s="16">
        <f>RIGHT(H4,LEN(H4)-4)/10000</f>
        <v>9.9199999999999997E-2</v>
      </c>
      <c r="V4" s="16">
        <f>ABS(U4-T4)</f>
        <v>23.198900000000002</v>
      </c>
      <c r="W4" s="49">
        <f>VLOOKUP(A4,Enforcements!$C$3:$J$14,8,0)</f>
        <v>11201</v>
      </c>
      <c r="X4" s="49" t="str">
        <f>VLOOKUP(A4,Enforcements!$C$3:$J$14,3,0)</f>
        <v>PERMANENT SPEED RESTRICTION</v>
      </c>
    </row>
    <row r="5" spans="1:89" s="2" customFormat="1" x14ac:dyDescent="0.25">
      <c r="A5" s="18" t="s">
        <v>71</v>
      </c>
      <c r="B5" s="19">
        <v>4027</v>
      </c>
      <c r="C5" s="19" t="s">
        <v>56</v>
      </c>
      <c r="D5" s="19" t="s">
        <v>79</v>
      </c>
      <c r="E5" s="53">
        <v>42488.860196759262</v>
      </c>
      <c r="F5" s="53">
        <v>42488.861111111109</v>
      </c>
      <c r="G5" s="62">
        <v>1</v>
      </c>
      <c r="H5" s="53" t="s">
        <v>80</v>
      </c>
      <c r="I5" s="53">
        <v>42488.889861111114</v>
      </c>
      <c r="J5" s="19">
        <v>2</v>
      </c>
      <c r="K5" s="19" t="str">
        <f>IF(ISEVEN(B5),(B5-1)&amp;"/"&amp;B5,B5&amp;"/"&amp;(B5+1))</f>
        <v>4027/4028</v>
      </c>
      <c r="L5" s="20">
        <f>I5-F5</f>
        <v>2.8750000004947651E-2</v>
      </c>
      <c r="M5" s="21">
        <f>L5*24*60</f>
        <v>41.400000007124618</v>
      </c>
      <c r="N5" s="21"/>
      <c r="O5" s="22"/>
      <c r="P5" s="17"/>
      <c r="R5" s="16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https://search-rtdc-monitor-bjffxe2xuh6vdkpspy63sjmuny.us-east-1.es.amazonaws.com/_plugin/kibana/#/discover/Steve-Slow-Train-Analysis-(2080s-and-2083s)?_g=(refreshInterval:(display:Off,section:0,value:0),time:(from:'2016-04-28 20:37:41-0600',mode:absolute,to:'2016-04-28 21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5" s="16" t="str">
        <f>IF(V5&lt;23,"Y","N")</f>
        <v>N</v>
      </c>
      <c r="T5" s="16">
        <f>RIGHT(D5,LEN(D5)-4)/10000</f>
        <v>0.13159999999999999</v>
      </c>
      <c r="U5" s="16">
        <f>RIGHT(H5,LEN(H5)-4)/10000</f>
        <v>23.3261</v>
      </c>
      <c r="V5" s="16">
        <f>ABS(U5-T5)</f>
        <v>23.194500000000001</v>
      </c>
      <c r="W5" s="49">
        <f>VLOOKUP(A5,Enforcements!$C$3:$J$14,8,0)</f>
        <v>11201</v>
      </c>
      <c r="X5" s="49" t="str">
        <f>VLOOKUP(A5,Enforcements!$C$3:$J$14,3,0)</f>
        <v>PERMANENT SPEED RESTRICTION</v>
      </c>
      <c r="Z5" s="25" t="s">
        <v>20</v>
      </c>
      <c r="AA5" s="13"/>
    </row>
    <row r="6" spans="1:89" s="2" customFormat="1" x14ac:dyDescent="0.25">
      <c r="A6" s="18" t="s">
        <v>71</v>
      </c>
      <c r="B6" s="19">
        <v>4028</v>
      </c>
      <c r="C6" s="19" t="s">
        <v>56</v>
      </c>
      <c r="D6" s="19" t="s">
        <v>77</v>
      </c>
      <c r="E6" s="53">
        <v>42488.901932870373</v>
      </c>
      <c r="F6" s="53">
        <v>42488.90283564815</v>
      </c>
      <c r="G6" s="62">
        <v>1</v>
      </c>
      <c r="H6" s="53" t="s">
        <v>78</v>
      </c>
      <c r="I6" s="53">
        <v>42488.928749999999</v>
      </c>
      <c r="J6" s="19">
        <v>1</v>
      </c>
      <c r="K6" s="19" t="str">
        <f>IF(ISEVEN(B6),(B6-1)&amp;"/"&amp;B6,B6&amp;"/"&amp;(B6+1))</f>
        <v>4027/4028</v>
      </c>
      <c r="L6" s="20">
        <f>I6-F6</f>
        <v>2.5914351848769002E-2</v>
      </c>
      <c r="M6" s="21">
        <f>L6*24*60</f>
        <v>37.316666662227362</v>
      </c>
      <c r="N6" s="21"/>
      <c r="O6" s="22"/>
      <c r="P6" s="17"/>
      <c r="R6" s="16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https://search-rtdc-monitor-bjffxe2xuh6vdkpspy63sjmuny.us-east-1.es.amazonaws.com/_plugin/kibana/#/discover/Steve-Slow-Train-Analysis-(2080s-and-2083s)?_g=(refreshInterval:(display:Off,section:0,value:0),time:(from:'2016-04-28 21:37:47-0600',mode:absolute,to:'2016-04-28 22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6" s="16" t="str">
        <f>IF(V6&lt;23,"Y","N")</f>
        <v>N</v>
      </c>
      <c r="T6" s="16">
        <f>RIGHT(D6,LEN(D6)-4)/10000</f>
        <v>23.294899999999998</v>
      </c>
      <c r="U6" s="16">
        <f>RIGHT(H6,LEN(H6)-4)/10000</f>
        <v>9.5200000000000007E-2</v>
      </c>
      <c r="V6" s="16">
        <f>ABS(U6-T6)</f>
        <v>23.1997</v>
      </c>
      <c r="W6" s="49">
        <f>VLOOKUP(A6,Enforcements!$C$3:$J$14,8,0)</f>
        <v>11201</v>
      </c>
      <c r="X6" s="49" t="str">
        <f>VLOOKUP(A6,Enforcements!$C$3:$J$14,3,0)</f>
        <v>PERMANENT SPEED RESTRICTION</v>
      </c>
      <c r="Z6" s="23"/>
      <c r="AA6" s="13" t="s">
        <v>27</v>
      </c>
    </row>
    <row r="7" spans="1:89" s="2" customFormat="1" x14ac:dyDescent="0.25">
      <c r="A7" s="18" t="s">
        <v>71</v>
      </c>
      <c r="B7" s="19">
        <v>4027</v>
      </c>
      <c r="C7" s="19" t="s">
        <v>56</v>
      </c>
      <c r="D7" s="19" t="s">
        <v>76</v>
      </c>
      <c r="E7" s="53">
        <v>42488.939733796295</v>
      </c>
      <c r="F7" s="53">
        <v>42488.940648148149</v>
      </c>
      <c r="G7" s="62">
        <v>1</v>
      </c>
      <c r="H7" s="53" t="s">
        <v>69</v>
      </c>
      <c r="I7" s="53">
        <v>42488.972245370373</v>
      </c>
      <c r="J7" s="19">
        <v>0</v>
      </c>
      <c r="K7" s="19" t="str">
        <f>IF(ISEVEN(B7),(B7-1)&amp;"/"&amp;B7,B7&amp;"/"&amp;(B7+1))</f>
        <v>4027/4028</v>
      </c>
      <c r="L7" s="20">
        <f>I7-F7</f>
        <v>3.1597222223354038E-2</v>
      </c>
      <c r="M7" s="21">
        <f>L7*24*60</f>
        <v>45.500000001629815</v>
      </c>
      <c r="N7" s="21"/>
      <c r="O7" s="22"/>
      <c r="P7" s="17"/>
      <c r="R7" s="16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https://search-rtdc-monitor-bjffxe2xuh6vdkpspy63sjmuny.us-east-1.es.amazonaws.com/_plugin/kibana/#/discover/Steve-Slow-Train-Analysis-(2080s-and-2083s)?_g=(refreshInterval:(display:Off,section:0,value:0),time:(from:'2016-04-28 22:32:13-0600',mode:absolute,to:'2016-04-28 23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7" s="16" t="str">
        <f>IF(V7&lt;23,"Y","N")</f>
        <v>N</v>
      </c>
      <c r="T7" s="16">
        <f>RIGHT(D7,LEN(D7)-4)/10000</f>
        <v>0.1273</v>
      </c>
      <c r="U7" s="16">
        <f>RIGHT(H7,LEN(H7)-4)/10000</f>
        <v>23.3309</v>
      </c>
      <c r="V7" s="16">
        <f>ABS(U7-T7)</f>
        <v>23.203599999999998</v>
      </c>
      <c r="W7" s="49">
        <f>VLOOKUP(A7,Enforcements!$C$3:$J$14,8,0)</f>
        <v>11201</v>
      </c>
      <c r="X7" s="49" t="str">
        <f>VLOOKUP(A7,Enforcements!$C$3:$J$14,3,0)</f>
        <v>PERMANENT SPEED RESTRICTION</v>
      </c>
      <c r="Z7" s="24"/>
      <c r="AA7" s="13" t="s">
        <v>28</v>
      </c>
    </row>
    <row r="8" spans="1:89" s="2" customFormat="1" x14ac:dyDescent="0.25">
      <c r="A8" s="18" t="s">
        <v>71</v>
      </c>
      <c r="B8" s="19">
        <v>4028</v>
      </c>
      <c r="C8" s="19" t="s">
        <v>56</v>
      </c>
      <c r="D8" s="19" t="s">
        <v>68</v>
      </c>
      <c r="E8" s="53">
        <v>42488.984131944446</v>
      </c>
      <c r="F8" s="53">
        <v>42488.98574074074</v>
      </c>
      <c r="G8" s="62">
        <v>2</v>
      </c>
      <c r="H8" s="53" t="s">
        <v>75</v>
      </c>
      <c r="I8" s="53">
        <v>42489.010995370372</v>
      </c>
      <c r="J8" s="19">
        <v>0</v>
      </c>
      <c r="K8" s="19" t="str">
        <f>IF(ISEVEN(B8),(B8-1)&amp;"/"&amp;B8,B8&amp;"/"&amp;(B8+1))</f>
        <v>4027/4028</v>
      </c>
      <c r="L8" s="20">
        <f>I8-F8</f>
        <v>2.5254629632399883E-2</v>
      </c>
      <c r="M8" s="21">
        <f>L8*24*60</f>
        <v>36.366666670655832</v>
      </c>
      <c r="N8" s="21"/>
      <c r="O8" s="22"/>
      <c r="P8" s="17"/>
      <c r="R8" s="16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https://search-rtdc-monitor-bjffxe2xuh6vdkpspy63sjmuny.us-east-1.es.amazonaws.com/_plugin/kibana/#/discover/Steve-Slow-Train-Analysis-(2080s-and-2083s)?_g=(refreshInterval:(display:Off,section:0,value:0),time:(from:'2016-04-28 23:36:09-0600',mode:absolute,to:'2016-04-29 00:16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8" s="16" t="str">
        <f>IF(V8&lt;23,"Y","N")</f>
        <v>N</v>
      </c>
      <c r="T8" s="16">
        <f>RIGHT(D8,LEN(D8)-4)/10000</f>
        <v>23.2988</v>
      </c>
      <c r="U8" s="16">
        <f>RIGHT(H8,LEN(H8)-4)/10000</f>
        <v>0.2089</v>
      </c>
      <c r="V8" s="16">
        <f>ABS(U8-T8)</f>
        <v>23.0899</v>
      </c>
      <c r="W8" s="49">
        <f>VLOOKUP(A8,Enforcements!$C$3:$J$14,8,0)</f>
        <v>11201</v>
      </c>
      <c r="X8" s="49" t="str">
        <f>VLOOKUP(A8,Enforcements!$C$3:$J$14,3,0)</f>
        <v>PERMANENT SPEED RESTRICTION</v>
      </c>
      <c r="Z8" s="14"/>
      <c r="AA8" s="13" t="s">
        <v>29</v>
      </c>
    </row>
    <row r="9" spans="1:89" s="2" customFormat="1" x14ac:dyDescent="0.25">
      <c r="A9" s="18" t="s">
        <v>71</v>
      </c>
      <c r="B9" s="19">
        <v>4027</v>
      </c>
      <c r="C9" s="19" t="s">
        <v>56</v>
      </c>
      <c r="D9" s="19" t="s">
        <v>73</v>
      </c>
      <c r="E9" s="53">
        <v>42489.024224537039</v>
      </c>
      <c r="F9" s="53">
        <v>42489.025625000002</v>
      </c>
      <c r="G9" s="62">
        <v>2</v>
      </c>
      <c r="H9" s="53" t="s">
        <v>74</v>
      </c>
      <c r="I9" s="53">
        <v>42489.062245370369</v>
      </c>
      <c r="J9" s="19">
        <v>1</v>
      </c>
      <c r="K9" s="19" t="str">
        <f>IF(ISEVEN(B9),(B9-1)&amp;"/"&amp;B9,B9&amp;"/"&amp;(B9+1))</f>
        <v>4027/4028</v>
      </c>
      <c r="L9" s="20">
        <f>I9-F9</f>
        <v>3.662037036701804E-2</v>
      </c>
      <c r="M9" s="21">
        <f>L9*24*60</f>
        <v>52.733333328505978</v>
      </c>
      <c r="N9" s="21"/>
      <c r="O9" s="22"/>
      <c r="P9" s="17" t="s">
        <v>86</v>
      </c>
      <c r="R9" s="16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https://search-rtdc-monitor-bjffxe2xuh6vdkpspy63sjmuny.us-east-1.es.amazonaws.com/_plugin/kibana/#/discover/Steve-Slow-Train-Analysis-(2080s-and-2083s)?_g=(refreshInterval:(display:Off,section:0,value:0),time:(from:'2016-04-29 00:33:53-0600',mode:absolute,to:'2016-04-29 01:30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9" s="16" t="str">
        <f>IF(V9&lt;23,"Y","N")</f>
        <v>N</v>
      </c>
      <c r="T9" s="16">
        <f>RIGHT(D9,LEN(D9)-4)/10000</f>
        <v>0.1182</v>
      </c>
      <c r="U9" s="16">
        <f>RIGHT(H9,LEN(H9)-4)/10000</f>
        <v>23.325700000000001</v>
      </c>
      <c r="V9" s="16">
        <f>ABS(U9-T9)</f>
        <v>23.2075</v>
      </c>
      <c r="W9" s="49">
        <f>VLOOKUP(A9,Enforcements!$C$3:$J$14,8,0)</f>
        <v>11201</v>
      </c>
      <c r="X9" s="49" t="str">
        <f>VLOOKUP(A9,Enforcements!$C$3:$J$14,3,0)</f>
        <v>PERMANENT SPEED RESTRICTION</v>
      </c>
      <c r="Z9" s="86"/>
      <c r="AA9" s="87"/>
    </row>
    <row r="10" spans="1:89" s="2" customFormat="1" x14ac:dyDescent="0.25">
      <c r="A10" s="18" t="s">
        <v>71</v>
      </c>
      <c r="B10" s="19">
        <v>4028</v>
      </c>
      <c r="C10" s="19" t="s">
        <v>56</v>
      </c>
      <c r="D10" s="19" t="s">
        <v>70</v>
      </c>
      <c r="E10" s="53">
        <v>42489.067199074074</v>
      </c>
      <c r="F10" s="53">
        <v>42489.067939814813</v>
      </c>
      <c r="G10" s="62">
        <v>1</v>
      </c>
      <c r="H10" s="53" t="s">
        <v>72</v>
      </c>
      <c r="I10" s="53">
        <v>42489.097349537034</v>
      </c>
      <c r="J10" s="19">
        <v>1</v>
      </c>
      <c r="K10" s="19" t="str">
        <f>IF(ISEVEN(B10),(B10-1)&amp;"/"&amp;B10,B10&amp;"/"&amp;(B10+1))</f>
        <v>4027/4028</v>
      </c>
      <c r="L10" s="20">
        <f>I10-F10</f>
        <v>2.940972222131677E-2</v>
      </c>
      <c r="M10" s="21">
        <f>L10*24*60</f>
        <v>42.349999998696148</v>
      </c>
      <c r="N10" s="21"/>
      <c r="O10" s="22"/>
      <c r="P10" s="17"/>
      <c r="R10" s="16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https://search-rtdc-monitor-bjffxe2xuh6vdkpspy63sjmuny.us-east-1.es.amazonaws.com/_plugin/kibana/#/discover/Steve-Slow-Train-Analysis-(2080s-and-2083s)?_g=(refreshInterval:(display:Off,section:0,value:0),time:(from:'2016-04-29 01:35:46-0600',mode:absolute,to:'2016-04-29 02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10" s="16" t="str">
        <f>IF(V10&lt;23,"Y","N")</f>
        <v>N</v>
      </c>
      <c r="T10" s="16">
        <f>RIGHT(D10,LEN(D10)-4)/10000</f>
        <v>23.296299999999999</v>
      </c>
      <c r="U10" s="16">
        <f>RIGHT(H10,LEN(H10)-4)/10000</f>
        <v>8.7599999999999997E-2</v>
      </c>
      <c r="V10" s="16">
        <f>ABS(U10-T10)</f>
        <v>23.2087</v>
      </c>
      <c r="W10" s="49">
        <f>VLOOKUP(A10,Enforcements!$C$3:$J$14,8,0)</f>
        <v>11201</v>
      </c>
      <c r="X10" s="49" t="str">
        <f>VLOOKUP(A10,Enforcements!$C$3:$J$14,3,0)</f>
        <v>PERMANENT SPEED RESTRICTION</v>
      </c>
      <c r="Z10" s="86"/>
      <c r="AA10" s="87"/>
    </row>
    <row r="11" spans="1:89" s="2" customFormat="1" x14ac:dyDescent="0.25">
      <c r="A11" s="18" t="s">
        <v>71</v>
      </c>
      <c r="B11" s="19">
        <v>4027</v>
      </c>
      <c r="C11" s="19" t="s">
        <v>56</v>
      </c>
      <c r="D11" s="19" t="s">
        <v>89</v>
      </c>
      <c r="E11" s="53">
        <v>42489.099247685182</v>
      </c>
      <c r="F11" s="53">
        <v>42489.100208333337</v>
      </c>
      <c r="G11" s="62">
        <v>1</v>
      </c>
      <c r="H11" s="53" t="s">
        <v>90</v>
      </c>
      <c r="I11" s="53">
        <v>42489.128113425926</v>
      </c>
      <c r="J11" s="19">
        <v>2</v>
      </c>
      <c r="K11" s="19" t="str">
        <f>IF(ISEVEN(B11),(B11-1)&amp;"/"&amp;B11,B11&amp;"/"&amp;(B11+1))</f>
        <v>4027/4028</v>
      </c>
      <c r="L11" s="20">
        <f>I11-F11</f>
        <v>2.7905092589207925E-2</v>
      </c>
      <c r="M11" s="21">
        <f>L11*24*60</f>
        <v>40.183333328459412</v>
      </c>
      <c r="N11" s="21"/>
      <c r="O11" s="22"/>
      <c r="P11" s="39" t="s">
        <v>95</v>
      </c>
      <c r="R11" s="16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https://search-rtdc-monitor-bjffxe2xuh6vdkpspy63sjmuny.us-east-1.es.amazonaws.com/_plugin/kibana/#/discover/Steve-Slow-Train-Analysis-(2080s-and-2083s)?_g=(refreshInterval:(display:Off,section:0,value:0),time:(from:'2016-04-29 02:21:55-0600',mode:absolute,to:'2016-04-29 03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11" s="16" t="str">
        <f>IF(V11&lt;23,"Y","N")</f>
        <v>N</v>
      </c>
      <c r="T11" s="16">
        <f>RIGHT(D11,LEN(D11)-4)/10000</f>
        <v>0.11840000000000001</v>
      </c>
      <c r="U11" s="16">
        <f>RIGHT(H11,LEN(H11)-4)/10000</f>
        <v>23.3078</v>
      </c>
      <c r="V11" s="16">
        <f>ABS(U11-T11)</f>
        <v>23.189399999999999</v>
      </c>
      <c r="W11" s="49">
        <f>VLOOKUP(A11,Enforcements!$C$3:$J$14,8,0)</f>
        <v>11201</v>
      </c>
      <c r="X11" s="49" t="str">
        <f>VLOOKUP(A11,Enforcements!$C$3:$J$14,3,0)</f>
        <v>PERMANENT SPEED RESTRICTION</v>
      </c>
    </row>
    <row r="12" spans="1:89" s="2" customFormat="1" ht="15.75" thickBot="1" x14ac:dyDescent="0.3">
      <c r="A12" s="79" t="s">
        <v>71</v>
      </c>
      <c r="B12" s="80">
        <v>4028</v>
      </c>
      <c r="C12" s="80" t="s">
        <v>56</v>
      </c>
      <c r="D12" s="80" t="s">
        <v>87</v>
      </c>
      <c r="E12" s="81">
        <v>42489.129664351851</v>
      </c>
      <c r="F12" s="81">
        <v>42489.130416666667</v>
      </c>
      <c r="G12" s="82">
        <v>1</v>
      </c>
      <c r="H12" s="81" t="s">
        <v>88</v>
      </c>
      <c r="I12" s="81">
        <v>42489.159884259258</v>
      </c>
      <c r="J12" s="80">
        <v>1</v>
      </c>
      <c r="K12" s="80" t="str">
        <f>IF(ISEVEN(B12),(B12-1)&amp;"/"&amp;B12,B12&amp;"/"&amp;(B12+1))</f>
        <v>4027/4028</v>
      </c>
      <c r="L12" s="83">
        <f>I12-F12</f>
        <v>2.9467592590663116E-2</v>
      </c>
      <c r="M12" s="84">
        <f>L12*24*60</f>
        <v>42.433333330554888</v>
      </c>
      <c r="N12" s="84"/>
      <c r="O12" s="85"/>
      <c r="P12" s="39" t="s">
        <v>95</v>
      </c>
      <c r="R12" s="16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https://search-rtdc-monitor-bjffxe2xuh6vdkpspy63sjmuny.us-east-1.es.amazonaws.com/_plugin/kibana/#/discover/Steve-Slow-Train-Analysis-(2080s-and-2083s)?_g=(refreshInterval:(display:Off,section:0,value:0),time:(from:'2016-04-29 03:05:43-0600',mode:absolute,to:'2016-04-29 03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12" s="16" t="str">
        <f>IF(V12&lt;23,"Y","N")</f>
        <v>N</v>
      </c>
      <c r="T12" s="16">
        <f>RIGHT(D12,LEN(D12)-4)/10000</f>
        <v>23.2761</v>
      </c>
      <c r="U12" s="16">
        <f>RIGHT(H12,LEN(H12)-4)/10000</f>
        <v>3.2199999999999999E-2</v>
      </c>
      <c r="V12" s="16">
        <f>ABS(U12-T12)</f>
        <v>23.2439</v>
      </c>
      <c r="W12" s="49">
        <f>VLOOKUP(A12,Enforcements!$C$3:$J$14,8,0)</f>
        <v>11201</v>
      </c>
      <c r="X12" s="49" t="str">
        <f>VLOOKUP(A12,Enforcements!$C$3:$J$14,3,0)</f>
        <v>PERMANENT SPEED RESTRICTION</v>
      </c>
    </row>
    <row r="13" spans="1:89" s="2" customFormat="1" ht="15.75" thickBot="1" x14ac:dyDescent="0.3">
      <c r="E13" s="54"/>
      <c r="F13" s="54"/>
      <c r="G13" s="63"/>
      <c r="H13" s="54"/>
      <c r="I13" s="66">
        <f>Z2</f>
        <v>42488</v>
      </c>
      <c r="J13" s="67"/>
      <c r="K13" s="65"/>
      <c r="L13" s="68" t="s">
        <v>8</v>
      </c>
      <c r="M13" s="69"/>
      <c r="N13" s="70"/>
      <c r="O13" s="5"/>
      <c r="W13" s="47"/>
      <c r="X13" s="47"/>
    </row>
    <row r="14" spans="1:89" s="2" customFormat="1" ht="15.75" thickBot="1" x14ac:dyDescent="0.3">
      <c r="E14" s="54"/>
      <c r="F14" s="54"/>
      <c r="G14" s="63"/>
      <c r="H14" s="54"/>
      <c r="I14" s="71" t="s">
        <v>10</v>
      </c>
      <c r="J14" s="72"/>
      <c r="K14" s="58"/>
      <c r="L14" s="9" t="s">
        <v>11</v>
      </c>
      <c r="M14" s="6" t="s">
        <v>12</v>
      </c>
      <c r="N14" s="7" t="s">
        <v>13</v>
      </c>
      <c r="O14" s="5"/>
      <c r="W14" s="47"/>
      <c r="X14" s="47"/>
    </row>
    <row r="15" spans="1:89" s="2" customFormat="1" ht="15.75" thickBot="1" x14ac:dyDescent="0.3">
      <c r="E15" s="54"/>
      <c r="F15" s="54"/>
      <c r="G15" s="63"/>
      <c r="H15" s="54"/>
      <c r="I15" s="55" t="s">
        <v>14</v>
      </c>
      <c r="J15" s="3">
        <f>COUNT(M3:O12)</f>
        <v>10</v>
      </c>
      <c r="K15" s="3"/>
      <c r="L15" s="9" t="s">
        <v>15</v>
      </c>
      <c r="M15" s="6" t="s">
        <v>15</v>
      </c>
      <c r="N15" s="7" t="s">
        <v>15</v>
      </c>
      <c r="O15" s="5"/>
      <c r="W15" s="47"/>
      <c r="X15" s="47"/>
    </row>
    <row r="16" spans="1:89" s="2" customFormat="1" ht="15.75" thickBot="1" x14ac:dyDescent="0.3">
      <c r="E16" s="54"/>
      <c r="F16" s="54"/>
      <c r="G16" s="63"/>
      <c r="H16" s="54"/>
      <c r="I16" s="55" t="s">
        <v>17</v>
      </c>
      <c r="J16" s="3">
        <f>COUNT(M3:M12)</f>
        <v>10</v>
      </c>
      <c r="K16" s="3"/>
      <c r="L16" s="10">
        <f>AVERAGE(M3:M12)</f>
        <v>41.771666666376404</v>
      </c>
      <c r="M16" s="6">
        <f>MIN(M3:M12)</f>
        <v>36.366666670655832</v>
      </c>
      <c r="N16" s="7">
        <f>MAX(M3:M12)</f>
        <v>52.733333328505978</v>
      </c>
      <c r="O16" s="5"/>
      <c r="W16" s="47"/>
      <c r="X16" s="47"/>
    </row>
    <row r="17" spans="5:24" ht="15.75" thickBot="1" x14ac:dyDescent="0.3">
      <c r="I17" s="56" t="s">
        <v>61</v>
      </c>
      <c r="J17" s="3">
        <f>COUNT(N3:N12)</f>
        <v>0</v>
      </c>
      <c r="K17" s="3"/>
      <c r="L17" s="10">
        <f>IFERROR(AVERAGE(N3:N12),0)</f>
        <v>0</v>
      </c>
      <c r="M17" s="6">
        <f>MIN(N3:N12)</f>
        <v>0</v>
      </c>
      <c r="N17" s="7">
        <f>MAX(N3:N12)</f>
        <v>0</v>
      </c>
    </row>
    <row r="18" spans="5:24" ht="15.75" thickBot="1" x14ac:dyDescent="0.3">
      <c r="I18" s="57" t="s">
        <v>9</v>
      </c>
      <c r="J18" s="3">
        <f>COUNT(O3:O12)</f>
        <v>0</v>
      </c>
      <c r="K18" s="3"/>
      <c r="L18" s="9" t="s">
        <v>15</v>
      </c>
      <c r="M18" s="6" t="s">
        <v>15</v>
      </c>
      <c r="N18" s="7" t="s">
        <v>15</v>
      </c>
    </row>
    <row r="19" spans="5:24" s="2" customFormat="1" ht="30.75" thickBot="1" x14ac:dyDescent="0.3">
      <c r="E19" s="54"/>
      <c r="F19" s="54"/>
      <c r="G19" s="63"/>
      <c r="H19" s="54"/>
      <c r="I19" s="55" t="s">
        <v>16</v>
      </c>
      <c r="J19" s="3">
        <f>COUNT(M3:N12)</f>
        <v>10</v>
      </c>
      <c r="K19" s="3"/>
      <c r="L19" s="10">
        <f>AVERAGE(M3:O12)</f>
        <v>41.771666666376404</v>
      </c>
      <c r="M19" s="6">
        <f>MIN(M3:N12)</f>
        <v>36.366666670655832</v>
      </c>
      <c r="N19" s="7">
        <f>MAX(M3:N12)</f>
        <v>52.733333328505978</v>
      </c>
      <c r="O19" s="5"/>
      <c r="W19" s="47"/>
      <c r="X19" s="47"/>
    </row>
    <row r="20" spans="5:24" ht="30.75" thickBot="1" x14ac:dyDescent="0.3">
      <c r="I20" s="55" t="s">
        <v>19</v>
      </c>
      <c r="J20" s="8">
        <f>J19/J15</f>
        <v>1</v>
      </c>
      <c r="K20" s="8"/>
    </row>
  </sheetData>
  <sortState ref="A3:X12">
    <sortCondition ref="E3:E12"/>
  </sortState>
  <mergeCells count="4">
    <mergeCell ref="I13:J13"/>
    <mergeCell ref="L13:N13"/>
    <mergeCell ref="I14:J14"/>
    <mergeCell ref="A1:O1"/>
  </mergeCells>
  <conditionalFormatting sqref="S1:S1048576">
    <cfRule type="cellIs" dxfId="9" priority="9" operator="equal">
      <formula>"Y"</formula>
    </cfRule>
  </conditionalFormatting>
  <conditionalFormatting sqref="A3:P10 A11:O12">
    <cfRule type="expression" dxfId="8" priority="10">
      <formula>$M3&gt;$AB$2</formula>
    </cfRule>
    <cfRule type="expression" dxfId="7" priority="11">
      <formula>$O3&gt;0</formula>
    </cfRule>
    <cfRule type="expression" dxfId="6" priority="12">
      <formula>$N3&gt;0</formula>
    </cfRule>
  </conditionalFormatting>
  <conditionalFormatting sqref="P11">
    <cfRule type="expression" dxfId="3" priority="2">
      <formula>$L11="Y"</formula>
    </cfRule>
  </conditionalFormatting>
  <conditionalFormatting sqref="P12">
    <cfRule type="expression" dxfId="1" priority="1">
      <formula>$L12="Y"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zoomScale="85" zoomScaleNormal="85" workbookViewId="0">
      <selection activeCell="L17" sqref="L17"/>
    </sheetView>
  </sheetViews>
  <sheetFormatPr defaultRowHeight="15" x14ac:dyDescent="0.25"/>
  <cols>
    <col min="1" max="1" width="18.42578125" style="32" customWidth="1"/>
    <col min="2" max="2" width="17.5703125" customWidth="1"/>
    <col min="3" max="3" width="13.28515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6.42578125" customWidth="1"/>
    <col min="13" max="13" width="37.85546875" bestFit="1" customWidth="1"/>
  </cols>
  <sheetData>
    <row r="1" spans="1:13" s="44" customFormat="1" ht="15" customHeight="1" x14ac:dyDescent="0.25">
      <c r="A1" s="74" t="str">
        <f>"Eagle P3 Braking Events - "&amp;TEXT('Train Runs'!$Z$2,"YYYY-mm-dd")</f>
        <v>Eagle P3 Braking Events - 2016-04-28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45"/>
    </row>
    <row r="2" spans="1:13" s="2" customFormat="1" ht="90" x14ac:dyDescent="0.25">
      <c r="A2" s="43" t="s">
        <v>55</v>
      </c>
      <c r="B2" s="42" t="s">
        <v>54</v>
      </c>
      <c r="C2" s="42" t="s">
        <v>53</v>
      </c>
      <c r="D2" s="42" t="s">
        <v>52</v>
      </c>
      <c r="E2" s="42" t="s">
        <v>51</v>
      </c>
      <c r="F2" s="42" t="s">
        <v>50</v>
      </c>
      <c r="G2" s="42" t="s">
        <v>49</v>
      </c>
      <c r="H2" s="42" t="s">
        <v>48</v>
      </c>
      <c r="I2" s="42" t="s">
        <v>47</v>
      </c>
      <c r="J2" s="42" t="s">
        <v>46</v>
      </c>
      <c r="K2" s="42" t="s">
        <v>45</v>
      </c>
      <c r="L2" s="42" t="s">
        <v>44</v>
      </c>
      <c r="M2" s="42" t="s">
        <v>25</v>
      </c>
    </row>
    <row r="3" spans="1:13" s="37" customFormat="1" x14ac:dyDescent="0.25">
      <c r="A3" s="41">
        <v>42488.784837962965</v>
      </c>
      <c r="B3" s="40" t="s">
        <v>91</v>
      </c>
      <c r="C3" s="40" t="s">
        <v>71</v>
      </c>
      <c r="D3" s="40" t="s">
        <v>37</v>
      </c>
      <c r="E3" s="40" t="s">
        <v>43</v>
      </c>
      <c r="F3" s="40">
        <v>450</v>
      </c>
      <c r="G3" s="40">
        <v>501</v>
      </c>
      <c r="H3" s="40">
        <v>10704</v>
      </c>
      <c r="I3" s="40" t="s">
        <v>42</v>
      </c>
      <c r="J3" s="40">
        <v>11201</v>
      </c>
      <c r="K3" s="39" t="s">
        <v>34</v>
      </c>
      <c r="L3" s="38" t="s">
        <v>33</v>
      </c>
      <c r="M3" s="39"/>
    </row>
    <row r="4" spans="1:13" s="37" customFormat="1" x14ac:dyDescent="0.25">
      <c r="A4" s="41">
        <v>42488.866759259261</v>
      </c>
      <c r="B4" s="40" t="s">
        <v>91</v>
      </c>
      <c r="C4" s="40" t="s">
        <v>71</v>
      </c>
      <c r="D4" s="40" t="s">
        <v>37</v>
      </c>
      <c r="E4" s="40" t="s">
        <v>43</v>
      </c>
      <c r="F4" s="40">
        <v>450</v>
      </c>
      <c r="G4" s="40">
        <v>477</v>
      </c>
      <c r="H4" s="40">
        <v>10678</v>
      </c>
      <c r="I4" s="40" t="s">
        <v>42</v>
      </c>
      <c r="J4" s="40">
        <v>11201</v>
      </c>
      <c r="K4" s="39" t="s">
        <v>34</v>
      </c>
      <c r="L4" s="38" t="s">
        <v>33</v>
      </c>
      <c r="M4" s="39"/>
    </row>
    <row r="5" spans="1:13" s="37" customFormat="1" x14ac:dyDescent="0.25">
      <c r="A5" s="41">
        <v>42489.09447916667</v>
      </c>
      <c r="B5" s="40" t="s">
        <v>92</v>
      </c>
      <c r="C5" s="40" t="s">
        <v>71</v>
      </c>
      <c r="D5" s="40" t="s">
        <v>37</v>
      </c>
      <c r="E5" s="40" t="s">
        <v>43</v>
      </c>
      <c r="F5" s="40">
        <v>450</v>
      </c>
      <c r="G5" s="40">
        <v>443</v>
      </c>
      <c r="H5" s="40">
        <v>17375</v>
      </c>
      <c r="I5" s="40" t="s">
        <v>42</v>
      </c>
      <c r="J5" s="40">
        <v>15167</v>
      </c>
      <c r="K5" s="39" t="s">
        <v>38</v>
      </c>
      <c r="L5" s="38" t="s">
        <v>33</v>
      </c>
      <c r="M5" s="39"/>
    </row>
    <row r="6" spans="1:13" s="37" customFormat="1" x14ac:dyDescent="0.25">
      <c r="A6" s="41">
        <v>42489.106736111113</v>
      </c>
      <c r="B6" s="40" t="s">
        <v>91</v>
      </c>
      <c r="C6" s="40" t="s">
        <v>71</v>
      </c>
      <c r="D6" s="40" t="s">
        <v>37</v>
      </c>
      <c r="E6" s="40" t="s">
        <v>43</v>
      </c>
      <c r="F6" s="40">
        <v>400</v>
      </c>
      <c r="G6" s="40">
        <v>488</v>
      </c>
      <c r="H6" s="40">
        <v>17196</v>
      </c>
      <c r="I6" s="40" t="s">
        <v>42</v>
      </c>
      <c r="J6" s="40">
        <v>17867</v>
      </c>
      <c r="K6" s="39" t="s">
        <v>34</v>
      </c>
      <c r="L6" s="38" t="s">
        <v>33</v>
      </c>
      <c r="M6" s="39"/>
    </row>
    <row r="7" spans="1:13" s="37" customFormat="1" x14ac:dyDescent="0.25">
      <c r="A7" s="41">
        <v>42489.046805555554</v>
      </c>
      <c r="B7" s="40" t="s">
        <v>91</v>
      </c>
      <c r="C7" s="40" t="s">
        <v>71</v>
      </c>
      <c r="D7" s="40" t="s">
        <v>37</v>
      </c>
      <c r="E7" s="40" t="s">
        <v>41</v>
      </c>
      <c r="F7" s="40">
        <v>0</v>
      </c>
      <c r="G7" s="40">
        <v>79</v>
      </c>
      <c r="H7" s="40">
        <v>126157</v>
      </c>
      <c r="I7" s="40" t="s">
        <v>40</v>
      </c>
      <c r="J7" s="40">
        <v>126585</v>
      </c>
      <c r="K7" s="39" t="s">
        <v>34</v>
      </c>
      <c r="L7" s="38" t="s">
        <v>84</v>
      </c>
      <c r="M7" s="39" t="s">
        <v>85</v>
      </c>
    </row>
    <row r="8" spans="1:13" s="37" customFormat="1" x14ac:dyDescent="0.25">
      <c r="A8" s="41">
        <v>42489.048506944448</v>
      </c>
      <c r="B8" s="40" t="s">
        <v>67</v>
      </c>
      <c r="C8" s="40" t="s">
        <v>71</v>
      </c>
      <c r="D8" s="40" t="s">
        <v>93</v>
      </c>
      <c r="E8" s="40" t="s">
        <v>41</v>
      </c>
      <c r="F8" s="40">
        <v>0</v>
      </c>
      <c r="G8" s="40">
        <v>0</v>
      </c>
      <c r="H8" s="40">
        <v>0</v>
      </c>
      <c r="I8" s="40" t="s">
        <v>40</v>
      </c>
      <c r="J8" s="40">
        <v>144300</v>
      </c>
      <c r="K8" s="39" t="s">
        <v>94</v>
      </c>
      <c r="L8" s="38" t="s">
        <v>84</v>
      </c>
      <c r="M8" s="39" t="s">
        <v>95</v>
      </c>
    </row>
    <row r="9" spans="1:13" s="37" customFormat="1" x14ac:dyDescent="0.25">
      <c r="A9" s="41">
        <v>42488.845763888887</v>
      </c>
      <c r="B9" s="40" t="s">
        <v>92</v>
      </c>
      <c r="C9" s="40" t="s">
        <v>71</v>
      </c>
      <c r="D9" s="40" t="s">
        <v>37</v>
      </c>
      <c r="E9" s="40" t="s">
        <v>36</v>
      </c>
      <c r="F9" s="40">
        <v>0</v>
      </c>
      <c r="G9" s="40">
        <v>32</v>
      </c>
      <c r="H9" s="40">
        <v>1007</v>
      </c>
      <c r="I9" s="40" t="s">
        <v>35</v>
      </c>
      <c r="J9" s="40">
        <v>839</v>
      </c>
      <c r="K9" s="39" t="s">
        <v>38</v>
      </c>
      <c r="L9" s="38" t="s">
        <v>33</v>
      </c>
      <c r="M9" s="39"/>
    </row>
    <row r="10" spans="1:13" s="37" customFormat="1" x14ac:dyDescent="0.25">
      <c r="A10" s="41">
        <v>42488.889745370368</v>
      </c>
      <c r="B10" s="40" t="s">
        <v>91</v>
      </c>
      <c r="C10" s="40" t="s">
        <v>71</v>
      </c>
      <c r="D10" s="40" t="s">
        <v>37</v>
      </c>
      <c r="E10" s="40" t="s">
        <v>36</v>
      </c>
      <c r="F10" s="40">
        <v>0</v>
      </c>
      <c r="G10" s="40">
        <v>4</v>
      </c>
      <c r="H10" s="40">
        <v>233281</v>
      </c>
      <c r="I10" s="40" t="s">
        <v>35</v>
      </c>
      <c r="J10" s="40">
        <v>233491</v>
      </c>
      <c r="K10" s="39" t="s">
        <v>34</v>
      </c>
      <c r="L10" s="38" t="s">
        <v>33</v>
      </c>
      <c r="M10" s="39"/>
    </row>
    <row r="11" spans="1:13" s="37" customFormat="1" x14ac:dyDescent="0.25">
      <c r="A11" s="41">
        <v>42488.92864583333</v>
      </c>
      <c r="B11" s="40" t="s">
        <v>92</v>
      </c>
      <c r="C11" s="40" t="s">
        <v>71</v>
      </c>
      <c r="D11" s="40" t="s">
        <v>37</v>
      </c>
      <c r="E11" s="40" t="s">
        <v>36</v>
      </c>
      <c r="F11" s="40">
        <v>0</v>
      </c>
      <c r="G11" s="40">
        <v>21</v>
      </c>
      <c r="H11" s="40">
        <v>939</v>
      </c>
      <c r="I11" s="40" t="s">
        <v>35</v>
      </c>
      <c r="J11" s="40">
        <v>839</v>
      </c>
      <c r="K11" s="39" t="s">
        <v>38</v>
      </c>
      <c r="L11" s="38" t="s">
        <v>33</v>
      </c>
      <c r="M11" s="39"/>
    </row>
    <row r="12" spans="1:13" s="37" customFormat="1" x14ac:dyDescent="0.25">
      <c r="A12" s="41">
        <v>42489.012349537035</v>
      </c>
      <c r="B12" s="40" t="s">
        <v>92</v>
      </c>
      <c r="C12" s="40" t="s">
        <v>71</v>
      </c>
      <c r="D12" s="40" t="s">
        <v>39</v>
      </c>
      <c r="E12" s="40" t="s">
        <v>36</v>
      </c>
      <c r="F12" s="40">
        <v>0</v>
      </c>
      <c r="G12" s="40">
        <v>7</v>
      </c>
      <c r="H12" s="40">
        <v>839</v>
      </c>
      <c r="I12" s="40" t="s">
        <v>35</v>
      </c>
      <c r="J12" s="40">
        <v>839</v>
      </c>
      <c r="K12" s="39" t="s">
        <v>38</v>
      </c>
      <c r="L12" s="38" t="s">
        <v>33</v>
      </c>
      <c r="M12" s="39"/>
    </row>
    <row r="13" spans="1:13" s="37" customFormat="1" x14ac:dyDescent="0.25">
      <c r="A13" s="41">
        <v>42489.128009259257</v>
      </c>
      <c r="B13" s="40" t="s">
        <v>91</v>
      </c>
      <c r="C13" s="40" t="s">
        <v>71</v>
      </c>
      <c r="D13" s="40" t="s">
        <v>37</v>
      </c>
      <c r="E13" s="40" t="s">
        <v>36</v>
      </c>
      <c r="F13" s="40">
        <v>0</v>
      </c>
      <c r="G13" s="40">
        <v>132</v>
      </c>
      <c r="H13" s="40">
        <v>232950</v>
      </c>
      <c r="I13" s="40" t="s">
        <v>35</v>
      </c>
      <c r="J13" s="40">
        <v>233491</v>
      </c>
      <c r="K13" s="39" t="s">
        <v>34</v>
      </c>
      <c r="L13" s="38" t="s">
        <v>33</v>
      </c>
      <c r="M13" s="39"/>
    </row>
    <row r="14" spans="1:13" s="37" customFormat="1" x14ac:dyDescent="0.25">
      <c r="A14" s="41">
        <v>42489.159780092596</v>
      </c>
      <c r="B14" s="40" t="s">
        <v>92</v>
      </c>
      <c r="C14" s="40" t="s">
        <v>71</v>
      </c>
      <c r="D14" s="40" t="s">
        <v>37</v>
      </c>
      <c r="E14" s="40" t="s">
        <v>36</v>
      </c>
      <c r="F14" s="40">
        <v>0</v>
      </c>
      <c r="G14" s="40">
        <v>140</v>
      </c>
      <c r="H14" s="40">
        <v>571</v>
      </c>
      <c r="I14" s="40" t="s">
        <v>35</v>
      </c>
      <c r="J14" s="40">
        <v>1</v>
      </c>
      <c r="K14" s="39" t="s">
        <v>38</v>
      </c>
      <c r="L14" s="38" t="s">
        <v>33</v>
      </c>
      <c r="M14" s="39"/>
    </row>
    <row r="15" spans="1:13" s="37" customFormat="1" ht="15.75" thickBot="1" x14ac:dyDescent="0.3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7"/>
      <c r="L15" s="78"/>
      <c r="M15" s="77"/>
    </row>
    <row r="16" spans="1:13" x14ac:dyDescent="0.25">
      <c r="K16" s="36" t="s">
        <v>32</v>
      </c>
      <c r="L16" s="35">
        <f>COUNTIF(L3:L14,"=Y")</f>
        <v>2</v>
      </c>
    </row>
    <row r="17" spans="11:12" ht="15.75" thickBot="1" x14ac:dyDescent="0.3">
      <c r="K17" s="34" t="s">
        <v>31</v>
      </c>
      <c r="L17" s="33">
        <f>COUNTA(L3:L14)-L16</f>
        <v>10</v>
      </c>
    </row>
  </sheetData>
  <autoFilter ref="A2:M2">
    <sortState ref="A3:M13">
      <sortCondition ref="E2"/>
    </sortState>
  </autoFilter>
  <mergeCells count="1">
    <mergeCell ref="A1:L1"/>
  </mergeCells>
  <conditionalFormatting sqref="M2 L2:L1048576">
    <cfRule type="cellIs" dxfId="5" priority="3" operator="equal">
      <formula>"Y"</formula>
    </cfRule>
  </conditionalFormatting>
  <conditionalFormatting sqref="B3:M15">
    <cfRule type="expression" dxfId="4" priority="2">
      <formula>$L3="Y"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 Runs</vt:lpstr>
      <vt:lpstr>Enforcements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2016-04-29T19:47:10Z</dcterms:modified>
</cp:coreProperties>
</file>