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\Documents\Analysis\2016-04-12 RTDC Report since 03-01\"/>
    </mc:Choice>
  </mc:AlternateContent>
  <bookViews>
    <workbookView xWindow="0" yWindow="0" windowWidth="25200" windowHeight="13860" activeTab="1"/>
  </bookViews>
  <sheets>
    <sheet name="Train Runs" sheetId="1" r:id="rId1"/>
    <sheet name="Enforcements" sheetId="3" r:id="rId2"/>
    <sheet name="Missing Trips" sheetId="6" r:id="rId3"/>
    <sheet name="Trips&amp;Operators" sheetId="4" r:id="rId4"/>
    <sheet name="Variables" sheetId="5" r:id="rId5"/>
  </sheets>
  <definedNames>
    <definedName name="_xlnm._FilterDatabase" localSheetId="1" hidden="1">Enforcements!$A$2:$N$2</definedName>
    <definedName name="_xlnm._FilterDatabase" localSheetId="0" hidden="1">'Train Runs'!$A$2:$AA$2</definedName>
    <definedName name="Denver_Train_Runs_04122016" localSheetId="0">'Train Runs'!$A$2:$J$148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" i="3" l="1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3" i="3"/>
  <c r="A1" i="6" l="1"/>
  <c r="P22" i="1" l="1"/>
  <c r="P13" i="1"/>
  <c r="V68" i="1"/>
  <c r="V69" i="1"/>
  <c r="L4" i="1" l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3" i="1"/>
  <c r="Z4" i="1"/>
  <c r="AA4" i="1"/>
  <c r="Z5" i="1"/>
  <c r="AA5" i="1"/>
  <c r="Z6" i="1"/>
  <c r="AA6" i="1"/>
  <c r="Z7" i="1"/>
  <c r="AA7" i="1"/>
  <c r="Z8" i="1"/>
  <c r="AA8" i="1"/>
  <c r="Z9" i="1"/>
  <c r="AA9" i="1"/>
  <c r="Z10" i="1"/>
  <c r="AA10" i="1"/>
  <c r="Z11" i="1"/>
  <c r="AA11" i="1"/>
  <c r="Z12" i="1"/>
  <c r="AA12" i="1"/>
  <c r="Z13" i="1"/>
  <c r="AA13" i="1"/>
  <c r="Z14" i="1"/>
  <c r="AA14" i="1"/>
  <c r="Z15" i="1"/>
  <c r="AA15" i="1"/>
  <c r="Z16" i="1"/>
  <c r="AA16" i="1"/>
  <c r="Z17" i="1"/>
  <c r="AA17" i="1"/>
  <c r="Z18" i="1"/>
  <c r="AA18" i="1"/>
  <c r="Z19" i="1"/>
  <c r="AA19" i="1"/>
  <c r="Z20" i="1"/>
  <c r="AA20" i="1"/>
  <c r="Z21" i="1"/>
  <c r="AA21" i="1"/>
  <c r="Z22" i="1"/>
  <c r="AA22" i="1"/>
  <c r="Z23" i="1"/>
  <c r="AA23" i="1"/>
  <c r="Z24" i="1"/>
  <c r="AA24" i="1"/>
  <c r="Z25" i="1"/>
  <c r="AA25" i="1"/>
  <c r="Z26" i="1"/>
  <c r="AA26" i="1"/>
  <c r="Z27" i="1"/>
  <c r="AA27" i="1"/>
  <c r="Z28" i="1"/>
  <c r="AA28" i="1"/>
  <c r="Z29" i="1"/>
  <c r="AA29" i="1"/>
  <c r="Z30" i="1"/>
  <c r="AA30" i="1"/>
  <c r="Z31" i="1"/>
  <c r="AA31" i="1"/>
  <c r="Z32" i="1"/>
  <c r="AA32" i="1"/>
  <c r="Z33" i="1"/>
  <c r="AA33" i="1"/>
  <c r="Z34" i="1"/>
  <c r="AA34" i="1"/>
  <c r="Z35" i="1"/>
  <c r="AA35" i="1"/>
  <c r="Z36" i="1"/>
  <c r="AA36" i="1"/>
  <c r="Z37" i="1"/>
  <c r="AA37" i="1"/>
  <c r="Z38" i="1"/>
  <c r="AA38" i="1"/>
  <c r="Z39" i="1"/>
  <c r="AA39" i="1"/>
  <c r="Z40" i="1"/>
  <c r="AA40" i="1"/>
  <c r="Z41" i="1"/>
  <c r="AA41" i="1"/>
  <c r="Z42" i="1"/>
  <c r="AA42" i="1"/>
  <c r="Z43" i="1"/>
  <c r="AA43" i="1"/>
  <c r="Z44" i="1"/>
  <c r="AA44" i="1"/>
  <c r="Z45" i="1"/>
  <c r="AA45" i="1"/>
  <c r="Z46" i="1"/>
  <c r="AA46" i="1"/>
  <c r="Z47" i="1"/>
  <c r="AA47" i="1"/>
  <c r="Z48" i="1"/>
  <c r="AA48" i="1"/>
  <c r="Z49" i="1"/>
  <c r="AA49" i="1"/>
  <c r="Z50" i="1"/>
  <c r="AA50" i="1"/>
  <c r="Z51" i="1"/>
  <c r="AA51" i="1"/>
  <c r="Z52" i="1"/>
  <c r="AA52" i="1"/>
  <c r="Z53" i="1"/>
  <c r="AA53" i="1"/>
  <c r="Z54" i="1"/>
  <c r="AA54" i="1"/>
  <c r="Z55" i="1"/>
  <c r="AA55" i="1"/>
  <c r="Z56" i="1"/>
  <c r="AA56" i="1"/>
  <c r="Z57" i="1"/>
  <c r="AA57" i="1"/>
  <c r="Z58" i="1"/>
  <c r="AA58" i="1"/>
  <c r="Z59" i="1"/>
  <c r="AA59" i="1"/>
  <c r="Z60" i="1"/>
  <c r="AA60" i="1"/>
  <c r="Z61" i="1"/>
  <c r="AA61" i="1"/>
  <c r="Z62" i="1"/>
  <c r="AA62" i="1"/>
  <c r="Z63" i="1"/>
  <c r="AA63" i="1"/>
  <c r="Z64" i="1"/>
  <c r="AA64" i="1"/>
  <c r="Z65" i="1"/>
  <c r="AA65" i="1"/>
  <c r="Z66" i="1"/>
  <c r="AA66" i="1"/>
  <c r="Z67" i="1"/>
  <c r="AA67" i="1"/>
  <c r="Z68" i="1"/>
  <c r="AA68" i="1"/>
  <c r="Z69" i="1"/>
  <c r="AA69" i="1"/>
  <c r="Z70" i="1"/>
  <c r="AA70" i="1"/>
  <c r="Z71" i="1"/>
  <c r="AA71" i="1"/>
  <c r="Z72" i="1"/>
  <c r="AA72" i="1"/>
  <c r="Z73" i="1"/>
  <c r="AA73" i="1"/>
  <c r="Z74" i="1"/>
  <c r="AA74" i="1"/>
  <c r="Z75" i="1"/>
  <c r="AA75" i="1"/>
  <c r="Z76" i="1"/>
  <c r="AA76" i="1"/>
  <c r="Z77" i="1"/>
  <c r="AA77" i="1"/>
  <c r="Z78" i="1"/>
  <c r="AA78" i="1"/>
  <c r="Z79" i="1"/>
  <c r="AA79" i="1"/>
  <c r="Z80" i="1"/>
  <c r="AA80" i="1"/>
  <c r="Z81" i="1"/>
  <c r="AA81" i="1"/>
  <c r="Z82" i="1"/>
  <c r="AA82" i="1"/>
  <c r="Z83" i="1"/>
  <c r="AA83" i="1"/>
  <c r="Z84" i="1"/>
  <c r="AA84" i="1"/>
  <c r="Z85" i="1"/>
  <c r="AA85" i="1"/>
  <c r="Z86" i="1"/>
  <c r="AA86" i="1"/>
  <c r="Z87" i="1"/>
  <c r="AA87" i="1"/>
  <c r="Z88" i="1"/>
  <c r="AA88" i="1"/>
  <c r="Z89" i="1"/>
  <c r="AA89" i="1"/>
  <c r="Z90" i="1"/>
  <c r="AA90" i="1"/>
  <c r="Z91" i="1"/>
  <c r="AA91" i="1"/>
  <c r="Z92" i="1"/>
  <c r="AA92" i="1"/>
  <c r="Z93" i="1"/>
  <c r="AA93" i="1"/>
  <c r="Z94" i="1"/>
  <c r="AA94" i="1"/>
  <c r="Z95" i="1"/>
  <c r="AA95" i="1"/>
  <c r="Z96" i="1"/>
  <c r="AA96" i="1"/>
  <c r="Z97" i="1"/>
  <c r="AA97" i="1"/>
  <c r="Z98" i="1"/>
  <c r="AA98" i="1"/>
  <c r="Z99" i="1"/>
  <c r="AA99" i="1"/>
  <c r="Z100" i="1"/>
  <c r="AA100" i="1"/>
  <c r="Z101" i="1"/>
  <c r="AA101" i="1"/>
  <c r="Z102" i="1"/>
  <c r="AA102" i="1"/>
  <c r="Z103" i="1"/>
  <c r="AA103" i="1"/>
  <c r="Z104" i="1"/>
  <c r="AA104" i="1"/>
  <c r="Z105" i="1"/>
  <c r="AA105" i="1"/>
  <c r="Z106" i="1"/>
  <c r="AA106" i="1"/>
  <c r="Z107" i="1"/>
  <c r="AA107" i="1"/>
  <c r="Z108" i="1"/>
  <c r="AA108" i="1"/>
  <c r="Z109" i="1"/>
  <c r="AA109" i="1"/>
  <c r="Z110" i="1"/>
  <c r="AA110" i="1"/>
  <c r="Z111" i="1"/>
  <c r="AA111" i="1"/>
  <c r="Z112" i="1"/>
  <c r="AA112" i="1"/>
  <c r="Z113" i="1"/>
  <c r="AA113" i="1"/>
  <c r="Z114" i="1"/>
  <c r="AA114" i="1"/>
  <c r="Z115" i="1"/>
  <c r="AA115" i="1"/>
  <c r="Z116" i="1"/>
  <c r="AA116" i="1"/>
  <c r="Z117" i="1"/>
  <c r="AA117" i="1"/>
  <c r="Z118" i="1"/>
  <c r="AA118" i="1"/>
  <c r="Z119" i="1"/>
  <c r="AA119" i="1"/>
  <c r="Z120" i="1"/>
  <c r="AA120" i="1"/>
  <c r="Z121" i="1"/>
  <c r="AA121" i="1"/>
  <c r="Z122" i="1"/>
  <c r="AA122" i="1"/>
  <c r="Z123" i="1"/>
  <c r="AA123" i="1"/>
  <c r="Z124" i="1"/>
  <c r="AA124" i="1"/>
  <c r="Z125" i="1"/>
  <c r="AA125" i="1"/>
  <c r="Z126" i="1"/>
  <c r="AA126" i="1"/>
  <c r="Z127" i="1"/>
  <c r="AA127" i="1"/>
  <c r="Z128" i="1"/>
  <c r="AA128" i="1"/>
  <c r="Z129" i="1"/>
  <c r="AA129" i="1"/>
  <c r="Z130" i="1"/>
  <c r="AA130" i="1"/>
  <c r="Z131" i="1"/>
  <c r="AA131" i="1"/>
  <c r="Z132" i="1"/>
  <c r="AA132" i="1"/>
  <c r="Z133" i="1"/>
  <c r="AA133" i="1"/>
  <c r="Z134" i="1"/>
  <c r="AA134" i="1"/>
  <c r="Z135" i="1"/>
  <c r="AA135" i="1"/>
  <c r="Z136" i="1"/>
  <c r="AA136" i="1"/>
  <c r="Z137" i="1"/>
  <c r="AA137" i="1"/>
  <c r="Z138" i="1"/>
  <c r="AA138" i="1"/>
  <c r="Z139" i="1"/>
  <c r="AA139" i="1"/>
  <c r="Z140" i="1"/>
  <c r="AA140" i="1"/>
  <c r="Z141" i="1"/>
  <c r="AA141" i="1"/>
  <c r="Z142" i="1"/>
  <c r="AA142" i="1"/>
  <c r="Z143" i="1"/>
  <c r="AA143" i="1"/>
  <c r="Z144" i="1"/>
  <c r="AA144" i="1"/>
  <c r="AA3" i="1"/>
  <c r="Z3" i="1"/>
  <c r="V125" i="1"/>
  <c r="T124" i="1"/>
  <c r="V124" i="1"/>
  <c r="W124" i="1"/>
  <c r="X124" i="1"/>
  <c r="M124" i="1"/>
  <c r="N124" i="1"/>
  <c r="K12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4" i="1"/>
  <c r="K87" i="1"/>
  <c r="M87" i="1"/>
  <c r="N87" i="1" s="1"/>
  <c r="K80" i="1"/>
  <c r="M80" i="1"/>
  <c r="N80" i="1" s="1"/>
  <c r="K85" i="1"/>
  <c r="M85" i="1"/>
  <c r="N85" i="1" s="1"/>
  <c r="K77" i="1"/>
  <c r="M77" i="1"/>
  <c r="N77" i="1" s="1"/>
  <c r="K83" i="1"/>
  <c r="M83" i="1"/>
  <c r="N83" i="1" s="1"/>
  <c r="K81" i="1"/>
  <c r="M81" i="1"/>
  <c r="N81" i="1" s="1"/>
  <c r="K75" i="1"/>
  <c r="M75" i="1"/>
  <c r="N75" i="1" s="1"/>
  <c r="K79" i="1"/>
  <c r="M79" i="1"/>
  <c r="N79" i="1" s="1"/>
  <c r="K73" i="1"/>
  <c r="M73" i="1"/>
  <c r="N73" i="1" s="1"/>
  <c r="K78" i="1"/>
  <c r="M78" i="1"/>
  <c r="N78" i="1" s="1"/>
  <c r="K71" i="1"/>
  <c r="M71" i="1"/>
  <c r="N71" i="1" s="1"/>
  <c r="K67" i="1"/>
  <c r="M67" i="1"/>
  <c r="N67" i="1" s="1"/>
  <c r="K76" i="1"/>
  <c r="M76" i="1"/>
  <c r="N76" i="1" s="1"/>
  <c r="K74" i="1"/>
  <c r="M74" i="1"/>
  <c r="N74" i="1" s="1"/>
  <c r="K69" i="1"/>
  <c r="M69" i="1"/>
  <c r="N69" i="1" s="1"/>
  <c r="K72" i="1"/>
  <c r="M72" i="1"/>
  <c r="N72" i="1" s="1"/>
  <c r="K65" i="1"/>
  <c r="M65" i="1"/>
  <c r="P65" i="1" s="1"/>
  <c r="K63" i="1"/>
  <c r="M63" i="1"/>
  <c r="N63" i="1" s="1"/>
  <c r="K70" i="1"/>
  <c r="M70" i="1"/>
  <c r="N70" i="1" s="1"/>
  <c r="K68" i="1"/>
  <c r="M68" i="1"/>
  <c r="N68" i="1" s="1"/>
  <c r="K61" i="1"/>
  <c r="M61" i="1"/>
  <c r="N61" i="1" s="1"/>
  <c r="K66" i="1"/>
  <c r="M66" i="1"/>
  <c r="N66" i="1" s="1"/>
  <c r="K59" i="1"/>
  <c r="M59" i="1"/>
  <c r="N59" i="1" s="1"/>
  <c r="K64" i="1"/>
  <c r="M64" i="1"/>
  <c r="N64" i="1" s="1"/>
  <c r="K57" i="1"/>
  <c r="M57" i="1"/>
  <c r="N57" i="1" s="1"/>
  <c r="K62" i="1"/>
  <c r="M62" i="1"/>
  <c r="N62" i="1" s="1"/>
  <c r="K54" i="1"/>
  <c r="M54" i="1"/>
  <c r="N54" i="1" s="1"/>
  <c r="K52" i="1"/>
  <c r="M52" i="1"/>
  <c r="N52" i="1" s="1"/>
  <c r="K60" i="1"/>
  <c r="M60" i="1"/>
  <c r="N60" i="1" s="1"/>
  <c r="K58" i="1"/>
  <c r="M58" i="1"/>
  <c r="N58" i="1" s="1"/>
  <c r="K55" i="1"/>
  <c r="M55" i="1"/>
  <c r="K50" i="1"/>
  <c r="M50" i="1"/>
  <c r="N50" i="1" s="1"/>
  <c r="K56" i="1"/>
  <c r="M56" i="1"/>
  <c r="K48" i="1"/>
  <c r="M48" i="1"/>
  <c r="N48" i="1" s="1"/>
  <c r="K53" i="1"/>
  <c r="M53" i="1"/>
  <c r="N53" i="1" s="1"/>
  <c r="K46" i="1"/>
  <c r="M46" i="1"/>
  <c r="N46" i="1" s="1"/>
  <c r="K51" i="1"/>
  <c r="M51" i="1"/>
  <c r="N51" i="1" s="1"/>
  <c r="K44" i="1"/>
  <c r="M44" i="1"/>
  <c r="N44" i="1" s="1"/>
  <c r="K49" i="1"/>
  <c r="M49" i="1"/>
  <c r="N49" i="1" s="1"/>
  <c r="K42" i="1"/>
  <c r="M42" i="1"/>
  <c r="N42" i="1" s="1"/>
  <c r="K47" i="1"/>
  <c r="M47" i="1"/>
  <c r="N47" i="1" s="1"/>
  <c r="K40" i="1"/>
  <c r="M40" i="1"/>
  <c r="N40" i="1" s="1"/>
  <c r="K38" i="1"/>
  <c r="M38" i="1"/>
  <c r="N38" i="1" s="1"/>
  <c r="K45" i="1"/>
  <c r="M45" i="1"/>
  <c r="N45" i="1" s="1"/>
  <c r="K43" i="1"/>
  <c r="M43" i="1"/>
  <c r="N43" i="1" s="1"/>
  <c r="K36" i="1"/>
  <c r="M36" i="1"/>
  <c r="N36" i="1" s="1"/>
  <c r="K34" i="1"/>
  <c r="M34" i="1"/>
  <c r="N34" i="1" s="1"/>
  <c r="K41" i="1"/>
  <c r="M41" i="1"/>
  <c r="N41" i="1" s="1"/>
  <c r="K39" i="1"/>
  <c r="M39" i="1"/>
  <c r="N39" i="1" s="1"/>
  <c r="K32" i="1"/>
  <c r="M32" i="1"/>
  <c r="N32" i="1" s="1"/>
  <c r="K37" i="1"/>
  <c r="M37" i="1"/>
  <c r="N37" i="1" s="1"/>
  <c r="K30" i="1"/>
  <c r="M30" i="1"/>
  <c r="N30" i="1" s="1"/>
  <c r="K35" i="1"/>
  <c r="M35" i="1"/>
  <c r="N35" i="1" s="1"/>
  <c r="K28" i="1"/>
  <c r="M28" i="1"/>
  <c r="N28" i="1" s="1"/>
  <c r="K33" i="1"/>
  <c r="M33" i="1"/>
  <c r="N33" i="1" s="1"/>
  <c r="K26" i="1"/>
  <c r="M26" i="1"/>
  <c r="N26" i="1" s="1"/>
  <c r="K31" i="1"/>
  <c r="M31" i="1"/>
  <c r="N31" i="1" s="1"/>
  <c r="K24" i="1"/>
  <c r="M24" i="1"/>
  <c r="N24" i="1" s="1"/>
  <c r="K29" i="1"/>
  <c r="M29" i="1"/>
  <c r="N29" i="1" s="1"/>
  <c r="K21" i="1"/>
  <c r="M21" i="1"/>
  <c r="N21" i="1" s="1"/>
  <c r="K27" i="1"/>
  <c r="M27" i="1"/>
  <c r="N27" i="1" s="1"/>
  <c r="K19" i="1"/>
  <c r="M19" i="1"/>
  <c r="N19" i="1" s="1"/>
  <c r="K25" i="1"/>
  <c r="M25" i="1"/>
  <c r="N25" i="1" s="1"/>
  <c r="K22" i="1"/>
  <c r="M22" i="1"/>
  <c r="K17" i="1"/>
  <c r="M17" i="1"/>
  <c r="N17" i="1" s="1"/>
  <c r="K23" i="1"/>
  <c r="M23" i="1"/>
  <c r="K15" i="1"/>
  <c r="M15" i="1"/>
  <c r="N15" i="1" s="1"/>
  <c r="K12" i="1"/>
  <c r="M12" i="1"/>
  <c r="N12" i="1" s="1"/>
  <c r="K20" i="1"/>
  <c r="M20" i="1"/>
  <c r="N20" i="1" s="1"/>
  <c r="K18" i="1"/>
  <c r="M18" i="1"/>
  <c r="N18" i="1" s="1"/>
  <c r="K10" i="1"/>
  <c r="M10" i="1"/>
  <c r="N10" i="1" s="1"/>
  <c r="K8" i="1"/>
  <c r="M8" i="1"/>
  <c r="N8" i="1" s="1"/>
  <c r="K13" i="1"/>
  <c r="M13" i="1"/>
  <c r="K16" i="1"/>
  <c r="M16" i="1"/>
  <c r="N16" i="1" s="1"/>
  <c r="K14" i="1"/>
  <c r="M14" i="1"/>
  <c r="K6" i="1"/>
  <c r="M6" i="1"/>
  <c r="N6" i="1" s="1"/>
  <c r="K11" i="1"/>
  <c r="M11" i="1"/>
  <c r="N11" i="1" s="1"/>
  <c r="K9" i="1"/>
  <c r="M9" i="1"/>
  <c r="N9" i="1" s="1"/>
  <c r="K7" i="1"/>
  <c r="M7" i="1"/>
  <c r="N7" i="1" s="1"/>
  <c r="K4" i="1"/>
  <c r="M4" i="1"/>
  <c r="N4" i="1" s="1"/>
  <c r="K5" i="1"/>
  <c r="M5" i="1"/>
  <c r="N5" i="1" s="1"/>
  <c r="K3" i="1"/>
  <c r="M3" i="1"/>
  <c r="N3" i="1" s="1"/>
  <c r="K144" i="1"/>
  <c r="M144" i="1"/>
  <c r="N144" i="1" s="1"/>
  <c r="K142" i="1"/>
  <c r="M142" i="1"/>
  <c r="N142" i="1" s="1"/>
  <c r="K140" i="1"/>
  <c r="M140" i="1"/>
  <c r="N140" i="1" s="1"/>
  <c r="K143" i="1"/>
  <c r="M143" i="1"/>
  <c r="N143" i="1" s="1"/>
  <c r="K141" i="1"/>
  <c r="M141" i="1"/>
  <c r="N141" i="1" s="1"/>
  <c r="K138" i="1"/>
  <c r="M138" i="1"/>
  <c r="N138" i="1" s="1"/>
  <c r="K139" i="1"/>
  <c r="M139" i="1"/>
  <c r="N139" i="1" s="1"/>
  <c r="K136" i="1"/>
  <c r="M136" i="1"/>
  <c r="N136" i="1" s="1"/>
  <c r="K137" i="1"/>
  <c r="M137" i="1"/>
  <c r="N137" i="1" s="1"/>
  <c r="K134" i="1"/>
  <c r="M134" i="1"/>
  <c r="N134" i="1" s="1"/>
  <c r="K132" i="1"/>
  <c r="M132" i="1"/>
  <c r="N132" i="1" s="1"/>
  <c r="K135" i="1"/>
  <c r="M135" i="1"/>
  <c r="N135" i="1" s="1"/>
  <c r="K130" i="1"/>
  <c r="M130" i="1"/>
  <c r="N130" i="1" s="1"/>
  <c r="K133" i="1"/>
  <c r="M133" i="1"/>
  <c r="N133" i="1" s="1"/>
  <c r="K131" i="1"/>
  <c r="M131" i="1"/>
  <c r="N131" i="1" s="1"/>
  <c r="K128" i="1"/>
  <c r="M128" i="1"/>
  <c r="N128" i="1" s="1"/>
  <c r="K126" i="1"/>
  <c r="M126" i="1"/>
  <c r="N126" i="1" s="1"/>
  <c r="K129" i="1"/>
  <c r="M129" i="1"/>
  <c r="N129" i="1" s="1"/>
  <c r="K127" i="1"/>
  <c r="M127" i="1"/>
  <c r="N127" i="1" s="1"/>
  <c r="K125" i="1"/>
  <c r="M125" i="1"/>
  <c r="N125" i="1" s="1"/>
  <c r="K122" i="1"/>
  <c r="M122" i="1"/>
  <c r="N122" i="1" s="1"/>
  <c r="K123" i="1"/>
  <c r="M123" i="1"/>
  <c r="N123" i="1" s="1"/>
  <c r="K120" i="1"/>
  <c r="M120" i="1"/>
  <c r="N120" i="1" s="1"/>
  <c r="K118" i="1"/>
  <c r="M118" i="1"/>
  <c r="N118" i="1" s="1"/>
  <c r="K121" i="1"/>
  <c r="M121" i="1"/>
  <c r="N121" i="1" s="1"/>
  <c r="K115" i="1"/>
  <c r="M115" i="1"/>
  <c r="N115" i="1" s="1"/>
  <c r="K119" i="1"/>
  <c r="M119" i="1"/>
  <c r="N119" i="1" s="1"/>
  <c r="K113" i="1"/>
  <c r="M113" i="1"/>
  <c r="N113" i="1" s="1"/>
  <c r="K117" i="1"/>
  <c r="M117" i="1"/>
  <c r="N117" i="1" s="1"/>
  <c r="K111" i="1"/>
  <c r="M111" i="1"/>
  <c r="N111" i="1" s="1"/>
  <c r="K116" i="1"/>
  <c r="M116" i="1"/>
  <c r="N116" i="1" s="1"/>
  <c r="K109" i="1"/>
  <c r="M109" i="1"/>
  <c r="N109" i="1" s="1"/>
  <c r="K114" i="1"/>
  <c r="M114" i="1"/>
  <c r="N114" i="1" s="1"/>
  <c r="K107" i="1"/>
  <c r="M107" i="1"/>
  <c r="N107" i="1" s="1"/>
  <c r="K112" i="1"/>
  <c r="M112" i="1"/>
  <c r="N112" i="1" s="1"/>
  <c r="K105" i="1"/>
  <c r="M105" i="1"/>
  <c r="N105" i="1" s="1"/>
  <c r="K110" i="1"/>
  <c r="M110" i="1"/>
  <c r="N110" i="1" s="1"/>
  <c r="K108" i="1"/>
  <c r="M108" i="1"/>
  <c r="N108" i="1" s="1"/>
  <c r="K102" i="1"/>
  <c r="M102" i="1"/>
  <c r="N102" i="1" s="1"/>
  <c r="K106" i="1"/>
  <c r="M106" i="1"/>
  <c r="N106" i="1" s="1"/>
  <c r="K100" i="1"/>
  <c r="M100" i="1"/>
  <c r="N100" i="1" s="1"/>
  <c r="K104" i="1"/>
  <c r="M104" i="1"/>
  <c r="N104" i="1" s="1"/>
  <c r="K98" i="1"/>
  <c r="M98" i="1"/>
  <c r="N98" i="1" s="1"/>
  <c r="K103" i="1"/>
  <c r="M103" i="1"/>
  <c r="N103" i="1" s="1"/>
  <c r="K96" i="1"/>
  <c r="M96" i="1"/>
  <c r="N96" i="1" s="1"/>
  <c r="K101" i="1"/>
  <c r="M101" i="1"/>
  <c r="N101" i="1" s="1"/>
  <c r="K94" i="1"/>
  <c r="M94" i="1"/>
  <c r="N94" i="1" s="1"/>
  <c r="K99" i="1"/>
  <c r="M99" i="1"/>
  <c r="N99" i="1" s="1"/>
  <c r="K92" i="1"/>
  <c r="M92" i="1"/>
  <c r="N92" i="1" s="1"/>
  <c r="K97" i="1"/>
  <c r="M97" i="1"/>
  <c r="N97" i="1" s="1"/>
  <c r="K89" i="1"/>
  <c r="M89" i="1"/>
  <c r="N89" i="1" s="1"/>
  <c r="K95" i="1"/>
  <c r="M95" i="1"/>
  <c r="N95" i="1" s="1"/>
  <c r="K93" i="1"/>
  <c r="M93" i="1"/>
  <c r="N93" i="1" s="1"/>
  <c r="K91" i="1"/>
  <c r="M91" i="1"/>
  <c r="N91" i="1" s="1"/>
  <c r="K86" i="1"/>
  <c r="M86" i="1"/>
  <c r="N86" i="1" s="1"/>
  <c r="K90" i="1"/>
  <c r="M90" i="1"/>
  <c r="N90" i="1" s="1"/>
  <c r="K84" i="1"/>
  <c r="M84" i="1"/>
  <c r="N84" i="1" s="1"/>
  <c r="K88" i="1"/>
  <c r="M88" i="1"/>
  <c r="N88" i="1" s="1"/>
  <c r="M82" i="1"/>
  <c r="K82" i="1"/>
  <c r="O55" i="1" l="1"/>
  <c r="Y124" i="1"/>
  <c r="U124" i="1" s="1"/>
  <c r="T102" i="1" l="1"/>
  <c r="W102" i="1"/>
  <c r="X102" i="1"/>
  <c r="T106" i="1"/>
  <c r="W106" i="1"/>
  <c r="X106" i="1"/>
  <c r="T100" i="1"/>
  <c r="W100" i="1"/>
  <c r="X100" i="1"/>
  <c r="T104" i="1"/>
  <c r="W104" i="1"/>
  <c r="X104" i="1"/>
  <c r="T98" i="1"/>
  <c r="W98" i="1"/>
  <c r="X98" i="1"/>
  <c r="T107" i="1"/>
  <c r="W107" i="1"/>
  <c r="X107" i="1"/>
  <c r="T110" i="1"/>
  <c r="W110" i="1"/>
  <c r="X110" i="1"/>
  <c r="T105" i="1"/>
  <c r="W105" i="1"/>
  <c r="X105" i="1"/>
  <c r="Y110" i="1" l="1"/>
  <c r="U110" i="1" s="1"/>
  <c r="Y106" i="1"/>
  <c r="U106" i="1" s="1"/>
  <c r="Y105" i="1"/>
  <c r="U105" i="1" s="1"/>
  <c r="Y98" i="1"/>
  <c r="U98" i="1" s="1"/>
  <c r="Y100" i="1"/>
  <c r="U100" i="1" s="1"/>
  <c r="Y104" i="1"/>
  <c r="U104" i="1" s="1"/>
  <c r="Y102" i="1"/>
  <c r="U102" i="1" s="1"/>
  <c r="Y107" i="1"/>
  <c r="U107" i="1" s="1"/>
  <c r="T88" i="1" l="1"/>
  <c r="W88" i="1"/>
  <c r="X88" i="1"/>
  <c r="T90" i="1"/>
  <c r="W90" i="1"/>
  <c r="X90" i="1"/>
  <c r="T91" i="1"/>
  <c r="W91" i="1"/>
  <c r="X91" i="1"/>
  <c r="T84" i="1"/>
  <c r="W84" i="1"/>
  <c r="X84" i="1"/>
  <c r="T95" i="1"/>
  <c r="W95" i="1"/>
  <c r="X95" i="1"/>
  <c r="T86" i="1"/>
  <c r="W86" i="1"/>
  <c r="X86" i="1"/>
  <c r="T93" i="1"/>
  <c r="W93" i="1"/>
  <c r="X93" i="1"/>
  <c r="T97" i="1"/>
  <c r="W97" i="1"/>
  <c r="X97" i="1"/>
  <c r="T89" i="1"/>
  <c r="W89" i="1"/>
  <c r="X89" i="1"/>
  <c r="T99" i="1"/>
  <c r="W99" i="1"/>
  <c r="X99" i="1"/>
  <c r="T101" i="1"/>
  <c r="W101" i="1"/>
  <c r="X101" i="1"/>
  <c r="T92" i="1"/>
  <c r="W92" i="1"/>
  <c r="X92" i="1"/>
  <c r="T94" i="1"/>
  <c r="W94" i="1"/>
  <c r="X94" i="1"/>
  <c r="T103" i="1"/>
  <c r="W103" i="1"/>
  <c r="X103" i="1"/>
  <c r="T96" i="1"/>
  <c r="W96" i="1"/>
  <c r="X96" i="1"/>
  <c r="T109" i="1"/>
  <c r="W109" i="1"/>
  <c r="X109" i="1"/>
  <c r="T116" i="1"/>
  <c r="W116" i="1"/>
  <c r="X116" i="1"/>
  <c r="T108" i="1"/>
  <c r="W108" i="1"/>
  <c r="X108" i="1"/>
  <c r="X112" i="1"/>
  <c r="W112" i="1"/>
  <c r="T112" i="1"/>
  <c r="T33" i="1"/>
  <c r="T26" i="1"/>
  <c r="T31" i="1"/>
  <c r="T24" i="1"/>
  <c r="T29" i="1"/>
  <c r="T21" i="1"/>
  <c r="Y94" i="1" l="1"/>
  <c r="U94" i="1" s="1"/>
  <c r="Y97" i="1"/>
  <c r="U97" i="1" s="1"/>
  <c r="Y99" i="1"/>
  <c r="U99" i="1" s="1"/>
  <c r="Y108" i="1"/>
  <c r="U108" i="1" s="1"/>
  <c r="Y96" i="1"/>
  <c r="U96" i="1" s="1"/>
  <c r="Y93" i="1"/>
  <c r="U93" i="1" s="1"/>
  <c r="Y91" i="1"/>
  <c r="U91" i="1" s="1"/>
  <c r="Y84" i="1"/>
  <c r="U84" i="1" s="1"/>
  <c r="Y88" i="1"/>
  <c r="U88" i="1" s="1"/>
  <c r="Y101" i="1"/>
  <c r="U101" i="1" s="1"/>
  <c r="Y90" i="1"/>
  <c r="U90" i="1" s="1"/>
  <c r="Y109" i="1"/>
  <c r="U109" i="1" s="1"/>
  <c r="Y103" i="1"/>
  <c r="U103" i="1" s="1"/>
  <c r="Y95" i="1"/>
  <c r="U95" i="1" s="1"/>
  <c r="Y89" i="1"/>
  <c r="U89" i="1" s="1"/>
  <c r="Y112" i="1"/>
  <c r="U112" i="1" s="1"/>
  <c r="Y116" i="1"/>
  <c r="U116" i="1" s="1"/>
  <c r="Y92" i="1"/>
  <c r="U92" i="1" s="1"/>
  <c r="Y86" i="1"/>
  <c r="U86" i="1" s="1"/>
  <c r="T113" i="1" l="1"/>
  <c r="W113" i="1"/>
  <c r="X113" i="1"/>
  <c r="T114" i="1"/>
  <c r="W114" i="1"/>
  <c r="X114" i="1"/>
  <c r="T115" i="1"/>
  <c r="W115" i="1"/>
  <c r="X115" i="1"/>
  <c r="T111" i="1"/>
  <c r="W111" i="1"/>
  <c r="X111" i="1"/>
  <c r="T120" i="1"/>
  <c r="W120" i="1"/>
  <c r="X120" i="1"/>
  <c r="T117" i="1"/>
  <c r="W117" i="1"/>
  <c r="X117" i="1"/>
  <c r="T122" i="1"/>
  <c r="W122" i="1"/>
  <c r="X122" i="1"/>
  <c r="T119" i="1"/>
  <c r="W119" i="1"/>
  <c r="X119" i="1"/>
  <c r="T118" i="1"/>
  <c r="W118" i="1"/>
  <c r="X118" i="1"/>
  <c r="T127" i="1"/>
  <c r="W127" i="1"/>
  <c r="X127" i="1"/>
  <c r="T121" i="1"/>
  <c r="W121" i="1"/>
  <c r="X121" i="1"/>
  <c r="T126" i="1"/>
  <c r="W126" i="1"/>
  <c r="X126" i="1"/>
  <c r="T123" i="1"/>
  <c r="W123" i="1"/>
  <c r="X123" i="1"/>
  <c r="T131" i="1"/>
  <c r="W131" i="1"/>
  <c r="X131" i="1"/>
  <c r="T125" i="1"/>
  <c r="W125" i="1"/>
  <c r="X125" i="1"/>
  <c r="T130" i="1"/>
  <c r="W130" i="1"/>
  <c r="X130" i="1"/>
  <c r="T129" i="1"/>
  <c r="W129" i="1"/>
  <c r="X129" i="1"/>
  <c r="T132" i="1"/>
  <c r="W132" i="1"/>
  <c r="X132" i="1"/>
  <c r="T128" i="1"/>
  <c r="W128" i="1"/>
  <c r="X128" i="1"/>
  <c r="T137" i="1"/>
  <c r="W137" i="1"/>
  <c r="X137" i="1"/>
  <c r="T133" i="1"/>
  <c r="W133" i="1"/>
  <c r="X133" i="1"/>
  <c r="T139" i="1"/>
  <c r="W139" i="1"/>
  <c r="X139" i="1"/>
  <c r="T135" i="1"/>
  <c r="W135" i="1"/>
  <c r="X135" i="1"/>
  <c r="T141" i="1"/>
  <c r="W141" i="1"/>
  <c r="X141" i="1"/>
  <c r="T134" i="1"/>
  <c r="W134" i="1"/>
  <c r="X134" i="1"/>
  <c r="T140" i="1"/>
  <c r="W140" i="1"/>
  <c r="X140" i="1"/>
  <c r="T144" i="1"/>
  <c r="W144" i="1"/>
  <c r="X144" i="1"/>
  <c r="T136" i="1"/>
  <c r="W136" i="1"/>
  <c r="X136" i="1"/>
  <c r="T138" i="1"/>
  <c r="W138" i="1"/>
  <c r="X138" i="1"/>
  <c r="T5" i="1"/>
  <c r="W5" i="1"/>
  <c r="X5" i="1"/>
  <c r="T143" i="1"/>
  <c r="W143" i="1"/>
  <c r="X143" i="1"/>
  <c r="T7" i="1"/>
  <c r="W7" i="1"/>
  <c r="X7" i="1"/>
  <c r="T142" i="1"/>
  <c r="W142" i="1"/>
  <c r="X142" i="1"/>
  <c r="T11" i="1"/>
  <c r="W11" i="1"/>
  <c r="X11" i="1"/>
  <c r="T3" i="1"/>
  <c r="W3" i="1"/>
  <c r="X3" i="1"/>
  <c r="T14" i="1"/>
  <c r="W14" i="1"/>
  <c r="X14" i="1"/>
  <c r="T4" i="1"/>
  <c r="W4" i="1"/>
  <c r="X4" i="1"/>
  <c r="T13" i="1"/>
  <c r="W13" i="1"/>
  <c r="X13" i="1"/>
  <c r="T9" i="1"/>
  <c r="W9" i="1"/>
  <c r="X9" i="1"/>
  <c r="T10" i="1"/>
  <c r="W10" i="1"/>
  <c r="X10" i="1"/>
  <c r="T6" i="1"/>
  <c r="W6" i="1"/>
  <c r="X6" i="1"/>
  <c r="T20" i="1"/>
  <c r="W20" i="1"/>
  <c r="X20" i="1"/>
  <c r="T16" i="1"/>
  <c r="W16" i="1"/>
  <c r="X16" i="1"/>
  <c r="T15" i="1"/>
  <c r="W15" i="1"/>
  <c r="X15" i="1"/>
  <c r="T8" i="1"/>
  <c r="W8" i="1"/>
  <c r="X8" i="1"/>
  <c r="T17" i="1"/>
  <c r="W17" i="1"/>
  <c r="X17" i="1"/>
  <c r="T18" i="1"/>
  <c r="W18" i="1"/>
  <c r="X18" i="1"/>
  <c r="T25" i="1"/>
  <c r="W25" i="1"/>
  <c r="X25" i="1"/>
  <c r="T12" i="1"/>
  <c r="W12" i="1"/>
  <c r="X12" i="1"/>
  <c r="W21" i="1"/>
  <c r="X21" i="1"/>
  <c r="T23" i="1"/>
  <c r="W23" i="1"/>
  <c r="X23" i="1"/>
  <c r="T22" i="1"/>
  <c r="W22" i="1"/>
  <c r="X22" i="1"/>
  <c r="W24" i="1"/>
  <c r="X24" i="1"/>
  <c r="T27" i="1"/>
  <c r="W27" i="1"/>
  <c r="X27" i="1"/>
  <c r="T19" i="1"/>
  <c r="W19" i="1"/>
  <c r="X19" i="1"/>
  <c r="W26" i="1"/>
  <c r="X26" i="1"/>
  <c r="T28" i="1"/>
  <c r="W28" i="1"/>
  <c r="X28" i="1"/>
  <c r="W29" i="1"/>
  <c r="X29" i="1"/>
  <c r="T30" i="1"/>
  <c r="W30" i="1"/>
  <c r="X30" i="1"/>
  <c r="T32" i="1"/>
  <c r="W32" i="1"/>
  <c r="X32" i="1"/>
  <c r="W31" i="1"/>
  <c r="X31" i="1"/>
  <c r="W33" i="1"/>
  <c r="X33" i="1"/>
  <c r="T41" i="1"/>
  <c r="W41" i="1"/>
  <c r="X41" i="1"/>
  <c r="T35" i="1"/>
  <c r="W35" i="1"/>
  <c r="X35" i="1"/>
  <c r="T36" i="1"/>
  <c r="W36" i="1"/>
  <c r="X36" i="1"/>
  <c r="T37" i="1"/>
  <c r="W37" i="1"/>
  <c r="X37" i="1"/>
  <c r="T45" i="1"/>
  <c r="W45" i="1"/>
  <c r="X45" i="1"/>
  <c r="T39" i="1"/>
  <c r="W39" i="1"/>
  <c r="X39" i="1"/>
  <c r="T40" i="1"/>
  <c r="W40" i="1"/>
  <c r="X40" i="1"/>
  <c r="T34" i="1"/>
  <c r="W34" i="1"/>
  <c r="X34" i="1"/>
  <c r="T42" i="1"/>
  <c r="W42" i="1"/>
  <c r="X42" i="1"/>
  <c r="T43" i="1"/>
  <c r="W43" i="1"/>
  <c r="X43" i="1"/>
  <c r="T44" i="1"/>
  <c r="W44" i="1"/>
  <c r="X44" i="1"/>
  <c r="T46" i="1"/>
  <c r="W46" i="1"/>
  <c r="X46" i="1"/>
  <c r="T38" i="1"/>
  <c r="W38" i="1"/>
  <c r="X38" i="1"/>
  <c r="T47" i="1"/>
  <c r="W47" i="1"/>
  <c r="X47" i="1"/>
  <c r="T48" i="1"/>
  <c r="W48" i="1"/>
  <c r="X48" i="1"/>
  <c r="T49" i="1"/>
  <c r="W49" i="1"/>
  <c r="X49" i="1"/>
  <c r="T50" i="1"/>
  <c r="W50" i="1"/>
  <c r="X50" i="1"/>
  <c r="T51" i="1"/>
  <c r="W51" i="1"/>
  <c r="X51" i="1"/>
  <c r="T58" i="1"/>
  <c r="W58" i="1"/>
  <c r="X58" i="1"/>
  <c r="T53" i="1"/>
  <c r="W53" i="1"/>
  <c r="X53" i="1"/>
  <c r="T52" i="1"/>
  <c r="W52" i="1"/>
  <c r="X52" i="1"/>
  <c r="T56" i="1"/>
  <c r="W56" i="1"/>
  <c r="X56" i="1"/>
  <c r="T62" i="1"/>
  <c r="W62" i="1"/>
  <c r="X62" i="1"/>
  <c r="T55" i="1"/>
  <c r="W55" i="1"/>
  <c r="X55" i="1"/>
  <c r="T64" i="1"/>
  <c r="W64" i="1"/>
  <c r="X64" i="1"/>
  <c r="T60" i="1"/>
  <c r="W60" i="1"/>
  <c r="X60" i="1"/>
  <c r="T66" i="1"/>
  <c r="W66" i="1"/>
  <c r="X66" i="1"/>
  <c r="T54" i="1"/>
  <c r="W54" i="1"/>
  <c r="X54" i="1"/>
  <c r="T68" i="1"/>
  <c r="W68" i="1"/>
  <c r="X68" i="1"/>
  <c r="T57" i="1"/>
  <c r="W57" i="1"/>
  <c r="X57" i="1"/>
  <c r="T63" i="1"/>
  <c r="W63" i="1"/>
  <c r="X63" i="1"/>
  <c r="T59" i="1"/>
  <c r="W59" i="1"/>
  <c r="X59" i="1"/>
  <c r="T72" i="1"/>
  <c r="W72" i="1"/>
  <c r="X72" i="1"/>
  <c r="T61" i="1"/>
  <c r="W61" i="1"/>
  <c r="X61" i="1"/>
  <c r="T70" i="1"/>
  <c r="W70" i="1"/>
  <c r="X70" i="1"/>
  <c r="T69" i="1"/>
  <c r="W69" i="1"/>
  <c r="X69" i="1"/>
  <c r="T76" i="1"/>
  <c r="W76" i="1"/>
  <c r="X76" i="1"/>
  <c r="T65" i="1"/>
  <c r="W65" i="1"/>
  <c r="X65" i="1"/>
  <c r="T71" i="1"/>
  <c r="W71" i="1"/>
  <c r="X71" i="1"/>
  <c r="T73" i="1"/>
  <c r="W73" i="1"/>
  <c r="X73" i="1"/>
  <c r="T74" i="1"/>
  <c r="W74" i="1"/>
  <c r="X74" i="1"/>
  <c r="T75" i="1"/>
  <c r="W75" i="1"/>
  <c r="X75" i="1"/>
  <c r="T78" i="1"/>
  <c r="W78" i="1"/>
  <c r="X78" i="1"/>
  <c r="T67" i="1"/>
  <c r="W67" i="1"/>
  <c r="X67" i="1"/>
  <c r="T83" i="1"/>
  <c r="W83" i="1"/>
  <c r="X83" i="1"/>
  <c r="T79" i="1"/>
  <c r="W79" i="1"/>
  <c r="X79" i="1"/>
  <c r="T85" i="1"/>
  <c r="W85" i="1"/>
  <c r="X85" i="1"/>
  <c r="T81" i="1"/>
  <c r="W81" i="1"/>
  <c r="X81" i="1"/>
  <c r="T77" i="1"/>
  <c r="W77" i="1"/>
  <c r="X77" i="1"/>
  <c r="T87" i="1"/>
  <c r="W87" i="1"/>
  <c r="X87" i="1"/>
  <c r="T80" i="1"/>
  <c r="W80" i="1"/>
  <c r="X80" i="1"/>
  <c r="T82" i="1"/>
  <c r="W82" i="1"/>
  <c r="X82" i="1"/>
  <c r="N82" i="1"/>
  <c r="Y29" i="1" l="1"/>
  <c r="U29" i="1" s="1"/>
  <c r="Y17" i="1"/>
  <c r="U17" i="1" s="1"/>
  <c r="Y13" i="1"/>
  <c r="U13" i="1" s="1"/>
  <c r="Y46" i="1"/>
  <c r="U46" i="1" s="1"/>
  <c r="Y10" i="1"/>
  <c r="U10" i="1" s="1"/>
  <c r="Y140" i="1"/>
  <c r="U140" i="1" s="1"/>
  <c r="Y127" i="1"/>
  <c r="U127" i="1" s="1"/>
  <c r="Y117" i="1"/>
  <c r="U117" i="1" s="1"/>
  <c r="Y120" i="1"/>
  <c r="U120" i="1" s="1"/>
  <c r="Y59" i="1"/>
  <c r="U59" i="1" s="1"/>
  <c r="Y49" i="1"/>
  <c r="U49" i="1" s="1"/>
  <c r="Y40" i="1"/>
  <c r="U40" i="1" s="1"/>
  <c r="Y36" i="1"/>
  <c r="U36" i="1" s="1"/>
  <c r="Y9" i="1"/>
  <c r="U9" i="1" s="1"/>
  <c r="Y128" i="1"/>
  <c r="U128" i="1" s="1"/>
  <c r="Y125" i="1"/>
  <c r="U125" i="1" s="1"/>
  <c r="Y78" i="1"/>
  <c r="U78" i="1" s="1"/>
  <c r="Y69" i="1"/>
  <c r="U69" i="1" s="1"/>
  <c r="Y63" i="1"/>
  <c r="U63" i="1" s="1"/>
  <c r="Y62" i="1"/>
  <c r="U62" i="1" s="1"/>
  <c r="Y58" i="1"/>
  <c r="U58" i="1" s="1"/>
  <c r="Y31" i="1"/>
  <c r="U31" i="1" s="1"/>
  <c r="Y22" i="1"/>
  <c r="U22" i="1" s="1"/>
  <c r="Y12" i="1"/>
  <c r="U12" i="1" s="1"/>
  <c r="Y135" i="1"/>
  <c r="U135" i="1" s="1"/>
  <c r="Y139" i="1"/>
  <c r="U139" i="1" s="1"/>
  <c r="Y132" i="1"/>
  <c r="U132" i="1" s="1"/>
  <c r="Y77" i="1"/>
  <c r="U77" i="1" s="1"/>
  <c r="Y33" i="1"/>
  <c r="U33" i="1" s="1"/>
  <c r="Y20" i="1"/>
  <c r="U20" i="1" s="1"/>
  <c r="Y4" i="1"/>
  <c r="U4" i="1" s="1"/>
  <c r="Y142" i="1"/>
  <c r="U142" i="1" s="1"/>
  <c r="Y138" i="1"/>
  <c r="U138" i="1" s="1"/>
  <c r="Y27" i="1"/>
  <c r="U27" i="1" s="1"/>
  <c r="Y87" i="1"/>
  <c r="U87" i="1" s="1"/>
  <c r="Y54" i="1"/>
  <c r="U54" i="1" s="1"/>
  <c r="Y64" i="1"/>
  <c r="U64" i="1" s="1"/>
  <c r="Y55" i="1"/>
  <c r="U55" i="1" s="1"/>
  <c r="Y52" i="1"/>
  <c r="U52" i="1" s="1"/>
  <c r="Y38" i="1"/>
  <c r="U38" i="1" s="1"/>
  <c r="Y37" i="1"/>
  <c r="U37" i="1" s="1"/>
  <c r="Y8" i="1"/>
  <c r="U8" i="1" s="1"/>
  <c r="Y3" i="1"/>
  <c r="U3" i="1" s="1"/>
  <c r="Y143" i="1"/>
  <c r="U143" i="1" s="1"/>
  <c r="Y5" i="1"/>
  <c r="U5" i="1" s="1"/>
  <c r="Y133" i="1"/>
  <c r="U133" i="1" s="1"/>
  <c r="Y130" i="1"/>
  <c r="U130" i="1" s="1"/>
  <c r="Y85" i="1"/>
  <c r="U85" i="1" s="1"/>
  <c r="Y71" i="1"/>
  <c r="U71" i="1" s="1"/>
  <c r="Y70" i="1"/>
  <c r="U70" i="1" s="1"/>
  <c r="Y60" i="1"/>
  <c r="U60" i="1" s="1"/>
  <c r="Y56" i="1"/>
  <c r="U56" i="1" s="1"/>
  <c r="Y51" i="1"/>
  <c r="U51" i="1" s="1"/>
  <c r="Y42" i="1"/>
  <c r="U42" i="1" s="1"/>
  <c r="Y26" i="1"/>
  <c r="U26" i="1" s="1"/>
  <c r="Y24" i="1"/>
  <c r="U24" i="1" s="1"/>
  <c r="Y21" i="1"/>
  <c r="U21" i="1" s="1"/>
  <c r="Y7" i="1"/>
  <c r="U7" i="1" s="1"/>
  <c r="Y136" i="1"/>
  <c r="U136" i="1" s="1"/>
  <c r="Y141" i="1"/>
  <c r="U141" i="1" s="1"/>
  <c r="Y115" i="1"/>
  <c r="U115" i="1" s="1"/>
  <c r="Y81" i="1"/>
  <c r="U81" i="1" s="1"/>
  <c r="Y144" i="1"/>
  <c r="U144" i="1" s="1"/>
  <c r="Y131" i="1"/>
  <c r="U131" i="1" s="1"/>
  <c r="Y73" i="1"/>
  <c r="U73" i="1" s="1"/>
  <c r="Y34" i="1"/>
  <c r="U34" i="1" s="1"/>
  <c r="Y121" i="1"/>
  <c r="U121" i="1" s="1"/>
  <c r="Y80" i="1"/>
  <c r="U80" i="1" s="1"/>
  <c r="Y79" i="1"/>
  <c r="U79" i="1" s="1"/>
  <c r="Y74" i="1"/>
  <c r="U74" i="1" s="1"/>
  <c r="Y65" i="1"/>
  <c r="U65" i="1" s="1"/>
  <c r="Y61" i="1"/>
  <c r="U61" i="1" s="1"/>
  <c r="Y72" i="1"/>
  <c r="U72" i="1" s="1"/>
  <c r="Y68" i="1"/>
  <c r="U68" i="1" s="1"/>
  <c r="Y53" i="1"/>
  <c r="U53" i="1" s="1"/>
  <c r="Y48" i="1"/>
  <c r="U48" i="1" s="1"/>
  <c r="Y43" i="1"/>
  <c r="U43" i="1" s="1"/>
  <c r="Y39" i="1"/>
  <c r="U39" i="1" s="1"/>
  <c r="Y35" i="1"/>
  <c r="U35" i="1" s="1"/>
  <c r="Y41" i="1"/>
  <c r="U41" i="1" s="1"/>
  <c r="Y25" i="1"/>
  <c r="U25" i="1" s="1"/>
  <c r="Y18" i="1"/>
  <c r="U18" i="1" s="1"/>
  <c r="Y11" i="1"/>
  <c r="U11" i="1" s="1"/>
  <c r="Y129" i="1"/>
  <c r="U129" i="1" s="1"/>
  <c r="Y123" i="1"/>
  <c r="U123" i="1" s="1"/>
  <c r="Y119" i="1"/>
  <c r="U119" i="1" s="1"/>
  <c r="Y122" i="1"/>
  <c r="U122" i="1" s="1"/>
  <c r="Y114" i="1"/>
  <c r="U114" i="1" s="1"/>
  <c r="Y67" i="1"/>
  <c r="U67" i="1" s="1"/>
  <c r="Y30" i="1"/>
  <c r="U30" i="1" s="1"/>
  <c r="Y16" i="1"/>
  <c r="U16" i="1" s="1"/>
  <c r="Y126" i="1"/>
  <c r="U126" i="1" s="1"/>
  <c r="Y113" i="1"/>
  <c r="U113" i="1" s="1"/>
  <c r="Y19" i="1"/>
  <c r="U19" i="1" s="1"/>
  <c r="Y82" i="1"/>
  <c r="U82" i="1" s="1"/>
  <c r="Y83" i="1"/>
  <c r="U83" i="1" s="1"/>
  <c r="Y75" i="1"/>
  <c r="U75" i="1" s="1"/>
  <c r="Y76" i="1"/>
  <c r="U76" i="1" s="1"/>
  <c r="Y57" i="1"/>
  <c r="U57" i="1" s="1"/>
  <c r="Y66" i="1"/>
  <c r="U66" i="1" s="1"/>
  <c r="Y50" i="1"/>
  <c r="U50" i="1" s="1"/>
  <c r="Y47" i="1"/>
  <c r="U47" i="1" s="1"/>
  <c r="Y44" i="1"/>
  <c r="U44" i="1" s="1"/>
  <c r="Y45" i="1"/>
  <c r="U45" i="1" s="1"/>
  <c r="Y32" i="1"/>
  <c r="U32" i="1" s="1"/>
  <c r="Y28" i="1"/>
  <c r="U28" i="1" s="1"/>
  <c r="Y23" i="1"/>
  <c r="U23" i="1" s="1"/>
  <c r="Y15" i="1"/>
  <c r="U15" i="1" s="1"/>
  <c r="Y6" i="1"/>
  <c r="U6" i="1" s="1"/>
  <c r="Y14" i="1"/>
  <c r="U14" i="1" s="1"/>
  <c r="Y134" i="1"/>
  <c r="U134" i="1" s="1"/>
  <c r="Y137" i="1"/>
  <c r="U137" i="1" s="1"/>
  <c r="Y118" i="1"/>
  <c r="U118" i="1" s="1"/>
  <c r="Y111" i="1"/>
  <c r="U111" i="1" s="1"/>
  <c r="A1" i="3" l="1"/>
  <c r="I145" i="1" l="1"/>
  <c r="J149" i="1" l="1"/>
  <c r="J148" i="1"/>
  <c r="J151" i="1" l="1"/>
  <c r="J150" i="1"/>
  <c r="J147" i="1"/>
  <c r="M86" i="3"/>
  <c r="M87" i="3" s="1"/>
  <c r="J152" i="1" l="1"/>
  <c r="A1" i="1"/>
  <c r="O149" i="1" l="1"/>
  <c r="N149" i="1"/>
  <c r="M149" i="1"/>
  <c r="N151" i="1" l="1"/>
  <c r="N148" i="1"/>
  <c r="O151" i="1"/>
  <c r="M151" i="1"/>
  <c r="M148" i="1"/>
  <c r="O148" i="1"/>
</calcChain>
</file>

<file path=xl/connections.xml><?xml version="1.0" encoding="utf-8"?>
<connections xmlns="http://schemas.openxmlformats.org/spreadsheetml/2006/main">
  <connection id="1" name="Denver Train Runs 04122016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<sst xmlns="http://schemas.openxmlformats.org/spreadsheetml/2006/main" count="2389" uniqueCount="612">
  <si>
    <t>Train ID</t>
  </si>
  <si>
    <t>Departure/Init Location</t>
  </si>
  <si>
    <t>Initialization Date/Time (US/Mountain)</t>
  </si>
  <si>
    <t>Departure Date/Time (US/Mountain)</t>
  </si>
  <si>
    <t>Delay (minutes)</t>
  </si>
  <si>
    <t>Arrival Location</t>
  </si>
  <si>
    <t>Arrival Date/Time (US/Mountain)</t>
  </si>
  <si>
    <t>2083 Enforcements (count)</t>
  </si>
  <si>
    <t>Trip Length</t>
  </si>
  <si>
    <t>Cut out runs</t>
  </si>
  <si>
    <t>PTC Runs</t>
  </si>
  <si>
    <t>Average</t>
  </si>
  <si>
    <t>Min</t>
  </si>
  <si>
    <t>Max</t>
  </si>
  <si>
    <t>Total</t>
  </si>
  <si>
    <t>NA</t>
  </si>
  <si>
    <t>Total Completed PTC runs</t>
  </si>
  <si>
    <t>Single Init runs</t>
  </si>
  <si>
    <t>Cut out</t>
  </si>
  <si>
    <t>Total Completed PTC runs (%)</t>
  </si>
  <si>
    <t>Trip Start MP</t>
  </si>
  <si>
    <t>Trip End MP</t>
  </si>
  <si>
    <t>Trip Distance</t>
  </si>
  <si>
    <t>Concerning?</t>
  </si>
  <si>
    <t>Comments</t>
  </si>
  <si>
    <t>Operating Date</t>
  </si>
  <si>
    <t>Onboard Software Version</t>
  </si>
  <si>
    <t>Training enforcement</t>
  </si>
  <si>
    <t>Possible System Enforcement</t>
  </si>
  <si>
    <t>N</t>
  </si>
  <si>
    <t>Increasing Mileposts (1)</t>
  </si>
  <si>
    <t>Form based authority (4)</t>
  </si>
  <si>
    <t>TRACK WARRANT AUTHORITY</t>
  </si>
  <si>
    <t>Predictive Enforcement (2)</t>
  </si>
  <si>
    <t>Decreasing Mileposts (2)</t>
  </si>
  <si>
    <t>Reactive Enforcement (3)</t>
  </si>
  <si>
    <t>Signal based authority (5)</t>
  </si>
  <si>
    <t>SIGNAL</t>
  </si>
  <si>
    <t>Speed (6)</t>
  </si>
  <si>
    <t>PERMANENT SPEED RESTRICTION</t>
  </si>
  <si>
    <t>System Enforcement Y/N</t>
  </si>
  <si>
    <t xml:space="preserve">Data.Enforcement Direction of Travel </t>
  </si>
  <si>
    <t xml:space="preserve">Data.Target Start Milepost </t>
  </si>
  <si>
    <t xml:space="preserve">Data.Target Type </t>
  </si>
  <si>
    <t xml:space="preserve">Data.Enforcement Start Milepost </t>
  </si>
  <si>
    <t xml:space="preserve">Data.Enforcement Train Speed </t>
  </si>
  <si>
    <t xml:space="preserve">Data.Target Speed </t>
  </si>
  <si>
    <t xml:space="preserve">Data.Target Description </t>
  </si>
  <si>
    <t xml:space="preserve">Data.Warning/Enforcement Type </t>
  </si>
  <si>
    <t xml:space="preserve">Data.Train ID </t>
  </si>
  <si>
    <t xml:space="preserve">Source </t>
  </si>
  <si>
    <t xml:space="preserve">Time </t>
  </si>
  <si>
    <t>DE.1.0.6.0</t>
  </si>
  <si>
    <t>Enforcement MP</t>
  </si>
  <si>
    <t>Enforcement Desc</t>
  </si>
  <si>
    <t>w/o multiple inits</t>
  </si>
  <si>
    <t>w/ multiple inits</t>
  </si>
  <si>
    <t>Multi Init runs</t>
  </si>
  <si>
    <t>Loco ID</t>
  </si>
  <si>
    <t>Kibana Link</t>
  </si>
  <si>
    <t>Threshold for Pink Highlight (Slow Run) (mins)</t>
  </si>
  <si>
    <t>Married Pair</t>
  </si>
  <si>
    <t>204:233298</t>
  </si>
  <si>
    <t>rtdc.l.rtdc.4027:itc</t>
  </si>
  <si>
    <t>204:232988</t>
  </si>
  <si>
    <t>204:232981</t>
  </si>
  <si>
    <t>204:446</t>
  </si>
  <si>
    <t>rtdc.l.rtdc.4008:itc</t>
  </si>
  <si>
    <t>110-01</t>
  </si>
  <si>
    <t>rtdc.l.rtdc.4019:itc</t>
  </si>
  <si>
    <t>112-01</t>
  </si>
  <si>
    <t>rtdc.l.rtdc.4018:itc</t>
  </si>
  <si>
    <t>119-01</t>
  </si>
  <si>
    <t>126-01</t>
  </si>
  <si>
    <t>133-01</t>
  </si>
  <si>
    <t>rtdc.l.rtdc.4016:itc</t>
  </si>
  <si>
    <t>143-01</t>
  </si>
  <si>
    <t>138-01</t>
  </si>
  <si>
    <t>145-01</t>
  </si>
  <si>
    <t>rtdc.l.rtdc.4030:itc</t>
  </si>
  <si>
    <t>150-01</t>
  </si>
  <si>
    <t>rtdc.l.rtdc.4017:itc</t>
  </si>
  <si>
    <t>148-01</t>
  </si>
  <si>
    <t>rtdc.l.rtdc.4044:itc</t>
  </si>
  <si>
    <t>155-01</t>
  </si>
  <si>
    <t>152-01</t>
  </si>
  <si>
    <t>159-01</t>
  </si>
  <si>
    <t>154-01</t>
  </si>
  <si>
    <t>rtdc.l.rtdc.4028:itc</t>
  </si>
  <si>
    <t>160-01</t>
  </si>
  <si>
    <t>rtdc.l.rtdc.4020:itc</t>
  </si>
  <si>
    <t>167-01</t>
  </si>
  <si>
    <t>173-01</t>
  </si>
  <si>
    <t>166-01</t>
  </si>
  <si>
    <t>175-01</t>
  </si>
  <si>
    <t>rtdc.l.rtdc.4043:itc</t>
  </si>
  <si>
    <t>170-01</t>
  </si>
  <si>
    <t>174-01</t>
  </si>
  <si>
    <t>181-01</t>
  </si>
  <si>
    <t>187-01</t>
  </si>
  <si>
    <t>184-01</t>
  </si>
  <si>
    <t>182-01</t>
  </si>
  <si>
    <t>189-01</t>
  </si>
  <si>
    <t>195-01</t>
  </si>
  <si>
    <t>rtdc.l.rtdc.4015:itc</t>
  </si>
  <si>
    <t>186-01</t>
  </si>
  <si>
    <t>197-01</t>
  </si>
  <si>
    <t>rtdc.l.rtdc.4039:itc</t>
  </si>
  <si>
    <t>192-01</t>
  </si>
  <si>
    <t>rtdc.l.rtdc.4029:itc</t>
  </si>
  <si>
    <t>199-01</t>
  </si>
  <si>
    <t>201-01</t>
  </si>
  <si>
    <t>203-01</t>
  </si>
  <si>
    <t>GRADE CROSSING</t>
  </si>
  <si>
    <t>Bulletin (2)</t>
  </si>
  <si>
    <t>200-01</t>
  </si>
  <si>
    <t>rtdc.l.rtdc.4007:itc</t>
  </si>
  <si>
    <t>207-01</t>
  </si>
  <si>
    <t>196-01</t>
  </si>
  <si>
    <t>206-01</t>
  </si>
  <si>
    <t>211-01</t>
  </si>
  <si>
    <t>212-01</t>
  </si>
  <si>
    <t>210-01</t>
  </si>
  <si>
    <t>217-01</t>
  </si>
  <si>
    <t>204:435</t>
  </si>
  <si>
    <t>215-01</t>
  </si>
  <si>
    <t>204:233315</t>
  </si>
  <si>
    <t>208-01</t>
  </si>
  <si>
    <t>204:233002</t>
  </si>
  <si>
    <t>213-01</t>
  </si>
  <si>
    <t>204:451</t>
  </si>
  <si>
    <t>204:233289</t>
  </si>
  <si>
    <t>204:127</t>
  </si>
  <si>
    <t>204:460</t>
  </si>
  <si>
    <t>204-01</t>
  </si>
  <si>
    <t>204:232985</t>
  </si>
  <si>
    <t>209-01</t>
  </si>
  <si>
    <t>202-01</t>
  </si>
  <si>
    <t>204:232980</t>
  </si>
  <si>
    <t>204:143</t>
  </si>
  <si>
    <t>204:464</t>
  </si>
  <si>
    <t>204:232991</t>
  </si>
  <si>
    <t>204:145</t>
  </si>
  <si>
    <t>205-01</t>
  </si>
  <si>
    <t>204:233314</t>
  </si>
  <si>
    <t>198-01</t>
  </si>
  <si>
    <t>204:149</t>
  </si>
  <si>
    <t>204:462</t>
  </si>
  <si>
    <t>204:440</t>
  </si>
  <si>
    <t>204:233305</t>
  </si>
  <si>
    <t>194-01</t>
  </si>
  <si>
    <t>204:466</t>
  </si>
  <si>
    <t>204:233304</t>
  </si>
  <si>
    <t>204:158</t>
  </si>
  <si>
    <t>204:457</t>
  </si>
  <si>
    <t>190-01</t>
  </si>
  <si>
    <t>204:232978</t>
  </si>
  <si>
    <t>188-01</t>
  </si>
  <si>
    <t>204:232996</t>
  </si>
  <si>
    <t>193-01</t>
  </si>
  <si>
    <t>204:467</t>
  </si>
  <si>
    <t>204:233301</t>
  </si>
  <si>
    <t>204:232984</t>
  </si>
  <si>
    <t>204:156</t>
  </si>
  <si>
    <t>191-01</t>
  </si>
  <si>
    <t>204:233001</t>
  </si>
  <si>
    <t>204:139</t>
  </si>
  <si>
    <t>204:233300</t>
  </si>
  <si>
    <t>180-01</t>
  </si>
  <si>
    <t>204:167</t>
  </si>
  <si>
    <t>185-01</t>
  </si>
  <si>
    <t>178-01</t>
  </si>
  <si>
    <t>183-01</t>
  </si>
  <si>
    <t>176-01</t>
  </si>
  <si>
    <t>204:232993</t>
  </si>
  <si>
    <t>204:447</t>
  </si>
  <si>
    <t>204:136</t>
  </si>
  <si>
    <t>179-01</t>
  </si>
  <si>
    <t>204:233310</t>
  </si>
  <si>
    <t>172-01</t>
  </si>
  <si>
    <t>177-01</t>
  </si>
  <si>
    <t>204:232965</t>
  </si>
  <si>
    <t>204:125</t>
  </si>
  <si>
    <t>204:233295</t>
  </si>
  <si>
    <t>168-01</t>
  </si>
  <si>
    <t>204:138</t>
  </si>
  <si>
    <t>204:141</t>
  </si>
  <si>
    <t>171-01</t>
  </si>
  <si>
    <t>204:233312</t>
  </si>
  <si>
    <t>164-01</t>
  </si>
  <si>
    <t>204:233008</t>
  </si>
  <si>
    <t>204:134</t>
  </si>
  <si>
    <t>169-01</t>
  </si>
  <si>
    <t>204:449</t>
  </si>
  <si>
    <t>162-01</t>
  </si>
  <si>
    <t>204:232974</t>
  </si>
  <si>
    <t>165-01</t>
  </si>
  <si>
    <t>204:233293</t>
  </si>
  <si>
    <t>204:232977</t>
  </si>
  <si>
    <t>163-01</t>
  </si>
  <si>
    <t>158-01</t>
  </si>
  <si>
    <t>156-01</t>
  </si>
  <si>
    <t>161-01</t>
  </si>
  <si>
    <t>204:150</t>
  </si>
  <si>
    <t>204:473</t>
  </si>
  <si>
    <t>157-01</t>
  </si>
  <si>
    <t>204:233274</t>
  </si>
  <si>
    <t>204:161</t>
  </si>
  <si>
    <t>153-01</t>
  </si>
  <si>
    <t>204:469</t>
  </si>
  <si>
    <t>146-01</t>
  </si>
  <si>
    <t>151-01</t>
  </si>
  <si>
    <t>204:233303</t>
  </si>
  <si>
    <t>144-01</t>
  </si>
  <si>
    <t>149-01</t>
  </si>
  <si>
    <t>204:471</t>
  </si>
  <si>
    <t>142-01</t>
  </si>
  <si>
    <t>204:233000</t>
  </si>
  <si>
    <t>147-01</t>
  </si>
  <si>
    <t>140-01</t>
  </si>
  <si>
    <t>204:152</t>
  </si>
  <si>
    <t>204:232983</t>
  </si>
  <si>
    <t>204:233323</t>
  </si>
  <si>
    <t>136-01</t>
  </si>
  <si>
    <t>204:232969</t>
  </si>
  <si>
    <t>141-01</t>
  </si>
  <si>
    <t>134-01</t>
  </si>
  <si>
    <t>139-01</t>
  </si>
  <si>
    <t>132-01</t>
  </si>
  <si>
    <t>137-01</t>
  </si>
  <si>
    <t>130-01</t>
  </si>
  <si>
    <t>135-01</t>
  </si>
  <si>
    <t>128-01</t>
  </si>
  <si>
    <t>204:232986</t>
  </si>
  <si>
    <t>131-01</t>
  </si>
  <si>
    <t>204:442</t>
  </si>
  <si>
    <t>204:233297</t>
  </si>
  <si>
    <t>124-01</t>
  </si>
  <si>
    <t>129-01</t>
  </si>
  <si>
    <t>122-01</t>
  </si>
  <si>
    <t>204:232989</t>
  </si>
  <si>
    <t>127-01</t>
  </si>
  <si>
    <t>120-01</t>
  </si>
  <si>
    <t>204:154</t>
  </si>
  <si>
    <t>125-01</t>
  </si>
  <si>
    <t>118-01</t>
  </si>
  <si>
    <t>123-01</t>
  </si>
  <si>
    <t>121-01</t>
  </si>
  <si>
    <t>116-01</t>
  </si>
  <si>
    <t>114-01</t>
  </si>
  <si>
    <t>204:233291</t>
  </si>
  <si>
    <t>204:160</t>
  </si>
  <si>
    <t>117-01</t>
  </si>
  <si>
    <t>115-01</t>
  </si>
  <si>
    <t>108-01</t>
  </si>
  <si>
    <t>111-01</t>
  </si>
  <si>
    <t>113-01</t>
  </si>
  <si>
    <t>106-01</t>
  </si>
  <si>
    <t>204:232672</t>
  </si>
  <si>
    <t>109-01</t>
  </si>
  <si>
    <t>204:444</t>
  </si>
  <si>
    <t>104-01</t>
  </si>
  <si>
    <t>107-01</t>
  </si>
  <si>
    <t>105-01</t>
  </si>
  <si>
    <t>102-01</t>
  </si>
  <si>
    <t>204:232673</t>
  </si>
  <si>
    <t>103-01</t>
  </si>
  <si>
    <t>204:233321</t>
  </si>
  <si>
    <t>101-01</t>
  </si>
  <si>
    <t>218-01</t>
  </si>
  <si>
    <t>226-01</t>
  </si>
  <si>
    <t>233-01</t>
  </si>
  <si>
    <t>234-01</t>
  </si>
  <si>
    <t>241-01</t>
  </si>
  <si>
    <t>240-01</t>
  </si>
  <si>
    <t>244-01</t>
  </si>
  <si>
    <t>242-01</t>
  </si>
  <si>
    <t>243-01</t>
  </si>
  <si>
    <t>204:233308</t>
  </si>
  <si>
    <t>238-01</t>
  </si>
  <si>
    <t>236-01</t>
  </si>
  <si>
    <t>204:232998</t>
  </si>
  <si>
    <t>239-01</t>
  </si>
  <si>
    <t>237-01</t>
  </si>
  <si>
    <t>235-01</t>
  </si>
  <si>
    <t>232-01</t>
  </si>
  <si>
    <t>230-01</t>
  </si>
  <si>
    <t>204:147</t>
  </si>
  <si>
    <t>231-01</t>
  </si>
  <si>
    <t>228-01</t>
  </si>
  <si>
    <t>229-01</t>
  </si>
  <si>
    <t>204:233100</t>
  </si>
  <si>
    <t>214-01</t>
  </si>
  <si>
    <t>227-01</t>
  </si>
  <si>
    <t>225-01</t>
  </si>
  <si>
    <t>222-01</t>
  </si>
  <si>
    <t>204:455</t>
  </si>
  <si>
    <t>220-01</t>
  </si>
  <si>
    <t>216-01</t>
  </si>
  <si>
    <t>219-01</t>
  </si>
  <si>
    <t>221-01</t>
  </si>
  <si>
    <t>Status</t>
  </si>
  <si>
    <t>Closed</t>
  </si>
  <si>
    <t>Operator Name</t>
  </si>
  <si>
    <t>MALAVE</t>
  </si>
  <si>
    <t>LEDERHAUSE</t>
  </si>
  <si>
    <t>STEWART</t>
  </si>
  <si>
    <t>SANTIZO</t>
  </si>
  <si>
    <t>EXTRA 13-28</t>
  </si>
  <si>
    <t>POLLOCK</t>
  </si>
  <si>
    <t>GEBRETEKLE</t>
  </si>
  <si>
    <t>ARNOLD</t>
  </si>
  <si>
    <t>BUTLER</t>
  </si>
  <si>
    <t>ACKERMAN</t>
  </si>
  <si>
    <t>NELSON</t>
  </si>
  <si>
    <t>rtdc.l.rtdc.4041:itc</t>
  </si>
  <si>
    <t>HONTZ</t>
  </si>
  <si>
    <t>YOUNG</t>
  </si>
  <si>
    <t>rtdc.l.rtdc.4040:itc</t>
  </si>
  <si>
    <t>BARTLETT</t>
  </si>
  <si>
    <t>rtdc.l.rtdc.4038:itc</t>
  </si>
  <si>
    <t>147-02</t>
  </si>
  <si>
    <t>CHANDLER</t>
  </si>
  <si>
    <t>BONDS</t>
  </si>
  <si>
    <t>rtdc.l.rtdc.4025:itc</t>
  </si>
  <si>
    <t>145-02</t>
  </si>
  <si>
    <t>BRUDER</t>
  </si>
  <si>
    <t>138-02</t>
  </si>
  <si>
    <t>SPECTOR</t>
  </si>
  <si>
    <t>rtdc.l.rtdc.4014:itc</t>
  </si>
  <si>
    <t>143-02</t>
  </si>
  <si>
    <t>rtdc.l.rtdc.4013:itc</t>
  </si>
  <si>
    <t>130-02</t>
  </si>
  <si>
    <t>128-02</t>
  </si>
  <si>
    <t>LEVIN</t>
  </si>
  <si>
    <t>rtdc.l.rtdc.4023:itc</t>
  </si>
  <si>
    <t>116-02</t>
  </si>
  <si>
    <t>JACKSON</t>
  </si>
  <si>
    <t>123-02</t>
  </si>
  <si>
    <t>106-02</t>
  </si>
  <si>
    <t>121-02</t>
  </si>
  <si>
    <t>DE LA ROSA</t>
  </si>
  <si>
    <t>117-02</t>
  </si>
  <si>
    <t>113-02</t>
  </si>
  <si>
    <t>125-02</t>
  </si>
  <si>
    <t>NEWELL</t>
  </si>
  <si>
    <t>107-02</t>
  </si>
  <si>
    <t>122-02</t>
  </si>
  <si>
    <t>126-02</t>
  </si>
  <si>
    <t>rtdc.l.rtdc.4026:itc</t>
  </si>
  <si>
    <t>132-02</t>
  </si>
  <si>
    <t>139-02</t>
  </si>
  <si>
    <t>136-02</t>
  </si>
  <si>
    <t>rtdc.l.rtdc.4024:itc</t>
  </si>
  <si>
    <t>SPARE-27</t>
  </si>
  <si>
    <t>COOLAHAN</t>
  </si>
  <si>
    <t>WEBSTER</t>
  </si>
  <si>
    <t>BRANNON</t>
  </si>
  <si>
    <t>109-02</t>
  </si>
  <si>
    <t>101-02</t>
  </si>
  <si>
    <t>309-01</t>
  </si>
  <si>
    <t>STURGEON</t>
  </si>
  <si>
    <t>EX GOODNIGHT-30</t>
  </si>
  <si>
    <t>GOODNIGHT</t>
  </si>
  <si>
    <t>PTC TEST4-29</t>
  </si>
  <si>
    <t>CUSHING</t>
  </si>
  <si>
    <t>114-02</t>
  </si>
  <si>
    <t>118-02</t>
  </si>
  <si>
    <t>BRABO-27</t>
  </si>
  <si>
    <t>BRABO</t>
  </si>
  <si>
    <t>rtdc.l.rtdc.4037:itc</t>
  </si>
  <si>
    <t>134-02</t>
  </si>
  <si>
    <t>127-02</t>
  </si>
  <si>
    <t>119-02</t>
  </si>
  <si>
    <t>115-02</t>
  </si>
  <si>
    <t>105-02</t>
  </si>
  <si>
    <t>137-02</t>
  </si>
  <si>
    <t>141-02</t>
  </si>
  <si>
    <t>135-02</t>
  </si>
  <si>
    <t>PTC TEST3-29</t>
  </si>
  <si>
    <t>120-02</t>
  </si>
  <si>
    <t>111-02</t>
  </si>
  <si>
    <t>GOLIGHTLY</t>
  </si>
  <si>
    <t>104-02</t>
  </si>
  <si>
    <t>103-02</t>
  </si>
  <si>
    <t>108-02</t>
  </si>
  <si>
    <t>HAUSER</t>
  </si>
  <si>
    <t>110-02</t>
  </si>
  <si>
    <t>129-02</t>
  </si>
  <si>
    <t>131-02</t>
  </si>
  <si>
    <t>140-02</t>
  </si>
  <si>
    <t>102-02</t>
  </si>
  <si>
    <t>112-02</t>
  </si>
  <si>
    <t>124-02</t>
  </si>
  <si>
    <t>133-02</t>
  </si>
  <si>
    <t>142-02</t>
  </si>
  <si>
    <t>144-02</t>
  </si>
  <si>
    <t>151-02</t>
  </si>
  <si>
    <t>159-02</t>
  </si>
  <si>
    <t>150-02</t>
  </si>
  <si>
    <t>154-02</t>
  </si>
  <si>
    <t>161-02</t>
  </si>
  <si>
    <t>160-02</t>
  </si>
  <si>
    <t>165-02</t>
  </si>
  <si>
    <t>171-02</t>
  </si>
  <si>
    <t>164-02</t>
  </si>
  <si>
    <t>173-02</t>
  </si>
  <si>
    <t>162-02</t>
  </si>
  <si>
    <t>166-02</t>
  </si>
  <si>
    <t>172-02</t>
  </si>
  <si>
    <t>168-02</t>
  </si>
  <si>
    <t>175-02</t>
  </si>
  <si>
    <t>178-02</t>
  </si>
  <si>
    <t>183-02</t>
  </si>
  <si>
    <t>187-02</t>
  </si>
  <si>
    <t>182-02</t>
  </si>
  <si>
    <t>193-02</t>
  </si>
  <si>
    <t>186-02</t>
  </si>
  <si>
    <t>197-02</t>
  </si>
  <si>
    <t>201-02</t>
  </si>
  <si>
    <t>199-02</t>
  </si>
  <si>
    <t>203-02</t>
  </si>
  <si>
    <t>196-02</t>
  </si>
  <si>
    <t>198-02</t>
  </si>
  <si>
    <t>200-02</t>
  </si>
  <si>
    <t>211-02</t>
  </si>
  <si>
    <t>208-02</t>
  </si>
  <si>
    <t>217-02</t>
  </si>
  <si>
    <t>212-02</t>
  </si>
  <si>
    <t>223-02</t>
  </si>
  <si>
    <t>225-02</t>
  </si>
  <si>
    <t>227-02</t>
  </si>
  <si>
    <t>224-02</t>
  </si>
  <si>
    <t>228-02</t>
  </si>
  <si>
    <t>rtdc.l.rtdc.4042:itc</t>
  </si>
  <si>
    <t>231-02</t>
  </si>
  <si>
    <t>232-02</t>
  </si>
  <si>
    <t>226-02</t>
  </si>
  <si>
    <t>239-02</t>
  </si>
  <si>
    <t>243-02</t>
  </si>
  <si>
    <t>244-02</t>
  </si>
  <si>
    <t>121-03</t>
  </si>
  <si>
    <t>115-03</t>
  </si>
  <si>
    <t>106-03</t>
  </si>
  <si>
    <t>163-02</t>
  </si>
  <si>
    <t>CANFIELD</t>
  </si>
  <si>
    <t>111-03</t>
  </si>
  <si>
    <t>rtdc.l.rtdc.4011:itc</t>
  </si>
  <si>
    <t>109-03</t>
  </si>
  <si>
    <t>YORK</t>
  </si>
  <si>
    <t>102-03</t>
  </si>
  <si>
    <t>240-02</t>
  </si>
  <si>
    <t>236-02</t>
  </si>
  <si>
    <t>STRICKLAND</t>
  </si>
  <si>
    <t>189-02</t>
  </si>
  <si>
    <t>234-02</t>
  </si>
  <si>
    <t>STORY</t>
  </si>
  <si>
    <t>184-02</t>
  </si>
  <si>
    <t>190-02</t>
  </si>
  <si>
    <t>235-02</t>
  </si>
  <si>
    <t>215-02</t>
  </si>
  <si>
    <t>218-02</t>
  </si>
  <si>
    <t>REBOLETTI</t>
  </si>
  <si>
    <t>219-02</t>
  </si>
  <si>
    <t>229-02</t>
  </si>
  <si>
    <t>230-02</t>
  </si>
  <si>
    <t>237-02</t>
  </si>
  <si>
    <t>241-02</t>
  </si>
  <si>
    <t>180-02</t>
  </si>
  <si>
    <t>BEAM</t>
  </si>
  <si>
    <t>101-03</t>
  </si>
  <si>
    <t>107-03</t>
  </si>
  <si>
    <t>rtdc.l.rtdc.4032:itc</t>
  </si>
  <si>
    <t>104-03</t>
  </si>
  <si>
    <t>STARKS</t>
  </si>
  <si>
    <t>108-03</t>
  </si>
  <si>
    <t>169-02</t>
  </si>
  <si>
    <t>149-02</t>
  </si>
  <si>
    <t>148-02</t>
  </si>
  <si>
    <t>152-02</t>
  </si>
  <si>
    <t>156-02</t>
  </si>
  <si>
    <t>177-02</t>
  </si>
  <si>
    <t>181-02</t>
  </si>
  <si>
    <t>191-02</t>
  </si>
  <si>
    <t>194-02</t>
  </si>
  <si>
    <t>205-02</t>
  </si>
  <si>
    <t>204-02</t>
  </si>
  <si>
    <t>123-03</t>
  </si>
  <si>
    <t>206-02</t>
  </si>
  <si>
    <t>rtdc.l.rtdc.4031:itc</t>
  </si>
  <si>
    <t>117-03</t>
  </si>
  <si>
    <t>221-02</t>
  </si>
  <si>
    <t>222-02</t>
  </si>
  <si>
    <t>311-02</t>
  </si>
  <si>
    <t>233-02</t>
  </si>
  <si>
    <t>116-03</t>
  </si>
  <si>
    <t>242-02</t>
  </si>
  <si>
    <t>119-03</t>
  </si>
  <si>
    <t>114-03</t>
  </si>
  <si>
    <t>220-02</t>
  </si>
  <si>
    <t>214-02</t>
  </si>
  <si>
    <t>153-02</t>
  </si>
  <si>
    <t>146-02</t>
  </si>
  <si>
    <t>185-02</t>
  </si>
  <si>
    <t>167-02</t>
  </si>
  <si>
    <t>158-02</t>
  </si>
  <si>
    <t>157-02</t>
  </si>
  <si>
    <t>155-02</t>
  </si>
  <si>
    <t>170-02</t>
  </si>
  <si>
    <t>179-02</t>
  </si>
  <si>
    <t>176-02</t>
  </si>
  <si>
    <t>BRANNON-02</t>
  </si>
  <si>
    <t>195-02</t>
  </si>
  <si>
    <t>207-02</t>
  </si>
  <si>
    <t>192-02</t>
  </si>
  <si>
    <t>209-02</t>
  </si>
  <si>
    <t>238-02</t>
  </si>
  <si>
    <t>105-03</t>
  </si>
  <si>
    <t>213-02</t>
  </si>
  <si>
    <t>210-02</t>
  </si>
  <si>
    <t>103-03</t>
  </si>
  <si>
    <t>113-03</t>
  </si>
  <si>
    <t>rtdc.l.rtdc.4012:itc</t>
  </si>
  <si>
    <t>110-03</t>
  </si>
  <si>
    <t>112-03</t>
  </si>
  <si>
    <t>204:232976</t>
  </si>
  <si>
    <t>204:232959</t>
  </si>
  <si>
    <t>204:903</t>
  </si>
  <si>
    <t>204:233307</t>
  </si>
  <si>
    <t>204:232952</t>
  </si>
  <si>
    <t>204:1832</t>
  </si>
  <si>
    <t>204:48569</t>
  </si>
  <si>
    <t>204:232967</t>
  </si>
  <si>
    <t>204:233340</t>
  </si>
  <si>
    <t>204:233276</t>
  </si>
  <si>
    <t>204:232990</t>
  </si>
  <si>
    <t>204:233286</t>
  </si>
  <si>
    <t>204:710</t>
  </si>
  <si>
    <t>204:734</t>
  </si>
  <si>
    <t>204:233288</t>
  </si>
  <si>
    <t>204:427</t>
  </si>
  <si>
    <t>204:233261</t>
  </si>
  <si>
    <t>204:233317</t>
  </si>
  <si>
    <t>204:480</t>
  </si>
  <si>
    <t>204:1160</t>
  </si>
  <si>
    <t>204:233302</t>
  </si>
  <si>
    <t>204:233376</t>
  </si>
  <si>
    <t>204:416</t>
  </si>
  <si>
    <t>204:19145</t>
  </si>
  <si>
    <t>204:233278</t>
  </si>
  <si>
    <t>204:1492</t>
  </si>
  <si>
    <t>204:1912</t>
  </si>
  <si>
    <t>204:233011</t>
  </si>
  <si>
    <t>204:770</t>
  </si>
  <si>
    <t>204:233280</t>
  </si>
  <si>
    <t>204:232670</t>
  </si>
  <si>
    <t>204:1707</t>
  </si>
  <si>
    <t>204:19115</t>
  </si>
  <si>
    <t>204:728</t>
  </si>
  <si>
    <t>204:1133</t>
  </si>
  <si>
    <t>204:785</t>
  </si>
  <si>
    <t>204:713</t>
  </si>
  <si>
    <t>204:819</t>
  </si>
  <si>
    <t>204:165</t>
  </si>
  <si>
    <t>204:233093</t>
  </si>
  <si>
    <t>204:232970</t>
  </si>
  <si>
    <t>204:498</t>
  </si>
  <si>
    <t>204:233423</t>
  </si>
  <si>
    <t>204:233287</t>
  </si>
  <si>
    <t>204:232944</t>
  </si>
  <si>
    <t>204:232957</t>
  </si>
  <si>
    <t>204:233391</t>
  </si>
  <si>
    <t>204:233259</t>
  </si>
  <si>
    <t>204:233071</t>
  </si>
  <si>
    <t>204:493</t>
  </si>
  <si>
    <t>204:233268</t>
  </si>
  <si>
    <t>204:233407</t>
  </si>
  <si>
    <t>204:413</t>
  </si>
  <si>
    <t>204:232909</t>
  </si>
  <si>
    <t>204:233397</t>
  </si>
  <si>
    <t>204:233021</t>
  </si>
  <si>
    <t>204:198</t>
  </si>
  <si>
    <t>204:502</t>
  </si>
  <si>
    <t>204:118</t>
  </si>
  <si>
    <t>204:504</t>
  </si>
  <si>
    <t>204:233224</t>
  </si>
  <si>
    <t>204:169</t>
  </si>
  <si>
    <t>204:233345</t>
  </si>
  <si>
    <t>204:181</t>
  </si>
  <si>
    <t>204:212</t>
  </si>
  <si>
    <t>204:233282</t>
  </si>
  <si>
    <t>204:431</t>
  </si>
  <si>
    <t>204:233325</t>
  </si>
  <si>
    <t>204:233324</t>
  </si>
  <si>
    <t>204:233328</t>
  </si>
  <si>
    <t>204:129</t>
  </si>
  <si>
    <t>204:233253</t>
  </si>
  <si>
    <t>Difference between last trip</t>
  </si>
  <si>
    <t>Operator did not press soft cut-out at end of run</t>
  </si>
  <si>
    <t>In-route failure - System cutout after dropping to failsafe state and then proceeded with ATC (EBI Card Fault)</t>
  </si>
  <si>
    <t>In-route failure - System cutout after dropping to failsafe state and then proceeded with ATC (Comparator Issue)</t>
  </si>
  <si>
    <t>Routing at DUS</t>
  </si>
  <si>
    <t>Initialized too close to signal (Main 3)</t>
  </si>
  <si>
    <t>Y</t>
  </si>
  <si>
    <t>174-02</t>
  </si>
  <si>
    <t>188-02</t>
  </si>
  <si>
    <t>202-02</t>
  </si>
  <si>
    <t>216-02</t>
  </si>
  <si>
    <t>Main 3 - went active too close to signal</t>
  </si>
  <si>
    <t>Wi-MAX outage</t>
  </si>
  <si>
    <t>Routing @ Pena</t>
  </si>
  <si>
    <t>Signal aspect premature downgrade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</si>
</sst>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:ss;@"/>
    <numFmt numFmtId="165" formatCode="0.0%"/>
    <numFmt numFmtId="166" formatCode="yyyy\-mm\-dd"/>
    <numFmt numFmtId="167" formatCode="yyyy\-mm\-dd\ hh:mm:ss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/>
    <xf numFmtId="20" fontId="0" fillId="0" borderId="0" xfId="0" applyNumberFormat="1" applyFill="1" applyAlignment="1">
      <alignment wrapText="1"/>
    </xf>
    <xf numFmtId="0" fontId="0" fillId="0" borderId="0" xfId="0" applyFill="1"/>
    <xf numFmtId="0" fontId="0" fillId="0" borderId="4" xfId="0" applyBorder="1" applyAlignment="1">
      <alignment horizontal="center" vertical="center"/>
    </xf>
    <xf numFmtId="1" fontId="0" fillId="0" borderId="0" xfId="0" applyNumberFormat="1"/>
    <xf numFmtId="1" fontId="0" fillId="0" borderId="0" xfId="0" applyNumberFormat="1" applyFill="1"/>
    <xf numFmtId="1" fontId="0" fillId="0" borderId="3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/>
    </xf>
    <xf numFmtId="0" fontId="0" fillId="0" borderId="3" xfId="0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Fill="1" applyBorder="1" applyAlignment="1">
      <alignment horizontal="left"/>
    </xf>
    <xf numFmtId="164" fontId="0" fillId="0" borderId="5" xfId="0" applyNumberFormat="1" applyFill="1" applyBorder="1" applyAlignment="1">
      <alignment horizontal="left"/>
    </xf>
    <xf numFmtId="1" fontId="0" fillId="0" borderId="5" xfId="0" applyNumberFormat="1" applyFill="1" applyBorder="1" applyAlignment="1">
      <alignment horizontal="left"/>
    </xf>
    <xf numFmtId="167" fontId="0" fillId="0" borderId="0" xfId="0" applyNumberFormat="1"/>
    <xf numFmtId="0" fontId="0" fillId="0" borderId="8" xfId="0" applyBorder="1"/>
    <xf numFmtId="0" fontId="0" fillId="0" borderId="7" xfId="0" applyBorder="1" applyAlignment="1">
      <alignment vertical="center" wrapText="1"/>
    </xf>
    <xf numFmtId="0" fontId="0" fillId="2" borderId="12" xfId="0" applyFill="1" applyBorder="1"/>
    <xf numFmtId="0" fontId="0" fillId="2" borderId="13" xfId="0" applyFill="1" applyBorder="1" applyAlignment="1">
      <alignment vertical="center" wrapText="1"/>
    </xf>
    <xf numFmtId="0" fontId="0" fillId="0" borderId="0" xfId="0" applyFill="1" applyAlignment="1"/>
    <xf numFmtId="0" fontId="0" fillId="0" borderId="5" xfId="0" applyFill="1" applyBorder="1" applyAlignment="1"/>
    <xf numFmtId="0" fontId="0" fillId="0" borderId="5" xfId="0" applyFill="1" applyBorder="1" applyAlignment="1">
      <alignment vertical="center"/>
    </xf>
    <xf numFmtId="0" fontId="0" fillId="0" borderId="5" xfId="0" applyBorder="1" applyAlignment="1">
      <alignment vertical="center"/>
    </xf>
    <xf numFmtId="167" fontId="0" fillId="0" borderId="5" xfId="0" applyNumberFormat="1" applyBorder="1" applyAlignment="1">
      <alignment vertical="center"/>
    </xf>
    <xf numFmtId="0" fontId="1" fillId="0" borderId="5" xfId="0" applyFont="1" applyFill="1" applyBorder="1" applyAlignment="1">
      <alignment horizontal="center" vertical="center" wrapText="1"/>
    </xf>
    <xf numFmtId="167" fontId="1" fillId="0" borderId="5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3" fillId="0" borderId="10" xfId="0" applyFont="1" applyBorder="1" applyAlignment="1">
      <alignment horizontal="center" wrapText="1"/>
    </xf>
    <xf numFmtId="166" fontId="4" fillId="0" borderId="11" xfId="0" applyNumberFormat="1" applyFont="1" applyBorder="1" applyAlignment="1">
      <alignment horizontal="center" vertical="center" wrapText="1"/>
    </xf>
    <xf numFmtId="167" fontId="0" fillId="0" borderId="5" xfId="0" applyNumberFormat="1" applyFill="1" applyBorder="1" applyAlignment="1">
      <alignment horizontal="left"/>
    </xf>
    <xf numFmtId="167" fontId="0" fillId="0" borderId="0" xfId="0" applyNumberFormat="1" applyFill="1"/>
    <xf numFmtId="167" fontId="0" fillId="0" borderId="3" xfId="0" applyNumberFormat="1" applyBorder="1" applyAlignment="1">
      <alignment horizontal="right" vertical="center" wrapText="1"/>
    </xf>
    <xf numFmtId="167" fontId="0" fillId="2" borderId="3" xfId="0" applyNumberFormat="1" applyFill="1" applyBorder="1" applyAlignment="1">
      <alignment horizontal="right" vertical="center" wrapText="1"/>
    </xf>
    <xf numFmtId="167" fontId="0" fillId="3" borderId="3" xfId="0" applyNumberFormat="1" applyFill="1" applyBorder="1" applyAlignment="1">
      <alignment horizontal="right" vertical="center" wrapText="1"/>
    </xf>
    <xf numFmtId="20" fontId="0" fillId="0" borderId="2" xfId="0" applyNumberFormat="1" applyBorder="1" applyAlignment="1">
      <alignment horizontal="center" vertical="center" wrapText="1"/>
    </xf>
    <xf numFmtId="0" fontId="1" fillId="0" borderId="10" xfId="0" applyFont="1" applyFill="1" applyBorder="1" applyAlignment="1">
      <alignment horizontal="center" wrapText="1"/>
    </xf>
    <xf numFmtId="0" fontId="1" fillId="0" borderId="11" xfId="0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left"/>
    </xf>
    <xf numFmtId="2" fontId="0" fillId="0" borderId="0" xfId="0" applyNumberFormat="1" applyFill="1"/>
    <xf numFmtId="2" fontId="0" fillId="0" borderId="0" xfId="0" applyNumberFormat="1"/>
    <xf numFmtId="166" fontId="0" fillId="0" borderId="0" xfId="0" applyNumberFormat="1" applyBorder="1" applyAlignment="1">
      <alignment horizontal="center" wrapText="1"/>
    </xf>
    <xf numFmtId="167" fontId="0" fillId="0" borderId="0" xfId="0" applyNumberForma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/>
    <xf numFmtId="0" fontId="1" fillId="0" borderId="5" xfId="0" applyFont="1" applyFill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167" fontId="1" fillId="0" borderId="5" xfId="0" applyNumberFormat="1" applyFont="1" applyBorder="1" applyAlignment="1">
      <alignment horizontal="left" vertical="center" wrapText="1"/>
    </xf>
    <xf numFmtId="2" fontId="1" fillId="0" borderId="5" xfId="0" applyNumberFormat="1" applyFont="1" applyBorder="1" applyAlignment="1">
      <alignment horizontal="left" vertical="center" wrapText="1"/>
    </xf>
    <xf numFmtId="20" fontId="1" fillId="0" borderId="5" xfId="0" applyNumberFormat="1" applyFont="1" applyFill="1" applyBorder="1" applyAlignment="1">
      <alignment horizontal="left" vertical="center" wrapText="1"/>
    </xf>
    <xf numFmtId="1" fontId="1" fillId="0" borderId="5" xfId="0" applyNumberFormat="1" applyFont="1" applyBorder="1" applyAlignment="1">
      <alignment horizontal="left" vertical="center" wrapText="1"/>
    </xf>
    <xf numFmtId="0" fontId="1" fillId="0" borderId="5" xfId="0" applyFont="1" applyBorder="1" applyAlignment="1">
      <alignment horizontal="center" vertical="center" wrapText="1"/>
    </xf>
    <xf numFmtId="1" fontId="0" fillId="0" borderId="5" xfId="0" applyNumberFormat="1" applyFill="1" applyBorder="1"/>
    <xf numFmtId="0" fontId="0" fillId="2" borderId="15" xfId="0" applyFill="1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5" fillId="0" borderId="0" xfId="0" applyFont="1"/>
    <xf numFmtId="0" fontId="5" fillId="0" borderId="0" xfId="0" applyFont="1" applyAlignment="1">
      <alignment horizontal="left"/>
    </xf>
    <xf numFmtId="0" fontId="5" fillId="0" borderId="5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left" vertical="center" wrapText="1"/>
    </xf>
    <xf numFmtId="0" fontId="5" fillId="0" borderId="5" xfId="0" applyFont="1" applyFill="1" applyBorder="1"/>
    <xf numFmtId="0" fontId="5" fillId="0" borderId="5" xfId="0" applyFont="1" applyFill="1" applyBorder="1" applyAlignment="1">
      <alignment horizontal="left"/>
    </xf>
    <xf numFmtId="0" fontId="5" fillId="0" borderId="0" xfId="0" applyFont="1" applyFill="1"/>
    <xf numFmtId="0" fontId="5" fillId="0" borderId="0" xfId="0" applyFont="1" applyFill="1" applyAlignment="1">
      <alignment horizontal="left"/>
    </xf>
    <xf numFmtId="20" fontId="0" fillId="0" borderId="2" xfId="0" applyNumberFormat="1" applyBorder="1" applyAlignment="1">
      <alignment horizontal="center" vertical="center" wrapText="1"/>
    </xf>
    <xf numFmtId="1" fontId="0" fillId="2" borderId="5" xfId="0" applyNumberFormat="1" applyFill="1" applyBorder="1"/>
    <xf numFmtId="1" fontId="0" fillId="2" borderId="5" xfId="0" applyNumberFormat="1" applyFill="1" applyBorder="1"/>
    <xf numFmtId="0" fontId="0" fillId="0" borderId="0" xfId="0"/>
    <xf numFmtId="0" fontId="0" fillId="0" borderId="5" xfId="0" applyFill="1" applyBorder="1" applyAlignment="1">
      <alignment horizontal="left"/>
    </xf>
    <xf numFmtId="1" fontId="0" fillId="0" borderId="5" xfId="0" applyNumberFormat="1" applyFill="1" applyBorder="1"/>
    <xf numFmtId="1" fontId="0" fillId="2" borderId="5" xfId="0" applyNumberFormat="1" applyFill="1" applyBorder="1"/>
    <xf numFmtId="0" fontId="1" fillId="0" borderId="0" xfId="0" applyFont="1"/>
    <xf numFmtId="166" fontId="0" fillId="0" borderId="7" xfId="0" applyNumberFormat="1" applyBorder="1" applyAlignment="1">
      <alignment horizontal="center" wrapText="1"/>
    </xf>
    <xf numFmtId="166" fontId="0" fillId="0" borderId="8" xfId="0" applyNumberFormat="1" applyBorder="1" applyAlignment="1">
      <alignment horizontal="center" wrapText="1"/>
    </xf>
    <xf numFmtId="0" fontId="1" fillId="0" borderId="6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20" fontId="0" fillId="0" borderId="1" xfId="0" applyNumberFormat="1" applyBorder="1" applyAlignment="1">
      <alignment horizontal="center" vertical="center" wrapText="1"/>
    </xf>
    <xf numFmtId="20" fontId="0" fillId="0" borderId="2" xfId="0" applyNumberForma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</cellXfs>
  <cellStyles count="1">
    <cellStyle name="Normal" xfId="0" builtinId="0"/>
  </cellStyles>
  <dxfs count="14"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Denver Train Runs 04122016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160"/>
  <sheetViews>
    <sheetView showGridLines="0" topLeftCell="A13" zoomScaleNormal="100" workbookViewId="0">
      <selection activeCell="Q144" sqref="Q144"/>
    </sheetView>
  </sheetViews>
  <sheetFormatPr defaultRowHeight="15" x14ac:dyDescent="0.25"/>
  <cols>
    <col min="1" max="1" width="10.5703125" style="2" customWidth="1"/>
    <col min="2" max="2" width="9" customWidth="1"/>
    <col min="3" max="3" width="13.5703125" hidden="1" customWidth="1"/>
    <col min="4" max="4" width="16.140625" hidden="1" customWidth="1"/>
    <col min="5" max="5" width="19.5703125" style="16" customWidth="1"/>
    <col min="6" max="6" width="20.140625" style="16" customWidth="1"/>
    <col min="7" max="7" width="18.42578125" style="42" hidden="1" customWidth="1"/>
    <col min="8" max="8" width="22.140625" style="16" hidden="1" customWidth="1"/>
    <col min="9" max="9" width="19.7109375" style="16" customWidth="1"/>
    <col min="10" max="10" width="8.7109375" customWidth="1"/>
    <col min="11" max="11" width="13.28515625" customWidth="1"/>
    <col min="12" max="12" width="13.28515625" style="69" customWidth="1"/>
    <col min="13" max="13" width="9.5703125" style="1" customWidth="1"/>
    <col min="14" max="14" width="8.85546875" style="4" customWidth="1"/>
    <col min="15" max="15" width="9.140625" style="4"/>
    <col min="16" max="16" width="6" style="4" customWidth="1"/>
    <col min="17" max="17" width="11.85546875" customWidth="1"/>
    <col min="18" max="18" width="22" customWidth="1"/>
    <col min="19" max="19" width="4.28515625" customWidth="1"/>
    <col min="20" max="20" width="6.7109375" style="58" customWidth="1"/>
    <col min="21" max="22" width="10.140625" style="58" customWidth="1"/>
    <col min="23" max="25" width="9.140625" style="58"/>
    <col min="26" max="26" width="9.140625" style="59"/>
    <col min="27" max="27" width="17.85546875" style="59" customWidth="1"/>
  </cols>
  <sheetData>
    <row r="1" spans="1:89" ht="57.75" customHeight="1" thickBot="1" x14ac:dyDescent="0.3">
      <c r="A1" s="81" t="str">
        <f>"Eagle P3 System Performance - "&amp;TEXT(Variables!A2,"yyyy-mm-dd")</f>
        <v>Eagle P3 System Performance - 2016-05-02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</row>
    <row r="2" spans="1:89" s="12" customFormat="1" ht="69" customHeight="1" thickBot="1" x14ac:dyDescent="0.3">
      <c r="A2" s="48" t="s">
        <v>0</v>
      </c>
      <c r="B2" s="49" t="s">
        <v>58</v>
      </c>
      <c r="C2" s="49" t="s">
        <v>26</v>
      </c>
      <c r="D2" s="49" t="s">
        <v>1</v>
      </c>
      <c r="E2" s="50" t="s">
        <v>2</v>
      </c>
      <c r="F2" s="50" t="s">
        <v>3</v>
      </c>
      <c r="G2" s="51" t="s">
        <v>4</v>
      </c>
      <c r="H2" s="50" t="s">
        <v>5</v>
      </c>
      <c r="I2" s="50" t="s">
        <v>6</v>
      </c>
      <c r="J2" s="49" t="s">
        <v>7</v>
      </c>
      <c r="K2" s="49" t="s">
        <v>61</v>
      </c>
      <c r="L2" s="49" t="s">
        <v>303</v>
      </c>
      <c r="M2" s="52" t="s">
        <v>8</v>
      </c>
      <c r="N2" s="49" t="s">
        <v>55</v>
      </c>
      <c r="O2" s="53" t="s">
        <v>56</v>
      </c>
      <c r="P2" s="53" t="s">
        <v>18</v>
      </c>
      <c r="Q2" s="54" t="s">
        <v>301</v>
      </c>
      <c r="R2" s="54" t="s">
        <v>24</v>
      </c>
      <c r="S2" s="11"/>
      <c r="T2" s="60" t="s">
        <v>59</v>
      </c>
      <c r="U2" s="60" t="s">
        <v>23</v>
      </c>
      <c r="V2" s="60" t="s">
        <v>597</v>
      </c>
      <c r="W2" s="60" t="s">
        <v>20</v>
      </c>
      <c r="X2" s="60" t="s">
        <v>21</v>
      </c>
      <c r="Y2" s="60" t="s">
        <v>22</v>
      </c>
      <c r="Z2" s="61" t="s">
        <v>53</v>
      </c>
      <c r="AA2" s="61" t="s">
        <v>54</v>
      </c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  <c r="BS2" s="11"/>
      <c r="BT2" s="11"/>
      <c r="BU2" s="11"/>
      <c r="BV2" s="11"/>
      <c r="BW2" s="11"/>
      <c r="BX2" s="11"/>
      <c r="BY2" s="11"/>
      <c r="BZ2" s="11"/>
      <c r="CA2" s="11"/>
      <c r="CB2" s="11"/>
      <c r="CC2" s="11"/>
      <c r="CD2" s="11"/>
      <c r="CE2" s="11"/>
      <c r="CF2" s="11"/>
      <c r="CG2" s="11"/>
      <c r="CH2" s="11"/>
      <c r="CI2" s="11"/>
      <c r="CJ2" s="11"/>
      <c r="CK2" s="11"/>
    </row>
    <row r="3" spans="1:89" s="2" customFormat="1" x14ac:dyDescent="0.25">
      <c r="A3" s="13" t="s">
        <v>359</v>
      </c>
      <c r="B3" s="13">
        <v>4007</v>
      </c>
      <c r="C3" s="13" t="s">
        <v>52</v>
      </c>
      <c r="D3" s="13" t="s">
        <v>562</v>
      </c>
      <c r="E3" s="32">
        <v>42492.123842592591</v>
      </c>
      <c r="F3" s="32">
        <v>42492.125972222224</v>
      </c>
      <c r="G3" s="40">
        <v>3</v>
      </c>
      <c r="H3" s="32" t="s">
        <v>152</v>
      </c>
      <c r="I3" s="32">
        <v>42492.160393518519</v>
      </c>
      <c r="J3" s="13">
        <v>0</v>
      </c>
      <c r="K3" s="13" t="str">
        <f t="shared" ref="K3:K34" si="0">IF(ISEVEN(B3),(B3-1)&amp;"/"&amp;B3,B3&amp;"/"&amp;(B3+1))</f>
        <v>4007/4008</v>
      </c>
      <c r="L3" s="70" t="str">
        <f>VLOOKUP(A3,'Trips&amp;Operators'!$C$1:$E$9999,3,FALSE)</f>
        <v>LEVIN</v>
      </c>
      <c r="M3" s="14">
        <f t="shared" ref="M3:M34" si="1">I3-F3</f>
        <v>3.4421296295477077E-2</v>
      </c>
      <c r="N3" s="15">
        <f t="shared" ref="N3:N12" si="2">$M3*24*60</f>
        <v>49.566666665486991</v>
      </c>
      <c r="O3" s="15"/>
      <c r="P3" s="15"/>
      <c r="Q3" s="55"/>
      <c r="R3" s="55"/>
      <c r="T3" s="62" t="str">
        <f t="shared" ref="T3:T34" si="3">"https://search-rtdc-monitor-bjffxe2xuh6vdkpspy63sjmuny.us-east-1.es.amazonaws.com/_plugin/kibana/#/discover/Steve-Slow-Train-Analysis-(2080s-and-2083s)?_g=(refreshInterval:(display:Off,section:0,value:0),time:(from:'"&amp;TEXT(E3-1/24/60,"yyyy-MM-DD hh:mm:ss")&amp;"-0600',mode:absolute,to:'"&amp;TEXT(I3+1/24/60,"yyyy-MM-DD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&amp;"%22')),sort:!(Time,asc))"</f>
        <v>https://search-rtdc-monitor-bjffxe2xuh6vdkpspy63sjmuny.us-east-1.es.amazonaws.com/_plugin/kibana/#/discover/Steve-Slow-Train-Analysis-(2080s-and-2083s)?_g=(refreshInterval:(display:Off,section:0,value:0),time:(from:'2016-05-02 02:57:20-0600',mode:absolute,to:'2016-05-02 03:51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3" s="62" t="str">
        <f t="shared" ref="U3:U34" si="4">IF(Y3&lt;23,"Y","N")</f>
        <v>N</v>
      </c>
      <c r="V3" s="62"/>
      <c r="W3" s="62">
        <f t="shared" ref="W3:W34" si="5">RIGHT(D3,LEN(D3)-4)/10000</f>
        <v>8.1900000000000001E-2</v>
      </c>
      <c r="X3" s="62">
        <f t="shared" ref="X3:X34" si="6">RIGHT(H3,LEN(H3)-4)/10000</f>
        <v>23.330400000000001</v>
      </c>
      <c r="Y3" s="62">
        <f t="shared" ref="Y3:Y34" si="7">ABS(X3-W3)</f>
        <v>23.2485</v>
      </c>
      <c r="Z3" s="63" t="e">
        <f>VLOOKUP(A3,Enforcements!$C$3:$J$40,8,0)</f>
        <v>#N/A</v>
      </c>
      <c r="AA3" s="63" t="e">
        <f>VLOOKUP(A3,Enforcements!$C$3:$J$40,3,0)</f>
        <v>#N/A</v>
      </c>
    </row>
    <row r="4" spans="1:89" s="2" customFormat="1" x14ac:dyDescent="0.25">
      <c r="A4" s="13" t="s">
        <v>391</v>
      </c>
      <c r="B4" s="13">
        <v>4043</v>
      </c>
      <c r="C4" s="13" t="s">
        <v>52</v>
      </c>
      <c r="D4" s="13" t="s">
        <v>265</v>
      </c>
      <c r="E4" s="32">
        <v>42492.168541666666</v>
      </c>
      <c r="F4" s="32">
        <v>42492.169722222221</v>
      </c>
      <c r="G4" s="40">
        <v>1</v>
      </c>
      <c r="H4" s="32" t="s">
        <v>139</v>
      </c>
      <c r="I4" s="32">
        <v>42492.200057870374</v>
      </c>
      <c r="J4" s="13">
        <v>0</v>
      </c>
      <c r="K4" s="13" t="str">
        <f t="shared" si="0"/>
        <v>4043/4044</v>
      </c>
      <c r="L4" s="70" t="str">
        <f>VLOOKUP(A4,'Trips&amp;Operators'!$C$1:$E$9999,3,FALSE)</f>
        <v>LEVIN</v>
      </c>
      <c r="M4" s="14">
        <f t="shared" si="1"/>
        <v>3.033564815268619E-2</v>
      </c>
      <c r="N4" s="15">
        <f t="shared" si="2"/>
        <v>43.683333339868113</v>
      </c>
      <c r="O4" s="15"/>
      <c r="P4" s="15"/>
      <c r="Q4" s="55"/>
      <c r="R4" s="55"/>
      <c r="T4" s="62" t="str">
        <f t="shared" si="3"/>
        <v>https://search-rtdc-monitor-bjffxe2xuh6vdkpspy63sjmuny.us-east-1.es.amazonaws.com/_plugin/kibana/#/discover/Steve-Slow-Train-Analysis-(2080s-and-2083s)?_g=(refreshInterval:(display:Off,section:0,value:0),time:(from:'2016-05-02 04:01:42-0600',mode:absolute,to:'2016-05-02 04:49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4" s="62" t="str">
        <f t="shared" si="4"/>
        <v>N</v>
      </c>
      <c r="V4" s="62">
        <f>VALUE(LEFT(A4,3))-VALUE(LEFT(A3,3))</f>
        <v>1</v>
      </c>
      <c r="W4" s="62">
        <f t="shared" si="5"/>
        <v>23.267299999999999</v>
      </c>
      <c r="X4" s="62">
        <f t="shared" si="6"/>
        <v>1.43E-2</v>
      </c>
      <c r="Y4" s="62">
        <f t="shared" si="7"/>
        <v>23.253</v>
      </c>
      <c r="Z4" s="63" t="e">
        <f>VLOOKUP(A4,Enforcements!$C$3:$J$40,8,0)</f>
        <v>#N/A</v>
      </c>
      <c r="AA4" s="63" t="e">
        <f>VLOOKUP(A4,Enforcements!$C$3:$J$40,3,0)</f>
        <v>#N/A</v>
      </c>
    </row>
    <row r="5" spans="1:89" s="2" customFormat="1" x14ac:dyDescent="0.25">
      <c r="A5" s="13" t="s">
        <v>384</v>
      </c>
      <c r="B5" s="13">
        <v>4024</v>
      </c>
      <c r="C5" s="13" t="s">
        <v>52</v>
      </c>
      <c r="D5" s="13" t="s">
        <v>561</v>
      </c>
      <c r="E5" s="32">
        <v>42492.149768518517</v>
      </c>
      <c r="F5" s="32">
        <v>42492.152777777781</v>
      </c>
      <c r="G5" s="40">
        <v>4</v>
      </c>
      <c r="H5" s="32" t="s">
        <v>542</v>
      </c>
      <c r="I5" s="32">
        <v>42492.18240740741</v>
      </c>
      <c r="J5" s="13">
        <v>0</v>
      </c>
      <c r="K5" s="13" t="str">
        <f t="shared" si="0"/>
        <v>4023/4024</v>
      </c>
      <c r="L5" s="70" t="str">
        <f>VLOOKUP(A5,'Trips&amp;Operators'!$C$1:$E$9999,3,FALSE)</f>
        <v>BRUDER</v>
      </c>
      <c r="M5" s="14">
        <f t="shared" si="1"/>
        <v>2.9629629629198462E-2</v>
      </c>
      <c r="N5" s="15">
        <f t="shared" si="2"/>
        <v>42.666666666045785</v>
      </c>
      <c r="O5" s="15"/>
      <c r="P5" s="15"/>
      <c r="Q5" s="55"/>
      <c r="R5" s="55"/>
      <c r="T5" s="62" t="str">
        <f t="shared" si="3"/>
        <v>https://search-rtdc-monitor-bjffxe2xuh6vdkpspy63sjmuny.us-east-1.es.amazonaws.com/_plugin/kibana/#/discover/Steve-Slow-Train-Analysis-(2080s-and-2083s)?_g=(refreshInterval:(display:Off,section:0,value:0),time:(from:'2016-05-02 03:34:40-0600',mode:absolute,to:'2016-05-02 04:23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5" s="62" t="str">
        <f t="shared" si="4"/>
        <v>N</v>
      </c>
      <c r="V5" s="62">
        <f t="shared" ref="V5:V68" si="8">VALUE(LEFT(A5,3))-VALUE(LEFT(A4,3))</f>
        <v>1</v>
      </c>
      <c r="W5" s="62">
        <f t="shared" si="5"/>
        <v>7.1300000000000002E-2</v>
      </c>
      <c r="X5" s="62">
        <f t="shared" si="6"/>
        <v>23.331700000000001</v>
      </c>
      <c r="Y5" s="62">
        <f t="shared" si="7"/>
        <v>23.260400000000001</v>
      </c>
      <c r="Z5" s="63" t="e">
        <f>VLOOKUP(A5,Enforcements!$C$3:$J$40,8,0)</f>
        <v>#N/A</v>
      </c>
      <c r="AA5" s="63" t="e">
        <f>VLOOKUP(A5,Enforcements!$C$3:$J$40,3,0)</f>
        <v>#N/A</v>
      </c>
    </row>
    <row r="6" spans="1:89" s="2" customFormat="1" x14ac:dyDescent="0.25">
      <c r="A6" s="13" t="s">
        <v>383</v>
      </c>
      <c r="B6" s="13">
        <v>4026</v>
      </c>
      <c r="C6" s="13" t="s">
        <v>52</v>
      </c>
      <c r="D6" s="13" t="s">
        <v>258</v>
      </c>
      <c r="E6" s="32">
        <v>42492.189560185187</v>
      </c>
      <c r="F6" s="32">
        <v>42492.191192129627</v>
      </c>
      <c r="G6" s="40">
        <v>2</v>
      </c>
      <c r="H6" s="32" t="s">
        <v>139</v>
      </c>
      <c r="I6" s="32">
        <v>42492.221284722225</v>
      </c>
      <c r="J6" s="13">
        <v>0</v>
      </c>
      <c r="K6" s="13" t="str">
        <f t="shared" si="0"/>
        <v>4025/4026</v>
      </c>
      <c r="L6" s="70" t="str">
        <f>VLOOKUP(A6,'Trips&amp;Operators'!$C$1:$E$9999,3,FALSE)</f>
        <v>STURGEON</v>
      </c>
      <c r="M6" s="14">
        <f t="shared" si="1"/>
        <v>3.0092592598521151E-2</v>
      </c>
      <c r="N6" s="15">
        <f t="shared" si="2"/>
        <v>43.333333341870457</v>
      </c>
      <c r="O6" s="15"/>
      <c r="P6" s="15"/>
      <c r="Q6" s="55"/>
      <c r="R6" s="55"/>
      <c r="T6" s="62" t="str">
        <f t="shared" si="3"/>
        <v>https://search-rtdc-monitor-bjffxe2xuh6vdkpspy63sjmuny.us-east-1.es.amazonaws.com/_plugin/kibana/#/discover/Steve-Slow-Train-Analysis-(2080s-and-2083s)?_g=(refreshInterval:(display:Off,section:0,value:0),time:(from:'2016-05-02 04:31:58-0600',mode:absolute,to:'2016-05-02 05:19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U6" s="62" t="str">
        <f t="shared" si="4"/>
        <v>N</v>
      </c>
      <c r="V6" s="62">
        <f t="shared" si="8"/>
        <v>1</v>
      </c>
      <c r="W6" s="62">
        <f t="shared" si="5"/>
        <v>23.267199999999999</v>
      </c>
      <c r="X6" s="62">
        <f t="shared" si="6"/>
        <v>1.43E-2</v>
      </c>
      <c r="Y6" s="62">
        <f t="shared" si="7"/>
        <v>23.2529</v>
      </c>
      <c r="Z6" s="63" t="e">
        <f>VLOOKUP(A6,Enforcements!$C$3:$J$40,8,0)</f>
        <v>#N/A</v>
      </c>
      <c r="AA6" s="63" t="e">
        <f>VLOOKUP(A6,Enforcements!$C$3:$J$40,3,0)</f>
        <v>#N/A</v>
      </c>
    </row>
    <row r="7" spans="1:89" s="2" customFormat="1" x14ac:dyDescent="0.25">
      <c r="A7" s="13" t="s">
        <v>375</v>
      </c>
      <c r="B7" s="13">
        <v>4038</v>
      </c>
      <c r="C7" s="13" t="s">
        <v>52</v>
      </c>
      <c r="D7" s="13" t="s">
        <v>560</v>
      </c>
      <c r="E7" s="32">
        <v>42492.175208333334</v>
      </c>
      <c r="F7" s="32">
        <v>42492.176168981481</v>
      </c>
      <c r="G7" s="40">
        <v>1</v>
      </c>
      <c r="H7" s="32" t="s">
        <v>188</v>
      </c>
      <c r="I7" s="32">
        <v>42492.202638888892</v>
      </c>
      <c r="J7" s="13">
        <v>0</v>
      </c>
      <c r="K7" s="13" t="str">
        <f t="shared" si="0"/>
        <v>4037/4038</v>
      </c>
      <c r="L7" s="70" t="str">
        <f>VLOOKUP(A7,'Trips&amp;Operators'!$C$1:$E$9999,3,FALSE)</f>
        <v>CHANDLER</v>
      </c>
      <c r="M7" s="14">
        <f t="shared" si="1"/>
        <v>2.6469907410501037E-2</v>
      </c>
      <c r="N7" s="15">
        <f t="shared" si="2"/>
        <v>38.116666671121493</v>
      </c>
      <c r="O7" s="15"/>
      <c r="P7" s="15"/>
      <c r="Q7" s="55"/>
      <c r="R7" s="55"/>
      <c r="T7" s="62" t="str">
        <f t="shared" si="3"/>
        <v>https://search-rtdc-monitor-bjffxe2xuh6vdkpspy63sjmuny.us-east-1.es.amazonaws.com/_plugin/kibana/#/discover/Steve-Slow-Train-Analysis-(2080s-and-2083s)?_g=(refreshInterval:(display:Off,section:0,value:0),time:(from:'2016-05-02 04:11:18-0600',mode:absolute,to:'2016-05-02 04:52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U7" s="62" t="str">
        <f t="shared" si="4"/>
        <v>N</v>
      </c>
      <c r="V7" s="62">
        <f t="shared" si="8"/>
        <v>1</v>
      </c>
      <c r="W7" s="62">
        <f t="shared" si="5"/>
        <v>7.85E-2</v>
      </c>
      <c r="X7" s="62">
        <f t="shared" si="6"/>
        <v>23.331199999999999</v>
      </c>
      <c r="Y7" s="62">
        <f t="shared" si="7"/>
        <v>23.252700000000001</v>
      </c>
      <c r="Z7" s="63" t="e">
        <f>VLOOKUP(A7,Enforcements!$C$3:$J$40,8,0)</f>
        <v>#N/A</v>
      </c>
      <c r="AA7" s="63" t="e">
        <f>VLOOKUP(A7,Enforcements!$C$3:$J$40,3,0)</f>
        <v>#N/A</v>
      </c>
    </row>
    <row r="8" spans="1:89" s="2" customFormat="1" x14ac:dyDescent="0.25">
      <c r="A8" s="13" t="s">
        <v>339</v>
      </c>
      <c r="B8" s="13">
        <v>4013</v>
      </c>
      <c r="C8" s="13" t="s">
        <v>52</v>
      </c>
      <c r="D8" s="13" t="s">
        <v>555</v>
      </c>
      <c r="E8" s="32">
        <v>42492.213993055557</v>
      </c>
      <c r="F8" s="32">
        <v>42492.215069444443</v>
      </c>
      <c r="G8" s="40">
        <v>1</v>
      </c>
      <c r="H8" s="32" t="s">
        <v>556</v>
      </c>
      <c r="I8" s="32">
        <v>42492.241701388892</v>
      </c>
      <c r="J8" s="13">
        <v>0</v>
      </c>
      <c r="K8" s="13" t="str">
        <f t="shared" si="0"/>
        <v>4013/4014</v>
      </c>
      <c r="L8" s="70" t="str">
        <f>VLOOKUP(A8,'Trips&amp;Operators'!$C$1:$E$9999,3,FALSE)</f>
        <v>CHANDLER</v>
      </c>
      <c r="M8" s="14">
        <f t="shared" si="1"/>
        <v>2.6631944449036382E-2</v>
      </c>
      <c r="N8" s="15">
        <f t="shared" si="2"/>
        <v>38.35000000661239</v>
      </c>
      <c r="O8" s="15"/>
      <c r="P8" s="15"/>
      <c r="Q8" s="55"/>
      <c r="R8" s="55"/>
      <c r="T8" s="62" t="str">
        <f t="shared" si="3"/>
        <v>https://search-rtdc-monitor-bjffxe2xuh6vdkpspy63sjmuny.us-east-1.es.amazonaws.com/_plugin/kibana/#/discover/Steve-Slow-Train-Analysis-(2080s-and-2083s)?_g=(refreshInterval:(display:Off,section:0,value:0),time:(from:'2016-05-02 05:07:09-0600',mode:absolute,to:'2016-05-02 05:49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U8" s="62" t="str">
        <f t="shared" si="4"/>
        <v>N</v>
      </c>
      <c r="V8" s="62">
        <f t="shared" si="8"/>
        <v>1</v>
      </c>
      <c r="W8" s="62">
        <f t="shared" si="5"/>
        <v>23.266999999999999</v>
      </c>
      <c r="X8" s="62">
        <f t="shared" si="6"/>
        <v>0.17069999999999999</v>
      </c>
      <c r="Y8" s="62">
        <f t="shared" si="7"/>
        <v>23.096299999999999</v>
      </c>
      <c r="Z8" s="63" t="e">
        <f>VLOOKUP(A8,Enforcements!$C$3:$J$40,8,0)</f>
        <v>#N/A</v>
      </c>
      <c r="AA8" s="63" t="e">
        <f>VLOOKUP(A8,Enforcements!$C$3:$J$40,3,0)</f>
        <v>#N/A</v>
      </c>
    </row>
    <row r="9" spans="1:89" s="2" customFormat="1" x14ac:dyDescent="0.25">
      <c r="A9" s="13" t="s">
        <v>346</v>
      </c>
      <c r="B9" s="13">
        <v>4020</v>
      </c>
      <c r="C9" s="13" t="s">
        <v>52</v>
      </c>
      <c r="D9" s="13" t="s">
        <v>133</v>
      </c>
      <c r="E9" s="32">
        <v>42492.179282407407</v>
      </c>
      <c r="F9" s="32">
        <v>42492.181111111109</v>
      </c>
      <c r="G9" s="40">
        <v>2</v>
      </c>
      <c r="H9" s="32" t="s">
        <v>149</v>
      </c>
      <c r="I9" s="32">
        <v>42492.214699074073</v>
      </c>
      <c r="J9" s="13">
        <v>1</v>
      </c>
      <c r="K9" s="13" t="str">
        <f t="shared" si="0"/>
        <v>4019/4020</v>
      </c>
      <c r="L9" s="70" t="str">
        <f>VLOOKUP(A9,'Trips&amp;Operators'!$C$1:$E$9999,3,FALSE)</f>
        <v>DE LA ROSA</v>
      </c>
      <c r="M9" s="14">
        <f t="shared" si="1"/>
        <v>3.3587962963792961E-2</v>
      </c>
      <c r="N9" s="15">
        <f t="shared" si="2"/>
        <v>48.366666667861864</v>
      </c>
      <c r="O9" s="15"/>
      <c r="P9" s="15"/>
      <c r="Q9" s="55"/>
      <c r="R9" s="55"/>
      <c r="T9" s="62" t="str">
        <f t="shared" si="3"/>
        <v>https://search-rtdc-monitor-bjffxe2xuh6vdkpspy63sjmuny.us-east-1.es.amazonaws.com/_plugin/kibana/#/discover/Steve-Slow-Train-Analysis-(2080s-and-2083s)?_g=(refreshInterval:(display:Off,section:0,value:0),time:(from:'2016-05-02 04:17:10-0600',mode:absolute,to:'2016-05-02 05:10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9" s="62" t="str">
        <f t="shared" si="4"/>
        <v>N</v>
      </c>
      <c r="V9" s="62">
        <f t="shared" si="8"/>
        <v>1</v>
      </c>
      <c r="W9" s="62">
        <f t="shared" si="5"/>
        <v>4.5999999999999999E-2</v>
      </c>
      <c r="X9" s="62">
        <f t="shared" si="6"/>
        <v>23.330500000000001</v>
      </c>
      <c r="Y9" s="62">
        <f t="shared" si="7"/>
        <v>23.284500000000001</v>
      </c>
      <c r="Z9" s="63" t="e">
        <f>VLOOKUP(A9,Enforcements!$C$3:$J$40,8,0)</f>
        <v>#N/A</v>
      </c>
      <c r="AA9" s="63" t="e">
        <f>VLOOKUP(A9,Enforcements!$C$3:$J$40,3,0)</f>
        <v>#N/A</v>
      </c>
    </row>
    <row r="10" spans="1:89" s="2" customFormat="1" x14ac:dyDescent="0.25">
      <c r="A10" s="13" t="s">
        <v>385</v>
      </c>
      <c r="B10" s="13">
        <v>4019</v>
      </c>
      <c r="C10" s="13" t="s">
        <v>52</v>
      </c>
      <c r="D10" s="13" t="s">
        <v>156</v>
      </c>
      <c r="E10" s="32">
        <v>42492.219270833331</v>
      </c>
      <c r="F10" s="32">
        <v>42492.220694444448</v>
      </c>
      <c r="G10" s="40">
        <v>2</v>
      </c>
      <c r="H10" s="32" t="s">
        <v>287</v>
      </c>
      <c r="I10" s="32">
        <v>42492.253553240742</v>
      </c>
      <c r="J10" s="13">
        <v>0</v>
      </c>
      <c r="K10" s="13" t="str">
        <f t="shared" si="0"/>
        <v>4019/4020</v>
      </c>
      <c r="L10" s="70" t="str">
        <f>VLOOKUP(A10,'Trips&amp;Operators'!$C$1:$E$9999,3,FALSE)</f>
        <v>DE LA ROSA</v>
      </c>
      <c r="M10" s="14">
        <f t="shared" si="1"/>
        <v>3.2858796294021886E-2</v>
      </c>
      <c r="N10" s="15">
        <f t="shared" si="2"/>
        <v>47.316666663391516</v>
      </c>
      <c r="O10" s="15"/>
      <c r="P10" s="15"/>
      <c r="Q10" s="55"/>
      <c r="R10" s="55"/>
      <c r="T10" s="62" t="str">
        <f t="shared" si="3"/>
        <v>https://search-rtdc-monitor-bjffxe2xuh6vdkpspy63sjmuny.us-east-1.es.amazonaws.com/_plugin/kibana/#/discover/Steve-Slow-Train-Analysis-(2080s-and-2083s)?_g=(refreshInterval:(display:Off,section:0,value:0),time:(from:'2016-05-02 05:14:45-0600',mode:absolute,to:'2016-05-02 06:06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10" s="62" t="str">
        <f t="shared" si="4"/>
        <v>N</v>
      </c>
      <c r="V10" s="62">
        <f t="shared" si="8"/>
        <v>1</v>
      </c>
      <c r="W10" s="62">
        <f t="shared" si="5"/>
        <v>23.297799999999999</v>
      </c>
      <c r="X10" s="62">
        <f t="shared" si="6"/>
        <v>1.47E-2</v>
      </c>
      <c r="Y10" s="62">
        <f t="shared" si="7"/>
        <v>23.283099999999997</v>
      </c>
      <c r="Z10" s="63" t="e">
        <f>VLOOKUP(A10,Enforcements!$C$3:$J$40,8,0)</f>
        <v>#N/A</v>
      </c>
      <c r="AA10" s="63" t="e">
        <f>VLOOKUP(A10,Enforcements!$C$3:$J$40,3,0)</f>
        <v>#N/A</v>
      </c>
    </row>
    <row r="11" spans="1:89" s="2" customFormat="1" x14ac:dyDescent="0.25">
      <c r="A11" s="13" t="s">
        <v>358</v>
      </c>
      <c r="B11" s="13">
        <v>4027</v>
      </c>
      <c r="C11" s="13" t="s">
        <v>52</v>
      </c>
      <c r="D11" s="13" t="s">
        <v>296</v>
      </c>
      <c r="E11" s="32">
        <v>42492.188726851855</v>
      </c>
      <c r="F11" s="32">
        <v>42492.19840277778</v>
      </c>
      <c r="G11" s="40">
        <v>1</v>
      </c>
      <c r="H11" s="32" t="s">
        <v>533</v>
      </c>
      <c r="I11" s="32">
        <v>42492.225439814814</v>
      </c>
      <c r="J11" s="13">
        <v>0</v>
      </c>
      <c r="K11" s="13" t="str">
        <f t="shared" si="0"/>
        <v>4027/4028</v>
      </c>
      <c r="L11" s="70" t="str">
        <f>VLOOKUP(A11,'Trips&amp;Operators'!$C$1:$E$9999,3,FALSE)</f>
        <v>SPECTOR</v>
      </c>
      <c r="M11" s="14">
        <f t="shared" si="1"/>
        <v>2.7037037034460809E-2</v>
      </c>
      <c r="N11" s="15">
        <f t="shared" si="2"/>
        <v>38.933333329623565</v>
      </c>
      <c r="O11" s="15"/>
      <c r="P11" s="15"/>
      <c r="Q11" s="55"/>
      <c r="R11" s="55"/>
      <c r="T11" s="62" t="str">
        <f t="shared" si="3"/>
        <v>https://search-rtdc-monitor-bjffxe2xuh6vdkpspy63sjmuny.us-east-1.es.amazonaws.com/_plugin/kibana/#/discover/Steve-Slow-Train-Analysis-(2080s-and-2083s)?_g=(refreshInterval:(display:Off,section:0,value:0),time:(from:'2016-05-02 04:30:46-0600',mode:absolute,to:'2016-05-02 05:25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U11" s="62" t="str">
        <f t="shared" si="4"/>
        <v>N</v>
      </c>
      <c r="V11" s="62">
        <f t="shared" si="8"/>
        <v>1</v>
      </c>
      <c r="W11" s="62">
        <f t="shared" si="5"/>
        <v>4.5499999999999999E-2</v>
      </c>
      <c r="X11" s="62">
        <f t="shared" si="6"/>
        <v>23.334</v>
      </c>
      <c r="Y11" s="62">
        <f t="shared" si="7"/>
        <v>23.288499999999999</v>
      </c>
      <c r="Z11" s="63" t="e">
        <f>VLOOKUP(A11,Enforcements!$C$3:$J$40,8,0)</f>
        <v>#N/A</v>
      </c>
      <c r="AA11" s="63" t="e">
        <f>VLOOKUP(A11,Enforcements!$C$3:$J$40,3,0)</f>
        <v>#N/A</v>
      </c>
    </row>
    <row r="12" spans="1:89" s="2" customFormat="1" x14ac:dyDescent="0.25">
      <c r="A12" s="13" t="s">
        <v>387</v>
      </c>
      <c r="B12" s="13">
        <v>4028</v>
      </c>
      <c r="C12" s="13" t="s">
        <v>52</v>
      </c>
      <c r="D12" s="13" t="s">
        <v>552</v>
      </c>
      <c r="E12" s="32">
        <v>42492.233217592591</v>
      </c>
      <c r="F12" s="32">
        <v>42492.234629629631</v>
      </c>
      <c r="G12" s="40">
        <v>2</v>
      </c>
      <c r="H12" s="32" t="s">
        <v>243</v>
      </c>
      <c r="I12" s="32">
        <v>42492.26290509259</v>
      </c>
      <c r="J12" s="13">
        <v>0</v>
      </c>
      <c r="K12" s="13" t="str">
        <f t="shared" si="0"/>
        <v>4027/4028</v>
      </c>
      <c r="L12" s="70" t="str">
        <f>VLOOKUP(A12,'Trips&amp;Operators'!$C$1:$E$9999,3,FALSE)</f>
        <v>SPECTOR</v>
      </c>
      <c r="M12" s="14">
        <f t="shared" si="1"/>
        <v>2.827546295884531E-2</v>
      </c>
      <c r="N12" s="15">
        <f t="shared" si="2"/>
        <v>40.716666660737246</v>
      </c>
      <c r="O12" s="15"/>
      <c r="P12" s="15"/>
      <c r="Q12" s="55"/>
      <c r="R12" s="55"/>
      <c r="T12" s="62" t="str">
        <f t="shared" si="3"/>
        <v>https://search-rtdc-monitor-bjffxe2xuh6vdkpspy63sjmuny.us-east-1.es.amazonaws.com/_plugin/kibana/#/discover/Steve-Slow-Train-Analysis-(2080s-and-2083s)?_g=(refreshInterval:(display:Off,section:0,value:0),time:(from:'2016-05-02 05:34:50-0600',mode:absolute,to:'2016-05-02 06:19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U12" s="62" t="str">
        <f t="shared" si="4"/>
        <v>N</v>
      </c>
      <c r="V12" s="62">
        <f t="shared" si="8"/>
        <v>1</v>
      </c>
      <c r="W12" s="62">
        <f t="shared" si="5"/>
        <v>23.301100000000002</v>
      </c>
      <c r="X12" s="62">
        <f t="shared" si="6"/>
        <v>1.54E-2</v>
      </c>
      <c r="Y12" s="62">
        <f t="shared" si="7"/>
        <v>23.285700000000002</v>
      </c>
      <c r="Z12" s="63" t="e">
        <f>VLOOKUP(A12,Enforcements!$C$3:$J$40,8,0)</f>
        <v>#N/A</v>
      </c>
      <c r="AA12" s="63" t="e">
        <f>VLOOKUP(A12,Enforcements!$C$3:$J$40,3,0)</f>
        <v>#N/A</v>
      </c>
    </row>
    <row r="13" spans="1:89" s="2" customFormat="1" x14ac:dyDescent="0.25">
      <c r="A13" s="13" t="s">
        <v>381</v>
      </c>
      <c r="B13" s="13">
        <v>4007</v>
      </c>
      <c r="C13" s="13" t="s">
        <v>52</v>
      </c>
      <c r="D13" s="13" t="s">
        <v>557</v>
      </c>
      <c r="E13" s="32">
        <v>42492.212384259263</v>
      </c>
      <c r="F13" s="32">
        <v>42492.213159722225</v>
      </c>
      <c r="G13" s="40">
        <v>1</v>
      </c>
      <c r="H13" s="32" t="s">
        <v>549</v>
      </c>
      <c r="I13" s="32">
        <v>42492.234594907408</v>
      </c>
      <c r="J13" s="13">
        <v>0</v>
      </c>
      <c r="K13" s="13" t="str">
        <f t="shared" si="0"/>
        <v>4007/4008</v>
      </c>
      <c r="L13" s="70" t="str">
        <f>VLOOKUP(A13,'Trips&amp;Operators'!$C$1:$E$9999,3,FALSE)</f>
        <v>GOLIGHTLY</v>
      </c>
      <c r="M13" s="14">
        <f t="shared" si="1"/>
        <v>2.1435185182781424E-2</v>
      </c>
      <c r="N13" s="15"/>
      <c r="O13" s="15"/>
      <c r="P13" s="15">
        <f>($M13+M14)*24*60</f>
        <v>36.333333329530433</v>
      </c>
      <c r="Q13" s="55" t="s">
        <v>302</v>
      </c>
      <c r="R13" s="68" t="s">
        <v>601</v>
      </c>
      <c r="T13" s="62" t="str">
        <f t="shared" si="3"/>
        <v>https://search-rtdc-monitor-bjffxe2xuh6vdkpspy63sjmuny.us-east-1.es.amazonaws.com/_plugin/kibana/#/discover/Steve-Slow-Train-Analysis-(2080s-and-2083s)?_g=(refreshInterval:(display:Off,section:0,value:0),time:(from:'2016-05-02 05:04:50-0600',mode:absolute,to:'2016-05-02 05:38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13" s="62" t="str">
        <f t="shared" si="4"/>
        <v>Y</v>
      </c>
      <c r="V13" s="62">
        <f t="shared" si="8"/>
        <v>1</v>
      </c>
      <c r="W13" s="62">
        <f t="shared" si="5"/>
        <v>1.9115</v>
      </c>
      <c r="X13" s="62">
        <f t="shared" si="6"/>
        <v>23.3278</v>
      </c>
      <c r="Y13" s="62">
        <f t="shared" si="7"/>
        <v>21.4163</v>
      </c>
      <c r="Z13" s="63" t="e">
        <f>VLOOKUP(A13,Enforcements!$C$3:$J$40,8,0)</f>
        <v>#N/A</v>
      </c>
      <c r="AA13" s="63" t="e">
        <f>VLOOKUP(A13,Enforcements!$C$3:$J$40,3,0)</f>
        <v>#N/A</v>
      </c>
    </row>
    <row r="14" spans="1:89" s="2" customFormat="1" x14ac:dyDescent="0.25">
      <c r="A14" s="13" t="s">
        <v>381</v>
      </c>
      <c r="B14" s="13">
        <v>4007</v>
      </c>
      <c r="C14" s="13" t="s">
        <v>52</v>
      </c>
      <c r="D14" s="13" t="s">
        <v>558</v>
      </c>
      <c r="E14" s="32">
        <v>42492.203645833331</v>
      </c>
      <c r="F14" s="32">
        <v>42492.204988425925</v>
      </c>
      <c r="G14" s="40">
        <v>1</v>
      </c>
      <c r="H14" s="32" t="s">
        <v>559</v>
      </c>
      <c r="I14" s="32">
        <v>42492.208784722221</v>
      </c>
      <c r="J14" s="13">
        <v>0</v>
      </c>
      <c r="K14" s="13" t="str">
        <f t="shared" si="0"/>
        <v>4007/4008</v>
      </c>
      <c r="L14" s="70" t="str">
        <f>VLOOKUP(A14,'Trips&amp;Operators'!$C$1:$E$9999,3,FALSE)</f>
        <v>GOLIGHTLY</v>
      </c>
      <c r="M14" s="14">
        <f t="shared" si="1"/>
        <v>3.796296296059154E-3</v>
      </c>
      <c r="N14" s="15"/>
      <c r="O14" s="15"/>
      <c r="P14" s="15"/>
      <c r="Q14" s="55"/>
      <c r="R14" s="55"/>
      <c r="T14" s="62" t="str">
        <f t="shared" si="3"/>
        <v>https://search-rtdc-monitor-bjffxe2xuh6vdkpspy63sjmuny.us-east-1.es.amazonaws.com/_plugin/kibana/#/discover/Steve-Slow-Train-Analysis-(2080s-and-2083s)?_g=(refreshInterval:(display:Off,section:0,value:0),time:(from:'2016-05-02 04:52:15-0600',mode:absolute,to:'2016-05-02 05:01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14" s="62" t="str">
        <f t="shared" si="4"/>
        <v>Y</v>
      </c>
      <c r="V14" s="62">
        <f t="shared" si="8"/>
        <v>0</v>
      </c>
      <c r="W14" s="62">
        <f t="shared" si="5"/>
        <v>7.2800000000000004E-2</v>
      </c>
      <c r="X14" s="62">
        <f t="shared" si="6"/>
        <v>0.1133</v>
      </c>
      <c r="Y14" s="62">
        <f t="shared" si="7"/>
        <v>4.0499999999999994E-2</v>
      </c>
      <c r="Z14" s="63" t="e">
        <f>VLOOKUP(A14,Enforcements!$C$3:$J$40,8,0)</f>
        <v>#N/A</v>
      </c>
      <c r="AA14" s="63" t="e">
        <f>VLOOKUP(A14,Enforcements!$C$3:$J$40,3,0)</f>
        <v>#N/A</v>
      </c>
    </row>
    <row r="15" spans="1:89" s="2" customFormat="1" x14ac:dyDescent="0.25">
      <c r="A15" s="13" t="s">
        <v>392</v>
      </c>
      <c r="B15" s="13">
        <v>4008</v>
      </c>
      <c r="C15" s="13" t="s">
        <v>52</v>
      </c>
      <c r="D15" s="13" t="s">
        <v>198</v>
      </c>
      <c r="E15" s="32">
        <v>42492.240034722221</v>
      </c>
      <c r="F15" s="32">
        <v>42492.241354166668</v>
      </c>
      <c r="G15" s="40">
        <v>1</v>
      </c>
      <c r="H15" s="32" t="s">
        <v>139</v>
      </c>
      <c r="I15" s="32">
        <v>42492.273680555554</v>
      </c>
      <c r="J15" s="13">
        <v>0</v>
      </c>
      <c r="K15" s="13" t="str">
        <f t="shared" si="0"/>
        <v>4007/4008</v>
      </c>
      <c r="L15" s="70" t="str">
        <f>VLOOKUP(A15,'Trips&amp;Operators'!$C$1:$E$9999,3,FALSE)</f>
        <v>NEWELL</v>
      </c>
      <c r="M15" s="14">
        <f t="shared" si="1"/>
        <v>3.2326388885849155E-2</v>
      </c>
      <c r="N15" s="15">
        <f t="shared" ref="N15:N21" si="9">$M15*24*60</f>
        <v>46.549999995622784</v>
      </c>
      <c r="O15" s="15"/>
      <c r="P15" s="15"/>
      <c r="Q15" s="55"/>
      <c r="R15" s="55"/>
      <c r="T15" s="62" t="str">
        <f t="shared" si="3"/>
        <v>https://search-rtdc-monitor-bjffxe2xuh6vdkpspy63sjmuny.us-east-1.es.amazonaws.com/_plugin/kibana/#/discover/Steve-Slow-Train-Analysis-(2080s-and-2083s)?_g=(refreshInterval:(display:Off,section:0,value:0),time:(from:'2016-05-02 05:44:39-0600',mode:absolute,to:'2016-05-02 06:35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15" s="62" t="str">
        <f t="shared" si="4"/>
        <v>N</v>
      </c>
      <c r="V15" s="62">
        <f t="shared" si="8"/>
        <v>1</v>
      </c>
      <c r="W15" s="62">
        <f t="shared" si="5"/>
        <v>23.297699999999999</v>
      </c>
      <c r="X15" s="62">
        <f t="shared" si="6"/>
        <v>1.43E-2</v>
      </c>
      <c r="Y15" s="62">
        <f t="shared" si="7"/>
        <v>23.2834</v>
      </c>
      <c r="Z15" s="63" t="e">
        <f>VLOOKUP(A15,Enforcements!$C$3:$J$40,8,0)</f>
        <v>#N/A</v>
      </c>
      <c r="AA15" s="63" t="e">
        <f>VLOOKUP(A15,Enforcements!$C$3:$J$40,3,0)</f>
        <v>#N/A</v>
      </c>
    </row>
    <row r="16" spans="1:89" s="2" customFormat="1" x14ac:dyDescent="0.25">
      <c r="A16" s="13" t="s">
        <v>343</v>
      </c>
      <c r="B16" s="13">
        <v>4044</v>
      </c>
      <c r="C16" s="13" t="s">
        <v>52</v>
      </c>
      <c r="D16" s="13" t="s">
        <v>235</v>
      </c>
      <c r="E16" s="32">
        <v>42492.210277777776</v>
      </c>
      <c r="F16" s="32">
        <v>42492.211354166669</v>
      </c>
      <c r="G16" s="40">
        <v>1</v>
      </c>
      <c r="H16" s="32" t="s">
        <v>178</v>
      </c>
      <c r="I16" s="32">
        <v>42492.243587962963</v>
      </c>
      <c r="J16" s="13">
        <v>1</v>
      </c>
      <c r="K16" s="13" t="str">
        <f t="shared" si="0"/>
        <v>4043/4044</v>
      </c>
      <c r="L16" s="70" t="str">
        <f>VLOOKUP(A16,'Trips&amp;Operators'!$C$1:$E$9999,3,FALSE)</f>
        <v>LEVIN</v>
      </c>
      <c r="M16" s="14">
        <f t="shared" si="1"/>
        <v>3.2233796293439809E-2</v>
      </c>
      <c r="N16" s="15">
        <f t="shared" si="9"/>
        <v>46.416666662553325</v>
      </c>
      <c r="O16" s="15"/>
      <c r="P16" s="15"/>
      <c r="Q16" s="55"/>
      <c r="R16" s="55"/>
      <c r="T16" s="62" t="str">
        <f t="shared" si="3"/>
        <v>https://search-rtdc-monitor-bjffxe2xuh6vdkpspy63sjmuny.us-east-1.es.amazonaws.com/_plugin/kibana/#/discover/Steve-Slow-Train-Analysis-(2080s-and-2083s)?_g=(refreshInterval:(display:Off,section:0,value:0),time:(from:'2016-05-02 05:01:48-0600',mode:absolute,to:'2016-05-02 05:51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16" s="62" t="str">
        <f t="shared" si="4"/>
        <v>N</v>
      </c>
      <c r="V16" s="62">
        <f t="shared" si="8"/>
        <v>1</v>
      </c>
      <c r="W16" s="62">
        <f t="shared" si="5"/>
        <v>4.4200000000000003E-2</v>
      </c>
      <c r="X16" s="62">
        <f t="shared" si="6"/>
        <v>23.331</v>
      </c>
      <c r="Y16" s="62">
        <f t="shared" si="7"/>
        <v>23.286799999999999</v>
      </c>
      <c r="Z16" s="63" t="e">
        <f>VLOOKUP(A16,Enforcements!$C$3:$J$40,8,0)</f>
        <v>#N/A</v>
      </c>
      <c r="AA16" s="63" t="e">
        <f>VLOOKUP(A16,Enforcements!$C$3:$J$40,3,0)</f>
        <v>#N/A</v>
      </c>
    </row>
    <row r="17" spans="1:27" s="2" customFormat="1" x14ac:dyDescent="0.25">
      <c r="A17" s="13" t="s">
        <v>366</v>
      </c>
      <c r="B17" s="13">
        <v>4043</v>
      </c>
      <c r="C17" s="13" t="s">
        <v>52</v>
      </c>
      <c r="D17" s="13" t="s">
        <v>240</v>
      </c>
      <c r="E17" s="32">
        <v>42492.253125000003</v>
      </c>
      <c r="F17" s="32">
        <v>42492.254050925927</v>
      </c>
      <c r="G17" s="40">
        <v>1</v>
      </c>
      <c r="H17" s="32" t="s">
        <v>163</v>
      </c>
      <c r="I17" s="32">
        <v>42492.284305555557</v>
      </c>
      <c r="J17" s="13">
        <v>0</v>
      </c>
      <c r="K17" s="13" t="str">
        <f t="shared" si="0"/>
        <v>4043/4044</v>
      </c>
      <c r="L17" s="70" t="str">
        <f>VLOOKUP(A17,'Trips&amp;Operators'!$C$1:$E$9999,3,FALSE)</f>
        <v>LEVIN</v>
      </c>
      <c r="M17" s="14">
        <f t="shared" si="1"/>
        <v>3.0254629629780538E-2</v>
      </c>
      <c r="N17" s="15">
        <f t="shared" si="9"/>
        <v>43.566666666883975</v>
      </c>
      <c r="O17" s="15"/>
      <c r="P17" s="15"/>
      <c r="Q17" s="55"/>
      <c r="R17" s="55"/>
      <c r="T17" s="62" t="str">
        <f t="shared" si="3"/>
        <v>https://search-rtdc-monitor-bjffxe2xuh6vdkpspy63sjmuny.us-east-1.es.amazonaws.com/_plugin/kibana/#/discover/Steve-Slow-Train-Analysis-(2080s-and-2083s)?_g=(refreshInterval:(display:Off,section:0,value:0),time:(from:'2016-05-02 06:03:30-0600',mode:absolute,to:'2016-05-02 06:50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17" s="62" t="str">
        <f t="shared" si="4"/>
        <v>N</v>
      </c>
      <c r="V17" s="62">
        <f t="shared" si="8"/>
        <v>1</v>
      </c>
      <c r="W17" s="62">
        <f t="shared" si="5"/>
        <v>23.2989</v>
      </c>
      <c r="X17" s="62">
        <f t="shared" si="6"/>
        <v>1.5599999999999999E-2</v>
      </c>
      <c r="Y17" s="62">
        <f t="shared" si="7"/>
        <v>23.283300000000001</v>
      </c>
      <c r="Z17" s="63" t="e">
        <f>VLOOKUP(A17,Enforcements!$C$3:$J$40,8,0)</f>
        <v>#N/A</v>
      </c>
      <c r="AA17" s="63" t="e">
        <f>VLOOKUP(A17,Enforcements!$C$3:$J$40,3,0)</f>
        <v>#N/A</v>
      </c>
    </row>
    <row r="18" spans="1:27" s="2" customFormat="1" x14ac:dyDescent="0.25">
      <c r="A18" s="13" t="s">
        <v>374</v>
      </c>
      <c r="B18" s="13">
        <v>4024</v>
      </c>
      <c r="C18" s="13" t="s">
        <v>52</v>
      </c>
      <c r="D18" s="13" t="s">
        <v>553</v>
      </c>
      <c r="E18" s="32">
        <v>42492.225324074076</v>
      </c>
      <c r="F18" s="32">
        <v>42492.226319444446</v>
      </c>
      <c r="G18" s="40">
        <v>1</v>
      </c>
      <c r="H18" s="32" t="s">
        <v>554</v>
      </c>
      <c r="I18" s="32">
        <v>42492.255983796298</v>
      </c>
      <c r="J18" s="13">
        <v>0</v>
      </c>
      <c r="K18" s="13" t="str">
        <f t="shared" si="0"/>
        <v>4023/4024</v>
      </c>
      <c r="L18" s="70" t="str">
        <f>VLOOKUP(A18,'Trips&amp;Operators'!$C$1:$E$9999,3,FALSE)</f>
        <v>MALAVE</v>
      </c>
      <c r="M18" s="14">
        <f t="shared" si="1"/>
        <v>2.9664351852261461E-2</v>
      </c>
      <c r="N18" s="15">
        <f t="shared" si="9"/>
        <v>42.716666667256504</v>
      </c>
      <c r="O18" s="15"/>
      <c r="P18" s="15"/>
      <c r="Q18" s="55"/>
      <c r="R18" s="55"/>
      <c r="T18" s="62" t="str">
        <f t="shared" si="3"/>
        <v>https://search-rtdc-monitor-bjffxe2xuh6vdkpspy63sjmuny.us-east-1.es.amazonaws.com/_plugin/kibana/#/discover/Steve-Slow-Train-Analysis-(2080s-and-2083s)?_g=(refreshInterval:(display:Off,section:0,value:0),time:(from:'2016-05-02 05:23:28-0600',mode:absolute,to:'2016-05-02 06:09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18" s="62" t="str">
        <f t="shared" si="4"/>
        <v>N</v>
      </c>
      <c r="V18" s="62">
        <f t="shared" si="8"/>
        <v>1</v>
      </c>
      <c r="W18" s="62">
        <f t="shared" si="5"/>
        <v>7.6999999999999999E-2</v>
      </c>
      <c r="X18" s="62">
        <f t="shared" si="6"/>
        <v>23.327999999999999</v>
      </c>
      <c r="Y18" s="62">
        <f t="shared" si="7"/>
        <v>23.250999999999998</v>
      </c>
      <c r="Z18" s="63" t="e">
        <f>VLOOKUP(A18,Enforcements!$C$3:$J$40,8,0)</f>
        <v>#N/A</v>
      </c>
      <c r="AA18" s="63" t="e">
        <f>VLOOKUP(A18,Enforcements!$C$3:$J$40,3,0)</f>
        <v>#N/A</v>
      </c>
    </row>
    <row r="19" spans="1:27" s="2" customFormat="1" x14ac:dyDescent="0.25">
      <c r="A19" s="13" t="s">
        <v>336</v>
      </c>
      <c r="B19" s="13">
        <v>4023</v>
      </c>
      <c r="C19" s="13" t="s">
        <v>52</v>
      </c>
      <c r="D19" s="13" t="s">
        <v>162</v>
      </c>
      <c r="E19" s="32">
        <v>42492.267071759263</v>
      </c>
      <c r="F19" s="32">
        <v>42492.268877314818</v>
      </c>
      <c r="G19" s="40">
        <v>2</v>
      </c>
      <c r="H19" s="32" t="s">
        <v>203</v>
      </c>
      <c r="I19" s="32">
        <v>42492.297118055554</v>
      </c>
      <c r="J19" s="13">
        <v>1</v>
      </c>
      <c r="K19" s="13" t="str">
        <f t="shared" si="0"/>
        <v>4023/4024</v>
      </c>
      <c r="L19" s="70" t="str">
        <f>VLOOKUP(A19,'Trips&amp;Operators'!$C$1:$E$9999,3,FALSE)</f>
        <v>MALAVE</v>
      </c>
      <c r="M19" s="14">
        <f t="shared" si="1"/>
        <v>2.824074073578231E-2</v>
      </c>
      <c r="N19" s="15">
        <f t="shared" si="9"/>
        <v>40.666666659526527</v>
      </c>
      <c r="O19" s="15"/>
      <c r="P19" s="15"/>
      <c r="Q19" s="55"/>
      <c r="R19" s="55"/>
      <c r="T19" s="62" t="str">
        <f t="shared" si="3"/>
        <v>https://search-rtdc-monitor-bjffxe2xuh6vdkpspy63sjmuny.us-east-1.es.amazonaws.com/_plugin/kibana/#/discover/Steve-Slow-Train-Analysis-(2080s-and-2083s)?_g=(refreshInterval:(display:Off,section:0,value:0),time:(from:'2016-05-02 06:23:35-0600',mode:absolute,to:'2016-05-02 07:08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19" s="62" t="str">
        <f t="shared" si="4"/>
        <v>N</v>
      </c>
      <c r="V19" s="62">
        <f t="shared" si="8"/>
        <v>1</v>
      </c>
      <c r="W19" s="62">
        <f t="shared" si="5"/>
        <v>23.298400000000001</v>
      </c>
      <c r="X19" s="62">
        <f t="shared" si="6"/>
        <v>1.4999999999999999E-2</v>
      </c>
      <c r="Y19" s="62">
        <f t="shared" si="7"/>
        <v>23.2834</v>
      </c>
      <c r="Z19" s="63" t="e">
        <f>VLOOKUP(A19,Enforcements!$C$3:$J$40,8,0)</f>
        <v>#N/A</v>
      </c>
      <c r="AA19" s="63" t="e">
        <f>VLOOKUP(A19,Enforcements!$C$3:$J$40,3,0)</f>
        <v>#N/A</v>
      </c>
    </row>
    <row r="20" spans="1:27" s="2" customFormat="1" x14ac:dyDescent="0.25">
      <c r="A20" s="13" t="s">
        <v>342</v>
      </c>
      <c r="B20" s="13">
        <v>4025</v>
      </c>
      <c r="C20" s="13" t="s">
        <v>52</v>
      </c>
      <c r="D20" s="13" t="s">
        <v>296</v>
      </c>
      <c r="E20" s="32">
        <v>42492.230393518519</v>
      </c>
      <c r="F20" s="32">
        <v>42492.231990740744</v>
      </c>
      <c r="G20" s="40">
        <v>2</v>
      </c>
      <c r="H20" s="32" t="s">
        <v>144</v>
      </c>
      <c r="I20" s="32">
        <v>42492.264652777776</v>
      </c>
      <c r="J20" s="13">
        <v>0</v>
      </c>
      <c r="K20" s="13" t="str">
        <f t="shared" si="0"/>
        <v>4025/4026</v>
      </c>
      <c r="L20" s="70" t="str">
        <f>VLOOKUP(A20,'Trips&amp;Operators'!$C$1:$E$9999,3,FALSE)</f>
        <v>BRUDER</v>
      </c>
      <c r="M20" s="14">
        <f t="shared" si="1"/>
        <v>3.2662037032423541E-2</v>
      </c>
      <c r="N20" s="15">
        <f t="shared" si="9"/>
        <v>47.033333326689899</v>
      </c>
      <c r="O20" s="15"/>
      <c r="P20" s="15"/>
      <c r="Q20" s="55"/>
      <c r="R20" s="55"/>
      <c r="T20" s="62" t="str">
        <f t="shared" si="3"/>
        <v>https://search-rtdc-monitor-bjffxe2xuh6vdkpspy63sjmuny.us-east-1.es.amazonaws.com/_plugin/kibana/#/discover/Steve-Slow-Train-Analysis-(2080s-and-2083s)?_g=(refreshInterval:(display:Off,section:0,value:0),time:(from:'2016-05-02 05:30:46-0600',mode:absolute,to:'2016-05-02 06:22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U20" s="62" t="str">
        <f t="shared" si="4"/>
        <v>N</v>
      </c>
      <c r="V20" s="62">
        <f t="shared" si="8"/>
        <v>1</v>
      </c>
      <c r="W20" s="62">
        <f t="shared" si="5"/>
        <v>4.5499999999999999E-2</v>
      </c>
      <c r="X20" s="62">
        <f t="shared" si="6"/>
        <v>23.331399999999999</v>
      </c>
      <c r="Y20" s="62">
        <f t="shared" si="7"/>
        <v>23.285899999999998</v>
      </c>
      <c r="Z20" s="63" t="e">
        <f>VLOOKUP(A20,Enforcements!$C$3:$J$40,8,0)</f>
        <v>#N/A</v>
      </c>
      <c r="AA20" s="63" t="e">
        <f>VLOOKUP(A20,Enforcements!$C$3:$J$40,3,0)</f>
        <v>#N/A</v>
      </c>
    </row>
    <row r="21" spans="1:27" s="2" customFormat="1" x14ac:dyDescent="0.25">
      <c r="A21" s="13" t="s">
        <v>367</v>
      </c>
      <c r="B21" s="13">
        <v>4026</v>
      </c>
      <c r="C21" s="13" t="s">
        <v>52</v>
      </c>
      <c r="D21" s="13" t="s">
        <v>141</v>
      </c>
      <c r="E21" s="32">
        <v>42492.274328703701</v>
      </c>
      <c r="F21" s="32">
        <v>42492.275625000002</v>
      </c>
      <c r="G21" s="40">
        <v>1</v>
      </c>
      <c r="H21" s="32" t="s">
        <v>176</v>
      </c>
      <c r="I21" s="32">
        <v>42492.305590277778</v>
      </c>
      <c r="J21" s="13">
        <v>0</v>
      </c>
      <c r="K21" s="13" t="str">
        <f t="shared" si="0"/>
        <v>4025/4026</v>
      </c>
      <c r="L21" s="70" t="str">
        <f>VLOOKUP(A21,'Trips&amp;Operators'!$C$1:$E$9999,3,FALSE)</f>
        <v>BRUDER</v>
      </c>
      <c r="M21" s="14">
        <f t="shared" si="1"/>
        <v>2.9965277775772847E-2</v>
      </c>
      <c r="N21" s="15">
        <f t="shared" si="9"/>
        <v>43.1499999971129</v>
      </c>
      <c r="O21" s="15"/>
      <c r="P21" s="15"/>
      <c r="Q21" s="55"/>
      <c r="R21" s="55"/>
      <c r="T21" s="62" t="str">
        <f t="shared" si="3"/>
        <v>https://search-rtdc-monitor-bjffxe2xuh6vdkpspy63sjmuny.us-east-1.es.amazonaws.com/_plugin/kibana/#/discover/Steve-Slow-Train-Analysis-(2080s-and-2083s)?_g=(refreshInterval:(display:Off,section:0,value:0),time:(from:'2016-05-02 06:34:02-0600',mode:absolute,to:'2016-05-02 07:21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U21" s="62" t="str">
        <f t="shared" si="4"/>
        <v>N</v>
      </c>
      <c r="V21" s="62">
        <f t="shared" si="8"/>
        <v>1</v>
      </c>
      <c r="W21" s="62">
        <f t="shared" si="5"/>
        <v>23.299099999999999</v>
      </c>
      <c r="X21" s="62">
        <f t="shared" si="6"/>
        <v>1.3599999999999999E-2</v>
      </c>
      <c r="Y21" s="62">
        <f t="shared" si="7"/>
        <v>23.285499999999999</v>
      </c>
      <c r="Z21" s="63" t="e">
        <f>VLOOKUP(A21,Enforcements!$C$3:$J$40,8,0)</f>
        <v>#N/A</v>
      </c>
      <c r="AA21" s="63" t="e">
        <f>VLOOKUP(A21,Enforcements!$C$3:$J$40,3,0)</f>
        <v>#N/A</v>
      </c>
    </row>
    <row r="22" spans="1:27" s="2" customFormat="1" x14ac:dyDescent="0.25">
      <c r="A22" s="13" t="s">
        <v>373</v>
      </c>
      <c r="B22" s="13">
        <v>4038</v>
      </c>
      <c r="C22" s="13" t="s">
        <v>52</v>
      </c>
      <c r="D22" s="13" t="s">
        <v>548</v>
      </c>
      <c r="E22" s="32">
        <v>42492.255231481482</v>
      </c>
      <c r="F22" s="32">
        <v>42492.255752314813</v>
      </c>
      <c r="G22" s="40">
        <v>0</v>
      </c>
      <c r="H22" s="32" t="s">
        <v>549</v>
      </c>
      <c r="I22" s="32">
        <v>42492.278865740744</v>
      </c>
      <c r="J22" s="13">
        <v>1</v>
      </c>
      <c r="K22" s="13" t="str">
        <f t="shared" si="0"/>
        <v>4037/4038</v>
      </c>
      <c r="L22" s="70" t="str">
        <f>VLOOKUP(A22,'Trips&amp;Operators'!$C$1:$E$9999,3,FALSE)</f>
        <v>CHANDLER</v>
      </c>
      <c r="M22" s="14">
        <f t="shared" si="1"/>
        <v>2.3113425930205267E-2</v>
      </c>
      <c r="N22" s="15"/>
      <c r="O22" s="15"/>
      <c r="P22" s="15">
        <f>($M22+M23)*24*60</f>
        <v>37.583333338843659</v>
      </c>
      <c r="Q22" s="71" t="s">
        <v>302</v>
      </c>
      <c r="R22" s="72" t="s">
        <v>602</v>
      </c>
      <c r="T22" s="62" t="str">
        <f t="shared" si="3"/>
        <v>https://search-rtdc-monitor-bjffxe2xuh6vdkpspy63sjmuny.us-east-1.es.amazonaws.com/_plugin/kibana/#/discover/Steve-Slow-Train-Analysis-(2080s-and-2083s)?_g=(refreshInterval:(display:Off,section:0,value:0),time:(from:'2016-05-02 06:06:32-0600',mode:absolute,to:'2016-05-02 06:42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U22" s="62" t="str">
        <f t="shared" si="4"/>
        <v>Y</v>
      </c>
      <c r="V22" s="62">
        <f t="shared" si="8"/>
        <v>1</v>
      </c>
      <c r="W22" s="62">
        <f t="shared" si="5"/>
        <v>1.9145000000000001</v>
      </c>
      <c r="X22" s="62">
        <f t="shared" si="6"/>
        <v>23.3278</v>
      </c>
      <c r="Y22" s="62">
        <f t="shared" si="7"/>
        <v>21.4133</v>
      </c>
      <c r="Z22" s="63">
        <f>VLOOKUP(A22,Enforcements!$C$3:$J$40,8,0)</f>
        <v>1692</v>
      </c>
      <c r="AA22" s="63" t="str">
        <f>VLOOKUP(A22,Enforcements!$C$3:$J$40,3,0)</f>
        <v>SIGNAL</v>
      </c>
    </row>
    <row r="23" spans="1:27" s="2" customFormat="1" x14ac:dyDescent="0.25">
      <c r="A23" s="13" t="s">
        <v>373</v>
      </c>
      <c r="B23" s="13">
        <v>4038</v>
      </c>
      <c r="C23" s="13" t="s">
        <v>52</v>
      </c>
      <c r="D23" s="13" t="s">
        <v>550</v>
      </c>
      <c r="E23" s="32">
        <v>42492.248055555552</v>
      </c>
      <c r="F23" s="32">
        <v>42492.248877314814</v>
      </c>
      <c r="G23" s="40">
        <v>1</v>
      </c>
      <c r="H23" s="32" t="s">
        <v>551</v>
      </c>
      <c r="I23" s="32">
        <v>42492.251863425925</v>
      </c>
      <c r="J23" s="13">
        <v>1</v>
      </c>
      <c r="K23" s="13" t="str">
        <f t="shared" si="0"/>
        <v>4037/4038</v>
      </c>
      <c r="L23" s="70" t="str">
        <f>VLOOKUP(A23,'Trips&amp;Operators'!$C$1:$E$9999,3,FALSE)</f>
        <v>CHANDLER</v>
      </c>
      <c r="M23" s="14">
        <f t="shared" si="1"/>
        <v>2.9861111106583849E-3</v>
      </c>
      <c r="N23" s="15"/>
      <c r="O23" s="15"/>
      <c r="P23" s="15"/>
      <c r="Q23" s="55"/>
      <c r="R23" s="55"/>
      <c r="T23" s="62" t="str">
        <f t="shared" si="3"/>
        <v>https://search-rtdc-monitor-bjffxe2xuh6vdkpspy63sjmuny.us-east-1.es.amazonaws.com/_plugin/kibana/#/discover/Steve-Slow-Train-Analysis-(2080s-and-2083s)?_g=(refreshInterval:(display:Off,section:0,value:0),time:(from:'2016-05-02 05:56:12-0600',mode:absolute,to:'2016-05-02 06:03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U23" s="62" t="str">
        <f t="shared" si="4"/>
        <v>Y</v>
      </c>
      <c r="V23" s="62">
        <f t="shared" si="8"/>
        <v>0</v>
      </c>
      <c r="W23" s="62">
        <f t="shared" si="5"/>
        <v>0.1492</v>
      </c>
      <c r="X23" s="62">
        <f t="shared" si="6"/>
        <v>0.19120000000000001</v>
      </c>
      <c r="Y23" s="62">
        <f t="shared" si="7"/>
        <v>4.200000000000001E-2</v>
      </c>
      <c r="Z23" s="63">
        <f>VLOOKUP(A23,Enforcements!$C$3:$J$40,8,0)</f>
        <v>1692</v>
      </c>
      <c r="AA23" s="63" t="str">
        <f>VLOOKUP(A23,Enforcements!$C$3:$J$40,3,0)</f>
        <v>SIGNAL</v>
      </c>
    </row>
    <row r="24" spans="1:27" s="2" customFormat="1" x14ac:dyDescent="0.25">
      <c r="A24" s="13" t="s">
        <v>380</v>
      </c>
      <c r="B24" s="13">
        <v>4037</v>
      </c>
      <c r="C24" s="13" t="s">
        <v>52</v>
      </c>
      <c r="D24" s="13" t="s">
        <v>526</v>
      </c>
      <c r="E24" s="32">
        <v>42492.281701388885</v>
      </c>
      <c r="F24" s="32">
        <v>42492.288969907408</v>
      </c>
      <c r="G24" s="40">
        <v>1</v>
      </c>
      <c r="H24" s="32" t="s">
        <v>191</v>
      </c>
      <c r="I24" s="32">
        <v>42492.318692129629</v>
      </c>
      <c r="J24" s="13">
        <v>1</v>
      </c>
      <c r="K24" s="13" t="str">
        <f t="shared" si="0"/>
        <v>4037/4038</v>
      </c>
      <c r="L24" s="70" t="str">
        <f>VLOOKUP(A24,'Trips&amp;Operators'!$C$1:$E$9999,3,FALSE)</f>
        <v>CHANDLER</v>
      </c>
      <c r="M24" s="14">
        <f t="shared" si="1"/>
        <v>2.9722222221607808E-2</v>
      </c>
      <c r="N24" s="15">
        <f t="shared" ref="N24:N54" si="10">$M24*24*60</f>
        <v>42.799999999115244</v>
      </c>
      <c r="O24" s="15"/>
      <c r="P24" s="15"/>
      <c r="Q24" s="55"/>
      <c r="R24" s="55"/>
      <c r="T24" s="62" t="str">
        <f t="shared" si="3"/>
        <v>https://search-rtdc-monitor-bjffxe2xuh6vdkpspy63sjmuny.us-east-1.es.amazonaws.com/_plugin/kibana/#/discover/Steve-Slow-Train-Analysis-(2080s-and-2083s)?_g=(refreshInterval:(display:Off,section:0,value:0),time:(from:'2016-05-02 06:44:39-0600',mode:absolute,to:'2016-05-02 07:39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U24" s="62" t="str">
        <f t="shared" si="4"/>
        <v>N</v>
      </c>
      <c r="V24" s="62">
        <f t="shared" si="8"/>
        <v>1</v>
      </c>
      <c r="W24" s="62">
        <f t="shared" si="5"/>
        <v>23.2959</v>
      </c>
      <c r="X24" s="62">
        <f t="shared" si="6"/>
        <v>1.34E-2</v>
      </c>
      <c r="Y24" s="62">
        <f t="shared" si="7"/>
        <v>23.282499999999999</v>
      </c>
      <c r="Z24" s="63">
        <f>VLOOKUP(A24,Enforcements!$C$3:$J$40,8,0)</f>
        <v>229055</v>
      </c>
      <c r="AA24" s="63" t="str">
        <f>VLOOKUP(A24,Enforcements!$C$3:$J$40,3,0)</f>
        <v>PERMANENT SPEED RESTRICTION</v>
      </c>
    </row>
    <row r="25" spans="1:27" s="2" customFormat="1" x14ac:dyDescent="0.25">
      <c r="A25" s="13" t="s">
        <v>340</v>
      </c>
      <c r="B25" s="13">
        <v>4020</v>
      </c>
      <c r="C25" s="13" t="s">
        <v>52</v>
      </c>
      <c r="D25" s="13" t="s">
        <v>547</v>
      </c>
      <c r="E25" s="32">
        <v>42492.254837962966</v>
      </c>
      <c r="F25" s="32">
        <v>42492.25582175926</v>
      </c>
      <c r="G25" s="40">
        <v>1</v>
      </c>
      <c r="H25" s="32" t="s">
        <v>545</v>
      </c>
      <c r="I25" s="32">
        <v>42492.286076388889</v>
      </c>
      <c r="J25" s="13">
        <v>1</v>
      </c>
      <c r="K25" s="13" t="str">
        <f t="shared" si="0"/>
        <v>4019/4020</v>
      </c>
      <c r="L25" s="70" t="str">
        <f>VLOOKUP(A25,'Trips&amp;Operators'!$C$1:$E$9999,3,FALSE)</f>
        <v>DE LA ROSA</v>
      </c>
      <c r="M25" s="14">
        <f t="shared" si="1"/>
        <v>3.0254629629780538E-2</v>
      </c>
      <c r="N25" s="15">
        <f t="shared" si="10"/>
        <v>43.566666666883975</v>
      </c>
      <c r="O25" s="15"/>
      <c r="P25" s="15"/>
      <c r="Q25" s="55"/>
      <c r="R25" s="55"/>
      <c r="T25" s="62" t="str">
        <f t="shared" si="3"/>
        <v>https://search-rtdc-monitor-bjffxe2xuh6vdkpspy63sjmuny.us-east-1.es.amazonaws.com/_plugin/kibana/#/discover/Steve-Slow-Train-Analysis-(2080s-and-2083s)?_g=(refreshInterval:(display:Off,section:0,value:0),time:(from:'2016-05-02 06:05:58-0600',mode:absolute,to:'2016-05-02 06:52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25" s="62" t="str">
        <f t="shared" si="4"/>
        <v>N</v>
      </c>
      <c r="V25" s="62">
        <f t="shared" si="8"/>
        <v>1</v>
      </c>
      <c r="W25" s="62">
        <f t="shared" si="5"/>
        <v>4.1599999999999998E-2</v>
      </c>
      <c r="X25" s="62">
        <f t="shared" si="6"/>
        <v>23.330200000000001</v>
      </c>
      <c r="Y25" s="62">
        <f t="shared" si="7"/>
        <v>23.288600000000002</v>
      </c>
      <c r="Z25" s="63" t="e">
        <f>VLOOKUP(A25,Enforcements!$C$3:$J$40,8,0)</f>
        <v>#N/A</v>
      </c>
      <c r="AA25" s="63" t="e">
        <f>VLOOKUP(A25,Enforcements!$C$3:$J$40,3,0)</f>
        <v>#N/A</v>
      </c>
    </row>
    <row r="26" spans="1:27" s="2" customFormat="1" x14ac:dyDescent="0.25">
      <c r="A26" s="13" t="s">
        <v>347</v>
      </c>
      <c r="B26" s="13">
        <v>4019</v>
      </c>
      <c r="C26" s="13" t="s">
        <v>52</v>
      </c>
      <c r="D26" s="13" t="s">
        <v>141</v>
      </c>
      <c r="E26" s="32">
        <v>42492.290879629632</v>
      </c>
      <c r="F26" s="32">
        <v>42492.292013888888</v>
      </c>
      <c r="G26" s="40">
        <v>1</v>
      </c>
      <c r="H26" s="32" t="s">
        <v>186</v>
      </c>
      <c r="I26" s="32">
        <v>42492.326365740744</v>
      </c>
      <c r="J26" s="13">
        <v>1</v>
      </c>
      <c r="K26" s="13" t="str">
        <f t="shared" si="0"/>
        <v>4019/4020</v>
      </c>
      <c r="L26" s="70" t="str">
        <f>VLOOKUP(A26,'Trips&amp;Operators'!$C$1:$E$9999,3,FALSE)</f>
        <v>DE LA ROSA</v>
      </c>
      <c r="M26" s="14">
        <f t="shared" si="1"/>
        <v>3.4351851856627036E-2</v>
      </c>
      <c r="N26" s="15">
        <f t="shared" si="10"/>
        <v>49.466666673542932</v>
      </c>
      <c r="O26" s="15"/>
      <c r="P26" s="15"/>
      <c r="Q26" s="55"/>
      <c r="R26" s="55"/>
      <c r="T26" s="62" t="str">
        <f t="shared" si="3"/>
        <v>https://search-rtdc-monitor-bjffxe2xuh6vdkpspy63sjmuny.us-east-1.es.amazonaws.com/_plugin/kibana/#/discover/Steve-Slow-Train-Analysis-(2080s-and-2083s)?_g=(refreshInterval:(display:Off,section:0,value:0),time:(from:'2016-05-02 06:57:52-0600',mode:absolute,to:'2016-05-02 07:50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26" s="62" t="str">
        <f t="shared" si="4"/>
        <v>N</v>
      </c>
      <c r="V26" s="62">
        <f t="shared" si="8"/>
        <v>1</v>
      </c>
      <c r="W26" s="62">
        <f t="shared" si="5"/>
        <v>23.299099999999999</v>
      </c>
      <c r="X26" s="62">
        <f t="shared" si="6"/>
        <v>1.41E-2</v>
      </c>
      <c r="Y26" s="62">
        <f t="shared" si="7"/>
        <v>23.285</v>
      </c>
      <c r="Z26" s="63" t="e">
        <f>VLOOKUP(A26,Enforcements!$C$3:$J$40,8,0)</f>
        <v>#N/A</v>
      </c>
      <c r="AA26" s="63" t="e">
        <f>VLOOKUP(A26,Enforcements!$C$3:$J$40,3,0)</f>
        <v>#N/A</v>
      </c>
    </row>
    <row r="27" spans="1:27" s="2" customFormat="1" x14ac:dyDescent="0.25">
      <c r="A27" s="13" t="s">
        <v>338</v>
      </c>
      <c r="B27" s="13">
        <v>4027</v>
      </c>
      <c r="C27" s="13" t="s">
        <v>52</v>
      </c>
      <c r="D27" s="13" t="s">
        <v>66</v>
      </c>
      <c r="E27" s="32">
        <v>42492.266793981478</v>
      </c>
      <c r="F27" s="32">
        <v>42492.268159722225</v>
      </c>
      <c r="G27" s="40">
        <v>1</v>
      </c>
      <c r="H27" s="32" t="s">
        <v>546</v>
      </c>
      <c r="I27" s="32">
        <v>42492.299085648148</v>
      </c>
      <c r="J27" s="13">
        <v>0</v>
      </c>
      <c r="K27" s="13" t="str">
        <f t="shared" si="0"/>
        <v>4027/4028</v>
      </c>
      <c r="L27" s="70" t="str">
        <f>VLOOKUP(A27,'Trips&amp;Operators'!$C$1:$E$9999,3,FALSE)</f>
        <v>SPECTOR</v>
      </c>
      <c r="M27" s="14">
        <f t="shared" si="1"/>
        <v>3.0925925922929309E-2</v>
      </c>
      <c r="N27" s="15">
        <f t="shared" si="10"/>
        <v>44.533333329018205</v>
      </c>
      <c r="O27" s="15"/>
      <c r="P27" s="15"/>
      <c r="Q27" s="55"/>
      <c r="R27" s="55"/>
      <c r="T27" s="62" t="str">
        <f t="shared" si="3"/>
        <v>https://search-rtdc-monitor-bjffxe2xuh6vdkpspy63sjmuny.us-east-1.es.amazonaws.com/_plugin/kibana/#/discover/Steve-Slow-Train-Analysis-(2080s-and-2083s)?_g=(refreshInterval:(display:Off,section:0,value:0),time:(from:'2016-05-02 06:23:11-0600',mode:absolute,to:'2016-05-02 07:11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U27" s="62" t="str">
        <f t="shared" si="4"/>
        <v>N</v>
      </c>
      <c r="V27" s="62">
        <f t="shared" si="8"/>
        <v>1</v>
      </c>
      <c r="W27" s="62">
        <f t="shared" si="5"/>
        <v>4.4600000000000001E-2</v>
      </c>
      <c r="X27" s="62">
        <f t="shared" si="6"/>
        <v>23.337599999999998</v>
      </c>
      <c r="Y27" s="62">
        <f t="shared" si="7"/>
        <v>23.292999999999999</v>
      </c>
      <c r="Z27" s="63" t="e">
        <f>VLOOKUP(A27,Enforcements!$C$3:$J$40,8,0)</f>
        <v>#N/A</v>
      </c>
      <c r="AA27" s="63" t="e">
        <f>VLOOKUP(A27,Enforcements!$C$3:$J$40,3,0)</f>
        <v>#N/A</v>
      </c>
    </row>
    <row r="28" spans="1:27" s="2" customFormat="1" x14ac:dyDescent="0.25">
      <c r="A28" s="13" t="s">
        <v>393</v>
      </c>
      <c r="B28" s="13">
        <v>4028</v>
      </c>
      <c r="C28" s="13" t="s">
        <v>52</v>
      </c>
      <c r="D28" s="13" t="s">
        <v>217</v>
      </c>
      <c r="E28" s="32">
        <v>42492.303240740737</v>
      </c>
      <c r="F28" s="32">
        <v>42492.304259259261</v>
      </c>
      <c r="G28" s="40">
        <v>1</v>
      </c>
      <c r="H28" s="32" t="s">
        <v>146</v>
      </c>
      <c r="I28" s="32">
        <v>42492.335543981484</v>
      </c>
      <c r="J28" s="13">
        <v>0</v>
      </c>
      <c r="K28" s="13" t="str">
        <f t="shared" si="0"/>
        <v>4027/4028</v>
      </c>
      <c r="L28" s="70" t="str">
        <f>VLOOKUP(A28,'Trips&amp;Operators'!$C$1:$E$9999,3,FALSE)</f>
        <v>SPECTOR</v>
      </c>
      <c r="M28" s="14">
        <f t="shared" si="1"/>
        <v>3.1284722223063E-2</v>
      </c>
      <c r="N28" s="15">
        <f t="shared" si="10"/>
        <v>45.050000001210719</v>
      </c>
      <c r="O28" s="15"/>
      <c r="P28" s="15"/>
      <c r="Q28" s="55"/>
      <c r="R28" s="55"/>
      <c r="T28" s="62" t="str">
        <f t="shared" si="3"/>
        <v>https://search-rtdc-monitor-bjffxe2xuh6vdkpspy63sjmuny.us-east-1.es.amazonaws.com/_plugin/kibana/#/discover/Steve-Slow-Train-Analysis-(2080s-and-2083s)?_g=(refreshInterval:(display:Off,section:0,value:0),time:(from:'2016-05-02 07:15:40-0600',mode:absolute,to:'2016-05-02 08:04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U28" s="62" t="str">
        <f t="shared" si="4"/>
        <v>N</v>
      </c>
      <c r="V28" s="62">
        <f t="shared" si="8"/>
        <v>1</v>
      </c>
      <c r="W28" s="62">
        <f t="shared" si="5"/>
        <v>23.3</v>
      </c>
      <c r="X28" s="62">
        <f t="shared" si="6"/>
        <v>1.49E-2</v>
      </c>
      <c r="Y28" s="62">
        <f t="shared" si="7"/>
        <v>23.2851</v>
      </c>
      <c r="Z28" s="63" t="e">
        <f>VLOOKUP(A28,Enforcements!$C$3:$J$40,8,0)</f>
        <v>#N/A</v>
      </c>
      <c r="AA28" s="63" t="e">
        <f>VLOOKUP(A28,Enforcements!$C$3:$J$40,3,0)</f>
        <v>#N/A</v>
      </c>
    </row>
    <row r="29" spans="1:27" s="2" customFormat="1" x14ac:dyDescent="0.25">
      <c r="A29" s="13" t="s">
        <v>344</v>
      </c>
      <c r="B29" s="13">
        <v>4007</v>
      </c>
      <c r="C29" s="13" t="s">
        <v>52</v>
      </c>
      <c r="D29" s="13" t="s">
        <v>193</v>
      </c>
      <c r="E29" s="32">
        <v>42492.275648148148</v>
      </c>
      <c r="F29" s="32">
        <v>42492.277106481481</v>
      </c>
      <c r="G29" s="40">
        <v>2</v>
      </c>
      <c r="H29" s="32" t="s">
        <v>545</v>
      </c>
      <c r="I29" s="32">
        <v>42492.306087962963</v>
      </c>
      <c r="J29" s="13">
        <v>0</v>
      </c>
      <c r="K29" s="13" t="str">
        <f t="shared" si="0"/>
        <v>4007/4008</v>
      </c>
      <c r="L29" s="70" t="str">
        <f>VLOOKUP(A29,'Trips&amp;Operators'!$C$1:$E$9999,3,FALSE)</f>
        <v>NEWELL</v>
      </c>
      <c r="M29" s="14">
        <f t="shared" si="1"/>
        <v>2.8981481482333038E-2</v>
      </c>
      <c r="N29" s="15">
        <f t="shared" si="10"/>
        <v>41.733333334559575</v>
      </c>
      <c r="O29" s="15"/>
      <c r="P29" s="15"/>
      <c r="Q29" s="55"/>
      <c r="R29" s="55"/>
      <c r="T29" s="62" t="str">
        <f t="shared" si="3"/>
        <v>https://search-rtdc-monitor-bjffxe2xuh6vdkpspy63sjmuny.us-east-1.es.amazonaws.com/_plugin/kibana/#/discover/Steve-Slow-Train-Analysis-(2080s-and-2083s)?_g=(refreshInterval:(display:Off,section:0,value:0),time:(from:'2016-05-02 06:35:56-0600',mode:absolute,to:'2016-05-02 07:21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29" s="62" t="str">
        <f t="shared" si="4"/>
        <v>N</v>
      </c>
      <c r="V29" s="62">
        <f t="shared" si="8"/>
        <v>1</v>
      </c>
      <c r="W29" s="62">
        <f t="shared" si="5"/>
        <v>4.4900000000000002E-2</v>
      </c>
      <c r="X29" s="62">
        <f t="shared" si="6"/>
        <v>23.330200000000001</v>
      </c>
      <c r="Y29" s="62">
        <f t="shared" si="7"/>
        <v>23.285300000000003</v>
      </c>
      <c r="Z29" s="63" t="e">
        <f>VLOOKUP(A29,Enforcements!$C$3:$J$40,8,0)</f>
        <v>#N/A</v>
      </c>
      <c r="AA29" s="63" t="e">
        <f>VLOOKUP(A29,Enforcements!$C$3:$J$40,3,0)</f>
        <v>#N/A</v>
      </c>
    </row>
    <row r="30" spans="1:27" s="2" customFormat="1" x14ac:dyDescent="0.25">
      <c r="A30" s="13" t="s">
        <v>348</v>
      </c>
      <c r="B30" s="13">
        <v>4008</v>
      </c>
      <c r="C30" s="13" t="s">
        <v>52</v>
      </c>
      <c r="D30" s="13" t="s">
        <v>174</v>
      </c>
      <c r="E30" s="32">
        <v>42492.316666666666</v>
      </c>
      <c r="F30" s="32">
        <v>42492.317731481482</v>
      </c>
      <c r="G30" s="40">
        <v>1</v>
      </c>
      <c r="H30" s="32" t="s">
        <v>139</v>
      </c>
      <c r="I30" s="32">
        <v>42492.346967592595</v>
      </c>
      <c r="J30" s="13">
        <v>0</v>
      </c>
      <c r="K30" s="13" t="str">
        <f t="shared" si="0"/>
        <v>4007/4008</v>
      </c>
      <c r="L30" s="70" t="str">
        <f>VLOOKUP(A30,'Trips&amp;Operators'!$C$1:$E$9999,3,FALSE)</f>
        <v>NEWELL</v>
      </c>
      <c r="M30" s="14">
        <f t="shared" si="1"/>
        <v>2.923611111327773E-2</v>
      </c>
      <c r="N30" s="15">
        <f t="shared" si="10"/>
        <v>42.100000003119931</v>
      </c>
      <c r="O30" s="15"/>
      <c r="P30" s="15"/>
      <c r="Q30" s="55"/>
      <c r="R30" s="55"/>
      <c r="T30" s="62" t="str">
        <f t="shared" si="3"/>
        <v>https://search-rtdc-monitor-bjffxe2xuh6vdkpspy63sjmuny.us-east-1.es.amazonaws.com/_plugin/kibana/#/discover/Steve-Slow-Train-Analysis-(2080s-and-2083s)?_g=(refreshInterval:(display:Off,section:0,value:0),time:(from:'2016-05-02 07:35:00-0600',mode:absolute,to:'2016-05-02 08:20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30" s="62" t="str">
        <f t="shared" si="4"/>
        <v>N</v>
      </c>
      <c r="V30" s="62">
        <f t="shared" si="8"/>
        <v>1</v>
      </c>
      <c r="W30" s="62">
        <f t="shared" si="5"/>
        <v>23.299299999999999</v>
      </c>
      <c r="X30" s="62">
        <f t="shared" si="6"/>
        <v>1.43E-2</v>
      </c>
      <c r="Y30" s="62">
        <f t="shared" si="7"/>
        <v>23.285</v>
      </c>
      <c r="Z30" s="63" t="e">
        <f>VLOOKUP(A30,Enforcements!$C$3:$J$40,8,0)</f>
        <v>#N/A</v>
      </c>
      <c r="AA30" s="63" t="e">
        <f>VLOOKUP(A30,Enforcements!$C$3:$J$40,3,0)</f>
        <v>#N/A</v>
      </c>
    </row>
    <row r="31" spans="1:27" s="2" customFormat="1" x14ac:dyDescent="0.25">
      <c r="A31" s="13" t="s">
        <v>372</v>
      </c>
      <c r="B31" s="13">
        <v>4044</v>
      </c>
      <c r="C31" s="13" t="s">
        <v>52</v>
      </c>
      <c r="D31" s="13" t="s">
        <v>193</v>
      </c>
      <c r="E31" s="32">
        <v>42492.287465277775</v>
      </c>
      <c r="F31" s="32">
        <v>42492.288483796299</v>
      </c>
      <c r="G31" s="40">
        <v>1</v>
      </c>
      <c r="H31" s="32" t="s">
        <v>212</v>
      </c>
      <c r="I31" s="32">
        <v>42492.316284722219</v>
      </c>
      <c r="J31" s="13">
        <v>0</v>
      </c>
      <c r="K31" s="13" t="str">
        <f t="shared" si="0"/>
        <v>4043/4044</v>
      </c>
      <c r="L31" s="70" t="str">
        <f>VLOOKUP(A31,'Trips&amp;Operators'!$C$1:$E$9999,3,FALSE)</f>
        <v>LEVIN</v>
      </c>
      <c r="M31" s="14">
        <f t="shared" si="1"/>
        <v>2.7800925920018926E-2</v>
      </c>
      <c r="N31" s="15">
        <f t="shared" si="10"/>
        <v>40.033333324827254</v>
      </c>
      <c r="O31" s="15"/>
      <c r="P31" s="15"/>
      <c r="Q31" s="55"/>
      <c r="R31" s="55"/>
      <c r="T31" s="62" t="str">
        <f t="shared" si="3"/>
        <v>https://search-rtdc-monitor-bjffxe2xuh6vdkpspy63sjmuny.us-east-1.es.amazonaws.com/_plugin/kibana/#/discover/Steve-Slow-Train-Analysis-(2080s-and-2083s)?_g=(refreshInterval:(display:Off,section:0,value:0),time:(from:'2016-05-02 06:52:57-0600',mode:absolute,to:'2016-05-02 07:36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31" s="62" t="str">
        <f t="shared" si="4"/>
        <v>N</v>
      </c>
      <c r="V31" s="62">
        <f t="shared" si="8"/>
        <v>1</v>
      </c>
      <c r="W31" s="62">
        <f t="shared" si="5"/>
        <v>4.4900000000000002E-2</v>
      </c>
      <c r="X31" s="62">
        <f t="shared" si="6"/>
        <v>23.330300000000001</v>
      </c>
      <c r="Y31" s="62">
        <f t="shared" si="7"/>
        <v>23.285400000000003</v>
      </c>
      <c r="Z31" s="63" t="e">
        <f>VLOOKUP(A31,Enforcements!$C$3:$J$40,8,0)</f>
        <v>#N/A</v>
      </c>
      <c r="AA31" s="63" t="e">
        <f>VLOOKUP(A31,Enforcements!$C$3:$J$40,3,0)</f>
        <v>#N/A</v>
      </c>
    </row>
    <row r="32" spans="1:27" s="2" customFormat="1" x14ac:dyDescent="0.25">
      <c r="A32" s="13" t="s">
        <v>333</v>
      </c>
      <c r="B32" s="13">
        <v>4043</v>
      </c>
      <c r="C32" s="13" t="s">
        <v>52</v>
      </c>
      <c r="D32" s="13" t="s">
        <v>233</v>
      </c>
      <c r="E32" s="32">
        <v>42492.321932870371</v>
      </c>
      <c r="F32" s="32">
        <v>42492.322847222225</v>
      </c>
      <c r="G32" s="40">
        <v>1</v>
      </c>
      <c r="H32" s="32" t="s">
        <v>203</v>
      </c>
      <c r="I32" s="32">
        <v>42492.355891203704</v>
      </c>
      <c r="J32" s="13">
        <v>0</v>
      </c>
      <c r="K32" s="13" t="str">
        <f t="shared" si="0"/>
        <v>4043/4044</v>
      </c>
      <c r="L32" s="70" t="str">
        <f>VLOOKUP(A32,'Trips&amp;Operators'!$C$1:$E$9999,3,FALSE)</f>
        <v>LEVIN</v>
      </c>
      <c r="M32" s="14">
        <f t="shared" si="1"/>
        <v>3.3043981478840578E-2</v>
      </c>
      <c r="N32" s="15">
        <f t="shared" si="10"/>
        <v>47.583333329530433</v>
      </c>
      <c r="O32" s="15"/>
      <c r="P32" s="15"/>
      <c r="Q32" s="55"/>
      <c r="R32" s="55"/>
      <c r="T32" s="62" t="str">
        <f t="shared" si="3"/>
        <v>https://search-rtdc-monitor-bjffxe2xuh6vdkpspy63sjmuny.us-east-1.es.amazonaws.com/_plugin/kibana/#/discover/Steve-Slow-Train-Analysis-(2080s-and-2083s)?_g=(refreshInterval:(display:Off,section:0,value:0),time:(from:'2016-05-02 07:42:35-0600',mode:absolute,to:'2016-05-02 08:33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32" s="62" t="str">
        <f t="shared" si="4"/>
        <v>N</v>
      </c>
      <c r="V32" s="62">
        <f t="shared" si="8"/>
        <v>1</v>
      </c>
      <c r="W32" s="62">
        <f t="shared" si="5"/>
        <v>23.2986</v>
      </c>
      <c r="X32" s="62">
        <f t="shared" si="6"/>
        <v>1.4999999999999999E-2</v>
      </c>
      <c r="Y32" s="62">
        <f t="shared" si="7"/>
        <v>23.2836</v>
      </c>
      <c r="Z32" s="63" t="e">
        <f>VLOOKUP(A32,Enforcements!$C$3:$J$40,8,0)</f>
        <v>#N/A</v>
      </c>
      <c r="AA32" s="63" t="e">
        <f>VLOOKUP(A32,Enforcements!$C$3:$J$40,3,0)</f>
        <v>#N/A</v>
      </c>
    </row>
    <row r="33" spans="1:27" s="2" customFormat="1" x14ac:dyDescent="0.25">
      <c r="A33" s="13" t="s">
        <v>388</v>
      </c>
      <c r="B33" s="13">
        <v>4014</v>
      </c>
      <c r="C33" s="13" t="s">
        <v>52</v>
      </c>
      <c r="D33" s="13" t="s">
        <v>544</v>
      </c>
      <c r="E33" s="32">
        <v>42492.300312500003</v>
      </c>
      <c r="F33" s="32">
        <v>42492.301712962966</v>
      </c>
      <c r="G33" s="40">
        <v>2</v>
      </c>
      <c r="H33" s="32" t="s">
        <v>62</v>
      </c>
      <c r="I33" s="32">
        <v>42492.327800925923</v>
      </c>
      <c r="J33" s="13">
        <v>2</v>
      </c>
      <c r="K33" s="13" t="str">
        <f t="shared" si="0"/>
        <v>4013/4014</v>
      </c>
      <c r="L33" s="70" t="str">
        <f>VLOOKUP(A33,'Trips&amp;Operators'!$C$1:$E$9999,3,FALSE)</f>
        <v>MALAVE</v>
      </c>
      <c r="M33" s="14">
        <f t="shared" si="1"/>
        <v>2.6087962956808042E-2</v>
      </c>
      <c r="N33" s="15">
        <f t="shared" si="10"/>
        <v>37.56666665780358</v>
      </c>
      <c r="O33" s="15"/>
      <c r="P33" s="15"/>
      <c r="Q33" s="55"/>
      <c r="R33" s="55"/>
      <c r="T33" s="62" t="str">
        <f t="shared" si="3"/>
        <v>https://search-rtdc-monitor-bjffxe2xuh6vdkpspy63sjmuny.us-east-1.es.amazonaws.com/_plugin/kibana/#/discover/Steve-Slow-Train-Analysis-(2080s-and-2083s)?_g=(refreshInterval:(display:Off,section:0,value:0),time:(from:'2016-05-02 07:11:27-0600',mode:absolute,to:'2016-05-02 07:53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U33" s="62" t="str">
        <f t="shared" si="4"/>
        <v>N</v>
      </c>
      <c r="V33" s="62">
        <f t="shared" si="8"/>
        <v>1</v>
      </c>
      <c r="W33" s="62">
        <f t="shared" si="5"/>
        <v>0.11600000000000001</v>
      </c>
      <c r="X33" s="62">
        <f t="shared" si="6"/>
        <v>23.329799999999999</v>
      </c>
      <c r="Y33" s="62">
        <f t="shared" si="7"/>
        <v>23.213799999999999</v>
      </c>
      <c r="Z33" s="63">
        <f>VLOOKUP(A33,Enforcements!$C$3:$J$40,8,0)</f>
        <v>2096</v>
      </c>
      <c r="AA33" s="63" t="str">
        <f>VLOOKUP(A33,Enforcements!$C$3:$J$40,3,0)</f>
        <v>PERMANENT SPEED RESTRICTION</v>
      </c>
    </row>
    <row r="34" spans="1:27" s="2" customFormat="1" x14ac:dyDescent="0.25">
      <c r="A34" s="13" t="s">
        <v>332</v>
      </c>
      <c r="B34" s="13">
        <v>4013</v>
      </c>
      <c r="C34" s="13" t="s">
        <v>52</v>
      </c>
      <c r="D34" s="13" t="s">
        <v>221</v>
      </c>
      <c r="E34" s="32">
        <v>42492.34171296296</v>
      </c>
      <c r="F34" s="32">
        <v>42492.342407407406</v>
      </c>
      <c r="G34" s="40">
        <v>1</v>
      </c>
      <c r="H34" s="32" t="s">
        <v>132</v>
      </c>
      <c r="I34" s="32">
        <v>42492.371608796297</v>
      </c>
      <c r="J34" s="13">
        <v>1</v>
      </c>
      <c r="K34" s="13" t="str">
        <f t="shared" si="0"/>
        <v>4013/4014</v>
      </c>
      <c r="L34" s="70" t="str">
        <f>VLOOKUP(A34,'Trips&amp;Operators'!$C$1:$E$9999,3,FALSE)</f>
        <v>MALAVE</v>
      </c>
      <c r="M34" s="14">
        <f t="shared" si="1"/>
        <v>2.920138889021473E-2</v>
      </c>
      <c r="N34" s="15">
        <f t="shared" si="10"/>
        <v>42.050000001909211</v>
      </c>
      <c r="O34" s="15"/>
      <c r="P34" s="15"/>
      <c r="Q34" s="55"/>
      <c r="R34" s="55"/>
      <c r="T34" s="62" t="str">
        <f t="shared" si="3"/>
        <v>https://search-rtdc-monitor-bjffxe2xuh6vdkpspy63sjmuny.us-east-1.es.amazonaws.com/_plugin/kibana/#/discover/Steve-Slow-Train-Analysis-(2080s-and-2083s)?_g=(refreshInterval:(display:Off,section:0,value:0),time:(from:'2016-05-02 08:11:04-0600',mode:absolute,to:'2016-05-02 08:56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U34" s="62" t="str">
        <f t="shared" si="4"/>
        <v>N</v>
      </c>
      <c r="V34" s="62">
        <f t="shared" si="8"/>
        <v>1</v>
      </c>
      <c r="W34" s="62">
        <f t="shared" si="5"/>
        <v>23.298300000000001</v>
      </c>
      <c r="X34" s="62">
        <f t="shared" si="6"/>
        <v>1.2699999999999999E-2</v>
      </c>
      <c r="Y34" s="62">
        <f t="shared" si="7"/>
        <v>23.285600000000002</v>
      </c>
      <c r="Z34" s="63" t="e">
        <f>VLOOKUP(A34,Enforcements!$C$3:$J$40,8,0)</f>
        <v>#N/A</v>
      </c>
      <c r="AA34" s="63" t="e">
        <f>VLOOKUP(A34,Enforcements!$C$3:$J$40,3,0)</f>
        <v>#N/A</v>
      </c>
    </row>
    <row r="35" spans="1:27" s="2" customFormat="1" x14ac:dyDescent="0.25">
      <c r="A35" s="13" t="s">
        <v>389</v>
      </c>
      <c r="B35" s="13">
        <v>4025</v>
      </c>
      <c r="C35" s="13" t="s">
        <v>52</v>
      </c>
      <c r="D35" s="13" t="s">
        <v>148</v>
      </c>
      <c r="E35" s="32">
        <v>42492.307002314818</v>
      </c>
      <c r="F35" s="32">
        <v>42492.312650462962</v>
      </c>
      <c r="G35" s="40">
        <v>1</v>
      </c>
      <c r="H35" s="32" t="s">
        <v>193</v>
      </c>
      <c r="I35" s="32">
        <v>42492.33761574074</v>
      </c>
      <c r="J35" s="13">
        <v>2</v>
      </c>
      <c r="K35" s="13" t="str">
        <f t="shared" ref="K35:K66" si="11">IF(ISEVEN(B35),(B35-1)&amp;"/"&amp;B35,B35&amp;"/"&amp;(B35+1))</f>
        <v>4025/4026</v>
      </c>
      <c r="L35" s="70" t="str">
        <f>VLOOKUP(A35,'Trips&amp;Operators'!$C$1:$E$9999,3,FALSE)</f>
        <v>BRUDER</v>
      </c>
      <c r="M35" s="14">
        <f t="shared" ref="M35:M66" si="12">I35-F35</f>
        <v>2.4965277778392192E-2</v>
      </c>
      <c r="N35" s="15">
        <f t="shared" si="10"/>
        <v>35.950000000884756</v>
      </c>
      <c r="O35" s="15"/>
      <c r="P35" s="15"/>
      <c r="Q35" s="55" t="s">
        <v>302</v>
      </c>
      <c r="R35" s="55" t="s">
        <v>598</v>
      </c>
      <c r="T35" s="62" t="str">
        <f t="shared" ref="T35:T66" si="13">"https://search-rtdc-monitor-bjffxe2xuh6vdkpspy63sjmuny.us-east-1.es.amazonaws.com/_plugin/kibana/#/discover/Steve-Slow-Train-Analysis-(2080s-and-2083s)?_g=(refreshInterval:(display:Off,section:0,value:0),time:(from:'"&amp;TEXT(E35-1/24/60,"yyyy-MM-DD hh:mm:ss")&amp;"-0600',mode:absolute,to:'"&amp;TEXT(I35+1/24/60,"yyyy-MM-DD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35&amp;"%22')),sort:!(Time,asc))"</f>
        <v>https://search-rtdc-monitor-bjffxe2xuh6vdkpspy63sjmuny.us-east-1.es.amazonaws.com/_plugin/kibana/#/discover/Steve-Slow-Train-Analysis-(2080s-and-2083s)?_g=(refreshInterval:(display:Off,section:0,value:0),time:(from:'2016-05-02 07:21:05-0600',mode:absolute,to:'2016-05-02 08:07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U35" s="62" t="str">
        <f t="shared" ref="U35:U66" si="14">IF(Y35&lt;23,"Y","N")</f>
        <v>Y</v>
      </c>
      <c r="V35" s="62">
        <f t="shared" si="8"/>
        <v>1</v>
      </c>
      <c r="W35" s="62">
        <f t="shared" ref="W35:W66" si="15">RIGHT(D35,LEN(D35)-4)/10000</f>
        <v>4.3999999999999997E-2</v>
      </c>
      <c r="X35" s="62">
        <f t="shared" ref="X35:X66" si="16">RIGHT(H35,LEN(H35)-4)/10000</f>
        <v>4.4900000000000002E-2</v>
      </c>
      <c r="Y35" s="62">
        <f t="shared" ref="Y35:Y66" si="17">ABS(X35-W35)</f>
        <v>9.0000000000000496E-4</v>
      </c>
      <c r="Z35" s="63" t="e">
        <f>VLOOKUP(A35,Enforcements!$C$3:$J$40,8,0)</f>
        <v>#N/A</v>
      </c>
      <c r="AA35" s="63" t="e">
        <f>VLOOKUP(A35,Enforcements!$C$3:$J$40,3,0)</f>
        <v>#N/A</v>
      </c>
    </row>
    <row r="36" spans="1:27" s="2" customFormat="1" x14ac:dyDescent="0.25">
      <c r="A36" s="13" t="s">
        <v>350</v>
      </c>
      <c r="B36" s="13">
        <v>4026</v>
      </c>
      <c r="C36" s="13" t="s">
        <v>52</v>
      </c>
      <c r="D36" s="13" t="s">
        <v>156</v>
      </c>
      <c r="E36" s="32">
        <v>42492.345289351855</v>
      </c>
      <c r="F36" s="32">
        <v>42492.346435185187</v>
      </c>
      <c r="G36" s="40">
        <v>1</v>
      </c>
      <c r="H36" s="32" t="s">
        <v>176</v>
      </c>
      <c r="I36" s="32">
        <v>42492.377685185187</v>
      </c>
      <c r="J36" s="13">
        <v>0</v>
      </c>
      <c r="K36" s="13" t="str">
        <f t="shared" si="11"/>
        <v>4025/4026</v>
      </c>
      <c r="L36" s="70" t="str">
        <f>VLOOKUP(A36,'Trips&amp;Operators'!$C$1:$E$9999,3,FALSE)</f>
        <v>BRUDER</v>
      </c>
      <c r="M36" s="14">
        <f t="shared" si="12"/>
        <v>3.125E-2</v>
      </c>
      <c r="N36" s="15">
        <f t="shared" si="10"/>
        <v>45</v>
      </c>
      <c r="O36" s="15"/>
      <c r="P36" s="15"/>
      <c r="Q36" s="55"/>
      <c r="R36" s="55"/>
      <c r="T36" s="62" t="str">
        <f t="shared" si="13"/>
        <v>https://search-rtdc-monitor-bjffxe2xuh6vdkpspy63sjmuny.us-east-1.es.amazonaws.com/_plugin/kibana/#/discover/Steve-Slow-Train-Analysis-(2080s-and-2083s)?_g=(refreshInterval:(display:Off,section:0,value:0),time:(from:'2016-05-02 08:16:13-0600',mode:absolute,to:'2016-05-02 09:04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U36" s="62" t="str">
        <f t="shared" si="14"/>
        <v>N</v>
      </c>
      <c r="V36" s="62">
        <f t="shared" si="8"/>
        <v>1</v>
      </c>
      <c r="W36" s="62">
        <f t="shared" si="15"/>
        <v>23.297799999999999</v>
      </c>
      <c r="X36" s="62">
        <f t="shared" si="16"/>
        <v>1.3599999999999999E-2</v>
      </c>
      <c r="Y36" s="62">
        <f t="shared" si="17"/>
        <v>23.284199999999998</v>
      </c>
      <c r="Z36" s="63" t="e">
        <f>VLOOKUP(A36,Enforcements!$C$3:$J$40,8,0)</f>
        <v>#N/A</v>
      </c>
      <c r="AA36" s="63" t="e">
        <f>VLOOKUP(A36,Enforcements!$C$3:$J$40,3,0)</f>
        <v>#N/A</v>
      </c>
    </row>
    <row r="37" spans="1:27" s="2" customFormat="1" x14ac:dyDescent="0.25">
      <c r="A37" s="13" t="s">
        <v>394</v>
      </c>
      <c r="B37" s="13">
        <v>4038</v>
      </c>
      <c r="C37" s="13" t="s">
        <v>52</v>
      </c>
      <c r="D37" s="13" t="s">
        <v>260</v>
      </c>
      <c r="E37" s="32">
        <v>42492.321064814816</v>
      </c>
      <c r="F37" s="32">
        <v>42492.321944444448</v>
      </c>
      <c r="G37" s="40">
        <v>1</v>
      </c>
      <c r="H37" s="32" t="s">
        <v>236</v>
      </c>
      <c r="I37" s="32">
        <v>42492.348182870373</v>
      </c>
      <c r="J37" s="13">
        <v>1</v>
      </c>
      <c r="K37" s="13" t="str">
        <f t="shared" si="11"/>
        <v>4037/4038</v>
      </c>
      <c r="L37" s="70" t="str">
        <f>VLOOKUP(A37,'Trips&amp;Operators'!$C$1:$E$9999,3,FALSE)</f>
        <v>CHANDLER</v>
      </c>
      <c r="M37" s="14">
        <f t="shared" si="12"/>
        <v>2.6238425925839692E-2</v>
      </c>
      <c r="N37" s="15">
        <f t="shared" si="10"/>
        <v>37.783333333209157</v>
      </c>
      <c r="O37" s="15"/>
      <c r="P37" s="15"/>
      <c r="Q37" s="55"/>
      <c r="R37" s="55"/>
      <c r="T37" s="62" t="str">
        <f t="shared" si="13"/>
        <v>https://search-rtdc-monitor-bjffxe2xuh6vdkpspy63sjmuny.us-east-1.es.amazonaws.com/_plugin/kibana/#/discover/Steve-Slow-Train-Analysis-(2080s-and-2083s)?_g=(refreshInterval:(display:Off,section:0,value:0),time:(from:'2016-05-02 07:41:20-0600',mode:absolute,to:'2016-05-02 08:22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U37" s="62" t="str">
        <f t="shared" si="14"/>
        <v>N</v>
      </c>
      <c r="V37" s="62">
        <f t="shared" si="8"/>
        <v>1</v>
      </c>
      <c r="W37" s="62">
        <f t="shared" si="15"/>
        <v>4.4400000000000002E-2</v>
      </c>
      <c r="X37" s="62">
        <f t="shared" si="16"/>
        <v>23.329699999999999</v>
      </c>
      <c r="Y37" s="62">
        <f t="shared" si="17"/>
        <v>23.285299999999999</v>
      </c>
      <c r="Z37" s="63">
        <f>VLOOKUP(A37,Enforcements!$C$3:$J$40,8,0)</f>
        <v>230436</v>
      </c>
      <c r="AA37" s="63" t="str">
        <f>VLOOKUP(A37,Enforcements!$C$3:$J$40,3,0)</f>
        <v>PERMANENT SPEED RESTRICTION</v>
      </c>
    </row>
    <row r="38" spans="1:27" s="2" customFormat="1" x14ac:dyDescent="0.25">
      <c r="A38" s="13" t="s">
        <v>371</v>
      </c>
      <c r="B38" s="13">
        <v>4037</v>
      </c>
      <c r="C38" s="13" t="s">
        <v>52</v>
      </c>
      <c r="D38" s="13" t="s">
        <v>174</v>
      </c>
      <c r="E38" s="32">
        <v>42492.359351851854</v>
      </c>
      <c r="F38" s="32">
        <v>42492.360462962963</v>
      </c>
      <c r="G38" s="40">
        <v>1</v>
      </c>
      <c r="H38" s="32" t="s">
        <v>153</v>
      </c>
      <c r="I38" s="32">
        <v>42492.387557870374</v>
      </c>
      <c r="J38" s="13">
        <v>0</v>
      </c>
      <c r="K38" s="13" t="str">
        <f t="shared" si="11"/>
        <v>4037/4038</v>
      </c>
      <c r="L38" s="70" t="str">
        <f>VLOOKUP(A38,'Trips&amp;Operators'!$C$1:$E$9999,3,FALSE)</f>
        <v>CHANDLER</v>
      </c>
      <c r="M38" s="14">
        <f t="shared" si="12"/>
        <v>2.7094907411083113E-2</v>
      </c>
      <c r="N38" s="15">
        <f t="shared" si="10"/>
        <v>39.016666671959683</v>
      </c>
      <c r="O38" s="15"/>
      <c r="P38" s="15"/>
      <c r="Q38" s="55"/>
      <c r="R38" s="55"/>
      <c r="T38" s="62" t="str">
        <f t="shared" si="13"/>
        <v>https://search-rtdc-monitor-bjffxe2xuh6vdkpspy63sjmuny.us-east-1.es.amazonaws.com/_plugin/kibana/#/discover/Steve-Slow-Train-Analysis-(2080s-and-2083s)?_g=(refreshInterval:(display:Off,section:0,value:0),time:(from:'2016-05-02 08:36:28-0600',mode:absolute,to:'2016-05-02 09:19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U38" s="62" t="str">
        <f t="shared" si="14"/>
        <v>N</v>
      </c>
      <c r="V38" s="62">
        <f t="shared" si="8"/>
        <v>1</v>
      </c>
      <c r="W38" s="62">
        <f t="shared" si="15"/>
        <v>23.299299999999999</v>
      </c>
      <c r="X38" s="62">
        <f t="shared" si="16"/>
        <v>1.5800000000000002E-2</v>
      </c>
      <c r="Y38" s="62">
        <f t="shared" si="17"/>
        <v>23.2835</v>
      </c>
      <c r="Z38" s="63" t="e">
        <f>VLOOKUP(A38,Enforcements!$C$3:$J$40,8,0)</f>
        <v>#N/A</v>
      </c>
      <c r="AA38" s="63" t="e">
        <f>VLOOKUP(A38,Enforcements!$C$3:$J$40,3,0)</f>
        <v>#N/A</v>
      </c>
    </row>
    <row r="39" spans="1:27" s="2" customFormat="1" x14ac:dyDescent="0.25">
      <c r="A39" s="13" t="s">
        <v>378</v>
      </c>
      <c r="B39" s="13">
        <v>4020</v>
      </c>
      <c r="C39" s="13" t="s">
        <v>52</v>
      </c>
      <c r="D39" s="13" t="s">
        <v>543</v>
      </c>
      <c r="E39" s="32">
        <v>42492.328321759262</v>
      </c>
      <c r="F39" s="32">
        <v>42492.329479166663</v>
      </c>
      <c r="G39" s="40">
        <v>1</v>
      </c>
      <c r="H39" s="32" t="s">
        <v>149</v>
      </c>
      <c r="I39" s="32">
        <v>42492.357881944445</v>
      </c>
      <c r="J39" s="13">
        <v>0</v>
      </c>
      <c r="K39" s="13" t="str">
        <f t="shared" si="11"/>
        <v>4019/4020</v>
      </c>
      <c r="L39" s="70" t="str">
        <f>VLOOKUP(A39,'Trips&amp;Operators'!$C$1:$E$9999,3,FALSE)</f>
        <v>DE LA ROSA</v>
      </c>
      <c r="M39" s="14">
        <f t="shared" si="12"/>
        <v>2.8402777781593613E-2</v>
      </c>
      <c r="N39" s="15">
        <f t="shared" si="10"/>
        <v>40.900000005494803</v>
      </c>
      <c r="O39" s="15"/>
      <c r="P39" s="15"/>
      <c r="Q39" s="55"/>
      <c r="R39" s="55"/>
      <c r="T39" s="62" t="str">
        <f t="shared" si="13"/>
        <v>https://search-rtdc-monitor-bjffxe2xuh6vdkpspy63sjmuny.us-east-1.es.amazonaws.com/_plugin/kibana/#/discover/Steve-Slow-Train-Analysis-(2080s-and-2083s)?_g=(refreshInterval:(display:Off,section:0,value:0),time:(from:'2016-05-02 07:51:47-0600',mode:absolute,to:'2016-05-02 08:36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39" s="62" t="str">
        <f t="shared" si="14"/>
        <v>N</v>
      </c>
      <c r="V39" s="62">
        <f t="shared" si="8"/>
        <v>1</v>
      </c>
      <c r="W39" s="62">
        <f t="shared" si="15"/>
        <v>4.8000000000000001E-2</v>
      </c>
      <c r="X39" s="62">
        <f t="shared" si="16"/>
        <v>23.330500000000001</v>
      </c>
      <c r="Y39" s="62">
        <f t="shared" si="17"/>
        <v>23.282500000000002</v>
      </c>
      <c r="Z39" s="63" t="e">
        <f>VLOOKUP(A39,Enforcements!$C$3:$J$40,8,0)</f>
        <v>#N/A</v>
      </c>
      <c r="AA39" s="63" t="e">
        <f>VLOOKUP(A39,Enforcements!$C$3:$J$40,3,0)</f>
        <v>#N/A</v>
      </c>
    </row>
    <row r="40" spans="1:27" s="2" customFormat="1" x14ac:dyDescent="0.25">
      <c r="A40" s="13" t="s">
        <v>352</v>
      </c>
      <c r="B40" s="13">
        <v>4019</v>
      </c>
      <c r="C40" s="13" t="s">
        <v>52</v>
      </c>
      <c r="D40" s="13" t="s">
        <v>233</v>
      </c>
      <c r="E40" s="32">
        <v>42492.362349537034</v>
      </c>
      <c r="F40" s="32">
        <v>42492.373124999998</v>
      </c>
      <c r="G40" s="40">
        <v>1</v>
      </c>
      <c r="H40" s="32" t="s">
        <v>185</v>
      </c>
      <c r="I40" s="32">
        <v>42492.399062500001</v>
      </c>
      <c r="J40" s="13">
        <v>0</v>
      </c>
      <c r="K40" s="13" t="str">
        <f t="shared" si="11"/>
        <v>4019/4020</v>
      </c>
      <c r="L40" s="70" t="str">
        <f>VLOOKUP(A40,'Trips&amp;Operators'!$C$1:$E$9999,3,FALSE)</f>
        <v>DE LA ROSA</v>
      </c>
      <c r="M40" s="14">
        <f t="shared" si="12"/>
        <v>2.5937500002328306E-2</v>
      </c>
      <c r="N40" s="15">
        <f t="shared" si="10"/>
        <v>37.350000003352761</v>
      </c>
      <c r="O40" s="15"/>
      <c r="P40" s="15"/>
      <c r="Q40" s="55"/>
      <c r="R40" s="55"/>
      <c r="T40" s="62" t="str">
        <f t="shared" si="13"/>
        <v>https://search-rtdc-monitor-bjffxe2xuh6vdkpspy63sjmuny.us-east-1.es.amazonaws.com/_plugin/kibana/#/discover/Steve-Slow-Train-Analysis-(2080s-and-2083s)?_g=(refreshInterval:(display:Off,section:0,value:0),time:(from:'2016-05-02 08:40:47-0600',mode:absolute,to:'2016-05-02 09:35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40" s="62" t="str">
        <f t="shared" si="14"/>
        <v>N</v>
      </c>
      <c r="V40" s="62">
        <f t="shared" si="8"/>
        <v>1</v>
      </c>
      <c r="W40" s="62">
        <f t="shared" si="15"/>
        <v>23.2986</v>
      </c>
      <c r="X40" s="62">
        <f t="shared" si="16"/>
        <v>1.38E-2</v>
      </c>
      <c r="Y40" s="62">
        <f t="shared" si="17"/>
        <v>23.284800000000001</v>
      </c>
      <c r="Z40" s="63" t="e">
        <f>VLOOKUP(A40,Enforcements!$C$3:$J$40,8,0)</f>
        <v>#N/A</v>
      </c>
      <c r="AA40" s="63" t="e">
        <f>VLOOKUP(A40,Enforcements!$C$3:$J$40,3,0)</f>
        <v>#N/A</v>
      </c>
    </row>
    <row r="41" spans="1:27" s="2" customFormat="1" x14ac:dyDescent="0.25">
      <c r="A41" s="13" t="s">
        <v>376</v>
      </c>
      <c r="B41" s="13">
        <v>4027</v>
      </c>
      <c r="C41" s="13" t="s">
        <v>52</v>
      </c>
      <c r="D41" s="13" t="s">
        <v>193</v>
      </c>
      <c r="E41" s="32">
        <v>42492.339594907404</v>
      </c>
      <c r="F41" s="32">
        <v>42492.340729166666</v>
      </c>
      <c r="G41" s="40">
        <v>1</v>
      </c>
      <c r="H41" s="32" t="s">
        <v>267</v>
      </c>
      <c r="I41" s="32">
        <v>42492.369085648148</v>
      </c>
      <c r="J41" s="13">
        <v>1</v>
      </c>
      <c r="K41" s="13" t="str">
        <f t="shared" si="11"/>
        <v>4027/4028</v>
      </c>
      <c r="L41" s="70" t="str">
        <f>VLOOKUP(A41,'Trips&amp;Operators'!$C$1:$E$9999,3,FALSE)</f>
        <v>SPECTOR</v>
      </c>
      <c r="M41" s="14">
        <f t="shared" si="12"/>
        <v>2.8356481481750961E-2</v>
      </c>
      <c r="N41" s="15">
        <f t="shared" si="10"/>
        <v>40.833333333721384</v>
      </c>
      <c r="O41" s="15"/>
      <c r="P41" s="15"/>
      <c r="Q41" s="55"/>
      <c r="R41" s="55"/>
      <c r="T41" s="62" t="str">
        <f t="shared" si="13"/>
        <v>https://search-rtdc-monitor-bjffxe2xuh6vdkpspy63sjmuny.us-east-1.es.amazonaws.com/_plugin/kibana/#/discover/Steve-Slow-Train-Analysis-(2080s-and-2083s)?_g=(refreshInterval:(display:Off,section:0,value:0),time:(from:'2016-05-02 08:08:01-0600',mode:absolute,to:'2016-05-02 08:52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U41" s="62" t="str">
        <f t="shared" si="14"/>
        <v>N</v>
      </c>
      <c r="V41" s="62">
        <f t="shared" si="8"/>
        <v>1</v>
      </c>
      <c r="W41" s="62">
        <f t="shared" si="15"/>
        <v>4.4900000000000002E-2</v>
      </c>
      <c r="X41" s="62">
        <f t="shared" si="16"/>
        <v>23.332100000000001</v>
      </c>
      <c r="Y41" s="62">
        <f t="shared" si="17"/>
        <v>23.287200000000002</v>
      </c>
      <c r="Z41" s="63" t="e">
        <f>VLOOKUP(A41,Enforcements!$C$3:$J$40,8,0)</f>
        <v>#N/A</v>
      </c>
      <c r="AA41" s="63" t="e">
        <f>VLOOKUP(A41,Enforcements!$C$3:$J$40,3,0)</f>
        <v>#N/A</v>
      </c>
    </row>
    <row r="42" spans="1:27" s="2" customFormat="1" x14ac:dyDescent="0.25">
      <c r="A42" s="13" t="s">
        <v>327</v>
      </c>
      <c r="B42" s="13">
        <v>4028</v>
      </c>
      <c r="C42" s="13" t="s">
        <v>52</v>
      </c>
      <c r="D42" s="13" t="s">
        <v>128</v>
      </c>
      <c r="E42" s="32">
        <v>42492.378900462965</v>
      </c>
      <c r="F42" s="32">
        <v>42492.379907407405</v>
      </c>
      <c r="G42" s="40">
        <v>1</v>
      </c>
      <c r="H42" s="32" t="s">
        <v>142</v>
      </c>
      <c r="I42" s="32">
        <v>42492.408530092594</v>
      </c>
      <c r="J42" s="13">
        <v>0</v>
      </c>
      <c r="K42" s="13" t="str">
        <f t="shared" si="11"/>
        <v>4027/4028</v>
      </c>
      <c r="L42" s="70" t="str">
        <f>VLOOKUP(A42,'Trips&amp;Operators'!$C$1:$E$9999,3,FALSE)</f>
        <v>SPECTOR</v>
      </c>
      <c r="M42" s="14">
        <f t="shared" si="12"/>
        <v>2.8622685189475305E-2</v>
      </c>
      <c r="N42" s="15">
        <f t="shared" si="10"/>
        <v>41.21666667284444</v>
      </c>
      <c r="O42" s="15"/>
      <c r="P42" s="15"/>
      <c r="Q42" s="55"/>
      <c r="R42" s="55"/>
      <c r="T42" s="62" t="str">
        <f t="shared" si="13"/>
        <v>https://search-rtdc-monitor-bjffxe2xuh6vdkpspy63sjmuny.us-east-1.es.amazonaws.com/_plugin/kibana/#/discover/Steve-Slow-Train-Analysis-(2080s-and-2083s)?_g=(refreshInterval:(display:Off,section:0,value:0),time:(from:'2016-05-02 09:04:37-0600',mode:absolute,to:'2016-05-02 09:49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U42" s="62" t="str">
        <f t="shared" si="14"/>
        <v>N</v>
      </c>
      <c r="V42" s="62">
        <f t="shared" si="8"/>
        <v>1</v>
      </c>
      <c r="W42" s="62">
        <f t="shared" si="15"/>
        <v>23.3002</v>
      </c>
      <c r="X42" s="62">
        <f t="shared" si="16"/>
        <v>1.4500000000000001E-2</v>
      </c>
      <c r="Y42" s="62">
        <f t="shared" si="17"/>
        <v>23.285699999999999</v>
      </c>
      <c r="Z42" s="63" t="e">
        <f>VLOOKUP(A42,Enforcements!$C$3:$J$40,8,0)</f>
        <v>#N/A</v>
      </c>
      <c r="AA42" s="63" t="e">
        <f>VLOOKUP(A42,Enforcements!$C$3:$J$40,3,0)</f>
        <v>#N/A</v>
      </c>
    </row>
    <row r="43" spans="1:27" s="2" customFormat="1" x14ac:dyDescent="0.25">
      <c r="A43" s="13" t="s">
        <v>351</v>
      </c>
      <c r="B43" s="13">
        <v>4007</v>
      </c>
      <c r="C43" s="13" t="s">
        <v>52</v>
      </c>
      <c r="D43" s="13" t="s">
        <v>130</v>
      </c>
      <c r="E43" s="32">
        <v>42492.348506944443</v>
      </c>
      <c r="F43" s="32">
        <v>42492.349606481483</v>
      </c>
      <c r="G43" s="40">
        <v>1</v>
      </c>
      <c r="H43" s="32" t="s">
        <v>212</v>
      </c>
      <c r="I43" s="32">
        <v>42492.378865740742</v>
      </c>
      <c r="J43" s="13">
        <v>1</v>
      </c>
      <c r="K43" s="13" t="str">
        <f t="shared" si="11"/>
        <v>4007/4008</v>
      </c>
      <c r="L43" s="70" t="str">
        <f>VLOOKUP(A43,'Trips&amp;Operators'!$C$1:$E$9999,3,FALSE)</f>
        <v>NEWELL</v>
      </c>
      <c r="M43" s="14">
        <f t="shared" si="12"/>
        <v>2.9259259259561077E-2</v>
      </c>
      <c r="N43" s="15">
        <f t="shared" si="10"/>
        <v>42.133333333767951</v>
      </c>
      <c r="O43" s="15"/>
      <c r="P43" s="15"/>
      <c r="Q43" s="55"/>
      <c r="R43" s="55"/>
      <c r="T43" s="62" t="str">
        <f t="shared" si="13"/>
        <v>https://search-rtdc-monitor-bjffxe2xuh6vdkpspy63sjmuny.us-east-1.es.amazonaws.com/_plugin/kibana/#/discover/Steve-Slow-Train-Analysis-(2080s-and-2083s)?_g=(refreshInterval:(display:Off,section:0,value:0),time:(from:'2016-05-02 08:20:51-0600',mode:absolute,to:'2016-05-02 09:06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43" s="62" t="str">
        <f t="shared" si="14"/>
        <v>N</v>
      </c>
      <c r="V43" s="62">
        <f t="shared" si="8"/>
        <v>1</v>
      </c>
      <c r="W43" s="62">
        <f t="shared" si="15"/>
        <v>4.5100000000000001E-2</v>
      </c>
      <c r="X43" s="62">
        <f t="shared" si="16"/>
        <v>23.330300000000001</v>
      </c>
      <c r="Y43" s="62">
        <f t="shared" si="17"/>
        <v>23.2852</v>
      </c>
      <c r="Z43" s="63" t="e">
        <f>VLOOKUP(A43,Enforcements!$C$3:$J$40,8,0)</f>
        <v>#N/A</v>
      </c>
      <c r="AA43" s="63" t="e">
        <f>VLOOKUP(A43,Enforcements!$C$3:$J$40,3,0)</f>
        <v>#N/A</v>
      </c>
    </row>
    <row r="44" spans="1:27" s="2" customFormat="1" x14ac:dyDescent="0.25">
      <c r="A44" s="13" t="s">
        <v>390</v>
      </c>
      <c r="B44" s="13">
        <v>4008</v>
      </c>
      <c r="C44" s="13" t="s">
        <v>52</v>
      </c>
      <c r="D44" s="13" t="s">
        <v>138</v>
      </c>
      <c r="E44" s="32">
        <v>42492.386620370373</v>
      </c>
      <c r="F44" s="32">
        <v>42492.387592592589</v>
      </c>
      <c r="G44" s="40">
        <v>1</v>
      </c>
      <c r="H44" s="32" t="s">
        <v>185</v>
      </c>
      <c r="I44" s="32">
        <v>42492.420451388891</v>
      </c>
      <c r="J44" s="13">
        <v>0</v>
      </c>
      <c r="K44" s="13" t="str">
        <f t="shared" si="11"/>
        <v>4007/4008</v>
      </c>
      <c r="L44" s="70" t="str">
        <f>VLOOKUP(A44,'Trips&amp;Operators'!$C$1:$E$9999,3,FALSE)</f>
        <v>NEWELL</v>
      </c>
      <c r="M44" s="14">
        <f t="shared" si="12"/>
        <v>3.2858796301297843E-2</v>
      </c>
      <c r="N44" s="15">
        <f t="shared" si="10"/>
        <v>47.316666673868895</v>
      </c>
      <c r="O44" s="15"/>
      <c r="P44" s="15"/>
      <c r="Q44" s="55"/>
      <c r="R44" s="55"/>
      <c r="T44" s="62" t="str">
        <f t="shared" si="13"/>
        <v>https://search-rtdc-monitor-bjffxe2xuh6vdkpspy63sjmuny.us-east-1.es.amazonaws.com/_plugin/kibana/#/discover/Steve-Slow-Train-Analysis-(2080s-and-2083s)?_g=(refreshInterval:(display:Off,section:0,value:0),time:(from:'2016-05-02 09:15:44-0600',mode:absolute,to:'2016-05-02 10:06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44" s="62" t="str">
        <f t="shared" si="14"/>
        <v>N</v>
      </c>
      <c r="V44" s="62">
        <f t="shared" si="8"/>
        <v>1</v>
      </c>
      <c r="W44" s="62">
        <f t="shared" si="15"/>
        <v>23.297999999999998</v>
      </c>
      <c r="X44" s="62">
        <f t="shared" si="16"/>
        <v>1.38E-2</v>
      </c>
      <c r="Y44" s="62">
        <f t="shared" si="17"/>
        <v>23.284199999999998</v>
      </c>
      <c r="Z44" s="63" t="e">
        <f>VLOOKUP(A44,Enforcements!$C$3:$J$40,8,0)</f>
        <v>#N/A</v>
      </c>
      <c r="AA44" s="63" t="e">
        <f>VLOOKUP(A44,Enforcements!$C$3:$J$40,3,0)</f>
        <v>#N/A</v>
      </c>
    </row>
    <row r="45" spans="1:27" s="2" customFormat="1" x14ac:dyDescent="0.25">
      <c r="A45" s="13" t="s">
        <v>377</v>
      </c>
      <c r="B45" s="13">
        <v>4044</v>
      </c>
      <c r="C45" s="13" t="s">
        <v>52</v>
      </c>
      <c r="D45" s="13" t="s">
        <v>296</v>
      </c>
      <c r="E45" s="32">
        <v>42492.359074074076</v>
      </c>
      <c r="F45" s="32">
        <v>42492.359930555554</v>
      </c>
      <c r="G45" s="40">
        <v>1</v>
      </c>
      <c r="H45" s="32" t="s">
        <v>542</v>
      </c>
      <c r="I45" s="32">
        <v>42492.389432870368</v>
      </c>
      <c r="J45" s="13">
        <v>0</v>
      </c>
      <c r="K45" s="13" t="str">
        <f t="shared" si="11"/>
        <v>4043/4044</v>
      </c>
      <c r="L45" s="70" t="str">
        <f>VLOOKUP(A45,'Trips&amp;Operators'!$C$1:$E$9999,3,FALSE)</f>
        <v>LEVIN</v>
      </c>
      <c r="M45" s="14">
        <f t="shared" si="12"/>
        <v>2.9502314813726116E-2</v>
      </c>
      <c r="N45" s="15">
        <f t="shared" si="10"/>
        <v>42.483333331765607</v>
      </c>
      <c r="O45" s="15"/>
      <c r="P45" s="15"/>
      <c r="Q45" s="55"/>
      <c r="R45" s="55"/>
      <c r="T45" s="62" t="str">
        <f t="shared" si="13"/>
        <v>https://search-rtdc-monitor-bjffxe2xuh6vdkpspy63sjmuny.us-east-1.es.amazonaws.com/_plugin/kibana/#/discover/Steve-Slow-Train-Analysis-(2080s-and-2083s)?_g=(refreshInterval:(display:Off,section:0,value:0),time:(from:'2016-05-02 08:36:04-0600',mode:absolute,to:'2016-05-02 09:21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45" s="62" t="str">
        <f t="shared" si="14"/>
        <v>N</v>
      </c>
      <c r="V45" s="62">
        <f t="shared" si="8"/>
        <v>1</v>
      </c>
      <c r="W45" s="62">
        <f t="shared" si="15"/>
        <v>4.5499999999999999E-2</v>
      </c>
      <c r="X45" s="62">
        <f t="shared" si="16"/>
        <v>23.331700000000001</v>
      </c>
      <c r="Y45" s="62">
        <f t="shared" si="17"/>
        <v>23.286200000000001</v>
      </c>
      <c r="Z45" s="63" t="e">
        <f>VLOOKUP(A45,Enforcements!$C$3:$J$40,8,0)</f>
        <v>#N/A</v>
      </c>
      <c r="AA45" s="63" t="e">
        <f>VLOOKUP(A45,Enforcements!$C$3:$J$40,3,0)</f>
        <v>#N/A</v>
      </c>
    </row>
    <row r="46" spans="1:27" s="2" customFormat="1" x14ac:dyDescent="0.25">
      <c r="A46" s="13" t="s">
        <v>395</v>
      </c>
      <c r="B46" s="13">
        <v>4043</v>
      </c>
      <c r="C46" s="13" t="s">
        <v>52</v>
      </c>
      <c r="D46" s="13" t="s">
        <v>158</v>
      </c>
      <c r="E46" s="32">
        <v>42492.395821759259</v>
      </c>
      <c r="F46" s="32">
        <v>42492.403715277775</v>
      </c>
      <c r="G46" s="40">
        <v>1</v>
      </c>
      <c r="H46" s="32" t="s">
        <v>287</v>
      </c>
      <c r="I46" s="32">
        <v>42492.431550925925</v>
      </c>
      <c r="J46" s="13">
        <v>0</v>
      </c>
      <c r="K46" s="13" t="str">
        <f t="shared" si="11"/>
        <v>4043/4044</v>
      </c>
      <c r="L46" s="70" t="str">
        <f>VLOOKUP(A46,'Trips&amp;Operators'!$C$1:$E$9999,3,FALSE)</f>
        <v>LEVIN</v>
      </c>
      <c r="M46" s="14">
        <f t="shared" si="12"/>
        <v>2.7835648150357883E-2</v>
      </c>
      <c r="N46" s="15">
        <f t="shared" si="10"/>
        <v>40.083333336515352</v>
      </c>
      <c r="O46" s="15"/>
      <c r="P46" s="15"/>
      <c r="Q46" s="55"/>
      <c r="R46" s="55"/>
      <c r="T46" s="62" t="str">
        <f t="shared" si="13"/>
        <v>https://search-rtdc-monitor-bjffxe2xuh6vdkpspy63sjmuny.us-east-1.es.amazonaws.com/_plugin/kibana/#/discover/Steve-Slow-Train-Analysis-(2080s-and-2083s)?_g=(refreshInterval:(display:Off,section:0,value:0),time:(from:'2016-05-02 09:28:59-0600',mode:absolute,to:'2016-05-02 10:22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46" s="62" t="str">
        <f t="shared" si="14"/>
        <v>N</v>
      </c>
      <c r="V46" s="62">
        <f t="shared" si="8"/>
        <v>1</v>
      </c>
      <c r="W46" s="62">
        <f t="shared" si="15"/>
        <v>23.299600000000002</v>
      </c>
      <c r="X46" s="62">
        <f t="shared" si="16"/>
        <v>1.47E-2</v>
      </c>
      <c r="Y46" s="62">
        <f t="shared" si="17"/>
        <v>23.2849</v>
      </c>
      <c r="Z46" s="63" t="e">
        <f>VLOOKUP(A46,Enforcements!$C$3:$J$40,8,0)</f>
        <v>#N/A</v>
      </c>
      <c r="AA46" s="63" t="e">
        <f>VLOOKUP(A46,Enforcements!$C$3:$J$40,3,0)</f>
        <v>#N/A</v>
      </c>
    </row>
    <row r="47" spans="1:27" s="2" customFormat="1" x14ac:dyDescent="0.25">
      <c r="A47" s="13" t="s">
        <v>330</v>
      </c>
      <c r="B47" s="13">
        <v>4014</v>
      </c>
      <c r="C47" s="13" t="s">
        <v>52</v>
      </c>
      <c r="D47" s="13" t="s">
        <v>540</v>
      </c>
      <c r="E47" s="32">
        <v>42492.372430555559</v>
      </c>
      <c r="F47" s="32">
        <v>42492.373356481483</v>
      </c>
      <c r="G47" s="40">
        <v>1</v>
      </c>
      <c r="H47" s="32" t="s">
        <v>541</v>
      </c>
      <c r="I47" s="32">
        <v>42492.402337962965</v>
      </c>
      <c r="J47" s="13">
        <v>0</v>
      </c>
      <c r="K47" s="13" t="str">
        <f t="shared" si="11"/>
        <v>4013/4014</v>
      </c>
      <c r="L47" s="70" t="str">
        <f>VLOOKUP(A47,'Trips&amp;Operators'!$C$1:$E$9999,3,FALSE)</f>
        <v>MALAVE</v>
      </c>
      <c r="M47" s="14">
        <f t="shared" si="12"/>
        <v>2.8981481482333038E-2</v>
      </c>
      <c r="N47" s="15">
        <f t="shared" si="10"/>
        <v>41.733333334559575</v>
      </c>
      <c r="O47" s="15"/>
      <c r="P47" s="15"/>
      <c r="Q47" s="55"/>
      <c r="R47" s="55"/>
      <c r="T47" s="62" t="str">
        <f t="shared" si="13"/>
        <v>https://search-rtdc-monitor-bjffxe2xuh6vdkpspy63sjmuny.us-east-1.es.amazonaws.com/_plugin/kibana/#/discover/Steve-Slow-Train-Analysis-(2080s-and-2083s)?_g=(refreshInterval:(display:Off,section:0,value:0),time:(from:'2016-05-02 08:55:18-0600',mode:absolute,to:'2016-05-02 09:40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U47" s="62" t="str">
        <f t="shared" si="14"/>
        <v>N</v>
      </c>
      <c r="V47" s="62">
        <f t="shared" si="8"/>
        <v>1</v>
      </c>
      <c r="W47" s="62">
        <f t="shared" si="15"/>
        <v>4.2700000000000002E-2</v>
      </c>
      <c r="X47" s="62">
        <f t="shared" si="16"/>
        <v>23.3261</v>
      </c>
      <c r="Y47" s="62">
        <f t="shared" si="17"/>
        <v>23.2834</v>
      </c>
      <c r="Z47" s="63" t="e">
        <f>VLOOKUP(A47,Enforcements!$C$3:$J$40,8,0)</f>
        <v>#N/A</v>
      </c>
      <c r="AA47" s="63" t="e">
        <f>VLOOKUP(A47,Enforcements!$C$3:$J$40,3,0)</f>
        <v>#N/A</v>
      </c>
    </row>
    <row r="48" spans="1:27" s="2" customFormat="1" x14ac:dyDescent="0.25">
      <c r="A48" s="13" t="s">
        <v>396</v>
      </c>
      <c r="B48" s="13">
        <v>4013</v>
      </c>
      <c r="C48" s="13" t="s">
        <v>52</v>
      </c>
      <c r="D48" s="13" t="s">
        <v>224</v>
      </c>
      <c r="E48" s="32">
        <v>42492.409872685188</v>
      </c>
      <c r="F48" s="32">
        <v>42492.414004629631</v>
      </c>
      <c r="G48" s="40">
        <v>5</v>
      </c>
      <c r="H48" s="32" t="s">
        <v>186</v>
      </c>
      <c r="I48" s="32">
        <v>42492.442118055558</v>
      </c>
      <c r="J48" s="13">
        <v>3</v>
      </c>
      <c r="K48" s="13" t="str">
        <f t="shared" si="11"/>
        <v>4013/4014</v>
      </c>
      <c r="L48" s="70" t="str">
        <f>VLOOKUP(A48,'Trips&amp;Operators'!$C$1:$E$9999,3,FALSE)</f>
        <v>MALAVE</v>
      </c>
      <c r="M48" s="14">
        <f t="shared" si="12"/>
        <v>2.8113425927585922E-2</v>
      </c>
      <c r="N48" s="15">
        <f t="shared" si="10"/>
        <v>40.483333335723728</v>
      </c>
      <c r="O48" s="15"/>
      <c r="P48" s="15"/>
      <c r="Q48" s="55"/>
      <c r="R48" s="55"/>
      <c r="T48" s="62" t="str">
        <f t="shared" si="13"/>
        <v>https://search-rtdc-monitor-bjffxe2xuh6vdkpspy63sjmuny.us-east-1.es.amazonaws.com/_plugin/kibana/#/discover/Steve-Slow-Train-Analysis-(2080s-and-2083s)?_g=(refreshInterval:(display:Off,section:0,value:0),time:(from:'2016-05-02 09:49:13-0600',mode:absolute,to:'2016-05-02 10:37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U48" s="62" t="str">
        <f t="shared" si="14"/>
        <v>N</v>
      </c>
      <c r="V48" s="62">
        <f t="shared" si="8"/>
        <v>1</v>
      </c>
      <c r="W48" s="62">
        <f t="shared" si="15"/>
        <v>23.296900000000001</v>
      </c>
      <c r="X48" s="62">
        <f t="shared" si="16"/>
        <v>1.41E-2</v>
      </c>
      <c r="Y48" s="62">
        <f t="shared" si="17"/>
        <v>23.282800000000002</v>
      </c>
      <c r="Z48" s="63">
        <f>VLOOKUP(A48,Enforcements!$C$3:$J$40,8,0)</f>
        <v>15167</v>
      </c>
      <c r="AA48" s="63" t="str">
        <f>VLOOKUP(A48,Enforcements!$C$3:$J$40,3,0)</f>
        <v>PERMANENT SPEED RESTRICTION</v>
      </c>
    </row>
    <row r="49" spans="1:27" s="2" customFormat="1" x14ac:dyDescent="0.25">
      <c r="A49" s="13" t="s">
        <v>325</v>
      </c>
      <c r="B49" s="13">
        <v>4025</v>
      </c>
      <c r="C49" s="13" t="s">
        <v>52</v>
      </c>
      <c r="D49" s="13" t="s">
        <v>209</v>
      </c>
      <c r="E49" s="32">
        <v>42492.380844907406</v>
      </c>
      <c r="F49" s="32">
        <v>42492.382118055553</v>
      </c>
      <c r="G49" s="40">
        <v>1</v>
      </c>
      <c r="H49" s="32" t="s">
        <v>278</v>
      </c>
      <c r="I49" s="32">
        <v>42492.410694444443</v>
      </c>
      <c r="J49" s="13">
        <v>1</v>
      </c>
      <c r="K49" s="13" t="str">
        <f t="shared" si="11"/>
        <v>4025/4026</v>
      </c>
      <c r="L49" s="70" t="str">
        <f>VLOOKUP(A49,'Trips&amp;Operators'!$C$1:$E$9999,3,FALSE)</f>
        <v>BRUDER</v>
      </c>
      <c r="M49" s="14">
        <f t="shared" si="12"/>
        <v>2.8576388889632653E-2</v>
      </c>
      <c r="N49" s="15">
        <f t="shared" si="10"/>
        <v>41.150000001071021</v>
      </c>
      <c r="O49" s="15"/>
      <c r="P49" s="15"/>
      <c r="Q49" s="55"/>
      <c r="R49" s="55"/>
      <c r="T49" s="62" t="str">
        <f t="shared" si="13"/>
        <v>https://search-rtdc-monitor-bjffxe2xuh6vdkpspy63sjmuny.us-east-1.es.amazonaws.com/_plugin/kibana/#/discover/Steve-Slow-Train-Analysis-(2080s-and-2083s)?_g=(refreshInterval:(display:Off,section:0,value:0),time:(from:'2016-05-02 09:07:25-0600',mode:absolute,to:'2016-05-02 09:52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U49" s="62" t="str">
        <f t="shared" si="14"/>
        <v>N</v>
      </c>
      <c r="V49" s="62">
        <f t="shared" si="8"/>
        <v>1</v>
      </c>
      <c r="W49" s="62">
        <f t="shared" si="15"/>
        <v>4.6899999999999997E-2</v>
      </c>
      <c r="X49" s="62">
        <f t="shared" si="16"/>
        <v>23.3308</v>
      </c>
      <c r="Y49" s="62">
        <f t="shared" si="17"/>
        <v>23.283899999999999</v>
      </c>
      <c r="Z49" s="63" t="e">
        <f>VLOOKUP(A49,Enforcements!$C$3:$J$40,8,0)</f>
        <v>#N/A</v>
      </c>
      <c r="AA49" s="63" t="e">
        <f>VLOOKUP(A49,Enforcements!$C$3:$J$40,3,0)</f>
        <v>#N/A</v>
      </c>
    </row>
    <row r="50" spans="1:27" s="2" customFormat="1" x14ac:dyDescent="0.25">
      <c r="A50" s="13" t="s">
        <v>502</v>
      </c>
      <c r="B50" s="13">
        <v>4026</v>
      </c>
      <c r="C50" s="13" t="s">
        <v>52</v>
      </c>
      <c r="D50" s="13" t="s">
        <v>174</v>
      </c>
      <c r="E50" s="32">
        <v>42492.42</v>
      </c>
      <c r="F50" s="32">
        <v>42492.420972222222</v>
      </c>
      <c r="G50" s="40">
        <v>1</v>
      </c>
      <c r="H50" s="32" t="s">
        <v>287</v>
      </c>
      <c r="I50" s="32">
        <v>42492.450162037036</v>
      </c>
      <c r="J50" s="13">
        <v>0</v>
      </c>
      <c r="K50" s="13" t="str">
        <f t="shared" si="11"/>
        <v>4025/4026</v>
      </c>
      <c r="L50" s="70" t="str">
        <f>VLOOKUP(A50,'Trips&amp;Operators'!$C$1:$E$9999,3,FALSE)</f>
        <v>BRUDER</v>
      </c>
      <c r="M50" s="14">
        <f t="shared" si="12"/>
        <v>2.9189814813435078E-2</v>
      </c>
      <c r="N50" s="15">
        <f t="shared" si="10"/>
        <v>42.033333331346512</v>
      </c>
      <c r="O50" s="15"/>
      <c r="P50" s="15"/>
      <c r="Q50" s="55"/>
      <c r="R50" s="55"/>
      <c r="T50" s="62" t="str">
        <f t="shared" si="13"/>
        <v>https://search-rtdc-monitor-bjffxe2xuh6vdkpspy63sjmuny.us-east-1.es.amazonaws.com/_plugin/kibana/#/discover/Steve-Slow-Train-Analysis-(2080s-and-2083s)?_g=(refreshInterval:(display:Off,section:0,value:0),time:(from:'2016-05-02 10:03:48-0600',mode:absolute,to:'2016-05-02 10:49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U50" s="62" t="str">
        <f t="shared" si="14"/>
        <v>N</v>
      </c>
      <c r="V50" s="62">
        <f t="shared" si="8"/>
        <v>1</v>
      </c>
      <c r="W50" s="62">
        <f t="shared" si="15"/>
        <v>23.299299999999999</v>
      </c>
      <c r="X50" s="62">
        <f t="shared" si="16"/>
        <v>1.47E-2</v>
      </c>
      <c r="Y50" s="62">
        <f t="shared" si="17"/>
        <v>23.284599999999998</v>
      </c>
      <c r="Z50" s="63" t="e">
        <f>VLOOKUP(A50,Enforcements!$C$3:$J$40,8,0)</f>
        <v>#N/A</v>
      </c>
      <c r="AA50" s="63" t="e">
        <f>VLOOKUP(A50,Enforcements!$C$3:$J$40,3,0)</f>
        <v>#N/A</v>
      </c>
    </row>
    <row r="51" spans="1:27" s="2" customFormat="1" x14ac:dyDescent="0.25">
      <c r="A51" s="13" t="s">
        <v>321</v>
      </c>
      <c r="B51" s="13">
        <v>4038</v>
      </c>
      <c r="C51" s="13" t="s">
        <v>52</v>
      </c>
      <c r="D51" s="13" t="s">
        <v>260</v>
      </c>
      <c r="E51" s="32">
        <v>42492.393020833333</v>
      </c>
      <c r="F51" s="32">
        <v>42492.394108796296</v>
      </c>
      <c r="G51" s="40">
        <v>1</v>
      </c>
      <c r="H51" s="32" t="s">
        <v>539</v>
      </c>
      <c r="I51" s="32">
        <v>42492.424456018518</v>
      </c>
      <c r="J51" s="13">
        <v>2</v>
      </c>
      <c r="K51" s="13" t="str">
        <f t="shared" si="11"/>
        <v>4037/4038</v>
      </c>
      <c r="L51" s="70" t="str">
        <f>VLOOKUP(A51,'Trips&amp;Operators'!$C$1:$E$9999,3,FALSE)</f>
        <v>CHANDLER</v>
      </c>
      <c r="M51" s="14">
        <f t="shared" si="12"/>
        <v>3.0347222222189885E-2</v>
      </c>
      <c r="N51" s="15">
        <f t="shared" si="10"/>
        <v>43.699999999953434</v>
      </c>
      <c r="O51" s="15"/>
      <c r="P51" s="15"/>
      <c r="Q51" s="55"/>
      <c r="R51" s="55"/>
      <c r="T51" s="62" t="str">
        <f t="shared" si="13"/>
        <v>https://search-rtdc-monitor-bjffxe2xuh6vdkpspy63sjmuny.us-east-1.es.amazonaws.com/_plugin/kibana/#/discover/Steve-Slow-Train-Analysis-(2080s-and-2083s)?_g=(refreshInterval:(display:Off,section:0,value:0),time:(from:'2016-05-02 09:24:57-0600',mode:absolute,to:'2016-05-02 10:12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U51" s="62" t="str">
        <f t="shared" si="14"/>
        <v>N</v>
      </c>
      <c r="V51" s="62">
        <f t="shared" si="8"/>
        <v>1</v>
      </c>
      <c r="W51" s="62">
        <f t="shared" si="15"/>
        <v>4.4400000000000002E-2</v>
      </c>
      <c r="X51" s="62">
        <f t="shared" si="16"/>
        <v>23.328800000000001</v>
      </c>
      <c r="Y51" s="62">
        <f t="shared" si="17"/>
        <v>23.284400000000002</v>
      </c>
      <c r="Z51" s="63">
        <f>VLOOKUP(A51,Enforcements!$C$3:$J$40,8,0)</f>
        <v>168003</v>
      </c>
      <c r="AA51" s="63" t="str">
        <f>VLOOKUP(A51,Enforcements!$C$3:$J$40,3,0)</f>
        <v>SIGNAL</v>
      </c>
    </row>
    <row r="52" spans="1:27" s="2" customFormat="1" x14ac:dyDescent="0.25">
      <c r="A52" s="13" t="s">
        <v>478</v>
      </c>
      <c r="B52" s="13">
        <v>4037</v>
      </c>
      <c r="C52" s="13" t="s">
        <v>52</v>
      </c>
      <c r="D52" s="13" t="s">
        <v>532</v>
      </c>
      <c r="E52" s="32">
        <v>42492.434872685182</v>
      </c>
      <c r="F52" s="32">
        <v>42492.435763888891</v>
      </c>
      <c r="G52" s="40">
        <v>1</v>
      </c>
      <c r="H52" s="32" t="s">
        <v>220</v>
      </c>
      <c r="I52" s="32">
        <v>42492.46429398148</v>
      </c>
      <c r="J52" s="13">
        <v>0</v>
      </c>
      <c r="K52" s="13" t="str">
        <f t="shared" si="11"/>
        <v>4037/4038</v>
      </c>
      <c r="L52" s="70" t="str">
        <f>VLOOKUP(A52,'Trips&amp;Operators'!$C$1:$E$9999,3,FALSE)</f>
        <v>CHANDLER</v>
      </c>
      <c r="M52" s="14">
        <f t="shared" si="12"/>
        <v>2.8530092589790002E-2</v>
      </c>
      <c r="N52" s="15">
        <f t="shared" si="10"/>
        <v>41.083333329297602</v>
      </c>
      <c r="O52" s="15"/>
      <c r="P52" s="15"/>
      <c r="Q52" s="55"/>
      <c r="R52" s="55"/>
      <c r="T52" s="62" t="str">
        <f t="shared" si="13"/>
        <v>https://search-rtdc-monitor-bjffxe2xuh6vdkpspy63sjmuny.us-east-1.es.amazonaws.com/_plugin/kibana/#/discover/Steve-Slow-Train-Analysis-(2080s-and-2083s)?_g=(refreshInterval:(display:Off,section:0,value:0),time:(from:'2016-05-02 10:25:13-0600',mode:absolute,to:'2016-05-02 11:09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U52" s="62" t="str">
        <f t="shared" si="14"/>
        <v>N</v>
      </c>
      <c r="V52" s="62">
        <f t="shared" si="8"/>
        <v>1</v>
      </c>
      <c r="W52" s="62">
        <f t="shared" si="15"/>
        <v>23.296700000000001</v>
      </c>
      <c r="X52" s="62">
        <f t="shared" si="16"/>
        <v>1.52E-2</v>
      </c>
      <c r="Y52" s="62">
        <f t="shared" si="17"/>
        <v>23.281500000000001</v>
      </c>
      <c r="Z52" s="63" t="e">
        <f>VLOOKUP(A52,Enforcements!$C$3:$J$40,8,0)</f>
        <v>#N/A</v>
      </c>
      <c r="AA52" s="63" t="e">
        <f>VLOOKUP(A52,Enforcements!$C$3:$J$40,3,0)</f>
        <v>#N/A</v>
      </c>
    </row>
    <row r="53" spans="1:27" s="2" customFormat="1" x14ac:dyDescent="0.25">
      <c r="A53" s="13" t="s">
        <v>477</v>
      </c>
      <c r="B53" s="13">
        <v>4020</v>
      </c>
      <c r="C53" s="13" t="s">
        <v>52</v>
      </c>
      <c r="D53" s="13" t="s">
        <v>193</v>
      </c>
      <c r="E53" s="32">
        <v>42492.400810185187</v>
      </c>
      <c r="F53" s="32">
        <v>42492.405266203707</v>
      </c>
      <c r="G53" s="40">
        <v>6</v>
      </c>
      <c r="H53" s="32" t="s">
        <v>250</v>
      </c>
      <c r="I53" s="32">
        <v>42492.431967592594</v>
      </c>
      <c r="J53" s="13">
        <v>0</v>
      </c>
      <c r="K53" s="13" t="str">
        <f t="shared" si="11"/>
        <v>4019/4020</v>
      </c>
      <c r="L53" s="70" t="str">
        <f>VLOOKUP(A53,'Trips&amp;Operators'!$C$1:$E$9999,3,FALSE)</f>
        <v>DE LA ROSA</v>
      </c>
      <c r="M53" s="14">
        <f t="shared" si="12"/>
        <v>2.6701388887886424E-2</v>
      </c>
      <c r="N53" s="15">
        <f t="shared" si="10"/>
        <v>38.44999999855645</v>
      </c>
      <c r="O53" s="15"/>
      <c r="P53" s="15"/>
      <c r="Q53" s="55"/>
      <c r="R53" s="55"/>
      <c r="T53" s="62" t="str">
        <f t="shared" si="13"/>
        <v>https://search-rtdc-monitor-bjffxe2xuh6vdkpspy63sjmuny.us-east-1.es.amazonaws.com/_plugin/kibana/#/discover/Steve-Slow-Train-Analysis-(2080s-and-2083s)?_g=(refreshInterval:(display:Off,section:0,value:0),time:(from:'2016-05-02 09:36:10-0600',mode:absolute,to:'2016-05-02 10:23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53" s="62" t="str">
        <f t="shared" si="14"/>
        <v>N</v>
      </c>
      <c r="V53" s="62">
        <f t="shared" si="8"/>
        <v>1</v>
      </c>
      <c r="W53" s="62">
        <f t="shared" si="15"/>
        <v>4.4900000000000002E-2</v>
      </c>
      <c r="X53" s="62">
        <f t="shared" si="16"/>
        <v>23.3291</v>
      </c>
      <c r="Y53" s="62">
        <f t="shared" si="17"/>
        <v>23.284200000000002</v>
      </c>
      <c r="Z53" s="63" t="e">
        <f>VLOOKUP(A53,Enforcements!$C$3:$J$40,8,0)</f>
        <v>#N/A</v>
      </c>
      <c r="AA53" s="63" t="e">
        <f>VLOOKUP(A53,Enforcements!$C$3:$J$40,3,0)</f>
        <v>#N/A</v>
      </c>
    </row>
    <row r="54" spans="1:27" s="2" customFormat="1" x14ac:dyDescent="0.25">
      <c r="A54" s="13" t="s">
        <v>399</v>
      </c>
      <c r="B54" s="13">
        <v>4019</v>
      </c>
      <c r="C54" s="13" t="s">
        <v>52</v>
      </c>
      <c r="D54" s="13" t="s">
        <v>141</v>
      </c>
      <c r="E54" s="32">
        <v>42492.445370370369</v>
      </c>
      <c r="F54" s="32">
        <v>42492.445370370369</v>
      </c>
      <c r="G54" s="40">
        <v>1</v>
      </c>
      <c r="H54" s="32" t="s">
        <v>251</v>
      </c>
      <c r="I54" s="32">
        <v>42492.47184027778</v>
      </c>
      <c r="J54" s="13">
        <v>4</v>
      </c>
      <c r="K54" s="13" t="str">
        <f t="shared" si="11"/>
        <v>4019/4020</v>
      </c>
      <c r="L54" s="70" t="str">
        <f>VLOOKUP(A54,'Trips&amp;Operators'!$C$1:$E$9999,3,FALSE)</f>
        <v>DE LA ROSA</v>
      </c>
      <c r="M54" s="14">
        <f t="shared" si="12"/>
        <v>2.6469907410501037E-2</v>
      </c>
      <c r="N54" s="15">
        <f t="shared" si="10"/>
        <v>38.116666671121493</v>
      </c>
      <c r="O54" s="15"/>
      <c r="P54" s="15"/>
      <c r="Q54" s="55" t="s">
        <v>302</v>
      </c>
      <c r="R54" s="71" t="s">
        <v>598</v>
      </c>
      <c r="T54" s="62" t="str">
        <f t="shared" si="13"/>
        <v>https://search-rtdc-monitor-bjffxe2xuh6vdkpspy63sjmuny.us-east-1.es.amazonaws.com/_plugin/kibana/#/discover/Steve-Slow-Train-Analysis-(2080s-and-2083s)?_g=(refreshInterval:(display:Off,section:0,value:0),time:(from:'2016-05-02 10:40:20-0600',mode:absolute,to:'2016-05-02 11:20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54" s="62" t="str">
        <f t="shared" si="14"/>
        <v>N</v>
      </c>
      <c r="V54" s="62">
        <f t="shared" si="8"/>
        <v>1</v>
      </c>
      <c r="W54" s="62">
        <f t="shared" si="15"/>
        <v>23.299099999999999</v>
      </c>
      <c r="X54" s="62">
        <f t="shared" si="16"/>
        <v>1.6E-2</v>
      </c>
      <c r="Y54" s="62">
        <f t="shared" si="17"/>
        <v>23.283100000000001</v>
      </c>
      <c r="Z54" s="63">
        <f>VLOOKUP(A54,Enforcements!$C$3:$J$40,8,0)</f>
        <v>58118</v>
      </c>
      <c r="AA54" s="63" t="str">
        <f>VLOOKUP(A54,Enforcements!$C$3:$J$40,3,0)</f>
        <v>GRADE CROSSING</v>
      </c>
    </row>
    <row r="55" spans="1:27" s="2" customFormat="1" x14ac:dyDescent="0.25">
      <c r="A55" s="13" t="s">
        <v>397</v>
      </c>
      <c r="B55" s="13">
        <v>4027</v>
      </c>
      <c r="C55" s="13" t="s">
        <v>52</v>
      </c>
      <c r="D55" s="13" t="s">
        <v>537</v>
      </c>
      <c r="E55" s="32">
        <v>42492.422592592593</v>
      </c>
      <c r="F55" s="32">
        <v>42492.424062500002</v>
      </c>
      <c r="G55" s="40">
        <v>2</v>
      </c>
      <c r="H55" s="32" t="s">
        <v>236</v>
      </c>
      <c r="I55" s="32">
        <v>42492.449594907404</v>
      </c>
      <c r="J55" s="13">
        <v>0</v>
      </c>
      <c r="K55" s="13" t="str">
        <f t="shared" si="11"/>
        <v>4027/4028</v>
      </c>
      <c r="L55" s="70" t="str">
        <f>VLOOKUP(A55,'Trips&amp;Operators'!$C$1:$E$9999,3,FALSE)</f>
        <v>SPECTOR</v>
      </c>
      <c r="M55" s="14">
        <f t="shared" si="12"/>
        <v>2.5532407402351964E-2</v>
      </c>
      <c r="N55" s="15"/>
      <c r="O55" s="15">
        <f>($M55+M56)*24*60</f>
        <v>44.583333319751546</v>
      </c>
      <c r="P55" s="15"/>
      <c r="Q55" s="55" t="s">
        <v>302</v>
      </c>
      <c r="R55" s="67" t="s">
        <v>599</v>
      </c>
      <c r="T55" s="62" t="str">
        <f t="shared" si="13"/>
        <v>https://search-rtdc-monitor-bjffxe2xuh6vdkpspy63sjmuny.us-east-1.es.amazonaws.com/_plugin/kibana/#/discover/Steve-Slow-Train-Analysis-(2080s-and-2083s)?_g=(refreshInterval:(display:Off,section:0,value:0),time:(from:'2016-05-02 10:07:32-0600',mode:absolute,to:'2016-05-02 10:48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U55" s="62" t="str">
        <f t="shared" si="14"/>
        <v>N</v>
      </c>
      <c r="V55" s="62">
        <f t="shared" si="8"/>
        <v>1</v>
      </c>
      <c r="W55" s="62">
        <f t="shared" si="15"/>
        <v>7.0999999999999994E-2</v>
      </c>
      <c r="X55" s="62">
        <f t="shared" si="16"/>
        <v>23.329699999999999</v>
      </c>
      <c r="Y55" s="62">
        <f t="shared" si="17"/>
        <v>23.258699999999997</v>
      </c>
      <c r="Z55" s="63">
        <f>VLOOKUP(A55,Enforcements!$C$3:$J$40,8,0)</f>
        <v>0</v>
      </c>
      <c r="AA55" s="63" t="str">
        <f>VLOOKUP(A55,Enforcements!$C$3:$J$40,3,0)</f>
        <v>PERMANENT SPEED RESTRICTION</v>
      </c>
    </row>
    <row r="56" spans="1:27" s="2" customFormat="1" x14ac:dyDescent="0.25">
      <c r="A56" s="13" t="s">
        <v>397</v>
      </c>
      <c r="B56" s="13">
        <v>4027</v>
      </c>
      <c r="C56" s="13" t="s">
        <v>52</v>
      </c>
      <c r="D56" s="13" t="s">
        <v>235</v>
      </c>
      <c r="E56" s="32">
        <v>42492.41134259259</v>
      </c>
      <c r="F56" s="32">
        <v>42492.412083333336</v>
      </c>
      <c r="G56" s="40">
        <v>1</v>
      </c>
      <c r="H56" s="32" t="s">
        <v>538</v>
      </c>
      <c r="I56" s="32">
        <v>42492.417511574073</v>
      </c>
      <c r="J56" s="13">
        <v>1</v>
      </c>
      <c r="K56" s="13" t="str">
        <f t="shared" si="11"/>
        <v>4027/4028</v>
      </c>
      <c r="L56" s="70" t="str">
        <f>VLOOKUP(A56,'Trips&amp;Operators'!$C$1:$E$9999,3,FALSE)</f>
        <v>SPECTOR</v>
      </c>
      <c r="M56" s="14">
        <f t="shared" si="12"/>
        <v>5.428240736364387E-3</v>
      </c>
      <c r="N56" s="15"/>
      <c r="O56" s="15"/>
      <c r="P56" s="15"/>
      <c r="Q56" s="55"/>
      <c r="R56" s="55"/>
      <c r="T56" s="62" t="str">
        <f t="shared" si="13"/>
        <v>https://search-rtdc-monitor-bjffxe2xuh6vdkpspy63sjmuny.us-east-1.es.amazonaws.com/_plugin/kibana/#/discover/Steve-Slow-Train-Analysis-(2080s-and-2083s)?_g=(refreshInterval:(display:Off,section:0,value:0),time:(from:'2016-05-02 09:51:20-0600',mode:absolute,to:'2016-05-02 10:02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U56" s="62" t="str">
        <f t="shared" si="14"/>
        <v>Y</v>
      </c>
      <c r="V56" s="62">
        <f t="shared" si="8"/>
        <v>0</v>
      </c>
      <c r="W56" s="62">
        <f t="shared" si="15"/>
        <v>4.4200000000000003E-2</v>
      </c>
      <c r="X56" s="62">
        <f t="shared" si="16"/>
        <v>7.3400000000000007E-2</v>
      </c>
      <c r="Y56" s="62">
        <f t="shared" si="17"/>
        <v>2.9200000000000004E-2</v>
      </c>
      <c r="Z56" s="63">
        <f>VLOOKUP(A56,Enforcements!$C$3:$J$40,8,0)</f>
        <v>0</v>
      </c>
      <c r="AA56" s="63" t="str">
        <f>VLOOKUP(A56,Enforcements!$C$3:$J$40,3,0)</f>
        <v>PERMANENT SPEED RESTRICTION</v>
      </c>
    </row>
    <row r="57" spans="1:27" s="2" customFormat="1" x14ac:dyDescent="0.25">
      <c r="A57" s="13" t="s">
        <v>479</v>
      </c>
      <c r="B57" s="13">
        <v>4028</v>
      </c>
      <c r="C57" s="13" t="s">
        <v>52</v>
      </c>
      <c r="D57" s="13" t="s">
        <v>198</v>
      </c>
      <c r="E57" s="32">
        <v>42492.452777777777</v>
      </c>
      <c r="F57" s="32">
        <v>42492.453761574077</v>
      </c>
      <c r="G57" s="40">
        <v>1</v>
      </c>
      <c r="H57" s="32" t="s">
        <v>166</v>
      </c>
      <c r="I57" s="32">
        <v>42492.481666666667</v>
      </c>
      <c r="J57" s="13">
        <v>0</v>
      </c>
      <c r="K57" s="13" t="str">
        <f t="shared" si="11"/>
        <v>4027/4028</v>
      </c>
      <c r="L57" s="70" t="str">
        <f>VLOOKUP(A57,'Trips&amp;Operators'!$C$1:$E$9999,3,FALSE)</f>
        <v>SPECTOR</v>
      </c>
      <c r="M57" s="14">
        <f t="shared" si="12"/>
        <v>2.7905092589207925E-2</v>
      </c>
      <c r="N57" s="15">
        <f t="shared" ref="N57:N64" si="18">$M57*24*60</f>
        <v>40.183333328459412</v>
      </c>
      <c r="O57" s="15"/>
      <c r="P57" s="15"/>
      <c r="Q57" s="55"/>
      <c r="R57" s="55"/>
      <c r="T57" s="62" t="str">
        <f t="shared" si="13"/>
        <v>https://search-rtdc-monitor-bjffxe2xuh6vdkpspy63sjmuny.us-east-1.es.amazonaws.com/_plugin/kibana/#/discover/Steve-Slow-Train-Analysis-(2080s-and-2083s)?_g=(refreshInterval:(display:Off,section:0,value:0),time:(from:'2016-05-02 10:51:00-0600',mode:absolute,to:'2016-05-02 11:34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U57" s="62" t="str">
        <f t="shared" si="14"/>
        <v>N</v>
      </c>
      <c r="V57" s="62">
        <f t="shared" si="8"/>
        <v>1</v>
      </c>
      <c r="W57" s="62">
        <f t="shared" si="15"/>
        <v>23.297699999999999</v>
      </c>
      <c r="X57" s="62">
        <f t="shared" si="16"/>
        <v>1.3899999999999999E-2</v>
      </c>
      <c r="Y57" s="62">
        <f t="shared" si="17"/>
        <v>23.283799999999999</v>
      </c>
      <c r="Z57" s="63" t="e">
        <f>VLOOKUP(A57,Enforcements!$C$3:$J$40,8,0)</f>
        <v>#N/A</v>
      </c>
      <c r="AA57" s="63" t="e">
        <f>VLOOKUP(A57,Enforcements!$C$3:$J$40,3,0)</f>
        <v>#N/A</v>
      </c>
    </row>
    <row r="58" spans="1:27" s="2" customFormat="1" x14ac:dyDescent="0.25">
      <c r="A58" s="13" t="s">
        <v>501</v>
      </c>
      <c r="B58" s="13">
        <v>4007</v>
      </c>
      <c r="C58" s="13" t="s">
        <v>52</v>
      </c>
      <c r="D58" s="13" t="s">
        <v>133</v>
      </c>
      <c r="E58" s="32">
        <v>42492.423761574071</v>
      </c>
      <c r="F58" s="32">
        <v>42492.424976851849</v>
      </c>
      <c r="G58" s="40">
        <v>1</v>
      </c>
      <c r="H58" s="32" t="s">
        <v>161</v>
      </c>
      <c r="I58" s="32">
        <v>42492.453703703701</v>
      </c>
      <c r="J58" s="13">
        <v>0</v>
      </c>
      <c r="K58" s="13" t="str">
        <f t="shared" si="11"/>
        <v>4007/4008</v>
      </c>
      <c r="L58" s="70" t="str">
        <f>VLOOKUP(A58,'Trips&amp;Operators'!$C$1:$E$9999,3,FALSE)</f>
        <v>ACKERMAN</v>
      </c>
      <c r="M58" s="14">
        <f t="shared" si="12"/>
        <v>2.8726851851388346E-2</v>
      </c>
      <c r="N58" s="15">
        <f t="shared" si="18"/>
        <v>41.366666665999219</v>
      </c>
      <c r="O58" s="15"/>
      <c r="P58" s="15"/>
      <c r="Q58" s="55"/>
      <c r="R58" s="55"/>
      <c r="T58" s="62" t="str">
        <f t="shared" si="13"/>
        <v>https://search-rtdc-monitor-bjffxe2xuh6vdkpspy63sjmuny.us-east-1.es.amazonaws.com/_plugin/kibana/#/discover/Steve-Slow-Train-Analysis-(2080s-and-2083s)?_g=(refreshInterval:(display:Off,section:0,value:0),time:(from:'2016-05-02 10:09:13-0600',mode:absolute,to:'2016-05-02 10:54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58" s="62" t="str">
        <f t="shared" si="14"/>
        <v>N</v>
      </c>
      <c r="V58" s="62">
        <f t="shared" si="8"/>
        <v>1</v>
      </c>
      <c r="W58" s="62">
        <f t="shared" si="15"/>
        <v>4.5999999999999999E-2</v>
      </c>
      <c r="X58" s="62">
        <f t="shared" si="16"/>
        <v>23.330100000000002</v>
      </c>
      <c r="Y58" s="62">
        <f t="shared" si="17"/>
        <v>23.284100000000002</v>
      </c>
      <c r="Z58" s="63" t="e">
        <f>VLOOKUP(A58,Enforcements!$C$3:$J$40,8,0)</f>
        <v>#N/A</v>
      </c>
      <c r="AA58" s="63" t="e">
        <f>VLOOKUP(A58,Enforcements!$C$3:$J$40,3,0)</f>
        <v>#N/A</v>
      </c>
    </row>
    <row r="59" spans="1:27" s="2" customFormat="1" x14ac:dyDescent="0.25">
      <c r="A59" s="13" t="s">
        <v>400</v>
      </c>
      <c r="B59" s="13">
        <v>4008</v>
      </c>
      <c r="C59" s="13" t="s">
        <v>52</v>
      </c>
      <c r="D59" s="13" t="s">
        <v>535</v>
      </c>
      <c r="E59" s="32">
        <v>42492.460995370369</v>
      </c>
      <c r="F59" s="32">
        <v>42492.462199074071</v>
      </c>
      <c r="G59" s="40">
        <v>1</v>
      </c>
      <c r="H59" s="32" t="s">
        <v>287</v>
      </c>
      <c r="I59" s="32">
        <v>42492.491631944446</v>
      </c>
      <c r="J59" s="13">
        <v>1</v>
      </c>
      <c r="K59" s="13" t="str">
        <f t="shared" si="11"/>
        <v>4007/4008</v>
      </c>
      <c r="L59" s="70" t="str">
        <f>VLOOKUP(A59,'Trips&amp;Operators'!$C$1:$E$9999,3,FALSE)</f>
        <v>ACKERMAN</v>
      </c>
      <c r="M59" s="14">
        <f t="shared" si="12"/>
        <v>2.9432870374876074E-2</v>
      </c>
      <c r="N59" s="15">
        <f t="shared" si="18"/>
        <v>42.383333339821547</v>
      </c>
      <c r="O59" s="15"/>
      <c r="P59" s="15"/>
      <c r="Q59" s="55"/>
      <c r="R59" s="55"/>
      <c r="T59" s="62" t="str">
        <f t="shared" si="13"/>
        <v>https://search-rtdc-monitor-bjffxe2xuh6vdkpspy63sjmuny.us-east-1.es.amazonaws.com/_plugin/kibana/#/discover/Steve-Slow-Train-Analysis-(2080s-and-2083s)?_g=(refreshInterval:(display:Off,section:0,value:0),time:(from:'2016-05-02 11:02:50-0600',mode:absolute,to:'2016-05-02 11:48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59" s="62" t="str">
        <f t="shared" si="14"/>
        <v>N</v>
      </c>
      <c r="V59" s="62">
        <f t="shared" si="8"/>
        <v>1</v>
      </c>
      <c r="W59" s="62">
        <f t="shared" si="15"/>
        <v>23.298999999999999</v>
      </c>
      <c r="X59" s="62">
        <f t="shared" si="16"/>
        <v>1.47E-2</v>
      </c>
      <c r="Y59" s="62">
        <f t="shared" si="17"/>
        <v>23.284299999999998</v>
      </c>
      <c r="Z59" s="63" t="e">
        <f>VLOOKUP(A59,Enforcements!$C$3:$J$40,8,0)</f>
        <v>#N/A</v>
      </c>
      <c r="AA59" s="63" t="e">
        <f>VLOOKUP(A59,Enforcements!$C$3:$J$40,3,0)</f>
        <v>#N/A</v>
      </c>
    </row>
    <row r="60" spans="1:27" s="2" customFormat="1" x14ac:dyDescent="0.25">
      <c r="A60" s="13" t="s">
        <v>507</v>
      </c>
      <c r="B60" s="13">
        <v>4044</v>
      </c>
      <c r="C60" s="13" t="s">
        <v>52</v>
      </c>
      <c r="D60" s="13" t="s">
        <v>175</v>
      </c>
      <c r="E60" s="32">
        <v>42492.43341435185</v>
      </c>
      <c r="F60" s="32">
        <v>42492.434594907405</v>
      </c>
      <c r="G60" s="40">
        <v>1</v>
      </c>
      <c r="H60" s="32" t="s">
        <v>62</v>
      </c>
      <c r="I60" s="32">
        <v>42492.463761574072</v>
      </c>
      <c r="J60" s="13">
        <v>0</v>
      </c>
      <c r="K60" s="13" t="str">
        <f t="shared" si="11"/>
        <v>4043/4044</v>
      </c>
      <c r="L60" s="70" t="str">
        <f>VLOOKUP(A60,'Trips&amp;Operators'!$C$1:$E$9999,3,FALSE)</f>
        <v>NEWELL</v>
      </c>
      <c r="M60" s="14">
        <f t="shared" si="12"/>
        <v>2.9166666667151731E-2</v>
      </c>
      <c r="N60" s="15">
        <f t="shared" si="18"/>
        <v>42.000000000698492</v>
      </c>
      <c r="O60" s="15"/>
      <c r="P60" s="15"/>
      <c r="Q60" s="55"/>
      <c r="R60" s="55"/>
      <c r="T60" s="62" t="str">
        <f t="shared" si="13"/>
        <v>https://search-rtdc-monitor-bjffxe2xuh6vdkpspy63sjmuny.us-east-1.es.amazonaws.com/_plugin/kibana/#/discover/Steve-Slow-Train-Analysis-(2080s-and-2083s)?_g=(refreshInterval:(display:Off,section:0,value:0),time:(from:'2016-05-02 10:23:07-0600',mode:absolute,to:'2016-05-02 11:08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60" s="62" t="str">
        <f t="shared" si="14"/>
        <v>N</v>
      </c>
      <c r="V60" s="62">
        <f t="shared" si="8"/>
        <v>1</v>
      </c>
      <c r="W60" s="62">
        <f t="shared" si="15"/>
        <v>4.4699999999999997E-2</v>
      </c>
      <c r="X60" s="62">
        <f t="shared" si="16"/>
        <v>23.329799999999999</v>
      </c>
      <c r="Y60" s="62">
        <f t="shared" si="17"/>
        <v>23.2851</v>
      </c>
      <c r="Z60" s="63" t="e">
        <f>VLOOKUP(A60,Enforcements!$C$3:$J$40,8,0)</f>
        <v>#N/A</v>
      </c>
      <c r="AA60" s="63" t="e">
        <f>VLOOKUP(A60,Enforcements!$C$3:$J$40,3,0)</f>
        <v>#N/A</v>
      </c>
    </row>
    <row r="61" spans="1:27" s="2" customFormat="1" x14ac:dyDescent="0.25">
      <c r="A61" s="13" t="s">
        <v>480</v>
      </c>
      <c r="B61" s="13">
        <v>4043</v>
      </c>
      <c r="C61" s="13" t="s">
        <v>52</v>
      </c>
      <c r="D61" s="13" t="s">
        <v>141</v>
      </c>
      <c r="E61" s="32">
        <v>42492.468587962961</v>
      </c>
      <c r="F61" s="32">
        <v>42492.469733796293</v>
      </c>
      <c r="G61" s="40">
        <v>1</v>
      </c>
      <c r="H61" s="32" t="s">
        <v>251</v>
      </c>
      <c r="I61" s="32">
        <v>42492.503125000003</v>
      </c>
      <c r="J61" s="13">
        <v>0</v>
      </c>
      <c r="K61" s="13" t="str">
        <f t="shared" si="11"/>
        <v>4043/4044</v>
      </c>
      <c r="L61" s="70" t="str">
        <f>VLOOKUP(A61,'Trips&amp;Operators'!$C$1:$E$9999,3,FALSE)</f>
        <v>SANTIZO</v>
      </c>
      <c r="M61" s="14">
        <f t="shared" si="12"/>
        <v>3.3391203709470574E-2</v>
      </c>
      <c r="N61" s="15">
        <f t="shared" si="18"/>
        <v>48.083333341637626</v>
      </c>
      <c r="O61" s="15"/>
      <c r="P61" s="15"/>
      <c r="Q61" s="55"/>
      <c r="R61" s="55"/>
      <c r="T61" s="62" t="str">
        <f t="shared" si="13"/>
        <v>https://search-rtdc-monitor-bjffxe2xuh6vdkpspy63sjmuny.us-east-1.es.amazonaws.com/_plugin/kibana/#/discover/Steve-Slow-Train-Analysis-(2080s-and-2083s)?_g=(refreshInterval:(display:Off,section:0,value:0),time:(from:'2016-05-02 11:13:46-0600',mode:absolute,to:'2016-05-02 12:05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61" s="62" t="str">
        <f t="shared" si="14"/>
        <v>N</v>
      </c>
      <c r="V61" s="62">
        <f t="shared" si="8"/>
        <v>1</v>
      </c>
      <c r="W61" s="62">
        <f t="shared" si="15"/>
        <v>23.299099999999999</v>
      </c>
      <c r="X61" s="62">
        <f t="shared" si="16"/>
        <v>1.6E-2</v>
      </c>
      <c r="Y61" s="62">
        <f t="shared" si="17"/>
        <v>23.283100000000001</v>
      </c>
      <c r="Z61" s="63" t="e">
        <f>VLOOKUP(A61,Enforcements!$C$3:$J$40,8,0)</f>
        <v>#N/A</v>
      </c>
      <c r="AA61" s="63" t="e">
        <f>VLOOKUP(A61,Enforcements!$C$3:$J$40,3,0)</f>
        <v>#N/A</v>
      </c>
    </row>
    <row r="62" spans="1:27" s="2" customFormat="1" x14ac:dyDescent="0.25">
      <c r="A62" s="13" t="s">
        <v>506</v>
      </c>
      <c r="B62" s="13">
        <v>4014</v>
      </c>
      <c r="C62" s="13" t="s">
        <v>52</v>
      </c>
      <c r="D62" s="13" t="s">
        <v>204</v>
      </c>
      <c r="E62" s="32">
        <v>42492.446238425924</v>
      </c>
      <c r="F62" s="32">
        <v>42492.447395833333</v>
      </c>
      <c r="G62" s="40">
        <v>1</v>
      </c>
      <c r="H62" s="32" t="s">
        <v>536</v>
      </c>
      <c r="I62" s="32">
        <v>42492.473761574074</v>
      </c>
      <c r="J62" s="13">
        <v>0</v>
      </c>
      <c r="K62" s="13" t="str">
        <f t="shared" si="11"/>
        <v>4013/4014</v>
      </c>
      <c r="L62" s="70" t="str">
        <f>VLOOKUP(A62,'Trips&amp;Operators'!$C$1:$E$9999,3,FALSE)</f>
        <v>YORK</v>
      </c>
      <c r="M62" s="14">
        <f t="shared" si="12"/>
        <v>2.6365740741312038E-2</v>
      </c>
      <c r="N62" s="15">
        <f t="shared" si="18"/>
        <v>37.966666667489335</v>
      </c>
      <c r="O62" s="15"/>
      <c r="P62" s="15"/>
      <c r="Q62" s="55"/>
      <c r="R62" s="55"/>
      <c r="T62" s="62" t="str">
        <f t="shared" si="13"/>
        <v>https://search-rtdc-monitor-bjffxe2xuh6vdkpspy63sjmuny.us-east-1.es.amazonaws.com/_plugin/kibana/#/discover/Steve-Slow-Train-Analysis-(2080s-and-2083s)?_g=(refreshInterval:(display:Off,section:0,value:0),time:(from:'2016-05-02 10:41:35-0600',mode:absolute,to:'2016-05-02 11:23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U62" s="62" t="str">
        <f t="shared" si="14"/>
        <v>N</v>
      </c>
      <c r="V62" s="62">
        <f t="shared" si="8"/>
        <v>1</v>
      </c>
      <c r="W62" s="62">
        <f t="shared" si="15"/>
        <v>4.7300000000000002E-2</v>
      </c>
      <c r="X62" s="62">
        <f t="shared" si="16"/>
        <v>23.328600000000002</v>
      </c>
      <c r="Y62" s="62">
        <f t="shared" si="17"/>
        <v>23.281300000000002</v>
      </c>
      <c r="Z62" s="63" t="e">
        <f>VLOOKUP(A62,Enforcements!$C$3:$J$40,8,0)</f>
        <v>#N/A</v>
      </c>
      <c r="AA62" s="63" t="e">
        <f>VLOOKUP(A62,Enforcements!$C$3:$J$40,3,0)</f>
        <v>#N/A</v>
      </c>
    </row>
    <row r="63" spans="1:27" s="2" customFormat="1" x14ac:dyDescent="0.25">
      <c r="A63" s="13" t="s">
        <v>505</v>
      </c>
      <c r="B63" s="13">
        <v>4013</v>
      </c>
      <c r="C63" s="13" t="s">
        <v>52</v>
      </c>
      <c r="D63" s="13" t="s">
        <v>532</v>
      </c>
      <c r="E63" s="32">
        <v>42492.485474537039</v>
      </c>
      <c r="F63" s="32">
        <v>42492.486342592594</v>
      </c>
      <c r="G63" s="40">
        <v>1</v>
      </c>
      <c r="H63" s="32" t="s">
        <v>220</v>
      </c>
      <c r="I63" s="32">
        <v>42492.513796296298</v>
      </c>
      <c r="J63" s="13">
        <v>0</v>
      </c>
      <c r="K63" s="13" t="str">
        <f t="shared" si="11"/>
        <v>4013/4014</v>
      </c>
      <c r="L63" s="70" t="str">
        <f>VLOOKUP(A63,'Trips&amp;Operators'!$C$1:$E$9999,3,FALSE)</f>
        <v>YORK</v>
      </c>
      <c r="M63" s="14">
        <f t="shared" si="12"/>
        <v>2.7453703703940846E-2</v>
      </c>
      <c r="N63" s="15">
        <f t="shared" si="18"/>
        <v>39.533333333674818</v>
      </c>
      <c r="O63" s="15"/>
      <c r="P63" s="15"/>
      <c r="Q63" s="55"/>
      <c r="R63" s="55"/>
      <c r="T63" s="62" t="str">
        <f t="shared" si="13"/>
        <v>https://search-rtdc-monitor-bjffxe2xuh6vdkpspy63sjmuny.us-east-1.es.amazonaws.com/_plugin/kibana/#/discover/Steve-Slow-Train-Analysis-(2080s-and-2083s)?_g=(refreshInterval:(display:Off,section:0,value:0),time:(from:'2016-05-02 11:38:05-0600',mode:absolute,to:'2016-05-02 12:20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U63" s="62" t="str">
        <f t="shared" si="14"/>
        <v>N</v>
      </c>
      <c r="V63" s="62">
        <f t="shared" si="8"/>
        <v>1</v>
      </c>
      <c r="W63" s="62">
        <f t="shared" si="15"/>
        <v>23.296700000000001</v>
      </c>
      <c r="X63" s="62">
        <f t="shared" si="16"/>
        <v>1.52E-2</v>
      </c>
      <c r="Y63" s="62">
        <f t="shared" si="17"/>
        <v>23.281500000000001</v>
      </c>
      <c r="Z63" s="63" t="e">
        <f>VLOOKUP(A63,Enforcements!$C$3:$J$40,8,0)</f>
        <v>#N/A</v>
      </c>
      <c r="AA63" s="63" t="e">
        <f>VLOOKUP(A63,Enforcements!$C$3:$J$40,3,0)</f>
        <v>#N/A</v>
      </c>
    </row>
    <row r="64" spans="1:27" s="2" customFormat="1" x14ac:dyDescent="0.25">
      <c r="A64" s="13" t="s">
        <v>398</v>
      </c>
      <c r="B64" s="13">
        <v>4025</v>
      </c>
      <c r="C64" s="13" t="s">
        <v>52</v>
      </c>
      <c r="D64" s="13" t="s">
        <v>296</v>
      </c>
      <c r="E64" s="32">
        <v>42492.457071759258</v>
      </c>
      <c r="F64" s="32">
        <v>42492.458182870374</v>
      </c>
      <c r="G64" s="40">
        <v>1</v>
      </c>
      <c r="H64" s="32" t="s">
        <v>167</v>
      </c>
      <c r="I64" s="32">
        <v>42492.483101851853</v>
      </c>
      <c r="J64" s="13">
        <v>2</v>
      </c>
      <c r="K64" s="13" t="str">
        <f t="shared" si="11"/>
        <v>4025/4026</v>
      </c>
      <c r="L64" s="70" t="str">
        <f>VLOOKUP(A64,'Trips&amp;Operators'!$C$1:$E$9999,3,FALSE)</f>
        <v>MALAVE</v>
      </c>
      <c r="M64" s="14">
        <f t="shared" si="12"/>
        <v>2.491898147854954E-2</v>
      </c>
      <c r="N64" s="15">
        <f t="shared" si="18"/>
        <v>35.883333329111338</v>
      </c>
      <c r="O64" s="15"/>
      <c r="P64" s="15"/>
      <c r="Q64" s="55"/>
      <c r="R64" s="55"/>
      <c r="T64" s="62" t="str">
        <f t="shared" si="13"/>
        <v>https://search-rtdc-monitor-bjffxe2xuh6vdkpspy63sjmuny.us-east-1.es.amazonaws.com/_plugin/kibana/#/discover/Steve-Slow-Train-Analysis-(2080s-and-2083s)?_g=(refreshInterval:(display:Off,section:0,value:0),time:(from:'2016-05-02 10:57:11-0600',mode:absolute,to:'2016-05-02 11:36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U64" s="62" t="str">
        <f t="shared" si="14"/>
        <v>N</v>
      </c>
      <c r="V64" s="62">
        <f t="shared" si="8"/>
        <v>1</v>
      </c>
      <c r="W64" s="62">
        <f t="shared" si="15"/>
        <v>4.5499999999999999E-2</v>
      </c>
      <c r="X64" s="62">
        <f t="shared" si="16"/>
        <v>23.33</v>
      </c>
      <c r="Y64" s="62">
        <f t="shared" si="17"/>
        <v>23.284499999999998</v>
      </c>
      <c r="Z64" s="63">
        <f>VLOOKUP(A64,Enforcements!$C$3:$J$40,8,0)</f>
        <v>20338</v>
      </c>
      <c r="AA64" s="63" t="str">
        <f>VLOOKUP(A64,Enforcements!$C$3:$J$40,3,0)</f>
        <v>PERMANENT SPEED RESTRICTION</v>
      </c>
    </row>
    <row r="65" spans="1:27" s="2" customFormat="1" x14ac:dyDescent="0.25">
      <c r="A65" s="13" t="s">
        <v>402</v>
      </c>
      <c r="B65" s="13">
        <v>4026</v>
      </c>
      <c r="C65" s="13" t="s">
        <v>52</v>
      </c>
      <c r="D65" s="13" t="s">
        <v>135</v>
      </c>
      <c r="E65" s="32">
        <v>42492.49490740741</v>
      </c>
      <c r="F65" s="32">
        <v>42492.497847222221</v>
      </c>
      <c r="G65" s="40">
        <v>4</v>
      </c>
      <c r="H65" s="32" t="s">
        <v>531</v>
      </c>
      <c r="I65" s="32">
        <v>42492.515034722222</v>
      </c>
      <c r="J65" s="13">
        <v>1</v>
      </c>
      <c r="K65" s="13" t="str">
        <f t="shared" si="11"/>
        <v>4025/4026</v>
      </c>
      <c r="L65" s="70" t="str">
        <f>VLOOKUP(A65,'Trips&amp;Operators'!$C$1:$E$9999,3,FALSE)</f>
        <v>MALAVE</v>
      </c>
      <c r="M65" s="14">
        <f t="shared" si="12"/>
        <v>1.7187500001455192E-2</v>
      </c>
      <c r="N65" s="15"/>
      <c r="O65" s="15"/>
      <c r="P65" s="15">
        <f>$M65*24*60</f>
        <v>24.750000002095476</v>
      </c>
      <c r="Q65" s="55" t="s">
        <v>302</v>
      </c>
      <c r="R65" s="72" t="s">
        <v>600</v>
      </c>
      <c r="T65" s="62" t="str">
        <f t="shared" si="13"/>
        <v>https://search-rtdc-monitor-bjffxe2xuh6vdkpspy63sjmuny.us-east-1.es.amazonaws.com/_plugin/kibana/#/discover/Steve-Slow-Train-Analysis-(2080s-and-2083s)?_g=(refreshInterval:(display:Off,section:0,value:0),time:(from:'2016-05-02 11:51:40-0600',mode:absolute,to:'2016-05-02 12:22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U65" s="62" t="str">
        <f t="shared" si="14"/>
        <v>Y</v>
      </c>
      <c r="V65" s="62">
        <f t="shared" si="8"/>
        <v>1</v>
      </c>
      <c r="W65" s="62">
        <f t="shared" si="15"/>
        <v>23.298500000000001</v>
      </c>
      <c r="X65" s="62">
        <f t="shared" si="16"/>
        <v>4.8569000000000004</v>
      </c>
      <c r="Y65" s="62">
        <f t="shared" si="17"/>
        <v>18.441600000000001</v>
      </c>
      <c r="Z65" s="63">
        <f>VLOOKUP(A65,Enforcements!$C$3:$J$40,8,0)</f>
        <v>191723</v>
      </c>
      <c r="AA65" s="63" t="str">
        <f>VLOOKUP(A65,Enforcements!$C$3:$J$40,3,0)</f>
        <v>SIGNAL</v>
      </c>
    </row>
    <row r="66" spans="1:27" s="2" customFormat="1" x14ac:dyDescent="0.25">
      <c r="A66" s="13" t="s">
        <v>401</v>
      </c>
      <c r="B66" s="13">
        <v>4038</v>
      </c>
      <c r="C66" s="13" t="s">
        <v>52</v>
      </c>
      <c r="D66" s="13" t="s">
        <v>147</v>
      </c>
      <c r="E66" s="32">
        <v>42492.465636574074</v>
      </c>
      <c r="F66" s="32">
        <v>42492.466967592591</v>
      </c>
      <c r="G66" s="40">
        <v>1</v>
      </c>
      <c r="H66" s="32" t="s">
        <v>534</v>
      </c>
      <c r="I66" s="32">
        <v>42492.493692129632</v>
      </c>
      <c r="J66" s="13">
        <v>1</v>
      </c>
      <c r="K66" s="13" t="str">
        <f t="shared" si="11"/>
        <v>4037/4038</v>
      </c>
      <c r="L66" s="70" t="str">
        <f>VLOOKUP(A66,'Trips&amp;Operators'!$C$1:$E$9999,3,FALSE)</f>
        <v>COOLAHAN</v>
      </c>
      <c r="M66" s="14">
        <f t="shared" si="12"/>
        <v>2.6724537041445728E-2</v>
      </c>
      <c r="N66" s="15">
        <f t="shared" ref="N66:N97" si="19">$M66*24*60</f>
        <v>38.483333339681849</v>
      </c>
      <c r="O66" s="15"/>
      <c r="P66" s="15"/>
      <c r="Q66" s="55"/>
      <c r="R66" s="55"/>
      <c r="T66" s="62" t="str">
        <f t="shared" si="13"/>
        <v>https://search-rtdc-monitor-bjffxe2xuh6vdkpspy63sjmuny.us-east-1.es.amazonaws.com/_plugin/kibana/#/discover/Steve-Slow-Train-Analysis-(2080s-and-2083s)?_g=(refreshInterval:(display:Off,section:0,value:0),time:(from:'2016-05-02 11:09:31-0600',mode:absolute,to:'2016-05-02 11:51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U66" s="62" t="str">
        <f t="shared" si="14"/>
        <v>N</v>
      </c>
      <c r="V66" s="62">
        <f t="shared" si="8"/>
        <v>1</v>
      </c>
      <c r="W66" s="62">
        <f t="shared" si="15"/>
        <v>4.6199999999999998E-2</v>
      </c>
      <c r="X66" s="62">
        <f t="shared" si="16"/>
        <v>23.3276</v>
      </c>
      <c r="Y66" s="62">
        <f t="shared" si="17"/>
        <v>23.281400000000001</v>
      </c>
      <c r="Z66" s="63" t="e">
        <f>VLOOKUP(A66,Enforcements!$C$3:$J$40,8,0)</f>
        <v>#N/A</v>
      </c>
      <c r="AA66" s="63" t="e">
        <f>VLOOKUP(A66,Enforcements!$C$3:$J$40,3,0)</f>
        <v>#N/A</v>
      </c>
    </row>
    <row r="67" spans="1:27" s="2" customFormat="1" x14ac:dyDescent="0.25">
      <c r="A67" s="13" t="s">
        <v>407</v>
      </c>
      <c r="B67" s="13">
        <v>4037</v>
      </c>
      <c r="C67" s="13" t="s">
        <v>52</v>
      </c>
      <c r="D67" s="13" t="s">
        <v>529</v>
      </c>
      <c r="E67" s="32">
        <v>42492.517812500002</v>
      </c>
      <c r="F67" s="32">
        <v>42492.518819444442</v>
      </c>
      <c r="G67" s="40">
        <v>1</v>
      </c>
      <c r="H67" s="32" t="s">
        <v>530</v>
      </c>
      <c r="I67" s="32">
        <v>42492.547071759262</v>
      </c>
      <c r="J67" s="13">
        <v>1</v>
      </c>
      <c r="K67" s="13" t="str">
        <f t="shared" ref="K67:K98" si="20">IF(ISEVEN(B67),(B67-1)&amp;"/"&amp;B67,B67&amp;"/"&amp;(B67+1))</f>
        <v>4037/4038</v>
      </c>
      <c r="L67" s="70" t="str">
        <f>VLOOKUP(A67,'Trips&amp;Operators'!$C$1:$E$9999,3,FALSE)</f>
        <v>COOLAHAN</v>
      </c>
      <c r="M67" s="14">
        <f t="shared" ref="M67:M98" si="21">I67-F67</f>
        <v>2.825231481983792E-2</v>
      </c>
      <c r="N67" s="15">
        <f t="shared" si="19"/>
        <v>40.683333340566605</v>
      </c>
      <c r="O67" s="15"/>
      <c r="P67" s="15"/>
      <c r="Q67" s="55"/>
      <c r="R67" s="55"/>
      <c r="T67" s="62" t="str">
        <f t="shared" ref="T67:T98" si="22">"https://search-rtdc-monitor-bjffxe2xuh6vdkpspy63sjmuny.us-east-1.es.amazonaws.com/_plugin/kibana/#/discover/Steve-Slow-Train-Analysis-(2080s-and-2083s)?_g=(refreshInterval:(display:Off,section:0,value:0),time:(from:'"&amp;TEXT(E67-1/24/60,"yyyy-MM-DD hh:mm:ss")&amp;"-0600',mode:absolute,to:'"&amp;TEXT(I67+1/24/60,"yyyy-MM-DD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67&amp;"%22')),sort:!(Time,asc))"</f>
        <v>https://search-rtdc-monitor-bjffxe2xuh6vdkpspy63sjmuny.us-east-1.es.amazonaws.com/_plugin/kibana/#/discover/Steve-Slow-Train-Analysis-(2080s-and-2083s)?_g=(refreshInterval:(display:Off,section:0,value:0),time:(from:'2016-05-02 12:24:39-0600',mode:absolute,to:'2016-05-02 13:08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U67" s="62" t="str">
        <f t="shared" ref="U67:U98" si="23">IF(Y67&lt;23,"Y","N")</f>
        <v>N</v>
      </c>
      <c r="V67" s="62">
        <f t="shared" si="8"/>
        <v>1</v>
      </c>
      <c r="W67" s="62">
        <f t="shared" ref="W67:W98" si="24">RIGHT(D67,LEN(D67)-4)/10000</f>
        <v>23.295200000000001</v>
      </c>
      <c r="X67" s="62">
        <f t="shared" ref="X67:X98" si="25">RIGHT(H67,LEN(H67)-4)/10000</f>
        <v>0.1832</v>
      </c>
      <c r="Y67" s="62">
        <f t="shared" ref="Y67:Y98" si="26">ABS(X67-W67)</f>
        <v>23.112000000000002</v>
      </c>
      <c r="Z67" s="63" t="e">
        <f>VLOOKUP(A67,Enforcements!$C$3:$J$40,8,0)</f>
        <v>#N/A</v>
      </c>
      <c r="AA67" s="63" t="e">
        <f>VLOOKUP(A67,Enforcements!$C$3:$J$40,3,0)</f>
        <v>#N/A</v>
      </c>
    </row>
    <row r="68" spans="1:27" s="2" customFormat="1" x14ac:dyDescent="0.25">
      <c r="A68" s="13" t="s">
        <v>444</v>
      </c>
      <c r="B68" s="13">
        <v>4020</v>
      </c>
      <c r="C68" s="13" t="s">
        <v>52</v>
      </c>
      <c r="D68" s="13" t="s">
        <v>193</v>
      </c>
      <c r="E68" s="32">
        <v>42492.474849537037</v>
      </c>
      <c r="F68" s="32">
        <v>42492.476122685184</v>
      </c>
      <c r="G68" s="40">
        <v>1</v>
      </c>
      <c r="H68" s="32" t="s">
        <v>183</v>
      </c>
      <c r="I68" s="32">
        <v>42492.50509259259</v>
      </c>
      <c r="J68" s="13">
        <v>0</v>
      </c>
      <c r="K68" s="13" t="str">
        <f t="shared" si="20"/>
        <v>4019/4020</v>
      </c>
      <c r="L68" s="70" t="str">
        <f>VLOOKUP(A68,'Trips&amp;Operators'!$C$1:$E$9999,3,FALSE)</f>
        <v>CANFIELD</v>
      </c>
      <c r="M68" s="14">
        <f t="shared" si="21"/>
        <v>2.8969907405553386E-2</v>
      </c>
      <c r="N68" s="15">
        <f t="shared" si="19"/>
        <v>41.716666663996875</v>
      </c>
      <c r="O68" s="15"/>
      <c r="P68" s="15"/>
      <c r="Q68" s="55"/>
      <c r="R68" s="55"/>
      <c r="T68" s="62" t="str">
        <f t="shared" si="22"/>
        <v>https://search-rtdc-monitor-bjffxe2xuh6vdkpspy63sjmuny.us-east-1.es.amazonaws.com/_plugin/kibana/#/discover/Steve-Slow-Train-Analysis-(2080s-and-2083s)?_g=(refreshInterval:(display:Off,section:0,value:0),time:(from:'2016-05-02 11:22:47-0600',mode:absolute,to:'2016-05-02 12:08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68" s="62" t="str">
        <f t="shared" si="23"/>
        <v>N</v>
      </c>
      <c r="V68" s="62">
        <f t="shared" si="8"/>
        <v>1</v>
      </c>
      <c r="W68" s="62">
        <f t="shared" si="24"/>
        <v>4.4900000000000002E-2</v>
      </c>
      <c r="X68" s="62">
        <f t="shared" si="25"/>
        <v>23.329499999999999</v>
      </c>
      <c r="Y68" s="62">
        <f t="shared" si="26"/>
        <v>23.284600000000001</v>
      </c>
      <c r="Z68" s="63" t="e">
        <f>VLOOKUP(A68,Enforcements!$C$3:$J$40,8,0)</f>
        <v>#N/A</v>
      </c>
      <c r="AA68" s="63" t="e">
        <f>VLOOKUP(A68,Enforcements!$C$3:$J$40,3,0)</f>
        <v>#N/A</v>
      </c>
    </row>
    <row r="69" spans="1:27" s="2" customFormat="1" x14ac:dyDescent="0.25">
      <c r="A69" s="13" t="s">
        <v>405</v>
      </c>
      <c r="B69" s="13">
        <v>4019</v>
      </c>
      <c r="C69" s="13" t="s">
        <v>52</v>
      </c>
      <c r="D69" s="13" t="s">
        <v>195</v>
      </c>
      <c r="E69" s="32">
        <v>42492.507453703707</v>
      </c>
      <c r="F69" s="32">
        <v>42492.508958333332</v>
      </c>
      <c r="G69" s="40">
        <v>2</v>
      </c>
      <c r="H69" s="32" t="s">
        <v>251</v>
      </c>
      <c r="I69" s="32">
        <v>42492.539236111108</v>
      </c>
      <c r="J69" s="13">
        <v>1</v>
      </c>
      <c r="K69" s="13" t="str">
        <f t="shared" si="20"/>
        <v>4019/4020</v>
      </c>
      <c r="L69" s="70" t="str">
        <f>VLOOKUP(A69,'Trips&amp;Operators'!$C$1:$E$9999,3,FALSE)</f>
        <v>CANFIELD</v>
      </c>
      <c r="M69" s="14">
        <f t="shared" si="21"/>
        <v>3.0277777776063886E-2</v>
      </c>
      <c r="N69" s="15">
        <f t="shared" si="19"/>
        <v>43.599999997531995</v>
      </c>
      <c r="O69" s="15"/>
      <c r="P69" s="15"/>
      <c r="Q69" s="55"/>
      <c r="R69" s="55"/>
      <c r="T69" s="62" t="str">
        <f t="shared" si="22"/>
        <v>https://search-rtdc-monitor-bjffxe2xuh6vdkpspy63sjmuny.us-east-1.es.amazonaws.com/_plugin/kibana/#/discover/Steve-Slow-Train-Analysis-(2080s-and-2083s)?_g=(refreshInterval:(display:Off,section:0,value:0),time:(from:'2016-05-02 12:09:44-0600',mode:absolute,to:'2016-05-02 12:57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69" s="62" t="str">
        <f t="shared" si="23"/>
        <v>N</v>
      </c>
      <c r="V69" s="62">
        <f t="shared" ref="V69" si="27">VALUE(LEFT(A69,3))-VALUE(LEFT(A68,3))</f>
        <v>1</v>
      </c>
      <c r="W69" s="62">
        <f t="shared" si="24"/>
        <v>23.2974</v>
      </c>
      <c r="X69" s="62">
        <f t="shared" si="25"/>
        <v>1.6E-2</v>
      </c>
      <c r="Y69" s="62">
        <f t="shared" si="26"/>
        <v>23.281400000000001</v>
      </c>
      <c r="Z69" s="63" t="e">
        <f>VLOOKUP(A69,Enforcements!$C$3:$J$40,8,0)</f>
        <v>#N/A</v>
      </c>
      <c r="AA69" s="63" t="e">
        <f>VLOOKUP(A69,Enforcements!$C$3:$J$40,3,0)</f>
        <v>#N/A</v>
      </c>
    </row>
    <row r="70" spans="1:27" s="2" customFormat="1" x14ac:dyDescent="0.25">
      <c r="A70" s="13" t="s">
        <v>403</v>
      </c>
      <c r="B70" s="13">
        <v>4027</v>
      </c>
      <c r="C70" s="13" t="s">
        <v>52</v>
      </c>
      <c r="D70" s="13" t="s">
        <v>193</v>
      </c>
      <c r="E70" s="32">
        <v>42492.484768518516</v>
      </c>
      <c r="F70" s="32">
        <v>42492.485902777778</v>
      </c>
      <c r="G70" s="40">
        <v>1</v>
      </c>
      <c r="H70" s="32" t="s">
        <v>533</v>
      </c>
      <c r="I70" s="32">
        <v>42492.516296296293</v>
      </c>
      <c r="J70" s="13">
        <v>1</v>
      </c>
      <c r="K70" s="13" t="str">
        <f t="shared" si="20"/>
        <v>4027/4028</v>
      </c>
      <c r="L70" s="70" t="str">
        <f>VLOOKUP(A70,'Trips&amp;Operators'!$C$1:$E$9999,3,FALSE)</f>
        <v>BEAM</v>
      </c>
      <c r="M70" s="14">
        <f t="shared" si="21"/>
        <v>3.0393518514756579E-2</v>
      </c>
      <c r="N70" s="15">
        <f t="shared" si="19"/>
        <v>43.766666661249474</v>
      </c>
      <c r="O70" s="15"/>
      <c r="P70" s="15"/>
      <c r="Q70" s="55"/>
      <c r="R70" s="55"/>
      <c r="T70" s="62" t="str">
        <f t="shared" si="22"/>
        <v>https://search-rtdc-monitor-bjffxe2xuh6vdkpspy63sjmuny.us-east-1.es.amazonaws.com/_plugin/kibana/#/discover/Steve-Slow-Train-Analysis-(2080s-and-2083s)?_g=(refreshInterval:(display:Off,section:0,value:0),time:(from:'2016-05-02 11:37:04-0600',mode:absolute,to:'2016-05-02 12:24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U70" s="62" t="str">
        <f t="shared" si="23"/>
        <v>N</v>
      </c>
      <c r="V70" s="62">
        <f t="shared" ref="V70:V132" si="28">VALUE(LEFT(A70,3))-VALUE(LEFT(A69,3))</f>
        <v>1</v>
      </c>
      <c r="W70" s="62">
        <f t="shared" si="24"/>
        <v>4.4900000000000002E-2</v>
      </c>
      <c r="X70" s="62">
        <f t="shared" si="25"/>
        <v>23.334</v>
      </c>
      <c r="Y70" s="62">
        <f t="shared" si="26"/>
        <v>23.289100000000001</v>
      </c>
      <c r="Z70" s="63" t="e">
        <f>VLOOKUP(A70,Enforcements!$C$3:$J$40,8,0)</f>
        <v>#N/A</v>
      </c>
      <c r="AA70" s="63" t="e">
        <f>VLOOKUP(A70,Enforcements!$C$3:$J$40,3,0)</f>
        <v>#N/A</v>
      </c>
    </row>
    <row r="71" spans="1:27" s="2" customFormat="1" x14ac:dyDescent="0.25">
      <c r="A71" s="13" t="s">
        <v>408</v>
      </c>
      <c r="B71" s="13">
        <v>4028</v>
      </c>
      <c r="C71" s="13" t="s">
        <v>52</v>
      </c>
      <c r="D71" s="13" t="s">
        <v>174</v>
      </c>
      <c r="E71" s="32">
        <v>42492.523819444446</v>
      </c>
      <c r="F71" s="32">
        <v>42492.524745370371</v>
      </c>
      <c r="G71" s="40">
        <v>1</v>
      </c>
      <c r="H71" s="32" t="s">
        <v>186</v>
      </c>
      <c r="I71" s="32">
        <v>42492.554884259262</v>
      </c>
      <c r="J71" s="13">
        <v>1</v>
      </c>
      <c r="K71" s="13" t="str">
        <f t="shared" si="20"/>
        <v>4027/4028</v>
      </c>
      <c r="L71" s="70" t="str">
        <f>VLOOKUP(A71,'Trips&amp;Operators'!$C$1:$E$9999,3,FALSE)</f>
        <v>BEAM</v>
      </c>
      <c r="M71" s="14">
        <f t="shared" si="21"/>
        <v>3.0138888891087845E-2</v>
      </c>
      <c r="N71" s="15">
        <f t="shared" si="19"/>
        <v>43.400000003166497</v>
      </c>
      <c r="O71" s="15"/>
      <c r="P71" s="15"/>
      <c r="Q71" s="55"/>
      <c r="R71" s="55"/>
      <c r="T71" s="62" t="str">
        <f t="shared" si="22"/>
        <v>https://search-rtdc-monitor-bjffxe2xuh6vdkpspy63sjmuny.us-east-1.es.amazonaws.com/_plugin/kibana/#/discover/Steve-Slow-Train-Analysis-(2080s-and-2083s)?_g=(refreshInterval:(display:Off,section:0,value:0),time:(from:'2016-05-02 12:33:18-0600',mode:absolute,to:'2016-05-02 13:20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U71" s="62" t="str">
        <f t="shared" si="23"/>
        <v>N</v>
      </c>
      <c r="V71" s="62">
        <f t="shared" si="28"/>
        <v>1</v>
      </c>
      <c r="W71" s="62">
        <f t="shared" si="24"/>
        <v>23.299299999999999</v>
      </c>
      <c r="X71" s="62">
        <f t="shared" si="25"/>
        <v>1.41E-2</v>
      </c>
      <c r="Y71" s="62">
        <f t="shared" si="26"/>
        <v>23.2852</v>
      </c>
      <c r="Z71" s="63" t="e">
        <f>VLOOKUP(A71,Enforcements!$C$3:$J$40,8,0)</f>
        <v>#N/A</v>
      </c>
      <c r="AA71" s="63" t="e">
        <f>VLOOKUP(A71,Enforcements!$C$3:$J$40,3,0)</f>
        <v>#N/A</v>
      </c>
    </row>
    <row r="72" spans="1:27" s="2" customFormat="1" x14ac:dyDescent="0.25">
      <c r="A72" s="13" t="s">
        <v>504</v>
      </c>
      <c r="B72" s="13">
        <v>4007</v>
      </c>
      <c r="C72" s="13" t="s">
        <v>52</v>
      </c>
      <c r="D72" s="13" t="s">
        <v>193</v>
      </c>
      <c r="E72" s="32">
        <v>42492.495023148149</v>
      </c>
      <c r="F72" s="32">
        <v>42492.496122685188</v>
      </c>
      <c r="G72" s="40">
        <v>1</v>
      </c>
      <c r="H72" s="32" t="s">
        <v>236</v>
      </c>
      <c r="I72" s="32">
        <v>42492.526238425926</v>
      </c>
      <c r="J72" s="13">
        <v>0</v>
      </c>
      <c r="K72" s="13" t="str">
        <f t="shared" si="20"/>
        <v>4007/4008</v>
      </c>
      <c r="L72" s="70" t="str">
        <f>VLOOKUP(A72,'Trips&amp;Operators'!$C$1:$E$9999,3,FALSE)</f>
        <v>ACKERMAN</v>
      </c>
      <c r="M72" s="14">
        <f t="shared" si="21"/>
        <v>3.011574073752854E-2</v>
      </c>
      <c r="N72" s="15">
        <f t="shared" si="19"/>
        <v>43.366666662041098</v>
      </c>
      <c r="O72" s="15"/>
      <c r="P72" s="15"/>
      <c r="Q72" s="55"/>
      <c r="R72" s="55"/>
      <c r="T72" s="62" t="str">
        <f t="shared" si="22"/>
        <v>https://search-rtdc-monitor-bjffxe2xuh6vdkpspy63sjmuny.us-east-1.es.amazonaws.com/_plugin/kibana/#/discover/Steve-Slow-Train-Analysis-(2080s-and-2083s)?_g=(refreshInterval:(display:Off,section:0,value:0),time:(from:'2016-05-02 11:51:50-0600',mode:absolute,to:'2016-05-02 12:38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72" s="62" t="str">
        <f t="shared" si="23"/>
        <v>N</v>
      </c>
      <c r="V72" s="62">
        <f t="shared" si="28"/>
        <v>1</v>
      </c>
      <c r="W72" s="62">
        <f t="shared" si="24"/>
        <v>4.4900000000000002E-2</v>
      </c>
      <c r="X72" s="62">
        <f t="shared" si="25"/>
        <v>23.329699999999999</v>
      </c>
      <c r="Y72" s="62">
        <f t="shared" si="26"/>
        <v>23.284800000000001</v>
      </c>
      <c r="Z72" s="63" t="e">
        <f>VLOOKUP(A72,Enforcements!$C$3:$J$40,8,0)</f>
        <v>#N/A</v>
      </c>
      <c r="AA72" s="63" t="e">
        <f>VLOOKUP(A72,Enforcements!$C$3:$J$40,3,0)</f>
        <v>#N/A</v>
      </c>
    </row>
    <row r="73" spans="1:27" s="2" customFormat="1" x14ac:dyDescent="0.25">
      <c r="A73" s="13" t="s">
        <v>410</v>
      </c>
      <c r="B73" s="13">
        <v>4008</v>
      </c>
      <c r="C73" s="13" t="s">
        <v>52</v>
      </c>
      <c r="D73" s="13" t="s">
        <v>198</v>
      </c>
      <c r="E73" s="32">
        <v>42492.535416666666</v>
      </c>
      <c r="F73" s="32">
        <v>42492.536400462966</v>
      </c>
      <c r="G73" s="40">
        <v>1</v>
      </c>
      <c r="H73" s="32" t="s">
        <v>207</v>
      </c>
      <c r="I73" s="32">
        <v>42492.56590277778</v>
      </c>
      <c r="J73" s="13">
        <v>2</v>
      </c>
      <c r="K73" s="13" t="str">
        <f t="shared" si="20"/>
        <v>4007/4008</v>
      </c>
      <c r="L73" s="70" t="str">
        <f>VLOOKUP(A73,'Trips&amp;Operators'!$C$1:$E$9999,3,FALSE)</f>
        <v>ACKERMAN</v>
      </c>
      <c r="M73" s="14">
        <f t="shared" si="21"/>
        <v>2.9502314813726116E-2</v>
      </c>
      <c r="N73" s="15">
        <f t="shared" si="19"/>
        <v>42.483333331765607</v>
      </c>
      <c r="O73" s="15"/>
      <c r="P73" s="15"/>
      <c r="Q73" s="55"/>
      <c r="R73" s="55"/>
      <c r="T73" s="62" t="str">
        <f t="shared" si="22"/>
        <v>https://search-rtdc-monitor-bjffxe2xuh6vdkpspy63sjmuny.us-east-1.es.amazonaws.com/_plugin/kibana/#/discover/Steve-Slow-Train-Analysis-(2080s-and-2083s)?_g=(refreshInterval:(display:Off,section:0,value:0),time:(from:'2016-05-02 12:50:00-0600',mode:absolute,to:'2016-05-02 13:35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73" s="62" t="str">
        <f t="shared" si="23"/>
        <v>N</v>
      </c>
      <c r="V73" s="62">
        <f t="shared" si="28"/>
        <v>1</v>
      </c>
      <c r="W73" s="62">
        <f t="shared" si="24"/>
        <v>23.297699999999999</v>
      </c>
      <c r="X73" s="62">
        <f t="shared" si="25"/>
        <v>1.61E-2</v>
      </c>
      <c r="Y73" s="62">
        <f t="shared" si="26"/>
        <v>23.281599999999997</v>
      </c>
      <c r="Z73" s="63" t="e">
        <f>VLOOKUP(A73,Enforcements!$C$3:$J$40,8,0)</f>
        <v>#N/A</v>
      </c>
      <c r="AA73" s="63" t="e">
        <f>VLOOKUP(A73,Enforcements!$C$3:$J$40,3,0)</f>
        <v>#N/A</v>
      </c>
    </row>
    <row r="74" spans="1:27" s="2" customFormat="1" x14ac:dyDescent="0.25">
      <c r="A74" s="13" t="s">
        <v>476</v>
      </c>
      <c r="B74" s="13">
        <v>4044</v>
      </c>
      <c r="C74" s="13" t="s">
        <v>52</v>
      </c>
      <c r="D74" s="13" t="s">
        <v>175</v>
      </c>
      <c r="E74" s="32">
        <v>42492.507708333331</v>
      </c>
      <c r="F74" s="32">
        <v>42492.510266203702</v>
      </c>
      <c r="G74" s="40">
        <v>3</v>
      </c>
      <c r="H74" s="32" t="s">
        <v>126</v>
      </c>
      <c r="I74" s="32">
        <v>42492.536423611113</v>
      </c>
      <c r="J74" s="13">
        <v>0</v>
      </c>
      <c r="K74" s="13" t="str">
        <f t="shared" si="20"/>
        <v>4043/4044</v>
      </c>
      <c r="L74" s="70" t="str">
        <f>VLOOKUP(A74,'Trips&amp;Operators'!$C$1:$E$9999,3,FALSE)</f>
        <v>REBOLETTI</v>
      </c>
      <c r="M74" s="14">
        <f t="shared" si="21"/>
        <v>2.6157407410209998E-2</v>
      </c>
      <c r="N74" s="15">
        <f t="shared" si="19"/>
        <v>37.666666670702398</v>
      </c>
      <c r="O74" s="15"/>
      <c r="P74" s="15"/>
      <c r="Q74" s="55"/>
      <c r="R74" s="55"/>
      <c r="T74" s="62" t="str">
        <f t="shared" si="22"/>
        <v>https://search-rtdc-monitor-bjffxe2xuh6vdkpspy63sjmuny.us-east-1.es.amazonaws.com/_plugin/kibana/#/discover/Steve-Slow-Train-Analysis-(2080s-and-2083s)?_g=(refreshInterval:(display:Off,section:0,value:0),time:(from:'2016-05-02 12:10:06-0600',mode:absolute,to:'2016-05-02 12:53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74" s="62" t="str">
        <f t="shared" si="23"/>
        <v>N</v>
      </c>
      <c r="V74" s="62">
        <f t="shared" si="28"/>
        <v>1</v>
      </c>
      <c r="W74" s="62">
        <f t="shared" si="24"/>
        <v>4.4699999999999997E-2</v>
      </c>
      <c r="X74" s="62">
        <f t="shared" si="25"/>
        <v>23.331499999999998</v>
      </c>
      <c r="Y74" s="62">
        <f t="shared" si="26"/>
        <v>23.286799999999999</v>
      </c>
      <c r="Z74" s="63" t="e">
        <f>VLOOKUP(A74,Enforcements!$C$3:$J$40,8,0)</f>
        <v>#N/A</v>
      </c>
      <c r="AA74" s="63" t="e">
        <f>VLOOKUP(A74,Enforcements!$C$3:$J$40,3,0)</f>
        <v>#N/A</v>
      </c>
    </row>
    <row r="75" spans="1:27" s="2" customFormat="1" x14ac:dyDescent="0.25">
      <c r="A75" s="13" t="s">
        <v>508</v>
      </c>
      <c r="B75" s="13">
        <v>4043</v>
      </c>
      <c r="C75" s="13" t="s">
        <v>52</v>
      </c>
      <c r="D75" s="13" t="s">
        <v>190</v>
      </c>
      <c r="E75" s="32">
        <v>42492.548020833332</v>
      </c>
      <c r="F75" s="32">
        <v>42492.549444444441</v>
      </c>
      <c r="G75" s="40">
        <v>2</v>
      </c>
      <c r="H75" s="32" t="s">
        <v>527</v>
      </c>
      <c r="I75" s="32">
        <v>42492.581516203703</v>
      </c>
      <c r="J75" s="13">
        <v>0</v>
      </c>
      <c r="K75" s="13" t="str">
        <f t="shared" si="20"/>
        <v>4043/4044</v>
      </c>
      <c r="L75" s="70" t="str">
        <f>VLOOKUP(A75,'Trips&amp;Operators'!$C$1:$E$9999,3,FALSE)</f>
        <v>REBOLETTI</v>
      </c>
      <c r="M75" s="14">
        <f t="shared" si="21"/>
        <v>3.2071759262180422E-2</v>
      </c>
      <c r="N75" s="15">
        <f t="shared" si="19"/>
        <v>46.183333337539807</v>
      </c>
      <c r="O75" s="15"/>
      <c r="P75" s="15"/>
      <c r="Q75" s="55"/>
      <c r="R75" s="55"/>
      <c r="T75" s="62" t="str">
        <f t="shared" si="22"/>
        <v>https://search-rtdc-monitor-bjffxe2xuh6vdkpspy63sjmuny.us-east-1.es.amazonaws.com/_plugin/kibana/#/discover/Steve-Slow-Train-Analysis-(2080s-and-2083s)?_g=(refreshInterval:(display:Off,section:0,value:0),time:(from:'2016-05-02 13:08:09-0600',mode:absolute,to:'2016-05-02 13:58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75" s="62" t="str">
        <f t="shared" si="23"/>
        <v>N</v>
      </c>
      <c r="V75" s="62">
        <f t="shared" si="28"/>
        <v>1</v>
      </c>
      <c r="W75" s="62">
        <f t="shared" si="24"/>
        <v>23.300799999999999</v>
      </c>
      <c r="X75" s="62">
        <f t="shared" si="25"/>
        <v>9.0300000000000005E-2</v>
      </c>
      <c r="Y75" s="62">
        <f t="shared" si="26"/>
        <v>23.2105</v>
      </c>
      <c r="Z75" s="63" t="e">
        <f>VLOOKUP(A75,Enforcements!$C$3:$J$40,8,0)</f>
        <v>#N/A</v>
      </c>
      <c r="AA75" s="63" t="e">
        <f>VLOOKUP(A75,Enforcements!$C$3:$J$40,3,0)</f>
        <v>#N/A</v>
      </c>
    </row>
    <row r="76" spans="1:27" s="2" customFormat="1" x14ac:dyDescent="0.25">
      <c r="A76" s="13" t="s">
        <v>404</v>
      </c>
      <c r="B76" s="13">
        <v>4014</v>
      </c>
      <c r="C76" s="13" t="s">
        <v>52</v>
      </c>
      <c r="D76" s="13" t="s">
        <v>130</v>
      </c>
      <c r="E76" s="32">
        <v>42492.516574074078</v>
      </c>
      <c r="F76" s="32">
        <v>42492.517592592594</v>
      </c>
      <c r="G76" s="40">
        <v>1</v>
      </c>
      <c r="H76" s="32" t="s">
        <v>131</v>
      </c>
      <c r="I76" s="32">
        <v>42492.546006944445</v>
      </c>
      <c r="J76" s="13">
        <v>2</v>
      </c>
      <c r="K76" s="13" t="str">
        <f t="shared" si="20"/>
        <v>4013/4014</v>
      </c>
      <c r="L76" s="70" t="str">
        <f>VLOOKUP(A76,'Trips&amp;Operators'!$C$1:$E$9999,3,FALSE)</f>
        <v>YORK</v>
      </c>
      <c r="M76" s="14">
        <f t="shared" si="21"/>
        <v>2.8414351851097308E-2</v>
      </c>
      <c r="N76" s="15">
        <f t="shared" si="19"/>
        <v>40.916666665580124</v>
      </c>
      <c r="O76" s="15"/>
      <c r="P76" s="15"/>
      <c r="Q76" s="55"/>
      <c r="R76" s="55"/>
      <c r="T76" s="62" t="str">
        <f t="shared" si="22"/>
        <v>https://search-rtdc-monitor-bjffxe2xuh6vdkpspy63sjmuny.us-east-1.es.amazonaws.com/_plugin/kibana/#/discover/Steve-Slow-Train-Analysis-(2080s-and-2083s)?_g=(refreshInterval:(display:Off,section:0,value:0),time:(from:'2016-05-02 12:22:52-0600',mode:absolute,to:'2016-05-02 13:07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U76" s="62" t="str">
        <f t="shared" si="23"/>
        <v>N</v>
      </c>
      <c r="V76" s="62">
        <f t="shared" si="28"/>
        <v>1</v>
      </c>
      <c r="W76" s="62">
        <f t="shared" si="24"/>
        <v>4.5100000000000001E-2</v>
      </c>
      <c r="X76" s="62">
        <f t="shared" si="25"/>
        <v>23.328900000000001</v>
      </c>
      <c r="Y76" s="62">
        <f t="shared" si="26"/>
        <v>23.283799999999999</v>
      </c>
      <c r="Z76" s="63">
        <f>VLOOKUP(A76,Enforcements!$C$3:$J$40,8,0)</f>
        <v>20338</v>
      </c>
      <c r="AA76" s="63" t="str">
        <f>VLOOKUP(A76,Enforcements!$C$3:$J$40,3,0)</f>
        <v>PERMANENT SPEED RESTRICTION</v>
      </c>
    </row>
    <row r="77" spans="1:27" s="2" customFormat="1" x14ac:dyDescent="0.25">
      <c r="A77" s="13" t="s">
        <v>409</v>
      </c>
      <c r="B77" s="13">
        <v>4013</v>
      </c>
      <c r="C77" s="13" t="s">
        <v>52</v>
      </c>
      <c r="D77" s="13" t="s">
        <v>526</v>
      </c>
      <c r="E77" s="32">
        <v>42492.559178240743</v>
      </c>
      <c r="F77" s="32">
        <v>42492.56</v>
      </c>
      <c r="G77" s="40">
        <v>1</v>
      </c>
      <c r="H77" s="32" t="s">
        <v>287</v>
      </c>
      <c r="I77" s="32">
        <v>42492.587152777778</v>
      </c>
      <c r="J77" s="13">
        <v>2</v>
      </c>
      <c r="K77" s="13" t="str">
        <f t="shared" si="20"/>
        <v>4013/4014</v>
      </c>
      <c r="L77" s="70" t="str">
        <f>VLOOKUP(A77,'Trips&amp;Operators'!$C$1:$E$9999,3,FALSE)</f>
        <v>YORK</v>
      </c>
      <c r="M77" s="14">
        <f t="shared" si="21"/>
        <v>2.715277778042946E-2</v>
      </c>
      <c r="N77" s="15">
        <f t="shared" si="19"/>
        <v>39.100000003818423</v>
      </c>
      <c r="O77" s="15"/>
      <c r="P77" s="15"/>
      <c r="Q77" s="55"/>
      <c r="R77" s="55"/>
      <c r="T77" s="62" t="str">
        <f t="shared" si="22"/>
        <v>https://search-rtdc-monitor-bjffxe2xuh6vdkpspy63sjmuny.us-east-1.es.amazonaws.com/_plugin/kibana/#/discover/Steve-Slow-Train-Analysis-(2080s-and-2083s)?_g=(refreshInterval:(display:Off,section:0,value:0),time:(from:'2016-05-02 13:24:13-0600',mode:absolute,to:'2016-05-02 14:06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U77" s="62" t="str">
        <f t="shared" si="23"/>
        <v>N</v>
      </c>
      <c r="V77" s="62">
        <f t="shared" si="28"/>
        <v>1</v>
      </c>
      <c r="W77" s="62">
        <f t="shared" si="24"/>
        <v>23.2959</v>
      </c>
      <c r="X77" s="62">
        <f t="shared" si="25"/>
        <v>1.47E-2</v>
      </c>
      <c r="Y77" s="62">
        <f t="shared" si="26"/>
        <v>23.281199999999998</v>
      </c>
      <c r="Z77" s="63">
        <f>VLOOKUP(A77,Enforcements!$C$3:$J$40,8,0)</f>
        <v>191108</v>
      </c>
      <c r="AA77" s="63" t="str">
        <f>VLOOKUP(A77,Enforcements!$C$3:$J$40,3,0)</f>
        <v>PERMANENT SPEED RESTRICTION</v>
      </c>
    </row>
    <row r="78" spans="1:27" s="2" customFormat="1" x14ac:dyDescent="0.25">
      <c r="A78" s="13" t="s">
        <v>406</v>
      </c>
      <c r="B78" s="13">
        <v>4025</v>
      </c>
      <c r="C78" s="13" t="s">
        <v>52</v>
      </c>
      <c r="D78" s="13" t="s">
        <v>66</v>
      </c>
      <c r="E78" s="32">
        <v>42492.530914351853</v>
      </c>
      <c r="F78" s="32">
        <v>42492.532083333332</v>
      </c>
      <c r="G78" s="40">
        <v>1</v>
      </c>
      <c r="H78" s="32" t="s">
        <v>144</v>
      </c>
      <c r="I78" s="32">
        <v>42492.558599537035</v>
      </c>
      <c r="J78" s="13">
        <v>1</v>
      </c>
      <c r="K78" s="13" t="str">
        <f t="shared" si="20"/>
        <v>4025/4026</v>
      </c>
      <c r="L78" s="70" t="str">
        <f>VLOOKUP(A78,'Trips&amp;Operators'!$C$1:$E$9999,3,FALSE)</f>
        <v>WEBSTER</v>
      </c>
      <c r="M78" s="14">
        <f t="shared" si="21"/>
        <v>2.6516203703067731E-2</v>
      </c>
      <c r="N78" s="15">
        <f t="shared" si="19"/>
        <v>38.183333332417533</v>
      </c>
      <c r="O78" s="15"/>
      <c r="P78" s="15"/>
      <c r="Q78" s="55"/>
      <c r="R78" s="55"/>
      <c r="T78" s="62" t="str">
        <f t="shared" si="22"/>
        <v>https://search-rtdc-monitor-bjffxe2xuh6vdkpspy63sjmuny.us-east-1.es.amazonaws.com/_plugin/kibana/#/discover/Steve-Slow-Train-Analysis-(2080s-and-2083s)?_g=(refreshInterval:(display:Off,section:0,value:0),time:(from:'2016-05-02 12:43:31-0600',mode:absolute,to:'2016-05-02 13:25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U78" s="62" t="str">
        <f t="shared" si="23"/>
        <v>N</v>
      </c>
      <c r="V78" s="62">
        <f t="shared" si="28"/>
        <v>1</v>
      </c>
      <c r="W78" s="62">
        <f t="shared" si="24"/>
        <v>4.4600000000000001E-2</v>
      </c>
      <c r="X78" s="62">
        <f t="shared" si="25"/>
        <v>23.331399999999999</v>
      </c>
      <c r="Y78" s="62">
        <f t="shared" si="26"/>
        <v>23.286799999999999</v>
      </c>
      <c r="Z78" s="63">
        <f>VLOOKUP(A78,Enforcements!$C$3:$J$40,8,0)</f>
        <v>58783</v>
      </c>
      <c r="AA78" s="63" t="str">
        <f>VLOOKUP(A78,Enforcements!$C$3:$J$40,3,0)</f>
        <v>GRADE CROSSING</v>
      </c>
    </row>
    <row r="79" spans="1:27" s="2" customFormat="1" x14ac:dyDescent="0.25">
      <c r="A79" s="13" t="s">
        <v>411</v>
      </c>
      <c r="B79" s="13">
        <v>4020</v>
      </c>
      <c r="C79" s="13" t="s">
        <v>52</v>
      </c>
      <c r="D79" s="13" t="s">
        <v>215</v>
      </c>
      <c r="E79" s="32">
        <v>42492.541261574072</v>
      </c>
      <c r="F79" s="32">
        <v>42492.542280092595</v>
      </c>
      <c r="G79" s="40">
        <v>1</v>
      </c>
      <c r="H79" s="32" t="s">
        <v>528</v>
      </c>
      <c r="I79" s="32">
        <v>42492.567106481481</v>
      </c>
      <c r="J79" s="13">
        <v>1</v>
      </c>
      <c r="K79" s="13" t="str">
        <f t="shared" si="20"/>
        <v>4019/4020</v>
      </c>
      <c r="L79" s="70" t="str">
        <f>VLOOKUP(A79,'Trips&amp;Operators'!$C$1:$E$9999,3,FALSE)</f>
        <v>COOLAHAN</v>
      </c>
      <c r="M79" s="14">
        <f t="shared" si="21"/>
        <v>2.4826388886140194E-2</v>
      </c>
      <c r="N79" s="15">
        <f t="shared" si="19"/>
        <v>35.749999996041879</v>
      </c>
      <c r="O79" s="15"/>
      <c r="P79" s="15"/>
      <c r="Q79" s="55"/>
      <c r="R79" s="55"/>
      <c r="T79" s="62" t="str">
        <f t="shared" si="22"/>
        <v>https://search-rtdc-monitor-bjffxe2xuh6vdkpspy63sjmuny.us-east-1.es.amazonaws.com/_plugin/kibana/#/discover/Steve-Slow-Train-Analysis-(2080s-and-2083s)?_g=(refreshInterval:(display:Off,section:0,value:0),time:(from:'2016-05-02 12:58:25-0600',mode:absolute,to:'2016-05-02 13:37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79" s="62" t="str">
        <f t="shared" si="23"/>
        <v>N</v>
      </c>
      <c r="V79" s="62">
        <f t="shared" si="28"/>
        <v>2</v>
      </c>
      <c r="W79" s="62">
        <f t="shared" si="24"/>
        <v>4.7100000000000003E-2</v>
      </c>
      <c r="X79" s="62">
        <f t="shared" si="25"/>
        <v>23.3307</v>
      </c>
      <c r="Y79" s="62">
        <f t="shared" si="26"/>
        <v>23.2836</v>
      </c>
      <c r="Z79" s="63">
        <f>VLOOKUP(A79,Enforcements!$C$3:$J$40,8,0)</f>
        <v>232080</v>
      </c>
      <c r="AA79" s="63" t="str">
        <f>VLOOKUP(A79,Enforcements!$C$3:$J$40,3,0)</f>
        <v>PERMANENT SPEED RESTRICTION</v>
      </c>
    </row>
    <row r="80" spans="1:27" s="2" customFormat="1" x14ac:dyDescent="0.25">
      <c r="A80" s="13" t="s">
        <v>510</v>
      </c>
      <c r="B80" s="13">
        <v>4019</v>
      </c>
      <c r="C80" s="13" t="s">
        <v>52</v>
      </c>
      <c r="D80" s="13" t="s">
        <v>162</v>
      </c>
      <c r="E80" s="32">
        <v>42492.571736111109</v>
      </c>
      <c r="F80" s="32">
        <v>42492.572870370372</v>
      </c>
      <c r="G80" s="40">
        <v>1</v>
      </c>
      <c r="H80" s="32" t="s">
        <v>191</v>
      </c>
      <c r="I80" s="32">
        <v>42492.606273148151</v>
      </c>
      <c r="J80" s="13">
        <v>0</v>
      </c>
      <c r="K80" s="13" t="str">
        <f t="shared" si="20"/>
        <v>4019/4020</v>
      </c>
      <c r="L80" s="70" t="str">
        <f>VLOOKUP(A80,'Trips&amp;Operators'!$C$1:$E$9999,3,FALSE)</f>
        <v>CANFIELD</v>
      </c>
      <c r="M80" s="14">
        <f t="shared" si="21"/>
        <v>3.3402777778974269E-2</v>
      </c>
      <c r="N80" s="15">
        <f t="shared" si="19"/>
        <v>48.100000001722947</v>
      </c>
      <c r="O80" s="15"/>
      <c r="P80" s="15"/>
      <c r="Q80" s="55"/>
      <c r="R80" s="55"/>
      <c r="T80" s="62" t="str">
        <f t="shared" si="22"/>
        <v>https://search-rtdc-monitor-bjffxe2xuh6vdkpspy63sjmuny.us-east-1.es.amazonaws.com/_plugin/kibana/#/discover/Steve-Slow-Train-Analysis-(2080s-and-2083s)?_g=(refreshInterval:(display:Off,section:0,value:0),time:(from:'2016-05-02 13:42:18-0600',mode:absolute,to:'2016-05-02 14:34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80" s="62" t="str">
        <f t="shared" si="23"/>
        <v>N</v>
      </c>
      <c r="V80" s="62">
        <f t="shared" si="28"/>
        <v>1</v>
      </c>
      <c r="W80" s="62">
        <f t="shared" si="24"/>
        <v>23.298400000000001</v>
      </c>
      <c r="X80" s="62">
        <f t="shared" si="25"/>
        <v>1.34E-2</v>
      </c>
      <c r="Y80" s="62">
        <f t="shared" si="26"/>
        <v>23.285</v>
      </c>
      <c r="Z80" s="63" t="e">
        <f>VLOOKUP(A80,Enforcements!$C$3:$J$40,8,0)</f>
        <v>#N/A</v>
      </c>
      <c r="AA80" s="63" t="e">
        <f>VLOOKUP(A80,Enforcements!$C$3:$J$40,3,0)</f>
        <v>#N/A</v>
      </c>
    </row>
    <row r="81" spans="1:27" s="2" customFormat="1" x14ac:dyDescent="0.25">
      <c r="A81" s="13" t="s">
        <v>481</v>
      </c>
      <c r="B81" s="13">
        <v>4016</v>
      </c>
      <c r="C81" s="13" t="s">
        <v>52</v>
      </c>
      <c r="D81" s="13" t="s">
        <v>66</v>
      </c>
      <c r="E81" s="32">
        <v>42492.554224537038</v>
      </c>
      <c r="F81" s="32">
        <v>42492.555081018516</v>
      </c>
      <c r="G81" s="40">
        <v>1</v>
      </c>
      <c r="H81" s="32" t="s">
        <v>131</v>
      </c>
      <c r="I81" s="32">
        <v>42492.581122685187</v>
      </c>
      <c r="J81" s="13">
        <v>0</v>
      </c>
      <c r="K81" s="13" t="str">
        <f t="shared" si="20"/>
        <v>4015/4016</v>
      </c>
      <c r="L81" s="70" t="str">
        <f>VLOOKUP(A81,'Trips&amp;Operators'!$C$1:$E$9999,3,FALSE)</f>
        <v>COOLAHAN</v>
      </c>
      <c r="M81" s="14">
        <f t="shared" si="21"/>
        <v>2.6041666671517305E-2</v>
      </c>
      <c r="N81" s="15">
        <f t="shared" si="19"/>
        <v>37.500000006984919</v>
      </c>
      <c r="O81" s="15"/>
      <c r="P81" s="15"/>
      <c r="Q81" s="55"/>
      <c r="R81" s="55"/>
      <c r="T81" s="62" t="str">
        <f t="shared" si="22"/>
        <v>https://search-rtdc-monitor-bjffxe2xuh6vdkpspy63sjmuny.us-east-1.es.amazonaws.com/_plugin/kibana/#/discover/Steve-Slow-Train-Analysis-(2080s-and-2083s)?_g=(refreshInterval:(display:Off,section:0,value:0),time:(from:'2016-05-02 13:17:05-0600',mode:absolute,to:'2016-05-02 13:57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81" s="62" t="str">
        <f t="shared" si="23"/>
        <v>N</v>
      </c>
      <c r="V81" s="62">
        <f t="shared" si="28"/>
        <v>1</v>
      </c>
      <c r="W81" s="62">
        <f t="shared" si="24"/>
        <v>4.4600000000000001E-2</v>
      </c>
      <c r="X81" s="62">
        <f t="shared" si="25"/>
        <v>23.328900000000001</v>
      </c>
      <c r="Y81" s="62">
        <f t="shared" si="26"/>
        <v>23.284300000000002</v>
      </c>
      <c r="Z81" s="63" t="e">
        <f>VLOOKUP(A81,Enforcements!$C$3:$J$40,8,0)</f>
        <v>#N/A</v>
      </c>
      <c r="AA81" s="63" t="e">
        <f>VLOOKUP(A81,Enforcements!$C$3:$J$40,3,0)</f>
        <v>#N/A</v>
      </c>
    </row>
    <row r="82" spans="1:27" s="2" customFormat="1" x14ac:dyDescent="0.25">
      <c r="A82" s="13" t="s">
        <v>412</v>
      </c>
      <c r="B82" s="13">
        <v>4015</v>
      </c>
      <c r="C82" s="13" t="s">
        <v>52</v>
      </c>
      <c r="D82" s="13" t="s">
        <v>525</v>
      </c>
      <c r="E82" s="32">
        <v>42492.590150462966</v>
      </c>
      <c r="F82" s="32">
        <v>42492.590995370374</v>
      </c>
      <c r="G82" s="40">
        <v>1</v>
      </c>
      <c r="H82" s="32" t="s">
        <v>287</v>
      </c>
      <c r="I82" s="32">
        <v>42492.617604166669</v>
      </c>
      <c r="J82" s="13">
        <v>2</v>
      </c>
      <c r="K82" s="13" t="str">
        <f t="shared" si="20"/>
        <v>4015/4016</v>
      </c>
      <c r="L82" s="70" t="str">
        <f>VLOOKUP(A82,'Trips&amp;Operators'!$C$1:$E$9999,3,FALSE)</f>
        <v>COOLAHAN</v>
      </c>
      <c r="M82" s="14">
        <f t="shared" si="21"/>
        <v>2.6608796295477077E-2</v>
      </c>
      <c r="N82" s="15">
        <f t="shared" si="19"/>
        <v>38.316666665486991</v>
      </c>
      <c r="O82" s="15"/>
      <c r="P82" s="15"/>
      <c r="Q82" s="55"/>
      <c r="R82" s="55"/>
      <c r="T82" s="62" t="str">
        <f t="shared" si="22"/>
        <v>https://search-rtdc-monitor-bjffxe2xuh6vdkpspy63sjmuny.us-east-1.es.amazonaws.com/_plugin/kibana/#/discover/Steve-Slow-Train-Analysis-(2080s-and-2083s)?_g=(refreshInterval:(display:Off,section:0,value:0),time:(from:'2016-05-02 14:08:49-0600',mode:absolute,to:'2016-05-02 14:50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82" s="62" t="str">
        <f t="shared" si="23"/>
        <v>N</v>
      </c>
      <c r="V82" s="62">
        <f t="shared" si="28"/>
        <v>1</v>
      </c>
      <c r="W82" s="62">
        <f t="shared" si="24"/>
        <v>23.297599999999999</v>
      </c>
      <c r="X82" s="62">
        <f t="shared" si="25"/>
        <v>1.47E-2</v>
      </c>
      <c r="Y82" s="62">
        <f t="shared" si="26"/>
        <v>23.282899999999998</v>
      </c>
      <c r="Z82" s="63">
        <f>VLOOKUP(A82,Enforcements!$C$3:$J$40,8,0)</f>
        <v>190834</v>
      </c>
      <c r="AA82" s="63" t="str">
        <f>VLOOKUP(A82,Enforcements!$C$3:$J$40,3,0)</f>
        <v>PERMANENT SPEED RESTRICTION</v>
      </c>
    </row>
    <row r="83" spans="1:27" s="2" customFormat="1" x14ac:dyDescent="0.25">
      <c r="A83" s="13" t="s">
        <v>509</v>
      </c>
      <c r="B83" s="13">
        <v>4027</v>
      </c>
      <c r="C83" s="13" t="s">
        <v>52</v>
      </c>
      <c r="D83" s="13" t="s">
        <v>215</v>
      </c>
      <c r="E83" s="32">
        <v>42492.557939814818</v>
      </c>
      <c r="F83" s="32">
        <v>42492.558993055558</v>
      </c>
      <c r="G83" s="40">
        <v>1</v>
      </c>
      <c r="H83" s="32" t="s">
        <v>161</v>
      </c>
      <c r="I83" s="32">
        <v>42492.587094907409</v>
      </c>
      <c r="J83" s="13">
        <v>0</v>
      </c>
      <c r="K83" s="13" t="str">
        <f t="shared" si="20"/>
        <v>4027/4028</v>
      </c>
      <c r="L83" s="70" t="str">
        <f>VLOOKUP(A83,'Trips&amp;Operators'!$C$1:$E$9999,3,FALSE)</f>
        <v>BEAM</v>
      </c>
      <c r="M83" s="14">
        <f t="shared" si="21"/>
        <v>2.810185185080627E-2</v>
      </c>
      <c r="N83" s="15">
        <f t="shared" si="19"/>
        <v>40.466666665161029</v>
      </c>
      <c r="O83" s="15"/>
      <c r="P83" s="15"/>
      <c r="Q83" s="55"/>
      <c r="R83" s="55"/>
      <c r="T83" s="62" t="str">
        <f t="shared" si="22"/>
        <v>https://search-rtdc-monitor-bjffxe2xuh6vdkpspy63sjmuny.us-east-1.es.amazonaws.com/_plugin/kibana/#/discover/Steve-Slow-Train-Analysis-(2080s-and-2083s)?_g=(refreshInterval:(display:Off,section:0,value:0),time:(from:'2016-05-02 13:22:26-0600',mode:absolute,to:'2016-05-02 14:06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U83" s="62" t="str">
        <f t="shared" si="23"/>
        <v>N</v>
      </c>
      <c r="V83" s="62">
        <f t="shared" si="28"/>
        <v>1</v>
      </c>
      <c r="W83" s="62">
        <f t="shared" si="24"/>
        <v>4.7100000000000003E-2</v>
      </c>
      <c r="X83" s="62">
        <f t="shared" si="25"/>
        <v>23.330100000000002</v>
      </c>
      <c r="Y83" s="62">
        <f t="shared" si="26"/>
        <v>23.283000000000001</v>
      </c>
      <c r="Z83" s="63" t="e">
        <f>VLOOKUP(A83,Enforcements!$C$3:$J$40,8,0)</f>
        <v>#N/A</v>
      </c>
      <c r="AA83" s="63" t="e">
        <f>VLOOKUP(A83,Enforcements!$C$3:$J$40,3,0)</f>
        <v>#N/A</v>
      </c>
    </row>
    <row r="84" spans="1:27" s="2" customFormat="1" x14ac:dyDescent="0.25">
      <c r="A84" s="13" t="s">
        <v>468</v>
      </c>
      <c r="B84" s="13">
        <v>4028</v>
      </c>
      <c r="C84" s="13" t="s">
        <v>52</v>
      </c>
      <c r="D84" s="13" t="s">
        <v>535</v>
      </c>
      <c r="E84" s="32">
        <v>42492.595219907409</v>
      </c>
      <c r="F84" s="32">
        <v>42492.596250000002</v>
      </c>
      <c r="G84" s="40">
        <v>1</v>
      </c>
      <c r="H84" s="32" t="s">
        <v>163</v>
      </c>
      <c r="I84" s="32">
        <v>42492.628333333334</v>
      </c>
      <c r="J84" s="13">
        <v>0</v>
      </c>
      <c r="K84" s="13" t="str">
        <f t="shared" si="20"/>
        <v>4027/4028</v>
      </c>
      <c r="L84" s="70" t="str">
        <f>VLOOKUP(A84,'Trips&amp;Operators'!$C$1:$E$9999,3,FALSE)</f>
        <v>BEAM</v>
      </c>
      <c r="M84" s="14">
        <f t="shared" si="21"/>
        <v>3.2083333331684116E-2</v>
      </c>
      <c r="N84" s="15">
        <f t="shared" si="19"/>
        <v>46.199999997625127</v>
      </c>
      <c r="O84" s="15"/>
      <c r="P84" s="15"/>
      <c r="Q84" s="55"/>
      <c r="R84" s="55"/>
      <c r="T84" s="62" t="str">
        <f t="shared" si="22"/>
        <v>https://search-rtdc-monitor-bjffxe2xuh6vdkpspy63sjmuny.us-east-1.es.amazonaws.com/_plugin/kibana/#/discover/Steve-Slow-Train-Analysis-(2080s-and-2083s)?_g=(refreshInterval:(display:Off,section:0,value:0),time:(from:'2016-05-02 14:16:07-0600',mode:absolute,to:'2016-05-02 15:05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U84" s="62" t="str">
        <f t="shared" si="23"/>
        <v>N</v>
      </c>
      <c r="V84" s="62">
        <f t="shared" si="28"/>
        <v>1</v>
      </c>
      <c r="W84" s="62">
        <f t="shared" si="24"/>
        <v>23.298999999999999</v>
      </c>
      <c r="X84" s="62">
        <f t="shared" si="25"/>
        <v>1.5599999999999999E-2</v>
      </c>
      <c r="Y84" s="62">
        <f t="shared" si="26"/>
        <v>23.2834</v>
      </c>
      <c r="Z84" s="63" t="e">
        <f>VLOOKUP(A84,Enforcements!$C$3:$J$40,8,0)</f>
        <v>#N/A</v>
      </c>
      <c r="AA84" s="63" t="e">
        <f>VLOOKUP(A84,Enforcements!$C$3:$J$40,3,0)</f>
        <v>#N/A</v>
      </c>
    </row>
    <row r="85" spans="1:27" s="2" customFormat="1" x14ac:dyDescent="0.25">
      <c r="A85" s="13" t="s">
        <v>482</v>
      </c>
      <c r="B85" s="13">
        <v>4007</v>
      </c>
      <c r="C85" s="13" t="s">
        <v>52</v>
      </c>
      <c r="D85" s="13" t="s">
        <v>209</v>
      </c>
      <c r="E85" s="32">
        <v>42492.569247685184</v>
      </c>
      <c r="F85" s="32">
        <v>42492.570439814815</v>
      </c>
      <c r="G85" s="40">
        <v>1</v>
      </c>
      <c r="H85" s="32" t="s">
        <v>236</v>
      </c>
      <c r="I85" s="32">
        <v>42492.598136574074</v>
      </c>
      <c r="J85" s="13">
        <v>0</v>
      </c>
      <c r="K85" s="13" t="str">
        <f t="shared" si="20"/>
        <v>4007/4008</v>
      </c>
      <c r="L85" s="70" t="str">
        <f>VLOOKUP(A85,'Trips&amp;Operators'!$C$1:$E$9999,3,FALSE)</f>
        <v>ACKERMAN</v>
      </c>
      <c r="M85" s="14">
        <f t="shared" si="21"/>
        <v>2.7696759258105885E-2</v>
      </c>
      <c r="N85" s="15">
        <f t="shared" si="19"/>
        <v>39.883333331672475</v>
      </c>
      <c r="O85" s="15"/>
      <c r="P85" s="15"/>
      <c r="Q85" s="55"/>
      <c r="R85" s="55"/>
      <c r="T85" s="62" t="str">
        <f t="shared" si="22"/>
        <v>https://search-rtdc-monitor-bjffxe2xuh6vdkpspy63sjmuny.us-east-1.es.amazonaws.com/_plugin/kibana/#/discover/Steve-Slow-Train-Analysis-(2080s-and-2083s)?_g=(refreshInterval:(display:Off,section:0,value:0),time:(from:'2016-05-02 13:38:43-0600',mode:absolute,to:'2016-05-02 14:22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85" s="62" t="str">
        <f t="shared" si="23"/>
        <v>N</v>
      </c>
      <c r="V85" s="62">
        <f t="shared" si="28"/>
        <v>1</v>
      </c>
      <c r="W85" s="62">
        <f t="shared" si="24"/>
        <v>4.6899999999999997E-2</v>
      </c>
      <c r="X85" s="62">
        <f t="shared" si="25"/>
        <v>23.329699999999999</v>
      </c>
      <c r="Y85" s="62">
        <f t="shared" si="26"/>
        <v>23.282799999999998</v>
      </c>
      <c r="Z85" s="63" t="e">
        <f>VLOOKUP(A85,Enforcements!$C$3:$J$40,8,0)</f>
        <v>#N/A</v>
      </c>
      <c r="AA85" s="63" t="e">
        <f>VLOOKUP(A85,Enforcements!$C$3:$J$40,3,0)</f>
        <v>#N/A</v>
      </c>
    </row>
    <row r="86" spans="1:27" s="2" customFormat="1" x14ac:dyDescent="0.25">
      <c r="A86" s="13" t="s">
        <v>415</v>
      </c>
      <c r="B86" s="13">
        <v>4008</v>
      </c>
      <c r="C86" s="13" t="s">
        <v>52</v>
      </c>
      <c r="D86" s="13" t="s">
        <v>198</v>
      </c>
      <c r="E86" s="32">
        <v>42492.60633101852</v>
      </c>
      <c r="F86" s="32">
        <v>42492.607222222221</v>
      </c>
      <c r="G86" s="40">
        <v>1</v>
      </c>
      <c r="H86" s="32" t="s">
        <v>595</v>
      </c>
      <c r="I86" s="32">
        <v>42492.639374999999</v>
      </c>
      <c r="J86" s="13">
        <v>1</v>
      </c>
      <c r="K86" s="13" t="str">
        <f t="shared" si="20"/>
        <v>4007/4008</v>
      </c>
      <c r="L86" s="70" t="str">
        <f>VLOOKUP(A86,'Trips&amp;Operators'!$C$1:$E$9999,3,FALSE)</f>
        <v>ACKERMAN</v>
      </c>
      <c r="M86" s="14">
        <f t="shared" si="21"/>
        <v>3.2152777777810115E-2</v>
      </c>
      <c r="N86" s="15">
        <f t="shared" si="19"/>
        <v>46.300000000046566</v>
      </c>
      <c r="O86" s="15"/>
      <c r="P86" s="15"/>
      <c r="Q86" s="55"/>
      <c r="R86" s="55"/>
      <c r="T86" s="62" t="str">
        <f t="shared" si="22"/>
        <v>https://search-rtdc-monitor-bjffxe2xuh6vdkpspy63sjmuny.us-east-1.es.amazonaws.com/_plugin/kibana/#/discover/Steve-Slow-Train-Analysis-(2080s-and-2083s)?_g=(refreshInterval:(display:Off,section:0,value:0),time:(from:'2016-05-02 14:32:07-0600',mode:absolute,to:'2016-05-02 15:21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86" s="62" t="str">
        <f t="shared" si="23"/>
        <v>N</v>
      </c>
      <c r="V86" s="62">
        <f t="shared" si="28"/>
        <v>1</v>
      </c>
      <c r="W86" s="62">
        <f t="shared" si="24"/>
        <v>23.297699999999999</v>
      </c>
      <c r="X86" s="62">
        <f t="shared" si="25"/>
        <v>1.29E-2</v>
      </c>
      <c r="Y86" s="62">
        <f t="shared" si="26"/>
        <v>23.284800000000001</v>
      </c>
      <c r="Z86" s="63" t="e">
        <f>VLOOKUP(A86,Enforcements!$C$3:$J$40,8,0)</f>
        <v>#N/A</v>
      </c>
      <c r="AA86" s="63" t="e">
        <f>VLOOKUP(A86,Enforcements!$C$3:$J$40,3,0)</f>
        <v>#N/A</v>
      </c>
    </row>
    <row r="87" spans="1:27" s="2" customFormat="1" x14ac:dyDescent="0.25">
      <c r="A87" s="13" t="s">
        <v>413</v>
      </c>
      <c r="B87" s="13">
        <v>4038</v>
      </c>
      <c r="C87" s="13" t="s">
        <v>52</v>
      </c>
      <c r="D87" s="13" t="s">
        <v>154</v>
      </c>
      <c r="E87" s="32">
        <v>42492.581990740742</v>
      </c>
      <c r="F87" s="32">
        <v>42492.583923611113</v>
      </c>
      <c r="G87" s="40">
        <v>2</v>
      </c>
      <c r="H87" s="32" t="s">
        <v>188</v>
      </c>
      <c r="I87" s="32">
        <v>42492.610775462963</v>
      </c>
      <c r="J87" s="13">
        <v>1</v>
      </c>
      <c r="K87" s="13" t="str">
        <f t="shared" si="20"/>
        <v>4037/4038</v>
      </c>
      <c r="L87" s="70" t="str">
        <f>VLOOKUP(A87,'Trips&amp;Operators'!$C$1:$E$9999,3,FALSE)</f>
        <v>CUSHING</v>
      </c>
      <c r="M87" s="14">
        <f t="shared" si="21"/>
        <v>2.6851851849642117E-2</v>
      </c>
      <c r="N87" s="15">
        <f t="shared" si="19"/>
        <v>38.666666663484648</v>
      </c>
      <c r="O87" s="15"/>
      <c r="P87" s="15"/>
      <c r="Q87" s="55"/>
      <c r="R87" s="55"/>
      <c r="T87" s="62" t="str">
        <f t="shared" si="22"/>
        <v>https://search-rtdc-monitor-bjffxe2xuh6vdkpspy63sjmuny.us-east-1.es.amazonaws.com/_plugin/kibana/#/discover/Steve-Slow-Train-Analysis-(2080s-and-2083s)?_g=(refreshInterval:(display:Off,section:0,value:0),time:(from:'2016-05-02 13:57:04-0600',mode:absolute,to:'2016-05-02 14:40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U87" s="62" t="str">
        <f t="shared" si="23"/>
        <v>N</v>
      </c>
      <c r="V87" s="62">
        <f t="shared" si="28"/>
        <v>1</v>
      </c>
      <c r="W87" s="62">
        <f t="shared" si="24"/>
        <v>4.5699999999999998E-2</v>
      </c>
      <c r="X87" s="62">
        <f t="shared" si="25"/>
        <v>23.331199999999999</v>
      </c>
      <c r="Y87" s="62">
        <f t="shared" si="26"/>
        <v>23.285499999999999</v>
      </c>
      <c r="Z87" s="63" t="e">
        <f>VLOOKUP(A87,Enforcements!$C$3:$J$40,8,0)</f>
        <v>#N/A</v>
      </c>
      <c r="AA87" s="63" t="e">
        <f>VLOOKUP(A87,Enforcements!$C$3:$J$40,3,0)</f>
        <v>#N/A</v>
      </c>
    </row>
    <row r="88" spans="1:27" s="2" customFormat="1" x14ac:dyDescent="0.25">
      <c r="A88" s="13" t="s">
        <v>503</v>
      </c>
      <c r="B88" s="13">
        <v>4014</v>
      </c>
      <c r="C88" s="13" t="s">
        <v>52</v>
      </c>
      <c r="D88" s="13" t="s">
        <v>160</v>
      </c>
      <c r="E88" s="32">
        <v>42492.593553240738</v>
      </c>
      <c r="F88" s="32">
        <v>42492.594525462962</v>
      </c>
      <c r="G88" s="40">
        <v>1</v>
      </c>
      <c r="H88" s="32" t="s">
        <v>197</v>
      </c>
      <c r="I88" s="32">
        <v>42492.621145833335</v>
      </c>
      <c r="J88" s="13">
        <v>0</v>
      </c>
      <c r="K88" s="13" t="str">
        <f t="shared" si="20"/>
        <v>4013/4014</v>
      </c>
      <c r="L88" s="70" t="str">
        <f>VLOOKUP(A88,'Trips&amp;Operators'!$C$1:$E$9999,3,FALSE)</f>
        <v>YORK</v>
      </c>
      <c r="M88" s="14">
        <f t="shared" si="21"/>
        <v>2.662037037225673E-2</v>
      </c>
      <c r="N88" s="15">
        <f t="shared" si="19"/>
        <v>38.333333336049691</v>
      </c>
      <c r="O88" s="15"/>
      <c r="P88" s="15"/>
      <c r="Q88" s="55"/>
      <c r="R88" s="55"/>
      <c r="T88" s="62" t="str">
        <f t="shared" si="22"/>
        <v>https://search-rtdc-monitor-bjffxe2xuh6vdkpspy63sjmuny.us-east-1.es.amazonaws.com/_plugin/kibana/#/discover/Steve-Slow-Train-Analysis-(2080s-and-2083s)?_g=(refreshInterval:(display:Off,section:0,value:0),time:(from:'2016-05-02 14:13:43-0600',mode:absolute,to:'2016-05-02 14:55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U88" s="62" t="str">
        <f t="shared" si="23"/>
        <v>N</v>
      </c>
      <c r="V88" s="62">
        <f t="shared" si="28"/>
        <v>2</v>
      </c>
      <c r="W88" s="62">
        <f t="shared" si="24"/>
        <v>4.6699999999999998E-2</v>
      </c>
      <c r="X88" s="62">
        <f t="shared" si="25"/>
        <v>23.3293</v>
      </c>
      <c r="Y88" s="62">
        <f t="shared" si="26"/>
        <v>23.282599999999999</v>
      </c>
      <c r="Z88" s="63" t="e">
        <f>VLOOKUP(A88,Enforcements!$C$3:$J$40,8,0)</f>
        <v>#N/A</v>
      </c>
      <c r="AA88" s="63" t="e">
        <f>VLOOKUP(A88,Enforcements!$C$3:$J$40,3,0)</f>
        <v>#N/A</v>
      </c>
    </row>
    <row r="89" spans="1:27" s="2" customFormat="1" x14ac:dyDescent="0.25">
      <c r="A89" s="13" t="s">
        <v>417</v>
      </c>
      <c r="B89" s="13">
        <v>4013</v>
      </c>
      <c r="C89" s="13" t="s">
        <v>52</v>
      </c>
      <c r="D89" s="13" t="s">
        <v>65</v>
      </c>
      <c r="E89" s="32">
        <v>42492.637349537035</v>
      </c>
      <c r="F89" s="32">
        <v>42492.638298611113</v>
      </c>
      <c r="G89" s="40">
        <v>1</v>
      </c>
      <c r="H89" s="32" t="s">
        <v>203</v>
      </c>
      <c r="I89" s="32">
        <v>42492.663784722223</v>
      </c>
      <c r="J89" s="13">
        <v>1</v>
      </c>
      <c r="K89" s="13" t="str">
        <f t="shared" si="20"/>
        <v>4013/4014</v>
      </c>
      <c r="L89" s="70" t="str">
        <f>VLOOKUP(A89,'Trips&amp;Operators'!$C$1:$E$9999,3,FALSE)</f>
        <v>BRANNON</v>
      </c>
      <c r="M89" s="14">
        <f t="shared" si="21"/>
        <v>2.548611110978527E-2</v>
      </c>
      <c r="N89" s="15">
        <f t="shared" si="19"/>
        <v>36.699999998090789</v>
      </c>
      <c r="O89" s="15"/>
      <c r="P89" s="15"/>
      <c r="Q89" s="55"/>
      <c r="R89" s="55"/>
      <c r="T89" s="62" t="str">
        <f t="shared" si="22"/>
        <v>https://search-rtdc-monitor-bjffxe2xuh6vdkpspy63sjmuny.us-east-1.es.amazonaws.com/_plugin/kibana/#/discover/Steve-Slow-Train-Analysis-(2080s-and-2083s)?_g=(refreshInterval:(display:Off,section:0,value:0),time:(from:'2016-05-02 15:16:47-0600',mode:absolute,to:'2016-05-02 15:56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U89" s="62" t="str">
        <f t="shared" si="23"/>
        <v>N</v>
      </c>
      <c r="V89" s="62">
        <f t="shared" si="28"/>
        <v>1</v>
      </c>
      <c r="W89" s="62">
        <f t="shared" si="24"/>
        <v>23.298100000000002</v>
      </c>
      <c r="X89" s="62">
        <f t="shared" si="25"/>
        <v>1.4999999999999999E-2</v>
      </c>
      <c r="Y89" s="62">
        <f t="shared" si="26"/>
        <v>23.283100000000001</v>
      </c>
      <c r="Z89" s="63" t="e">
        <f>VLOOKUP(A89,Enforcements!$C$3:$J$40,8,0)</f>
        <v>#N/A</v>
      </c>
      <c r="AA89" s="63" t="e">
        <f>VLOOKUP(A89,Enforcements!$C$3:$J$40,3,0)</f>
        <v>#N/A</v>
      </c>
    </row>
    <row r="90" spans="1:27" s="2" customFormat="1" x14ac:dyDescent="0.25">
      <c r="A90" s="13" t="s">
        <v>414</v>
      </c>
      <c r="B90" s="13">
        <v>4025</v>
      </c>
      <c r="C90" s="13" t="s">
        <v>52</v>
      </c>
      <c r="D90" s="13" t="s">
        <v>130</v>
      </c>
      <c r="E90" s="32">
        <v>42492.602812500001</v>
      </c>
      <c r="F90" s="32">
        <v>42492.604050925926</v>
      </c>
      <c r="G90" s="40">
        <v>1</v>
      </c>
      <c r="H90" s="32" t="s">
        <v>596</v>
      </c>
      <c r="I90" s="32">
        <v>42492.631030092591</v>
      </c>
      <c r="J90" s="13">
        <v>2</v>
      </c>
      <c r="K90" s="13" t="str">
        <f t="shared" si="20"/>
        <v>4025/4026</v>
      </c>
      <c r="L90" s="70" t="str">
        <f>VLOOKUP(A90,'Trips&amp;Operators'!$C$1:$E$9999,3,FALSE)</f>
        <v>WEBSTER</v>
      </c>
      <c r="M90" s="14">
        <f t="shared" si="21"/>
        <v>2.6979166665114462E-2</v>
      </c>
      <c r="N90" s="15">
        <f t="shared" si="19"/>
        <v>38.849999997764826</v>
      </c>
      <c r="O90" s="15"/>
      <c r="P90" s="15"/>
      <c r="Q90" s="55"/>
      <c r="R90" s="55"/>
      <c r="T90" s="62" t="str">
        <f t="shared" si="22"/>
        <v>https://search-rtdc-monitor-bjffxe2xuh6vdkpspy63sjmuny.us-east-1.es.amazonaws.com/_plugin/kibana/#/discover/Steve-Slow-Train-Analysis-(2080s-and-2083s)?_g=(refreshInterval:(display:Off,section:0,value:0),time:(from:'2016-05-02 14:27:03-0600',mode:absolute,to:'2016-05-02 15:09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U90" s="62" t="str">
        <f t="shared" si="23"/>
        <v>N</v>
      </c>
      <c r="V90" s="62">
        <f t="shared" si="28"/>
        <v>1</v>
      </c>
      <c r="W90" s="62">
        <f t="shared" si="24"/>
        <v>4.5100000000000001E-2</v>
      </c>
      <c r="X90" s="62">
        <f t="shared" si="25"/>
        <v>23.325299999999999</v>
      </c>
      <c r="Y90" s="62">
        <f t="shared" si="26"/>
        <v>23.280199999999997</v>
      </c>
      <c r="Z90" s="63">
        <f>VLOOKUP(A90,Enforcements!$C$3:$J$40,8,0)</f>
        <v>232080</v>
      </c>
      <c r="AA90" s="63" t="str">
        <f>VLOOKUP(A90,Enforcements!$C$3:$J$40,3,0)</f>
        <v>PERMANENT SPEED RESTRICTION</v>
      </c>
    </row>
    <row r="91" spans="1:27" s="2" customFormat="1" x14ac:dyDescent="0.25">
      <c r="A91" s="13" t="s">
        <v>454</v>
      </c>
      <c r="B91" s="13">
        <v>4020</v>
      </c>
      <c r="C91" s="13" t="s">
        <v>52</v>
      </c>
      <c r="D91" s="13" t="s">
        <v>235</v>
      </c>
      <c r="E91" s="32">
        <v>42492.610949074071</v>
      </c>
      <c r="F91" s="32">
        <v>42492.611875000002</v>
      </c>
      <c r="G91" s="40">
        <v>1</v>
      </c>
      <c r="H91" s="32" t="s">
        <v>188</v>
      </c>
      <c r="I91" s="32">
        <v>42492.642893518518</v>
      </c>
      <c r="J91" s="13">
        <v>0</v>
      </c>
      <c r="K91" s="13" t="str">
        <f t="shared" si="20"/>
        <v>4019/4020</v>
      </c>
      <c r="L91" s="70" t="str">
        <f>VLOOKUP(A91,'Trips&amp;Operators'!$C$1:$E$9999,3,FALSE)</f>
        <v>CANFIELD</v>
      </c>
      <c r="M91" s="14">
        <f t="shared" si="21"/>
        <v>3.1018518515338656E-2</v>
      </c>
      <c r="N91" s="15">
        <f t="shared" si="19"/>
        <v>44.666666662087664</v>
      </c>
      <c r="O91" s="15"/>
      <c r="P91" s="15"/>
      <c r="Q91" s="55"/>
      <c r="R91" s="55"/>
      <c r="T91" s="62" t="str">
        <f t="shared" si="22"/>
        <v>https://search-rtdc-monitor-bjffxe2xuh6vdkpspy63sjmuny.us-east-1.es.amazonaws.com/_plugin/kibana/#/discover/Steve-Slow-Train-Analysis-(2080s-and-2083s)?_g=(refreshInterval:(display:Off,section:0,value:0),time:(from:'2016-05-02 14:38:46-0600',mode:absolute,to:'2016-05-02 15:26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91" s="62" t="str">
        <f t="shared" si="23"/>
        <v>N</v>
      </c>
      <c r="V91" s="62">
        <f t="shared" si="28"/>
        <v>2</v>
      </c>
      <c r="W91" s="62">
        <f t="shared" si="24"/>
        <v>4.4200000000000003E-2</v>
      </c>
      <c r="X91" s="62">
        <f t="shared" si="25"/>
        <v>23.331199999999999</v>
      </c>
      <c r="Y91" s="62">
        <f t="shared" si="26"/>
        <v>23.286999999999999</v>
      </c>
      <c r="Z91" s="63" t="e">
        <f>VLOOKUP(A91,Enforcements!$C$3:$J$40,8,0)</f>
        <v>#N/A</v>
      </c>
      <c r="AA91" s="63" t="e">
        <f>VLOOKUP(A91,Enforcements!$C$3:$J$40,3,0)</f>
        <v>#N/A</v>
      </c>
    </row>
    <row r="92" spans="1:27" s="2" customFormat="1" x14ac:dyDescent="0.25">
      <c r="A92" s="13" t="s">
        <v>458</v>
      </c>
      <c r="B92" s="13">
        <v>4019</v>
      </c>
      <c r="C92" s="13" t="s">
        <v>52</v>
      </c>
      <c r="D92" s="13" t="s">
        <v>281</v>
      </c>
      <c r="E92" s="32">
        <v>42492.648043981484</v>
      </c>
      <c r="F92" s="32">
        <v>42492.649236111109</v>
      </c>
      <c r="G92" s="40">
        <v>1</v>
      </c>
      <c r="H92" s="32" t="s">
        <v>139</v>
      </c>
      <c r="I92" s="32">
        <v>42492.681597222225</v>
      </c>
      <c r="J92" s="13">
        <v>0</v>
      </c>
      <c r="K92" s="13" t="str">
        <f t="shared" si="20"/>
        <v>4019/4020</v>
      </c>
      <c r="L92" s="70" t="str">
        <f>VLOOKUP(A92,'Trips&amp;Operators'!$C$1:$E$9999,3,FALSE)</f>
        <v>CANFIELD</v>
      </c>
      <c r="M92" s="14">
        <f t="shared" si="21"/>
        <v>3.2361111116188113E-2</v>
      </c>
      <c r="N92" s="15">
        <f t="shared" si="19"/>
        <v>46.600000007310882</v>
      </c>
      <c r="O92" s="15"/>
      <c r="P92" s="15"/>
      <c r="Q92" s="55"/>
      <c r="R92" s="55"/>
      <c r="T92" s="62" t="str">
        <f t="shared" si="22"/>
        <v>https://search-rtdc-monitor-bjffxe2xuh6vdkpspy63sjmuny.us-east-1.es.amazonaws.com/_plugin/kibana/#/discover/Steve-Slow-Train-Analysis-(2080s-and-2083s)?_g=(refreshInterval:(display:Off,section:0,value:0),time:(from:'2016-05-02 15:32:11-0600',mode:absolute,to:'2016-05-02 16:22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92" s="62" t="str">
        <f t="shared" si="23"/>
        <v>N</v>
      </c>
      <c r="V92" s="62">
        <f t="shared" si="28"/>
        <v>1</v>
      </c>
      <c r="W92" s="62">
        <f t="shared" si="24"/>
        <v>23.299800000000001</v>
      </c>
      <c r="X92" s="62">
        <f t="shared" si="25"/>
        <v>1.43E-2</v>
      </c>
      <c r="Y92" s="62">
        <f t="shared" si="26"/>
        <v>23.285500000000003</v>
      </c>
      <c r="Z92" s="63" t="e">
        <f>VLOOKUP(A92,Enforcements!$C$3:$J$40,8,0)</f>
        <v>#N/A</v>
      </c>
      <c r="AA92" s="63" t="e">
        <f>VLOOKUP(A92,Enforcements!$C$3:$J$40,3,0)</f>
        <v>#N/A</v>
      </c>
    </row>
    <row r="93" spans="1:27" s="2" customFormat="1" x14ac:dyDescent="0.25">
      <c r="A93" s="13" t="s">
        <v>483</v>
      </c>
      <c r="B93" s="13">
        <v>4016</v>
      </c>
      <c r="C93" s="13" t="s">
        <v>52</v>
      </c>
      <c r="D93" s="13" t="s">
        <v>124</v>
      </c>
      <c r="E93" s="32">
        <v>42492.619583333333</v>
      </c>
      <c r="F93" s="32">
        <v>42492.620740740742</v>
      </c>
      <c r="G93" s="40">
        <v>1</v>
      </c>
      <c r="H93" s="32" t="s">
        <v>594</v>
      </c>
      <c r="I93" s="32">
        <v>42492.651863425926</v>
      </c>
      <c r="J93" s="13">
        <v>0</v>
      </c>
      <c r="K93" s="13" t="str">
        <f t="shared" si="20"/>
        <v>4015/4016</v>
      </c>
      <c r="L93" s="70" t="str">
        <f>VLOOKUP(A93,'Trips&amp;Operators'!$C$1:$E$9999,3,FALSE)</f>
        <v>COOLAHAN</v>
      </c>
      <c r="M93" s="14">
        <f t="shared" si="21"/>
        <v>3.1122685184527654E-2</v>
      </c>
      <c r="N93" s="15">
        <f t="shared" si="19"/>
        <v>44.816666665719822</v>
      </c>
      <c r="O93" s="15"/>
      <c r="P93" s="15"/>
      <c r="Q93" s="55"/>
      <c r="R93" s="55"/>
      <c r="T93" s="62" t="str">
        <f t="shared" si="22"/>
        <v>https://search-rtdc-monitor-bjffxe2xuh6vdkpspy63sjmuny.us-east-1.es.amazonaws.com/_plugin/kibana/#/discover/Steve-Slow-Train-Analysis-(2080s-and-2083s)?_g=(refreshInterval:(display:Off,section:0,value:0),time:(from:'2016-05-02 14:51:12-0600',mode:absolute,to:'2016-05-02 15:39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93" s="62" t="str">
        <f t="shared" si="23"/>
        <v>N</v>
      </c>
      <c r="V93" s="62">
        <f t="shared" si="28"/>
        <v>1</v>
      </c>
      <c r="W93" s="62">
        <f t="shared" si="24"/>
        <v>4.3499999999999997E-2</v>
      </c>
      <c r="X93" s="62">
        <f t="shared" si="25"/>
        <v>23.332799999999999</v>
      </c>
      <c r="Y93" s="62">
        <f t="shared" si="26"/>
        <v>23.289299999999997</v>
      </c>
      <c r="Z93" s="63" t="e">
        <f>VLOOKUP(A93,Enforcements!$C$3:$J$40,8,0)</f>
        <v>#N/A</v>
      </c>
      <c r="AA93" s="63" t="e">
        <f>VLOOKUP(A93,Enforcements!$C$3:$J$40,3,0)</f>
        <v>#N/A</v>
      </c>
    </row>
    <row r="94" spans="1:27" s="2" customFormat="1" x14ac:dyDescent="0.25">
      <c r="A94" s="13" t="s">
        <v>514</v>
      </c>
      <c r="B94" s="13">
        <v>4015</v>
      </c>
      <c r="C94" s="13" t="s">
        <v>52</v>
      </c>
      <c r="D94" s="13" t="s">
        <v>165</v>
      </c>
      <c r="E94" s="32">
        <v>42492.661446759259</v>
      </c>
      <c r="F94" s="32">
        <v>42492.662453703706</v>
      </c>
      <c r="G94" s="40">
        <v>1</v>
      </c>
      <c r="H94" s="32" t="s">
        <v>182</v>
      </c>
      <c r="I94" s="32">
        <v>42492.689942129633</v>
      </c>
      <c r="J94" s="13">
        <v>0</v>
      </c>
      <c r="K94" s="13" t="str">
        <f t="shared" si="20"/>
        <v>4015/4016</v>
      </c>
      <c r="L94" s="70" t="str">
        <f>VLOOKUP(A94,'Trips&amp;Operators'!$C$1:$E$9999,3,FALSE)</f>
        <v>COOLAHAN</v>
      </c>
      <c r="M94" s="14">
        <f t="shared" si="21"/>
        <v>2.7488425927003846E-2</v>
      </c>
      <c r="N94" s="15">
        <f t="shared" si="19"/>
        <v>39.583333334885538</v>
      </c>
      <c r="O94" s="15"/>
      <c r="P94" s="15"/>
      <c r="Q94" s="55"/>
      <c r="R94" s="55"/>
      <c r="T94" s="62" t="str">
        <f t="shared" si="22"/>
        <v>https://search-rtdc-monitor-bjffxe2xuh6vdkpspy63sjmuny.us-east-1.es.amazonaws.com/_plugin/kibana/#/discover/Steve-Slow-Train-Analysis-(2080s-and-2083s)?_g=(refreshInterval:(display:Off,section:0,value:0),time:(from:'2016-05-02 15:51:29-0600',mode:absolute,to:'2016-05-02 16:34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94" s="62" t="str">
        <f t="shared" si="23"/>
        <v>N</v>
      </c>
      <c r="V94" s="62">
        <f t="shared" si="28"/>
        <v>1</v>
      </c>
      <c r="W94" s="62">
        <f t="shared" si="24"/>
        <v>23.3001</v>
      </c>
      <c r="X94" s="62">
        <f t="shared" si="25"/>
        <v>1.2500000000000001E-2</v>
      </c>
      <c r="Y94" s="62">
        <f t="shared" si="26"/>
        <v>23.287600000000001</v>
      </c>
      <c r="Z94" s="63" t="e">
        <f>VLOOKUP(A94,Enforcements!$C$3:$J$40,8,0)</f>
        <v>#N/A</v>
      </c>
      <c r="AA94" s="63" t="e">
        <f>VLOOKUP(A94,Enforcements!$C$3:$J$40,3,0)</f>
        <v>#N/A</v>
      </c>
    </row>
    <row r="95" spans="1:27" s="2" customFormat="1" x14ac:dyDescent="0.25">
      <c r="A95" s="13" t="s">
        <v>416</v>
      </c>
      <c r="B95" s="13">
        <v>4027</v>
      </c>
      <c r="C95" s="13" t="s">
        <v>52</v>
      </c>
      <c r="D95" s="13" t="s">
        <v>260</v>
      </c>
      <c r="E95" s="32">
        <v>42492.632268518515</v>
      </c>
      <c r="F95" s="32">
        <v>42492.632928240739</v>
      </c>
      <c r="G95" s="40">
        <v>0</v>
      </c>
      <c r="H95" s="32" t="s">
        <v>144</v>
      </c>
      <c r="I95" s="32">
        <v>42492.66238425926</v>
      </c>
      <c r="J95" s="13">
        <v>1</v>
      </c>
      <c r="K95" s="13" t="str">
        <f t="shared" si="20"/>
        <v>4027/4028</v>
      </c>
      <c r="L95" s="70" t="str">
        <f>VLOOKUP(A95,'Trips&amp;Operators'!$C$1:$E$9999,3,FALSE)</f>
        <v>BEAM</v>
      </c>
      <c r="M95" s="14">
        <f t="shared" si="21"/>
        <v>2.9456018521159422E-2</v>
      </c>
      <c r="N95" s="15">
        <f t="shared" si="19"/>
        <v>42.416666670469567</v>
      </c>
      <c r="O95" s="15"/>
      <c r="P95" s="15"/>
      <c r="Q95" s="55"/>
      <c r="R95" s="55"/>
      <c r="T95" s="62" t="str">
        <f t="shared" si="22"/>
        <v>https://search-rtdc-monitor-bjffxe2xuh6vdkpspy63sjmuny.us-east-1.es.amazonaws.com/_plugin/kibana/#/discover/Steve-Slow-Train-Analysis-(2080s-and-2083s)?_g=(refreshInterval:(display:Off,section:0,value:0),time:(from:'2016-05-02 15:09:28-0600',mode:absolute,to:'2016-05-02 15:54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U95" s="62" t="str">
        <f t="shared" si="23"/>
        <v>N</v>
      </c>
      <c r="V95" s="62">
        <f t="shared" si="28"/>
        <v>1</v>
      </c>
      <c r="W95" s="62">
        <f t="shared" si="24"/>
        <v>4.4400000000000002E-2</v>
      </c>
      <c r="X95" s="62">
        <f t="shared" si="25"/>
        <v>23.331399999999999</v>
      </c>
      <c r="Y95" s="62">
        <f t="shared" si="26"/>
        <v>23.286999999999999</v>
      </c>
      <c r="Z95" s="63">
        <f>VLOOKUP(A95,Enforcements!$C$3:$J$40,8,0)</f>
        <v>20338</v>
      </c>
      <c r="AA95" s="63" t="str">
        <f>VLOOKUP(A95,Enforcements!$C$3:$J$40,3,0)</f>
        <v>PERMANENT SPEED RESTRICTION</v>
      </c>
    </row>
    <row r="96" spans="1:27" s="2" customFormat="1" x14ac:dyDescent="0.25">
      <c r="A96" s="13" t="s">
        <v>484</v>
      </c>
      <c r="B96" s="13">
        <v>4028</v>
      </c>
      <c r="C96" s="13" t="s">
        <v>52</v>
      </c>
      <c r="D96" s="13" t="s">
        <v>128</v>
      </c>
      <c r="E96" s="32">
        <v>42492.669050925928</v>
      </c>
      <c r="F96" s="32">
        <v>42492.669849537036</v>
      </c>
      <c r="G96" s="40">
        <v>1</v>
      </c>
      <c r="H96" s="32" t="s">
        <v>176</v>
      </c>
      <c r="I96" s="32">
        <v>42492.70034722222</v>
      </c>
      <c r="J96" s="13">
        <v>0</v>
      </c>
      <c r="K96" s="13" t="str">
        <f t="shared" si="20"/>
        <v>4027/4028</v>
      </c>
      <c r="L96" s="70" t="str">
        <f>VLOOKUP(A96,'Trips&amp;Operators'!$C$1:$E$9999,3,FALSE)</f>
        <v>BEAM</v>
      </c>
      <c r="M96" s="14">
        <f t="shared" si="21"/>
        <v>3.0497685183945578E-2</v>
      </c>
      <c r="N96" s="15">
        <f t="shared" si="19"/>
        <v>43.916666664881632</v>
      </c>
      <c r="O96" s="15"/>
      <c r="P96" s="15"/>
      <c r="Q96" s="55"/>
      <c r="R96" s="55"/>
      <c r="T96" s="62" t="str">
        <f t="shared" si="22"/>
        <v>https://search-rtdc-monitor-bjffxe2xuh6vdkpspy63sjmuny.us-east-1.es.amazonaws.com/_plugin/kibana/#/discover/Steve-Slow-Train-Analysis-(2080s-and-2083s)?_g=(refreshInterval:(display:Off,section:0,value:0),time:(from:'2016-05-02 16:02:26-0600',mode:absolute,to:'2016-05-02 16:49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U96" s="62" t="str">
        <f t="shared" si="23"/>
        <v>N</v>
      </c>
      <c r="V96" s="62">
        <f t="shared" si="28"/>
        <v>1</v>
      </c>
      <c r="W96" s="62">
        <f t="shared" si="24"/>
        <v>23.3002</v>
      </c>
      <c r="X96" s="62">
        <f t="shared" si="25"/>
        <v>1.3599999999999999E-2</v>
      </c>
      <c r="Y96" s="62">
        <f t="shared" si="26"/>
        <v>23.2866</v>
      </c>
      <c r="Z96" s="63" t="e">
        <f>VLOOKUP(A96,Enforcements!$C$3:$J$40,8,0)</f>
        <v>#N/A</v>
      </c>
      <c r="AA96" s="63" t="e">
        <f>VLOOKUP(A96,Enforcements!$C$3:$J$40,3,0)</f>
        <v>#N/A</v>
      </c>
    </row>
    <row r="97" spans="1:27" s="2" customFormat="1" x14ac:dyDescent="0.25">
      <c r="A97" s="13" t="s">
        <v>512</v>
      </c>
      <c r="B97" s="13">
        <v>4007</v>
      </c>
      <c r="C97" s="13" t="s">
        <v>52</v>
      </c>
      <c r="D97" s="13" t="s">
        <v>124</v>
      </c>
      <c r="E97" s="32">
        <v>42492.641261574077</v>
      </c>
      <c r="F97" s="32">
        <v>42492.642048611109</v>
      </c>
      <c r="G97" s="40">
        <v>1</v>
      </c>
      <c r="H97" s="32" t="s">
        <v>593</v>
      </c>
      <c r="I97" s="32">
        <v>42492.670358796298</v>
      </c>
      <c r="J97" s="13">
        <v>0</v>
      </c>
      <c r="K97" s="13" t="str">
        <f t="shared" si="20"/>
        <v>4007/4008</v>
      </c>
      <c r="L97" s="70" t="str">
        <f>VLOOKUP(A97,'Trips&amp;Operators'!$C$1:$E$9999,3,FALSE)</f>
        <v>ACKERMAN</v>
      </c>
      <c r="M97" s="14">
        <f t="shared" si="21"/>
        <v>2.8310185189184267E-2</v>
      </c>
      <c r="N97" s="15">
        <f t="shared" si="19"/>
        <v>40.766666672425345</v>
      </c>
      <c r="O97" s="15"/>
      <c r="P97" s="15"/>
      <c r="Q97" s="55"/>
      <c r="R97" s="55"/>
      <c r="T97" s="62" t="str">
        <f t="shared" si="22"/>
        <v>https://search-rtdc-monitor-bjffxe2xuh6vdkpspy63sjmuny.us-east-1.es.amazonaws.com/_plugin/kibana/#/discover/Steve-Slow-Train-Analysis-(2080s-and-2083s)?_g=(refreshInterval:(display:Off,section:0,value:0),time:(from:'2016-05-02 15:22:25-0600',mode:absolute,to:'2016-05-02 16:06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97" s="62" t="str">
        <f t="shared" si="23"/>
        <v>N</v>
      </c>
      <c r="V97" s="62">
        <f t="shared" si="28"/>
        <v>1</v>
      </c>
      <c r="W97" s="62">
        <f t="shared" si="24"/>
        <v>4.3499999999999997E-2</v>
      </c>
      <c r="X97" s="62">
        <f t="shared" si="25"/>
        <v>23.3324</v>
      </c>
      <c r="Y97" s="62">
        <f t="shared" si="26"/>
        <v>23.288899999999998</v>
      </c>
      <c r="Z97" s="63" t="e">
        <f>VLOOKUP(A97,Enforcements!$C$3:$J$40,8,0)</f>
        <v>#N/A</v>
      </c>
      <c r="AA97" s="63" t="e">
        <f>VLOOKUP(A97,Enforcements!$C$3:$J$40,3,0)</f>
        <v>#N/A</v>
      </c>
    </row>
    <row r="98" spans="1:27" s="2" customFormat="1" x14ac:dyDescent="0.25">
      <c r="A98" s="13" t="s">
        <v>422</v>
      </c>
      <c r="B98" s="13">
        <v>4008</v>
      </c>
      <c r="C98" s="13" t="s">
        <v>52</v>
      </c>
      <c r="D98" s="13" t="s">
        <v>233</v>
      </c>
      <c r="E98" s="32">
        <v>42492.68041666667</v>
      </c>
      <c r="F98" s="32">
        <v>42492.681145833332</v>
      </c>
      <c r="G98" s="40">
        <v>1</v>
      </c>
      <c r="H98" s="32" t="s">
        <v>203</v>
      </c>
      <c r="I98" s="32">
        <v>42492.711446759262</v>
      </c>
      <c r="J98" s="13">
        <v>1</v>
      </c>
      <c r="K98" s="13" t="str">
        <f t="shared" si="20"/>
        <v>4007/4008</v>
      </c>
      <c r="L98" s="70" t="str">
        <f>VLOOKUP(A98,'Trips&amp;Operators'!$C$1:$E$9999,3,FALSE)</f>
        <v>ACKERMAN</v>
      </c>
      <c r="M98" s="14">
        <f t="shared" si="21"/>
        <v>3.030092592962319E-2</v>
      </c>
      <c r="N98" s="15">
        <f t="shared" ref="N98:N129" si="29">$M98*24*60</f>
        <v>43.633333338657394</v>
      </c>
      <c r="O98" s="15"/>
      <c r="P98" s="15"/>
      <c r="Q98" s="55"/>
      <c r="R98" s="55"/>
      <c r="T98" s="62" t="str">
        <f t="shared" si="22"/>
        <v>https://search-rtdc-monitor-bjffxe2xuh6vdkpspy63sjmuny.us-east-1.es.amazonaws.com/_plugin/kibana/#/discover/Steve-Slow-Train-Analysis-(2080s-and-2083s)?_g=(refreshInterval:(display:Off,section:0,value:0),time:(from:'2016-05-02 16:18:48-0600',mode:absolute,to:'2016-05-02 17:05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98" s="62" t="str">
        <f t="shared" si="23"/>
        <v>N</v>
      </c>
      <c r="V98" s="62">
        <f t="shared" si="28"/>
        <v>1</v>
      </c>
      <c r="W98" s="62">
        <f t="shared" si="24"/>
        <v>23.2986</v>
      </c>
      <c r="X98" s="62">
        <f t="shared" si="25"/>
        <v>1.4999999999999999E-2</v>
      </c>
      <c r="Y98" s="62">
        <f t="shared" si="26"/>
        <v>23.2836</v>
      </c>
      <c r="Z98" s="63" t="e">
        <f>VLOOKUP(A98,Enforcements!$C$3:$J$40,8,0)</f>
        <v>#N/A</v>
      </c>
      <c r="AA98" s="63" t="e">
        <f>VLOOKUP(A98,Enforcements!$C$3:$J$40,3,0)</f>
        <v>#N/A</v>
      </c>
    </row>
    <row r="99" spans="1:27" s="2" customFormat="1" x14ac:dyDescent="0.25">
      <c r="A99" s="13" t="s">
        <v>418</v>
      </c>
      <c r="B99" s="13">
        <v>4038</v>
      </c>
      <c r="C99" s="13" t="s">
        <v>52</v>
      </c>
      <c r="D99" s="13" t="s">
        <v>591</v>
      </c>
      <c r="E99" s="32">
        <v>42492.654826388891</v>
      </c>
      <c r="F99" s="32">
        <v>42492.656655092593</v>
      </c>
      <c r="G99" s="40">
        <v>2</v>
      </c>
      <c r="H99" s="32" t="s">
        <v>592</v>
      </c>
      <c r="I99" s="32">
        <v>42492.683148148149</v>
      </c>
      <c r="J99" s="13">
        <v>1</v>
      </c>
      <c r="K99" s="13" t="str">
        <f t="shared" ref="K99:K130" si="30">IF(ISEVEN(B99),(B99-1)&amp;"/"&amp;B99,B99&amp;"/"&amp;(B99+1))</f>
        <v>4037/4038</v>
      </c>
      <c r="L99" s="70" t="str">
        <f>VLOOKUP(A99,'Trips&amp;Operators'!$C$1:$E$9999,3,FALSE)</f>
        <v>REBOLETTI</v>
      </c>
      <c r="M99" s="14">
        <f t="shared" ref="M99:M130" si="31">I99-F99</f>
        <v>2.6493055556784384E-2</v>
      </c>
      <c r="N99" s="15">
        <f t="shared" si="29"/>
        <v>38.150000001769513</v>
      </c>
      <c r="O99" s="15"/>
      <c r="P99" s="15"/>
      <c r="Q99" s="55"/>
      <c r="R99" s="55"/>
      <c r="T99" s="62" t="str">
        <f t="shared" ref="T99:T130" si="32">"https://search-rtdc-monitor-bjffxe2xuh6vdkpspy63sjmuny.us-east-1.es.amazonaws.com/_plugin/kibana/#/discover/Steve-Slow-Train-Analysis-(2080s-and-2083s)?_g=(refreshInterval:(display:Off,section:0,value:0),time:(from:'"&amp;TEXT(E99-1/24/60,"yyyy-MM-DD hh:mm:ss")&amp;"-0600',mode:absolute,to:'"&amp;TEXT(I99+1/24/60,"yyyy-MM-DD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99&amp;"%22')),sort:!(Time,asc))"</f>
        <v>https://search-rtdc-monitor-bjffxe2xuh6vdkpspy63sjmuny.us-east-1.es.amazonaws.com/_plugin/kibana/#/discover/Steve-Slow-Train-Analysis-(2080s-and-2083s)?_g=(refreshInterval:(display:Off,section:0,value:0),time:(from:'2016-05-02 15:41:57-0600',mode:absolute,to:'2016-05-02 16:24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U99" s="62" t="str">
        <f t="shared" ref="U99:U123" si="33">IF(Y99&lt;23,"Y","N")</f>
        <v>N</v>
      </c>
      <c r="V99" s="62">
        <f t="shared" si="28"/>
        <v>1</v>
      </c>
      <c r="W99" s="62">
        <f t="shared" ref="W99:W130" si="34">RIGHT(D99,LEN(D99)-4)/10000</f>
        <v>4.3099999999999999E-2</v>
      </c>
      <c r="X99" s="62">
        <f t="shared" ref="X99:X130" si="35">RIGHT(H99,LEN(H99)-4)/10000</f>
        <v>23.3325</v>
      </c>
      <c r="Y99" s="62">
        <f t="shared" ref="Y99:Y130" si="36">ABS(X99-W99)</f>
        <v>23.289400000000001</v>
      </c>
      <c r="Z99" s="63">
        <f>VLOOKUP(A99,Enforcements!$C$3:$J$40,8,0)</f>
        <v>232107</v>
      </c>
      <c r="AA99" s="63" t="str">
        <f>VLOOKUP(A99,Enforcements!$C$3:$J$40,3,0)</f>
        <v>PERMANENT SPEED RESTRICTION</v>
      </c>
    </row>
    <row r="100" spans="1:27" s="2" customFormat="1" x14ac:dyDescent="0.25">
      <c r="A100" s="13" t="s">
        <v>423</v>
      </c>
      <c r="B100" s="13">
        <v>4037</v>
      </c>
      <c r="C100" s="13" t="s">
        <v>52</v>
      </c>
      <c r="D100" s="13" t="s">
        <v>221</v>
      </c>
      <c r="E100" s="32">
        <v>42492.690752314818</v>
      </c>
      <c r="F100" s="32">
        <v>42492.692256944443</v>
      </c>
      <c r="G100" s="40">
        <v>2</v>
      </c>
      <c r="H100" s="32" t="s">
        <v>589</v>
      </c>
      <c r="I100" s="32">
        <v>42492.725300925929</v>
      </c>
      <c r="J100" s="13">
        <v>1</v>
      </c>
      <c r="K100" s="13" t="str">
        <f t="shared" si="30"/>
        <v>4037/4038</v>
      </c>
      <c r="L100" s="70" t="str">
        <f>VLOOKUP(A100,'Trips&amp;Operators'!$C$1:$E$9999,3,FALSE)</f>
        <v>REBOLETTI</v>
      </c>
      <c r="M100" s="14">
        <f t="shared" si="31"/>
        <v>3.3043981486116536E-2</v>
      </c>
      <c r="N100" s="15">
        <f t="shared" si="29"/>
        <v>47.583333340007812</v>
      </c>
      <c r="O100" s="15"/>
      <c r="P100" s="15"/>
      <c r="Q100" s="55"/>
      <c r="R100" s="55"/>
      <c r="T100" s="62" t="str">
        <f t="shared" si="32"/>
        <v>https://search-rtdc-monitor-bjffxe2xuh6vdkpspy63sjmuny.us-east-1.es.amazonaws.com/_plugin/kibana/#/discover/Steve-Slow-Train-Analysis-(2080s-and-2083s)?_g=(refreshInterval:(display:Off,section:0,value:0),time:(from:'2016-05-02 16:33:41-0600',mode:absolute,to:'2016-05-02 17:25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U100" s="62" t="str">
        <f t="shared" si="33"/>
        <v>N</v>
      </c>
      <c r="V100" s="62">
        <f t="shared" si="28"/>
        <v>1</v>
      </c>
      <c r="W100" s="62">
        <f t="shared" si="34"/>
        <v>23.298300000000001</v>
      </c>
      <c r="X100" s="62">
        <f t="shared" si="35"/>
        <v>2.12E-2</v>
      </c>
      <c r="Y100" s="62">
        <f t="shared" si="36"/>
        <v>23.277100000000001</v>
      </c>
      <c r="Z100" s="63" t="e">
        <f>VLOOKUP(A100,Enforcements!$C$3:$J$40,8,0)</f>
        <v>#N/A</v>
      </c>
      <c r="AA100" s="63" t="e">
        <f>VLOOKUP(A100,Enforcements!$C$3:$J$40,3,0)</f>
        <v>#N/A</v>
      </c>
    </row>
    <row r="101" spans="1:27" s="2" customFormat="1" x14ac:dyDescent="0.25">
      <c r="A101" s="13" t="s">
        <v>420</v>
      </c>
      <c r="B101" s="13">
        <v>4014</v>
      </c>
      <c r="C101" s="13" t="s">
        <v>52</v>
      </c>
      <c r="D101" s="13" t="s">
        <v>235</v>
      </c>
      <c r="E101" s="32">
        <v>42492.665821759256</v>
      </c>
      <c r="F101" s="32">
        <v>42492.666875000003</v>
      </c>
      <c r="G101" s="40">
        <v>1</v>
      </c>
      <c r="H101" s="32" t="s">
        <v>590</v>
      </c>
      <c r="I101" s="32">
        <v>42492.693356481483</v>
      </c>
      <c r="J101" s="13">
        <v>1</v>
      </c>
      <c r="K101" s="13" t="str">
        <f t="shared" si="30"/>
        <v>4013/4014</v>
      </c>
      <c r="L101" s="70" t="str">
        <f>VLOOKUP(A101,'Trips&amp;Operators'!$C$1:$E$9999,3,FALSE)</f>
        <v>YORK</v>
      </c>
      <c r="M101" s="14">
        <f t="shared" si="31"/>
        <v>2.6481481480004732E-2</v>
      </c>
      <c r="N101" s="15">
        <f t="shared" si="29"/>
        <v>38.133333331206813</v>
      </c>
      <c r="O101" s="15"/>
      <c r="P101" s="15"/>
      <c r="Q101" s="55"/>
      <c r="R101" s="55"/>
      <c r="T101" s="62" t="str">
        <f t="shared" si="32"/>
        <v>https://search-rtdc-monitor-bjffxe2xuh6vdkpspy63sjmuny.us-east-1.es.amazonaws.com/_plugin/kibana/#/discover/Steve-Slow-Train-Analysis-(2080s-and-2083s)?_g=(refreshInterval:(display:Off,section:0,value:0),time:(from:'2016-05-02 15:57:47-0600',mode:absolute,to:'2016-05-02 16:39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U101" s="62" t="str">
        <f t="shared" si="33"/>
        <v>N</v>
      </c>
      <c r="V101" s="62">
        <f t="shared" si="28"/>
        <v>1</v>
      </c>
      <c r="W101" s="62">
        <f t="shared" si="34"/>
        <v>4.4200000000000003E-2</v>
      </c>
      <c r="X101" s="62">
        <f t="shared" si="35"/>
        <v>23.328199999999999</v>
      </c>
      <c r="Y101" s="62">
        <f t="shared" si="36"/>
        <v>23.283999999999999</v>
      </c>
      <c r="Z101" s="63">
        <f>VLOOKUP(A101,Enforcements!$C$3:$J$40,8,0)</f>
        <v>224578</v>
      </c>
      <c r="AA101" s="63" t="str">
        <f>VLOOKUP(A101,Enforcements!$C$3:$J$40,3,0)</f>
        <v>PERMANENT SPEED RESTRICTION</v>
      </c>
    </row>
    <row r="102" spans="1:27" s="2" customFormat="1" x14ac:dyDescent="0.25">
      <c r="A102" s="13" t="s">
        <v>424</v>
      </c>
      <c r="B102" s="13">
        <v>4013</v>
      </c>
      <c r="C102" s="13" t="s">
        <v>52</v>
      </c>
      <c r="D102" s="13" t="s">
        <v>570</v>
      </c>
      <c r="E102" s="32">
        <v>42492.70103009259</v>
      </c>
      <c r="F102" s="32">
        <v>42492.702418981484</v>
      </c>
      <c r="G102" s="40">
        <v>1</v>
      </c>
      <c r="H102" s="32" t="s">
        <v>588</v>
      </c>
      <c r="I102" s="32">
        <v>42492.732268518521</v>
      </c>
      <c r="J102" s="13">
        <v>1</v>
      </c>
      <c r="K102" s="13" t="str">
        <f t="shared" si="30"/>
        <v>4013/4014</v>
      </c>
      <c r="L102" s="70" t="str">
        <f>VLOOKUP(A102,'Trips&amp;Operators'!$C$1:$E$9999,3,FALSE)</f>
        <v>YORK</v>
      </c>
      <c r="M102" s="14">
        <f t="shared" si="31"/>
        <v>2.9849537037080154E-2</v>
      </c>
      <c r="N102" s="15">
        <f t="shared" si="29"/>
        <v>42.983333333395422</v>
      </c>
      <c r="O102" s="15"/>
      <c r="P102" s="15"/>
      <c r="Q102" s="55"/>
      <c r="R102" s="55"/>
      <c r="T102" s="62" t="str">
        <f t="shared" si="32"/>
        <v>https://search-rtdc-monitor-bjffxe2xuh6vdkpspy63sjmuny.us-east-1.es.amazonaws.com/_plugin/kibana/#/discover/Steve-Slow-Train-Analysis-(2080s-and-2083s)?_g=(refreshInterval:(display:Off,section:0,value:0),time:(from:'2016-05-02 16:48:29-0600',mode:absolute,to:'2016-05-02 17:35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U102" s="62" t="str">
        <f t="shared" si="33"/>
        <v>N</v>
      </c>
      <c r="V102" s="62">
        <f t="shared" si="28"/>
        <v>1</v>
      </c>
      <c r="W102" s="62">
        <f t="shared" si="34"/>
        <v>23.2957</v>
      </c>
      <c r="X102" s="62">
        <f t="shared" si="35"/>
        <v>1.8100000000000002E-2</v>
      </c>
      <c r="Y102" s="62">
        <f t="shared" si="36"/>
        <v>23.2776</v>
      </c>
      <c r="Z102" s="63" t="e">
        <f>VLOOKUP(A102,Enforcements!$C$3:$J$40,8,0)</f>
        <v>#N/A</v>
      </c>
      <c r="AA102" s="63" t="e">
        <f>VLOOKUP(A102,Enforcements!$C$3:$J$40,3,0)</f>
        <v>#N/A</v>
      </c>
    </row>
    <row r="103" spans="1:27" s="2" customFormat="1" x14ac:dyDescent="0.25">
      <c r="A103" s="13" t="s">
        <v>419</v>
      </c>
      <c r="B103" s="13">
        <v>4025</v>
      </c>
      <c r="C103" s="13" t="s">
        <v>52</v>
      </c>
      <c r="D103" s="13" t="s">
        <v>175</v>
      </c>
      <c r="E103" s="32">
        <v>42492.673506944448</v>
      </c>
      <c r="F103" s="32">
        <v>42492.674618055556</v>
      </c>
      <c r="G103" s="40">
        <v>1</v>
      </c>
      <c r="H103" s="32" t="s">
        <v>267</v>
      </c>
      <c r="I103" s="32">
        <v>42492.704398148147</v>
      </c>
      <c r="J103" s="13">
        <v>1</v>
      </c>
      <c r="K103" s="13" t="str">
        <f t="shared" si="30"/>
        <v>4025/4026</v>
      </c>
      <c r="L103" s="70" t="str">
        <f>VLOOKUP(A103,'Trips&amp;Operators'!$C$1:$E$9999,3,FALSE)</f>
        <v>WEBSTER</v>
      </c>
      <c r="M103" s="14">
        <f t="shared" si="31"/>
        <v>2.9780092590954155E-2</v>
      </c>
      <c r="N103" s="15">
        <f t="shared" si="29"/>
        <v>42.883333330973983</v>
      </c>
      <c r="O103" s="15"/>
      <c r="P103" s="15"/>
      <c r="Q103" s="55"/>
      <c r="R103" s="55"/>
      <c r="T103" s="62" t="str">
        <f t="shared" si="32"/>
        <v>https://search-rtdc-monitor-bjffxe2xuh6vdkpspy63sjmuny.us-east-1.es.amazonaws.com/_plugin/kibana/#/discover/Steve-Slow-Train-Analysis-(2080s-and-2083s)?_g=(refreshInterval:(display:Off,section:0,value:0),time:(from:'2016-05-02 16:08:51-0600',mode:absolute,to:'2016-05-02 16:55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U103" s="62" t="str">
        <f t="shared" si="33"/>
        <v>N</v>
      </c>
      <c r="V103" s="62">
        <f t="shared" si="28"/>
        <v>1</v>
      </c>
      <c r="W103" s="62">
        <f t="shared" si="34"/>
        <v>4.4699999999999997E-2</v>
      </c>
      <c r="X103" s="62">
        <f t="shared" si="35"/>
        <v>23.332100000000001</v>
      </c>
      <c r="Y103" s="62">
        <f t="shared" si="36"/>
        <v>23.287400000000002</v>
      </c>
      <c r="Z103" s="63">
        <f>VLOOKUP(A103,Enforcements!$C$3:$J$40,8,0)</f>
        <v>27333</v>
      </c>
      <c r="AA103" s="63" t="str">
        <f>VLOOKUP(A103,Enforcements!$C$3:$J$40,3,0)</f>
        <v>PERMANENT SPEED RESTRICTION</v>
      </c>
    </row>
    <row r="104" spans="1:27" s="2" customFormat="1" x14ac:dyDescent="0.25">
      <c r="A104" s="13" t="s">
        <v>421</v>
      </c>
      <c r="B104" s="13">
        <v>4020</v>
      </c>
      <c r="C104" s="13" t="s">
        <v>52</v>
      </c>
      <c r="D104" s="13" t="s">
        <v>235</v>
      </c>
      <c r="E104" s="32">
        <v>42492.683923611112</v>
      </c>
      <c r="F104" s="32">
        <v>42492.684907407405</v>
      </c>
      <c r="G104" s="40">
        <v>1</v>
      </c>
      <c r="H104" s="32" t="s">
        <v>212</v>
      </c>
      <c r="I104" s="32">
        <v>42492.713136574072</v>
      </c>
      <c r="J104" s="13">
        <v>1</v>
      </c>
      <c r="K104" s="13" t="str">
        <f t="shared" si="30"/>
        <v>4019/4020</v>
      </c>
      <c r="L104" s="70" t="str">
        <f>VLOOKUP(A104,'Trips&amp;Operators'!$C$1:$E$9999,3,FALSE)</f>
        <v>CANFIELD</v>
      </c>
      <c r="M104" s="14">
        <f t="shared" si="31"/>
        <v>2.8229166666278616E-2</v>
      </c>
      <c r="N104" s="15">
        <f t="shared" si="29"/>
        <v>40.649999999441206</v>
      </c>
      <c r="O104" s="15"/>
      <c r="P104" s="15"/>
      <c r="Q104" s="55"/>
      <c r="R104" s="55"/>
      <c r="T104" s="62" t="str">
        <f t="shared" si="32"/>
        <v>https://search-rtdc-monitor-bjffxe2xuh6vdkpspy63sjmuny.us-east-1.es.amazonaws.com/_plugin/kibana/#/discover/Steve-Slow-Train-Analysis-(2080s-and-2083s)?_g=(refreshInterval:(display:Off,section:0,value:0),time:(from:'2016-05-02 16:23:51-0600',mode:absolute,to:'2016-05-02 17:07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104" s="62" t="str">
        <f t="shared" si="33"/>
        <v>N</v>
      </c>
      <c r="V104" s="62">
        <f t="shared" si="28"/>
        <v>2</v>
      </c>
      <c r="W104" s="62">
        <f t="shared" si="34"/>
        <v>4.4200000000000003E-2</v>
      </c>
      <c r="X104" s="62">
        <f t="shared" si="35"/>
        <v>23.330300000000001</v>
      </c>
      <c r="Y104" s="62">
        <f t="shared" si="36"/>
        <v>23.286100000000001</v>
      </c>
      <c r="Z104" s="63">
        <f>VLOOKUP(A104,Enforcements!$C$3:$J$40,8,0)</f>
        <v>20338</v>
      </c>
      <c r="AA104" s="63" t="str">
        <f>VLOOKUP(A104,Enforcements!$C$3:$J$40,3,0)</f>
        <v>PERMANENT SPEED RESTRICTION</v>
      </c>
    </row>
    <row r="105" spans="1:27" s="2" customFormat="1" x14ac:dyDescent="0.25">
      <c r="A105" s="13" t="s">
        <v>486</v>
      </c>
      <c r="B105" s="13">
        <v>4019</v>
      </c>
      <c r="C105" s="13" t="s">
        <v>52</v>
      </c>
      <c r="D105" s="13" t="s">
        <v>64</v>
      </c>
      <c r="E105" s="32">
        <v>42492.718159722222</v>
      </c>
      <c r="F105" s="32">
        <v>42492.726759259262</v>
      </c>
      <c r="G105" s="40">
        <v>1</v>
      </c>
      <c r="H105" s="32" t="s">
        <v>586</v>
      </c>
      <c r="I105" s="32">
        <v>42492.754189814812</v>
      </c>
      <c r="J105" s="13">
        <v>0</v>
      </c>
      <c r="K105" s="13" t="str">
        <f t="shared" si="30"/>
        <v>4019/4020</v>
      </c>
      <c r="L105" s="70" t="str">
        <f>VLOOKUP(A105,'Trips&amp;Operators'!$C$1:$E$9999,3,FALSE)</f>
        <v>CANFIELD</v>
      </c>
      <c r="M105" s="14">
        <f t="shared" si="31"/>
        <v>2.7430555550381541E-2</v>
      </c>
      <c r="N105" s="15">
        <f t="shared" si="29"/>
        <v>39.499999992549419</v>
      </c>
      <c r="O105" s="15"/>
      <c r="P105" s="15"/>
      <c r="Q105" s="55"/>
      <c r="R105" s="55"/>
      <c r="T105" s="62" t="str">
        <f t="shared" si="32"/>
        <v>https://search-rtdc-monitor-bjffxe2xuh6vdkpspy63sjmuny.us-east-1.es.amazonaws.com/_plugin/kibana/#/discover/Steve-Slow-Train-Analysis-(2080s-and-2083s)?_g=(refreshInterval:(display:Off,section:0,value:0),time:(from:'2016-05-02 17:13:09-0600',mode:absolute,to:'2016-05-02 18:07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105" s="62" t="str">
        <f t="shared" si="33"/>
        <v>N</v>
      </c>
      <c r="V105" s="62">
        <f t="shared" si="28"/>
        <v>1</v>
      </c>
      <c r="W105" s="62">
        <f t="shared" si="34"/>
        <v>23.2988</v>
      </c>
      <c r="X105" s="62">
        <f t="shared" si="35"/>
        <v>1.6899999999999998E-2</v>
      </c>
      <c r="Y105" s="62">
        <f t="shared" si="36"/>
        <v>23.2819</v>
      </c>
      <c r="Z105" s="63" t="e">
        <f>VLOOKUP(A105,Enforcements!$C$3:$J$40,8,0)</f>
        <v>#N/A</v>
      </c>
      <c r="AA105" s="63" t="e">
        <f>VLOOKUP(A105,Enforcements!$C$3:$J$40,3,0)</f>
        <v>#N/A</v>
      </c>
    </row>
    <row r="106" spans="1:27" s="2" customFormat="1" x14ac:dyDescent="0.25">
      <c r="A106" s="13" t="s">
        <v>485</v>
      </c>
      <c r="B106" s="13">
        <v>4016</v>
      </c>
      <c r="C106" s="13" t="s">
        <v>52</v>
      </c>
      <c r="D106" s="13" t="s">
        <v>235</v>
      </c>
      <c r="E106" s="32">
        <v>42492.692349537036</v>
      </c>
      <c r="F106" s="32">
        <v>42492.693541666667</v>
      </c>
      <c r="G106" s="40">
        <v>1</v>
      </c>
      <c r="H106" s="32" t="s">
        <v>126</v>
      </c>
      <c r="I106" s="32">
        <v>42492.722870370373</v>
      </c>
      <c r="J106" s="13">
        <v>0</v>
      </c>
      <c r="K106" s="13" t="str">
        <f t="shared" si="30"/>
        <v>4015/4016</v>
      </c>
      <c r="L106" s="70" t="str">
        <f>VLOOKUP(A106,'Trips&amp;Operators'!$C$1:$E$9999,3,FALSE)</f>
        <v>COOLAHAN</v>
      </c>
      <c r="M106" s="14">
        <f t="shared" si="31"/>
        <v>2.9328703705687076E-2</v>
      </c>
      <c r="N106" s="15">
        <f t="shared" si="29"/>
        <v>42.233333336189389</v>
      </c>
      <c r="O106" s="15"/>
      <c r="P106" s="15"/>
      <c r="Q106" s="55"/>
      <c r="R106" s="55"/>
      <c r="T106" s="62" t="str">
        <f t="shared" si="32"/>
        <v>https://search-rtdc-monitor-bjffxe2xuh6vdkpspy63sjmuny.us-east-1.es.amazonaws.com/_plugin/kibana/#/discover/Steve-Slow-Train-Analysis-(2080s-and-2083s)?_g=(refreshInterval:(display:Off,section:0,value:0),time:(from:'2016-05-02 16:35:59-0600',mode:absolute,to:'2016-05-02 17:21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106" s="62" t="str">
        <f t="shared" si="33"/>
        <v>N</v>
      </c>
      <c r="V106" s="62">
        <f t="shared" si="28"/>
        <v>1</v>
      </c>
      <c r="W106" s="62">
        <f t="shared" si="34"/>
        <v>4.4200000000000003E-2</v>
      </c>
      <c r="X106" s="62">
        <f t="shared" si="35"/>
        <v>23.331499999999998</v>
      </c>
      <c r="Y106" s="62">
        <f t="shared" si="36"/>
        <v>23.287299999999998</v>
      </c>
      <c r="Z106" s="63" t="e">
        <f>VLOOKUP(A106,Enforcements!$C$3:$J$40,8,0)</f>
        <v>#N/A</v>
      </c>
      <c r="AA106" s="63" t="e">
        <f>VLOOKUP(A106,Enforcements!$C$3:$J$40,3,0)</f>
        <v>#N/A</v>
      </c>
    </row>
    <row r="107" spans="1:27" s="2" customFormat="1" x14ac:dyDescent="0.25">
      <c r="A107" s="13" t="s">
        <v>488</v>
      </c>
      <c r="B107" s="13">
        <v>4015</v>
      </c>
      <c r="C107" s="13" t="s">
        <v>52</v>
      </c>
      <c r="D107" s="13" t="s">
        <v>580</v>
      </c>
      <c r="E107" s="32">
        <v>42492.732418981483</v>
      </c>
      <c r="F107" s="32">
        <v>42492.733668981484</v>
      </c>
      <c r="G107" s="40">
        <v>1</v>
      </c>
      <c r="H107" s="32" t="s">
        <v>583</v>
      </c>
      <c r="I107" s="32">
        <v>42492.762986111113</v>
      </c>
      <c r="J107" s="13">
        <v>0</v>
      </c>
      <c r="K107" s="13" t="str">
        <f t="shared" si="30"/>
        <v>4015/4016</v>
      </c>
      <c r="L107" s="70" t="str">
        <f>VLOOKUP(A107,'Trips&amp;Operators'!$C$1:$E$9999,3,FALSE)</f>
        <v>COOLAHAN</v>
      </c>
      <c r="M107" s="14">
        <f t="shared" si="31"/>
        <v>2.9317129628907423E-2</v>
      </c>
      <c r="N107" s="15">
        <f t="shared" si="29"/>
        <v>42.21666666562669</v>
      </c>
      <c r="O107" s="15"/>
      <c r="P107" s="15"/>
      <c r="Q107" s="55"/>
      <c r="R107" s="55"/>
      <c r="T107" s="62" t="str">
        <f t="shared" si="32"/>
        <v>https://search-rtdc-monitor-bjffxe2xuh6vdkpspy63sjmuny.us-east-1.es.amazonaws.com/_plugin/kibana/#/discover/Steve-Slow-Train-Analysis-(2080s-and-2083s)?_g=(refreshInterval:(display:Off,section:0,value:0),time:(from:'2016-05-02 17:33:41-0600',mode:absolute,to:'2016-05-02 18:19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107" s="62" t="str">
        <f t="shared" si="33"/>
        <v>N</v>
      </c>
      <c r="V107" s="62">
        <f t="shared" si="28"/>
        <v>1</v>
      </c>
      <c r="W107" s="62">
        <f t="shared" si="34"/>
        <v>23.302099999999999</v>
      </c>
      <c r="X107" s="62">
        <f t="shared" si="35"/>
        <v>1.18E-2</v>
      </c>
      <c r="Y107" s="62">
        <f t="shared" si="36"/>
        <v>23.290299999999998</v>
      </c>
      <c r="Z107" s="63" t="e">
        <f>VLOOKUP(A107,Enforcements!$C$3:$J$40,8,0)</f>
        <v>#N/A</v>
      </c>
      <c r="AA107" s="63" t="e">
        <f>VLOOKUP(A107,Enforcements!$C$3:$J$40,3,0)</f>
        <v>#N/A</v>
      </c>
    </row>
    <row r="108" spans="1:27" s="2" customFormat="1" x14ac:dyDescent="0.25">
      <c r="A108" s="13" t="s">
        <v>513</v>
      </c>
      <c r="B108" s="13">
        <v>4027</v>
      </c>
      <c r="C108" s="13" t="s">
        <v>52</v>
      </c>
      <c r="D108" s="13" t="s">
        <v>235</v>
      </c>
      <c r="E108" s="32">
        <v>42492.702604166669</v>
      </c>
      <c r="F108" s="32">
        <v>42492.703564814816</v>
      </c>
      <c r="G108" s="40">
        <v>1</v>
      </c>
      <c r="H108" s="32" t="s">
        <v>587</v>
      </c>
      <c r="I108" s="32">
        <v>42492.732870370368</v>
      </c>
      <c r="J108" s="13">
        <v>0</v>
      </c>
      <c r="K108" s="13" t="str">
        <f t="shared" si="30"/>
        <v>4027/4028</v>
      </c>
      <c r="L108" s="70" t="str">
        <f>VLOOKUP(A108,'Trips&amp;Operators'!$C$1:$E$9999,3,FALSE)</f>
        <v>BEAM</v>
      </c>
      <c r="M108" s="14">
        <f t="shared" si="31"/>
        <v>2.9305555552127771E-2</v>
      </c>
      <c r="N108" s="15">
        <f t="shared" si="29"/>
        <v>42.19999999506399</v>
      </c>
      <c r="O108" s="15"/>
      <c r="P108" s="15"/>
      <c r="Q108" s="55"/>
      <c r="R108" s="55"/>
      <c r="T108" s="62" t="str">
        <f t="shared" si="32"/>
        <v>https://search-rtdc-monitor-bjffxe2xuh6vdkpspy63sjmuny.us-east-1.es.amazonaws.com/_plugin/kibana/#/discover/Steve-Slow-Train-Analysis-(2080s-and-2083s)?_g=(refreshInterval:(display:Off,section:0,value:0),time:(from:'2016-05-02 16:50:45-0600',mode:absolute,to:'2016-05-02 17:36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U108" s="62" t="str">
        <f t="shared" si="33"/>
        <v>N</v>
      </c>
      <c r="V108" s="62">
        <f t="shared" si="28"/>
        <v>1</v>
      </c>
      <c r="W108" s="62">
        <f t="shared" si="34"/>
        <v>4.4200000000000003E-2</v>
      </c>
      <c r="X108" s="62">
        <f t="shared" si="35"/>
        <v>23.334499999999998</v>
      </c>
      <c r="Y108" s="62">
        <f t="shared" si="36"/>
        <v>23.290299999999998</v>
      </c>
      <c r="Z108" s="63" t="e">
        <f>VLOOKUP(A108,Enforcements!$C$3:$J$40,8,0)</f>
        <v>#N/A</v>
      </c>
      <c r="AA108" s="63" t="e">
        <f>VLOOKUP(A108,Enforcements!$C$3:$J$40,3,0)</f>
        <v>#N/A</v>
      </c>
    </row>
    <row r="109" spans="1:27" s="2" customFormat="1" x14ac:dyDescent="0.25">
      <c r="A109" s="13" t="s">
        <v>426</v>
      </c>
      <c r="B109" s="13">
        <v>4028</v>
      </c>
      <c r="C109" s="13" t="s">
        <v>52</v>
      </c>
      <c r="D109" s="13" t="s">
        <v>580</v>
      </c>
      <c r="E109" s="32">
        <v>42492.742210648146</v>
      </c>
      <c r="F109" s="32">
        <v>42492.742824074077</v>
      </c>
      <c r="G109" s="40">
        <v>0</v>
      </c>
      <c r="H109" s="32" t="s">
        <v>581</v>
      </c>
      <c r="I109" s="32">
        <v>42492.772951388892</v>
      </c>
      <c r="J109" s="13">
        <v>1</v>
      </c>
      <c r="K109" s="13" t="str">
        <f t="shared" si="30"/>
        <v>4027/4028</v>
      </c>
      <c r="L109" s="70" t="str">
        <f>VLOOKUP(A109,'Trips&amp;Operators'!$C$1:$E$9999,3,FALSE)</f>
        <v>BEAM</v>
      </c>
      <c r="M109" s="14">
        <f t="shared" si="31"/>
        <v>3.0127314814308193E-2</v>
      </c>
      <c r="N109" s="15">
        <f t="shared" si="29"/>
        <v>43.383333332603797</v>
      </c>
      <c r="O109" s="15"/>
      <c r="P109" s="15"/>
      <c r="Q109" s="55"/>
      <c r="R109" s="55"/>
      <c r="T109" s="62" t="str">
        <f t="shared" si="32"/>
        <v>https://search-rtdc-monitor-bjffxe2xuh6vdkpspy63sjmuny.us-east-1.es.amazonaws.com/_plugin/kibana/#/discover/Steve-Slow-Train-Analysis-(2080s-and-2083s)?_g=(refreshInterval:(display:Off,section:0,value:0),time:(from:'2016-05-02 17:47:47-0600',mode:absolute,to:'2016-05-02 18:34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U109" s="62" t="str">
        <f t="shared" si="33"/>
        <v>N</v>
      </c>
      <c r="V109" s="62">
        <f t="shared" si="28"/>
        <v>1</v>
      </c>
      <c r="W109" s="62">
        <f t="shared" si="34"/>
        <v>23.302099999999999</v>
      </c>
      <c r="X109" s="62">
        <f t="shared" si="35"/>
        <v>1.9800000000000002E-2</v>
      </c>
      <c r="Y109" s="62">
        <f t="shared" si="36"/>
        <v>23.282299999999999</v>
      </c>
      <c r="Z109" s="63" t="e">
        <f>VLOOKUP(A109,Enforcements!$C$3:$J$40,8,0)</f>
        <v>#N/A</v>
      </c>
      <c r="AA109" s="63" t="e">
        <f>VLOOKUP(A109,Enforcements!$C$3:$J$40,3,0)</f>
        <v>#N/A</v>
      </c>
    </row>
    <row r="110" spans="1:27" s="2" customFormat="1" x14ac:dyDescent="0.25">
      <c r="A110" s="13" t="s">
        <v>515</v>
      </c>
      <c r="B110" s="13">
        <v>4007</v>
      </c>
      <c r="C110" s="13" t="s">
        <v>52</v>
      </c>
      <c r="D110" s="13" t="s">
        <v>151</v>
      </c>
      <c r="E110" s="32">
        <v>42492.716377314813</v>
      </c>
      <c r="F110" s="32">
        <v>42492.717511574076</v>
      </c>
      <c r="G110" s="40">
        <v>1</v>
      </c>
      <c r="H110" s="32" t="s">
        <v>188</v>
      </c>
      <c r="I110" s="32">
        <v>42492.745636574073</v>
      </c>
      <c r="J110" s="13">
        <v>0</v>
      </c>
      <c r="K110" s="13" t="str">
        <f t="shared" si="30"/>
        <v>4007/4008</v>
      </c>
      <c r="L110" s="70" t="str">
        <f>VLOOKUP(A110,'Trips&amp;Operators'!$C$1:$E$9999,3,FALSE)</f>
        <v>YOUNG</v>
      </c>
      <c r="M110" s="14">
        <f t="shared" si="31"/>
        <v>2.8124999997089617E-2</v>
      </c>
      <c r="N110" s="15">
        <f t="shared" si="29"/>
        <v>40.499999995809048</v>
      </c>
      <c r="O110" s="15"/>
      <c r="P110" s="15"/>
      <c r="Q110" s="55"/>
      <c r="R110" s="55"/>
      <c r="T110" s="62" t="str">
        <f t="shared" si="32"/>
        <v>https://search-rtdc-monitor-bjffxe2xuh6vdkpspy63sjmuny.us-east-1.es.amazonaws.com/_plugin/kibana/#/discover/Steve-Slow-Train-Analysis-(2080s-and-2083s)?_g=(refreshInterval:(display:Off,section:0,value:0),time:(from:'2016-05-02 17:10:35-0600',mode:absolute,to:'2016-05-02 17:54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110" s="62" t="str">
        <f t="shared" si="33"/>
        <v>N</v>
      </c>
      <c r="V110" s="62">
        <f t="shared" si="28"/>
        <v>1</v>
      </c>
      <c r="W110" s="62">
        <f t="shared" si="34"/>
        <v>4.6600000000000003E-2</v>
      </c>
      <c r="X110" s="62">
        <f t="shared" si="35"/>
        <v>23.331199999999999</v>
      </c>
      <c r="Y110" s="62">
        <f t="shared" si="36"/>
        <v>23.284599999999998</v>
      </c>
      <c r="Z110" s="63" t="e">
        <f>VLOOKUP(A110,Enforcements!$C$3:$J$40,8,0)</f>
        <v>#N/A</v>
      </c>
      <c r="AA110" s="63" t="e">
        <f>VLOOKUP(A110,Enforcements!$C$3:$J$40,3,0)</f>
        <v>#N/A</v>
      </c>
    </row>
    <row r="111" spans="1:27" s="2" customFormat="1" x14ac:dyDescent="0.25">
      <c r="A111" s="13" t="s">
        <v>519</v>
      </c>
      <c r="B111" s="13">
        <v>4008</v>
      </c>
      <c r="C111" s="13" t="s">
        <v>52</v>
      </c>
      <c r="D111" s="13" t="s">
        <v>217</v>
      </c>
      <c r="E111" s="32">
        <v>42492.748831018522</v>
      </c>
      <c r="F111" s="32">
        <v>42492.751840277779</v>
      </c>
      <c r="G111" s="40">
        <v>4</v>
      </c>
      <c r="H111" s="32" t="s">
        <v>203</v>
      </c>
      <c r="I111" s="32">
        <v>42492.785879629628</v>
      </c>
      <c r="J111" s="13">
        <v>0</v>
      </c>
      <c r="K111" s="13" t="str">
        <f t="shared" si="30"/>
        <v>4007/4008</v>
      </c>
      <c r="L111" s="70" t="str">
        <f>VLOOKUP(A111,'Trips&amp;Operators'!$C$1:$E$9999,3,FALSE)</f>
        <v>YOUNG</v>
      </c>
      <c r="M111" s="14">
        <f t="shared" si="31"/>
        <v>3.403935184906004E-2</v>
      </c>
      <c r="N111" s="15">
        <f t="shared" si="29"/>
        <v>49.016666662646458</v>
      </c>
      <c r="O111" s="15"/>
      <c r="P111" s="15"/>
      <c r="Q111" s="55"/>
      <c r="R111" s="55"/>
      <c r="T111" s="62" t="str">
        <f t="shared" si="32"/>
        <v>https://search-rtdc-monitor-bjffxe2xuh6vdkpspy63sjmuny.us-east-1.es.amazonaws.com/_plugin/kibana/#/discover/Steve-Slow-Train-Analysis-(2080s-and-2083s)?_g=(refreshInterval:(display:Off,section:0,value:0),time:(from:'2016-05-02 17:57:19-0600',mode:absolute,to:'2016-05-02 18:52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111" s="62" t="str">
        <f t="shared" si="33"/>
        <v>N</v>
      </c>
      <c r="V111" s="62">
        <f t="shared" si="28"/>
        <v>1</v>
      </c>
      <c r="W111" s="62">
        <f t="shared" si="34"/>
        <v>23.3</v>
      </c>
      <c r="X111" s="62">
        <f t="shared" si="35"/>
        <v>1.4999999999999999E-2</v>
      </c>
      <c r="Y111" s="62">
        <f t="shared" si="36"/>
        <v>23.285</v>
      </c>
      <c r="Z111" s="63" t="e">
        <f>VLOOKUP(A111,Enforcements!$C$3:$J$40,8,0)</f>
        <v>#N/A</v>
      </c>
      <c r="AA111" s="63" t="e">
        <f>VLOOKUP(A111,Enforcements!$C$3:$J$40,3,0)</f>
        <v>#N/A</v>
      </c>
    </row>
    <row r="112" spans="1:27" s="2" customFormat="1" x14ac:dyDescent="0.25">
      <c r="A112" s="13" t="s">
        <v>425</v>
      </c>
      <c r="B112" s="13">
        <v>4038</v>
      </c>
      <c r="C112" s="13" t="s">
        <v>52</v>
      </c>
      <c r="D112" s="13" t="s">
        <v>584</v>
      </c>
      <c r="E112" s="32">
        <v>42492.726539351854</v>
      </c>
      <c r="F112" s="32">
        <v>42492.727777777778</v>
      </c>
      <c r="G112" s="40">
        <v>1</v>
      </c>
      <c r="H112" s="32" t="s">
        <v>585</v>
      </c>
      <c r="I112" s="32">
        <v>42492.754490740743</v>
      </c>
      <c r="J112" s="13">
        <v>1</v>
      </c>
      <c r="K112" s="13" t="str">
        <f t="shared" si="30"/>
        <v>4037/4038</v>
      </c>
      <c r="L112" s="70" t="str">
        <f>VLOOKUP(A112,'Trips&amp;Operators'!$C$1:$E$9999,3,FALSE)</f>
        <v>REBOLETTI</v>
      </c>
      <c r="M112" s="14">
        <f t="shared" si="31"/>
        <v>2.6712962964666076E-2</v>
      </c>
      <c r="N112" s="15">
        <f t="shared" si="29"/>
        <v>38.466666669119149</v>
      </c>
      <c r="O112" s="15"/>
      <c r="P112" s="15"/>
      <c r="Q112" s="55"/>
      <c r="R112" s="55"/>
      <c r="T112" s="62" t="str">
        <f t="shared" si="32"/>
        <v>https://search-rtdc-monitor-bjffxe2xuh6vdkpspy63sjmuny.us-east-1.es.amazonaws.com/_plugin/kibana/#/discover/Steve-Slow-Train-Analysis-(2080s-and-2083s)?_g=(refreshInterval:(display:Off,section:0,value:0),time:(from:'2016-05-02 17:25:13-0600',mode:absolute,to:'2016-05-02 18:07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U112" s="62" t="str">
        <f t="shared" si="33"/>
        <v>N</v>
      </c>
      <c r="V112" s="62">
        <f t="shared" si="28"/>
        <v>1</v>
      </c>
      <c r="W112" s="62">
        <f t="shared" si="34"/>
        <v>5.04E-2</v>
      </c>
      <c r="X112" s="62">
        <f t="shared" si="35"/>
        <v>23.322399999999998</v>
      </c>
      <c r="Y112" s="62">
        <f t="shared" si="36"/>
        <v>23.271999999999998</v>
      </c>
      <c r="Z112" s="63" t="e">
        <f>VLOOKUP(A112,Enforcements!$C$3:$J$40,8,0)</f>
        <v>#N/A</v>
      </c>
      <c r="AA112" s="63" t="e">
        <f>VLOOKUP(A112,Enforcements!$C$3:$J$40,3,0)</f>
        <v>#N/A</v>
      </c>
    </row>
    <row r="113" spans="1:27" s="2" customFormat="1" x14ac:dyDescent="0.25">
      <c r="A113" s="13" t="s">
        <v>428</v>
      </c>
      <c r="B113" s="13">
        <v>4037</v>
      </c>
      <c r="C113" s="13" t="s">
        <v>52</v>
      </c>
      <c r="D113" s="13" t="s">
        <v>578</v>
      </c>
      <c r="E113" s="32">
        <v>42492.765335648146</v>
      </c>
      <c r="F113" s="32">
        <v>42492.766655092593</v>
      </c>
      <c r="G113" s="40">
        <v>1</v>
      </c>
      <c r="H113" s="32" t="s">
        <v>186</v>
      </c>
      <c r="I113" s="32">
        <v>42492.794085648151</v>
      </c>
      <c r="J113" s="13">
        <v>1</v>
      </c>
      <c r="K113" s="13" t="str">
        <f t="shared" si="30"/>
        <v>4037/4038</v>
      </c>
      <c r="L113" s="70" t="str">
        <f>VLOOKUP(A113,'Trips&amp;Operators'!$C$1:$E$9999,3,FALSE)</f>
        <v>REBOLETTI</v>
      </c>
      <c r="M113" s="14">
        <f t="shared" si="31"/>
        <v>2.7430555557657499E-2</v>
      </c>
      <c r="N113" s="15">
        <f t="shared" si="29"/>
        <v>39.500000003026798</v>
      </c>
      <c r="O113" s="15"/>
      <c r="P113" s="15"/>
      <c r="Q113" s="55"/>
      <c r="R113" s="55"/>
      <c r="T113" s="62" t="str">
        <f t="shared" si="32"/>
        <v>https://search-rtdc-monitor-bjffxe2xuh6vdkpspy63sjmuny.us-east-1.es.amazonaws.com/_plugin/kibana/#/discover/Steve-Slow-Train-Analysis-(2080s-and-2083s)?_g=(refreshInterval:(display:Off,section:0,value:0),time:(from:'2016-05-02 18:21:05-0600',mode:absolute,to:'2016-05-02 19:04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U113" s="62" t="str">
        <f t="shared" si="33"/>
        <v>N</v>
      </c>
      <c r="V113" s="62">
        <f t="shared" si="28"/>
        <v>1</v>
      </c>
      <c r="W113" s="62">
        <f t="shared" si="34"/>
        <v>23.290900000000001</v>
      </c>
      <c r="X113" s="62">
        <f t="shared" si="35"/>
        <v>1.41E-2</v>
      </c>
      <c r="Y113" s="62">
        <f t="shared" si="36"/>
        <v>23.276800000000001</v>
      </c>
      <c r="Z113" s="63" t="e">
        <f>VLOOKUP(A113,Enforcements!$C$3:$J$40,8,0)</f>
        <v>#N/A</v>
      </c>
      <c r="AA113" s="63" t="e">
        <f>VLOOKUP(A113,Enforcements!$C$3:$J$40,3,0)</f>
        <v>#N/A</v>
      </c>
    </row>
    <row r="114" spans="1:27" s="2" customFormat="1" x14ac:dyDescent="0.25">
      <c r="A114" s="13" t="s">
        <v>518</v>
      </c>
      <c r="B114" s="13">
        <v>4014</v>
      </c>
      <c r="C114" s="13" t="s">
        <v>52</v>
      </c>
      <c r="D114" s="13" t="s">
        <v>582</v>
      </c>
      <c r="E114" s="32">
        <v>42492.737615740742</v>
      </c>
      <c r="F114" s="32">
        <v>42492.738923611112</v>
      </c>
      <c r="G114" s="40">
        <v>1</v>
      </c>
      <c r="H114" s="32" t="s">
        <v>533</v>
      </c>
      <c r="I114" s="32">
        <v>42492.765104166669</v>
      </c>
      <c r="J114" s="13">
        <v>0</v>
      </c>
      <c r="K114" s="13" t="str">
        <f t="shared" si="30"/>
        <v>4013/4014</v>
      </c>
      <c r="L114" s="70" t="str">
        <f>VLOOKUP(A114,'Trips&amp;Operators'!$C$1:$E$9999,3,FALSE)</f>
        <v>JACKSON</v>
      </c>
      <c r="M114" s="14">
        <f t="shared" si="31"/>
        <v>2.6180555556493346E-2</v>
      </c>
      <c r="N114" s="15">
        <f t="shared" si="29"/>
        <v>37.700000001350418</v>
      </c>
      <c r="O114" s="15"/>
      <c r="P114" s="15"/>
      <c r="Q114" s="55"/>
      <c r="R114" s="55"/>
      <c r="T114" s="62" t="str">
        <f t="shared" si="32"/>
        <v>https://search-rtdc-monitor-bjffxe2xuh6vdkpspy63sjmuny.us-east-1.es.amazonaws.com/_plugin/kibana/#/discover/Steve-Slow-Train-Analysis-(2080s-and-2083s)?_g=(refreshInterval:(display:Off,section:0,value:0),time:(from:'2016-05-02 17:41:10-0600',mode:absolute,to:'2016-05-02 18:22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U114" s="62" t="str">
        <f t="shared" si="33"/>
        <v>N</v>
      </c>
      <c r="V114" s="62">
        <f t="shared" si="28"/>
        <v>1</v>
      </c>
      <c r="W114" s="62">
        <f t="shared" si="34"/>
        <v>5.0200000000000002E-2</v>
      </c>
      <c r="X114" s="62">
        <f t="shared" si="35"/>
        <v>23.334</v>
      </c>
      <c r="Y114" s="62">
        <f t="shared" si="36"/>
        <v>23.283799999999999</v>
      </c>
      <c r="Z114" s="63" t="e">
        <f>VLOOKUP(A114,Enforcements!$C$3:$J$40,8,0)</f>
        <v>#N/A</v>
      </c>
      <c r="AA114" s="63" t="e">
        <f>VLOOKUP(A114,Enforcements!$C$3:$J$40,3,0)</f>
        <v>#N/A</v>
      </c>
    </row>
    <row r="115" spans="1:27" s="2" customFormat="1" x14ac:dyDescent="0.25">
      <c r="A115" s="13" t="s">
        <v>500</v>
      </c>
      <c r="B115" s="13">
        <v>4013</v>
      </c>
      <c r="C115" s="13" t="s">
        <v>52</v>
      </c>
      <c r="D115" s="13" t="s">
        <v>195</v>
      </c>
      <c r="E115" s="32">
        <v>42492.773321759261</v>
      </c>
      <c r="F115" s="32">
        <v>42492.77484953704</v>
      </c>
      <c r="G115" s="40">
        <v>2</v>
      </c>
      <c r="H115" s="32" t="s">
        <v>243</v>
      </c>
      <c r="I115" s="32">
        <v>42492.80505787037</v>
      </c>
      <c r="J115" s="13">
        <v>0</v>
      </c>
      <c r="K115" s="13" t="str">
        <f t="shared" si="30"/>
        <v>4013/4014</v>
      </c>
      <c r="L115" s="70" t="str">
        <f>VLOOKUP(A115,'Trips&amp;Operators'!$C$1:$E$9999,3,FALSE)</f>
        <v>JACKSON</v>
      </c>
      <c r="M115" s="14">
        <f t="shared" si="31"/>
        <v>3.0208333329937886E-2</v>
      </c>
      <c r="N115" s="15">
        <f t="shared" si="29"/>
        <v>43.499999995110556</v>
      </c>
      <c r="O115" s="15"/>
      <c r="P115" s="15"/>
      <c r="Q115" s="55"/>
      <c r="R115" s="55"/>
      <c r="T115" s="62" t="str">
        <f t="shared" si="32"/>
        <v>https://search-rtdc-monitor-bjffxe2xuh6vdkpspy63sjmuny.us-east-1.es.amazonaws.com/_plugin/kibana/#/discover/Steve-Slow-Train-Analysis-(2080s-and-2083s)?_g=(refreshInterval:(display:Off,section:0,value:0),time:(from:'2016-05-02 18:32:35-0600',mode:absolute,to:'2016-05-02 19:20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U115" s="62" t="str">
        <f t="shared" si="33"/>
        <v>N</v>
      </c>
      <c r="V115" s="62">
        <f t="shared" si="28"/>
        <v>1</v>
      </c>
      <c r="W115" s="62">
        <f t="shared" si="34"/>
        <v>23.2974</v>
      </c>
      <c r="X115" s="62">
        <f t="shared" si="35"/>
        <v>1.54E-2</v>
      </c>
      <c r="Y115" s="62">
        <f t="shared" si="36"/>
        <v>23.282</v>
      </c>
      <c r="Z115" s="63" t="e">
        <f>VLOOKUP(A115,Enforcements!$C$3:$J$40,8,0)</f>
        <v>#N/A</v>
      </c>
      <c r="AA115" s="63" t="e">
        <f>VLOOKUP(A115,Enforcements!$C$3:$J$40,3,0)</f>
        <v>#N/A</v>
      </c>
    </row>
    <row r="116" spans="1:27" s="2" customFormat="1" x14ac:dyDescent="0.25">
      <c r="A116" s="13" t="s">
        <v>460</v>
      </c>
      <c r="B116" s="13">
        <v>4025</v>
      </c>
      <c r="C116" s="13" t="s">
        <v>52</v>
      </c>
      <c r="D116" s="13" t="s">
        <v>296</v>
      </c>
      <c r="E116" s="32">
        <v>42492.746215277781</v>
      </c>
      <c r="F116" s="32">
        <v>42492.747175925928</v>
      </c>
      <c r="G116" s="40">
        <v>1</v>
      </c>
      <c r="H116" s="32" t="s">
        <v>131</v>
      </c>
      <c r="I116" s="32">
        <v>42492.775092592594</v>
      </c>
      <c r="J116" s="13">
        <v>0</v>
      </c>
      <c r="K116" s="13" t="str">
        <f t="shared" si="30"/>
        <v>4025/4026</v>
      </c>
      <c r="L116" s="70" t="str">
        <f>VLOOKUP(A116,'Trips&amp;Operators'!$C$1:$E$9999,3,FALSE)</f>
        <v>WEBSTER</v>
      </c>
      <c r="M116" s="14">
        <f t="shared" si="31"/>
        <v>2.7916666665987577E-2</v>
      </c>
      <c r="N116" s="15">
        <f t="shared" si="29"/>
        <v>40.199999999022111</v>
      </c>
      <c r="O116" s="15"/>
      <c r="P116" s="15"/>
      <c r="Q116" s="55"/>
      <c r="R116" s="55"/>
      <c r="T116" s="62" t="str">
        <f t="shared" si="32"/>
        <v>https://search-rtdc-monitor-bjffxe2xuh6vdkpspy63sjmuny.us-east-1.es.amazonaws.com/_plugin/kibana/#/discover/Steve-Slow-Train-Analysis-(2080s-and-2083s)?_g=(refreshInterval:(display:Off,section:0,value:0),time:(from:'2016-05-02 17:53:33-0600',mode:absolute,to:'2016-05-02 18:37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U116" s="62" t="str">
        <f t="shared" si="33"/>
        <v>N</v>
      </c>
      <c r="V116" s="62">
        <f t="shared" si="28"/>
        <v>1</v>
      </c>
      <c r="W116" s="62">
        <f t="shared" si="34"/>
        <v>4.5499999999999999E-2</v>
      </c>
      <c r="X116" s="62">
        <f t="shared" si="35"/>
        <v>23.328900000000001</v>
      </c>
      <c r="Y116" s="62">
        <f t="shared" si="36"/>
        <v>23.2834</v>
      </c>
      <c r="Z116" s="63" t="e">
        <f>VLOOKUP(A116,Enforcements!$C$3:$J$40,8,0)</f>
        <v>#N/A</v>
      </c>
      <c r="AA116" s="63" t="e">
        <f>VLOOKUP(A116,Enforcements!$C$3:$J$40,3,0)</f>
        <v>#N/A</v>
      </c>
    </row>
    <row r="117" spans="1:27" s="2" customFormat="1" x14ac:dyDescent="0.25">
      <c r="A117" s="13" t="s">
        <v>427</v>
      </c>
      <c r="B117" s="13">
        <v>4020</v>
      </c>
      <c r="C117" s="13" t="s">
        <v>52</v>
      </c>
      <c r="D117" s="13" t="s">
        <v>193</v>
      </c>
      <c r="E117" s="32">
        <v>42492.759513888886</v>
      </c>
      <c r="F117" s="32">
        <v>42492.760729166665</v>
      </c>
      <c r="G117" s="40">
        <v>1</v>
      </c>
      <c r="H117" s="32" t="s">
        <v>579</v>
      </c>
      <c r="I117" s="32">
        <v>42492.786712962959</v>
      </c>
      <c r="J117" s="13">
        <v>1</v>
      </c>
      <c r="K117" s="13" t="str">
        <f t="shared" si="30"/>
        <v>4019/4020</v>
      </c>
      <c r="L117" s="70" t="str">
        <f>VLOOKUP(A117,'Trips&amp;Operators'!$C$1:$E$9999,3,FALSE)</f>
        <v>STORY</v>
      </c>
      <c r="M117" s="14">
        <f t="shared" si="31"/>
        <v>2.5983796294895001E-2</v>
      </c>
      <c r="N117" s="15">
        <f t="shared" si="29"/>
        <v>37.416666664648801</v>
      </c>
      <c r="O117" s="15"/>
      <c r="P117" s="15"/>
      <c r="Q117" s="55"/>
      <c r="R117" s="55"/>
      <c r="T117" s="62" t="str">
        <f t="shared" si="32"/>
        <v>https://search-rtdc-monitor-bjffxe2xuh6vdkpspy63sjmuny.us-east-1.es.amazonaws.com/_plugin/kibana/#/discover/Steve-Slow-Train-Analysis-(2080s-and-2083s)?_g=(refreshInterval:(display:Off,section:0,value:0),time:(from:'2016-05-02 18:12:42-0600',mode:absolute,to:'2016-05-02 18:53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117" s="62" t="str">
        <f t="shared" si="33"/>
        <v>N</v>
      </c>
      <c r="V117" s="62">
        <f t="shared" si="28"/>
        <v>2</v>
      </c>
      <c r="W117" s="62">
        <f t="shared" si="34"/>
        <v>4.4900000000000002E-2</v>
      </c>
      <c r="X117" s="62">
        <f t="shared" si="35"/>
        <v>23.339700000000001</v>
      </c>
      <c r="Y117" s="62">
        <f t="shared" si="36"/>
        <v>23.294800000000002</v>
      </c>
      <c r="Z117" s="63" t="e">
        <f>VLOOKUP(A117,Enforcements!$C$3:$J$40,8,0)</f>
        <v>#N/A</v>
      </c>
      <c r="AA117" s="63" t="e">
        <f>VLOOKUP(A117,Enforcements!$C$3:$J$40,3,0)</f>
        <v>#N/A</v>
      </c>
    </row>
    <row r="118" spans="1:27" s="2" customFormat="1" x14ac:dyDescent="0.25">
      <c r="A118" s="13" t="s">
        <v>461</v>
      </c>
      <c r="B118" s="13">
        <v>4019</v>
      </c>
      <c r="C118" s="13" t="s">
        <v>52</v>
      </c>
      <c r="D118" s="13" t="s">
        <v>291</v>
      </c>
      <c r="E118" s="32">
        <v>42492.791921296295</v>
      </c>
      <c r="F118" s="32">
        <v>42492.793136574073</v>
      </c>
      <c r="G118" s="40">
        <v>1</v>
      </c>
      <c r="H118" s="32" t="s">
        <v>139</v>
      </c>
      <c r="I118" s="32">
        <v>42492.826643518521</v>
      </c>
      <c r="J118" s="13">
        <v>0</v>
      </c>
      <c r="K118" s="13" t="str">
        <f t="shared" si="30"/>
        <v>4019/4020</v>
      </c>
      <c r="L118" s="70" t="str">
        <f>VLOOKUP(A118,'Trips&amp;Operators'!$C$1:$E$9999,3,FALSE)</f>
        <v>STORY</v>
      </c>
      <c r="M118" s="14">
        <f t="shared" si="31"/>
        <v>3.3506944448163267E-2</v>
      </c>
      <c r="N118" s="15">
        <f t="shared" si="29"/>
        <v>48.250000005355105</v>
      </c>
      <c r="O118" s="15"/>
      <c r="P118" s="15"/>
      <c r="Q118" s="55"/>
      <c r="R118" s="55"/>
      <c r="T118" s="62" t="str">
        <f t="shared" si="32"/>
        <v>https://search-rtdc-monitor-bjffxe2xuh6vdkpspy63sjmuny.us-east-1.es.amazonaws.com/_plugin/kibana/#/discover/Steve-Slow-Train-Analysis-(2080s-and-2083s)?_g=(refreshInterval:(display:Off,section:0,value:0),time:(from:'2016-05-02 18:59:22-0600',mode:absolute,to:'2016-05-02 19:51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118" s="62" t="str">
        <f t="shared" si="33"/>
        <v>N</v>
      </c>
      <c r="V118" s="62">
        <f t="shared" si="28"/>
        <v>1</v>
      </c>
      <c r="W118" s="62">
        <f t="shared" si="34"/>
        <v>23.31</v>
      </c>
      <c r="X118" s="62">
        <f t="shared" si="35"/>
        <v>1.43E-2</v>
      </c>
      <c r="Y118" s="62">
        <f t="shared" si="36"/>
        <v>23.2957</v>
      </c>
      <c r="Z118" s="63" t="e">
        <f>VLOOKUP(A118,Enforcements!$C$3:$J$40,8,0)</f>
        <v>#N/A</v>
      </c>
      <c r="AA118" s="63" t="e">
        <f>VLOOKUP(A118,Enforcements!$C$3:$J$40,3,0)</f>
        <v>#N/A</v>
      </c>
    </row>
    <row r="119" spans="1:27" s="2" customFormat="1" x14ac:dyDescent="0.25">
      <c r="A119" s="13" t="s">
        <v>463</v>
      </c>
      <c r="B119" s="13">
        <v>4016</v>
      </c>
      <c r="C119" s="13" t="s">
        <v>52</v>
      </c>
      <c r="D119" s="13" t="s">
        <v>577</v>
      </c>
      <c r="E119" s="32">
        <v>42492.767233796294</v>
      </c>
      <c r="F119" s="32">
        <v>42492.76902777778</v>
      </c>
      <c r="G119" s="40">
        <v>2</v>
      </c>
      <c r="H119" s="32" t="s">
        <v>528</v>
      </c>
      <c r="I119" s="32">
        <v>42492.796168981484</v>
      </c>
      <c r="J119" s="13">
        <v>0</v>
      </c>
      <c r="K119" s="13" t="str">
        <f t="shared" si="30"/>
        <v>4015/4016</v>
      </c>
      <c r="L119" s="70" t="str">
        <f>VLOOKUP(A119,'Trips&amp;Operators'!$C$1:$E$9999,3,FALSE)</f>
        <v>STRICKLAND</v>
      </c>
      <c r="M119" s="14">
        <f t="shared" si="31"/>
        <v>2.7141203703649808E-2</v>
      </c>
      <c r="N119" s="15">
        <f t="shared" si="29"/>
        <v>39.083333333255723</v>
      </c>
      <c r="O119" s="15"/>
      <c r="P119" s="15"/>
      <c r="Q119" s="55"/>
      <c r="R119" s="55"/>
      <c r="T119" s="62" t="str">
        <f t="shared" si="32"/>
        <v>https://search-rtdc-monitor-bjffxe2xuh6vdkpspy63sjmuny.us-east-1.es.amazonaws.com/_plugin/kibana/#/discover/Steve-Slow-Train-Analysis-(2080s-and-2083s)?_g=(refreshInterval:(display:Off,section:0,value:0),time:(from:'2016-05-02 18:23:49-0600',mode:absolute,to:'2016-05-02 19:07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119" s="62" t="str">
        <f t="shared" si="33"/>
        <v>N</v>
      </c>
      <c r="V119" s="62">
        <f t="shared" si="28"/>
        <v>1</v>
      </c>
      <c r="W119" s="62">
        <f t="shared" si="34"/>
        <v>4.1300000000000003E-2</v>
      </c>
      <c r="X119" s="62">
        <f t="shared" si="35"/>
        <v>23.3307</v>
      </c>
      <c r="Y119" s="62">
        <f t="shared" si="36"/>
        <v>23.289400000000001</v>
      </c>
      <c r="Z119" s="63" t="e">
        <f>VLOOKUP(A119,Enforcements!$C$3:$J$40,8,0)</f>
        <v>#N/A</v>
      </c>
      <c r="AA119" s="63" t="e">
        <f>VLOOKUP(A119,Enforcements!$C$3:$J$40,3,0)</f>
        <v>#N/A</v>
      </c>
    </row>
    <row r="120" spans="1:27" s="2" customFormat="1" x14ac:dyDescent="0.25">
      <c r="A120" s="13" t="s">
        <v>499</v>
      </c>
      <c r="B120" s="13">
        <v>4015</v>
      </c>
      <c r="C120" s="13" t="s">
        <v>52</v>
      </c>
      <c r="D120" s="13" t="s">
        <v>535</v>
      </c>
      <c r="E120" s="32">
        <v>42492.798668981479</v>
      </c>
      <c r="F120" s="32">
        <v>42492.810104166667</v>
      </c>
      <c r="G120" s="40">
        <v>2</v>
      </c>
      <c r="H120" s="32" t="s">
        <v>207</v>
      </c>
      <c r="I120" s="32">
        <v>42492.838402777779</v>
      </c>
      <c r="J120" s="13">
        <v>0</v>
      </c>
      <c r="K120" s="13" t="str">
        <f t="shared" si="30"/>
        <v>4015/4016</v>
      </c>
      <c r="L120" s="70" t="str">
        <f>VLOOKUP(A120,'Trips&amp;Operators'!$C$1:$E$9999,3,FALSE)</f>
        <v>STRICKLAND</v>
      </c>
      <c r="M120" s="14">
        <f t="shared" si="31"/>
        <v>2.8298611112404615E-2</v>
      </c>
      <c r="N120" s="15">
        <f t="shared" si="29"/>
        <v>40.750000001862645</v>
      </c>
      <c r="O120" s="15"/>
      <c r="P120" s="15"/>
      <c r="Q120" s="55"/>
      <c r="R120" s="55"/>
      <c r="T120" s="62" t="str">
        <f t="shared" si="32"/>
        <v>https://search-rtdc-monitor-bjffxe2xuh6vdkpspy63sjmuny.us-east-1.es.amazonaws.com/_plugin/kibana/#/discover/Steve-Slow-Train-Analysis-(2080s-and-2083s)?_g=(refreshInterval:(display:Off,section:0,value:0),time:(from:'2016-05-02 19:09:05-0600',mode:absolute,to:'2016-05-02 20:08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120" s="62" t="str">
        <f t="shared" si="33"/>
        <v>N</v>
      </c>
      <c r="V120" s="62">
        <f t="shared" si="28"/>
        <v>1</v>
      </c>
      <c r="W120" s="62">
        <f t="shared" si="34"/>
        <v>23.298999999999999</v>
      </c>
      <c r="X120" s="62">
        <f t="shared" si="35"/>
        <v>1.61E-2</v>
      </c>
      <c r="Y120" s="62">
        <f t="shared" si="36"/>
        <v>23.282899999999998</v>
      </c>
      <c r="Z120" s="63" t="e">
        <f>VLOOKUP(A120,Enforcements!$C$3:$J$40,8,0)</f>
        <v>#N/A</v>
      </c>
      <c r="AA120" s="63" t="e">
        <f>VLOOKUP(A120,Enforcements!$C$3:$J$40,3,0)</f>
        <v>#N/A</v>
      </c>
    </row>
    <row r="121" spans="1:27" s="2" customFormat="1" x14ac:dyDescent="0.25">
      <c r="A121" s="13" t="s">
        <v>491</v>
      </c>
      <c r="B121" s="13">
        <v>4007</v>
      </c>
      <c r="C121" s="13" t="s">
        <v>52</v>
      </c>
      <c r="D121" s="13" t="s">
        <v>160</v>
      </c>
      <c r="E121" s="32">
        <v>42492.788287037038</v>
      </c>
      <c r="F121" s="32">
        <v>42492.789293981485</v>
      </c>
      <c r="G121" s="40">
        <v>1</v>
      </c>
      <c r="H121" s="32" t="s">
        <v>144</v>
      </c>
      <c r="I121" s="32">
        <v>42492.817349537036</v>
      </c>
      <c r="J121" s="13">
        <v>0</v>
      </c>
      <c r="K121" s="13" t="str">
        <f t="shared" si="30"/>
        <v>4007/4008</v>
      </c>
      <c r="L121" s="70" t="str">
        <f>VLOOKUP(A121,'Trips&amp;Operators'!$C$1:$E$9999,3,FALSE)</f>
        <v>YOUNG</v>
      </c>
      <c r="M121" s="14">
        <f t="shared" si="31"/>
        <v>2.8055555550963618E-2</v>
      </c>
      <c r="N121" s="15">
        <f t="shared" si="29"/>
        <v>40.39999999338761</v>
      </c>
      <c r="O121" s="15"/>
      <c r="P121" s="15"/>
      <c r="Q121" s="55"/>
      <c r="R121" s="55"/>
      <c r="T121" s="62" t="str">
        <f t="shared" si="32"/>
        <v>https://search-rtdc-monitor-bjffxe2xuh6vdkpspy63sjmuny.us-east-1.es.amazonaws.com/_plugin/kibana/#/discover/Steve-Slow-Train-Analysis-(2080s-and-2083s)?_g=(refreshInterval:(display:Off,section:0,value:0),time:(from:'2016-05-02 18:54:08-0600',mode:absolute,to:'2016-05-02 19:37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121" s="62" t="str">
        <f t="shared" si="33"/>
        <v>N</v>
      </c>
      <c r="V121" s="62">
        <f t="shared" si="28"/>
        <v>1</v>
      </c>
      <c r="W121" s="62">
        <f t="shared" si="34"/>
        <v>4.6699999999999998E-2</v>
      </c>
      <c r="X121" s="62">
        <f t="shared" si="35"/>
        <v>23.331399999999999</v>
      </c>
      <c r="Y121" s="62">
        <f t="shared" si="36"/>
        <v>23.284699999999997</v>
      </c>
      <c r="Z121" s="63" t="e">
        <f>VLOOKUP(A121,Enforcements!$C$3:$J$40,8,0)</f>
        <v>#N/A</v>
      </c>
      <c r="AA121" s="63" t="e">
        <f>VLOOKUP(A121,Enforcements!$C$3:$J$40,3,0)</f>
        <v>#N/A</v>
      </c>
    </row>
    <row r="122" spans="1:27" s="2" customFormat="1" x14ac:dyDescent="0.25">
      <c r="A122" s="13" t="s">
        <v>492</v>
      </c>
      <c r="B122" s="13">
        <v>4008</v>
      </c>
      <c r="C122" s="13" t="s">
        <v>52</v>
      </c>
      <c r="D122" s="13" t="s">
        <v>535</v>
      </c>
      <c r="E122" s="32">
        <v>42492.826805555553</v>
      </c>
      <c r="F122" s="32">
        <v>42492.827615740738</v>
      </c>
      <c r="G122" s="40">
        <v>1</v>
      </c>
      <c r="H122" s="32" t="s">
        <v>220</v>
      </c>
      <c r="I122" s="32">
        <v>42492.858402777776</v>
      </c>
      <c r="J122" s="13">
        <v>0</v>
      </c>
      <c r="K122" s="13" t="str">
        <f t="shared" si="30"/>
        <v>4007/4008</v>
      </c>
      <c r="L122" s="70" t="str">
        <f>VLOOKUP(A122,'Trips&amp;Operators'!$C$1:$E$9999,3,FALSE)</f>
        <v>YOUNG</v>
      </c>
      <c r="M122" s="14">
        <f t="shared" si="31"/>
        <v>3.0787037037953269E-2</v>
      </c>
      <c r="N122" s="15">
        <f t="shared" si="29"/>
        <v>44.333333334652707</v>
      </c>
      <c r="O122" s="15"/>
      <c r="P122" s="15"/>
      <c r="Q122" s="55"/>
      <c r="R122" s="55"/>
      <c r="T122" s="62" t="str">
        <f t="shared" si="32"/>
        <v>https://search-rtdc-monitor-bjffxe2xuh6vdkpspy63sjmuny.us-east-1.es.amazonaws.com/_plugin/kibana/#/discover/Steve-Slow-Train-Analysis-(2080s-and-2083s)?_g=(refreshInterval:(display:Off,section:0,value:0),time:(from:'2016-05-02 19:49:36-0600',mode:absolute,to:'2016-05-02 20:37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122" s="62" t="str">
        <f t="shared" si="33"/>
        <v>N</v>
      </c>
      <c r="V122" s="62">
        <f t="shared" si="28"/>
        <v>1</v>
      </c>
      <c r="W122" s="62">
        <f t="shared" si="34"/>
        <v>23.298999999999999</v>
      </c>
      <c r="X122" s="62">
        <f t="shared" si="35"/>
        <v>1.52E-2</v>
      </c>
      <c r="Y122" s="62">
        <f t="shared" si="36"/>
        <v>23.283799999999999</v>
      </c>
      <c r="Z122" s="63" t="e">
        <f>VLOOKUP(A122,Enforcements!$C$3:$J$40,8,0)</f>
        <v>#N/A</v>
      </c>
      <c r="AA122" s="63" t="e">
        <f>VLOOKUP(A122,Enforcements!$C$3:$J$40,3,0)</f>
        <v>#N/A</v>
      </c>
    </row>
    <row r="123" spans="1:27" s="2" customFormat="1" x14ac:dyDescent="0.25">
      <c r="A123" s="13" t="s">
        <v>429</v>
      </c>
      <c r="B123" s="13">
        <v>4014</v>
      </c>
      <c r="C123" s="13" t="s">
        <v>52</v>
      </c>
      <c r="D123" s="13" t="s">
        <v>133</v>
      </c>
      <c r="E123" s="32">
        <v>42492.80777777778</v>
      </c>
      <c r="F123" s="32">
        <v>42492.80877314815</v>
      </c>
      <c r="G123" s="40">
        <v>1</v>
      </c>
      <c r="H123" s="32" t="s">
        <v>206</v>
      </c>
      <c r="I123" s="32">
        <v>42492.837291666663</v>
      </c>
      <c r="J123" s="13">
        <v>1</v>
      </c>
      <c r="K123" s="13" t="str">
        <f t="shared" si="30"/>
        <v>4013/4014</v>
      </c>
      <c r="L123" s="70" t="str">
        <f>VLOOKUP(A123,'Trips&amp;Operators'!$C$1:$E$9999,3,FALSE)</f>
        <v>JACKSON</v>
      </c>
      <c r="M123" s="14">
        <f t="shared" si="31"/>
        <v>2.8518518513010349E-2</v>
      </c>
      <c r="N123" s="15">
        <f t="shared" si="29"/>
        <v>41.066666658734903</v>
      </c>
      <c r="O123" s="15"/>
      <c r="P123" s="15"/>
      <c r="Q123" s="55"/>
      <c r="R123" s="55"/>
      <c r="T123" s="62" t="str">
        <f t="shared" si="32"/>
        <v>https://search-rtdc-monitor-bjffxe2xuh6vdkpspy63sjmuny.us-east-1.es.amazonaws.com/_plugin/kibana/#/discover/Steve-Slow-Train-Analysis-(2080s-and-2083s)?_g=(refreshInterval:(display:Off,section:0,value:0),time:(from:'2016-05-02 19:22:12-0600',mode:absolute,to:'2016-05-02 20:06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U123" s="62" t="str">
        <f t="shared" si="33"/>
        <v>N</v>
      </c>
      <c r="V123" s="62">
        <f t="shared" si="28"/>
        <v>1</v>
      </c>
      <c r="W123" s="62">
        <f t="shared" si="34"/>
        <v>4.5999999999999999E-2</v>
      </c>
      <c r="X123" s="62">
        <f t="shared" si="35"/>
        <v>23.327400000000001</v>
      </c>
      <c r="Y123" s="62">
        <f t="shared" si="36"/>
        <v>23.281400000000001</v>
      </c>
      <c r="Z123" s="63" t="e">
        <f>VLOOKUP(A123,Enforcements!$C$3:$J$40,8,0)</f>
        <v>#N/A</v>
      </c>
      <c r="AA123" s="63" t="e">
        <f>VLOOKUP(A123,Enforcements!$C$3:$J$40,3,0)</f>
        <v>#N/A</v>
      </c>
    </row>
    <row r="124" spans="1:27" s="2" customFormat="1" x14ac:dyDescent="0.25">
      <c r="A124" s="13" t="s">
        <v>432</v>
      </c>
      <c r="B124" s="13">
        <v>4013</v>
      </c>
      <c r="C124" s="13"/>
      <c r="D124" s="13"/>
      <c r="E124" s="32">
        <v>42492.848020833335</v>
      </c>
      <c r="F124" s="32">
        <v>42492.851817129631</v>
      </c>
      <c r="G124" s="40"/>
      <c r="H124" s="32"/>
      <c r="I124" s="32">
        <v>42492.883981481478</v>
      </c>
      <c r="J124" s="13">
        <v>0</v>
      </c>
      <c r="K124" s="13" t="str">
        <f t="shared" si="30"/>
        <v>4013/4014</v>
      </c>
      <c r="L124" s="70" t="str">
        <f>VLOOKUP(A124,'Trips&amp;Operators'!$C$1:$E$9999,3,FALSE)</f>
        <v>JACKSON</v>
      </c>
      <c r="M124" s="14">
        <f t="shared" si="31"/>
        <v>3.216435184731381E-2</v>
      </c>
      <c r="N124" s="15">
        <f t="shared" si="29"/>
        <v>46.316666660131887</v>
      </c>
      <c r="O124" s="15"/>
      <c r="P124" s="15"/>
      <c r="Q124" s="55"/>
      <c r="R124" s="55"/>
      <c r="T124" s="62" t="str">
        <f t="shared" si="32"/>
        <v>https://search-rtdc-monitor-bjffxe2xuh6vdkpspy63sjmuny.us-east-1.es.amazonaws.com/_plugin/kibana/#/discover/Steve-Slow-Train-Analysis-(2080s-and-2083s)?_g=(refreshInterval:(display:Off,section:0,value:0),time:(from:'2016-05-02 20:20:09-0600',mode:absolute,to:'2016-05-02 21:13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U124" s="62" t="e">
        <f t="shared" ref="U124:U127" si="37">IF(Y124&lt;23,"Y","N")</f>
        <v>#VALUE!</v>
      </c>
      <c r="V124" s="62">
        <f t="shared" ref="V124" si="38">VALUE(LEFT(A124,3))-VALUE(LEFT(A123,3))</f>
        <v>1</v>
      </c>
      <c r="W124" s="62" t="e">
        <f t="shared" si="34"/>
        <v>#VALUE!</v>
      </c>
      <c r="X124" s="62" t="e">
        <f t="shared" si="35"/>
        <v>#VALUE!</v>
      </c>
      <c r="Y124" s="62" t="e">
        <f t="shared" si="36"/>
        <v>#VALUE!</v>
      </c>
      <c r="Z124" s="63">
        <f>VLOOKUP(A124,Enforcements!$C$3:$J$40,8,0)</f>
        <v>30562</v>
      </c>
      <c r="AA124" s="63" t="str">
        <f>VLOOKUP(A124,Enforcements!$C$3:$J$40,3,0)</f>
        <v>PERMANENT SPEED RESTRICTION</v>
      </c>
    </row>
    <row r="125" spans="1:27" s="2" customFormat="1" x14ac:dyDescent="0.25">
      <c r="A125" s="13" t="s">
        <v>430</v>
      </c>
      <c r="B125" s="13">
        <v>4020</v>
      </c>
      <c r="C125" s="13" t="s">
        <v>52</v>
      </c>
      <c r="D125" s="13" t="s">
        <v>66</v>
      </c>
      <c r="E125" s="32">
        <v>42492.829270833332</v>
      </c>
      <c r="F125" s="32">
        <v>42492.830451388887</v>
      </c>
      <c r="G125" s="40">
        <v>1</v>
      </c>
      <c r="H125" s="32" t="s">
        <v>576</v>
      </c>
      <c r="I125" s="32">
        <v>42492.8590625</v>
      </c>
      <c r="J125" s="13">
        <v>1</v>
      </c>
      <c r="K125" s="13" t="str">
        <f t="shared" si="30"/>
        <v>4019/4020</v>
      </c>
      <c r="L125" s="70" t="str">
        <f>VLOOKUP(A125,'Trips&amp;Operators'!$C$1:$E$9999,3,FALSE)</f>
        <v>STORY</v>
      </c>
      <c r="M125" s="14">
        <f t="shared" si="31"/>
        <v>2.8611111112695653E-2</v>
      </c>
      <c r="N125" s="15">
        <f t="shared" si="29"/>
        <v>41.20000000228174</v>
      </c>
      <c r="O125" s="15"/>
      <c r="P125" s="15"/>
      <c r="Q125" s="55"/>
      <c r="R125" s="55"/>
      <c r="T125" s="62" t="str">
        <f t="shared" si="32"/>
        <v>https://search-rtdc-monitor-bjffxe2xuh6vdkpspy63sjmuny.us-east-1.es.amazonaws.com/_plugin/kibana/#/discover/Steve-Slow-Train-Analysis-(2080s-and-2083s)?_g=(refreshInterval:(display:Off,section:0,value:0),time:(from:'2016-05-02 19:53:09-0600',mode:absolute,to:'2016-05-02 20:38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125" s="62" t="str">
        <f t="shared" si="37"/>
        <v>N</v>
      </c>
      <c r="V125" s="62">
        <f>VALUE(LEFT(A125,3))-VALUE(LEFT(A124,3))</f>
        <v>1</v>
      </c>
      <c r="W125" s="62">
        <f t="shared" si="34"/>
        <v>4.4600000000000001E-2</v>
      </c>
      <c r="X125" s="62">
        <f t="shared" si="35"/>
        <v>23.340699999999998</v>
      </c>
      <c r="Y125" s="62">
        <f t="shared" si="36"/>
        <v>23.296099999999999</v>
      </c>
      <c r="Z125" s="63" t="e">
        <f>VLOOKUP(A125,Enforcements!$C$3:$J$40,8,0)</f>
        <v>#N/A</v>
      </c>
      <c r="AA125" s="63" t="e">
        <f>VLOOKUP(A125,Enforcements!$C$3:$J$40,3,0)</f>
        <v>#N/A</v>
      </c>
    </row>
    <row r="126" spans="1:27" s="2" customFormat="1" x14ac:dyDescent="0.25">
      <c r="A126" s="13" t="s">
        <v>437</v>
      </c>
      <c r="B126" s="13">
        <v>4019</v>
      </c>
      <c r="C126" s="13" t="s">
        <v>52</v>
      </c>
      <c r="D126" s="13" t="s">
        <v>573</v>
      </c>
      <c r="E126" s="32">
        <v>42492.868738425925</v>
      </c>
      <c r="F126" s="32">
        <v>42492.872442129628</v>
      </c>
      <c r="G126" s="40">
        <v>1</v>
      </c>
      <c r="H126" s="32" t="s">
        <v>142</v>
      </c>
      <c r="I126" s="32">
        <v>42492.898275462961</v>
      </c>
      <c r="J126" s="13">
        <v>1</v>
      </c>
      <c r="K126" s="13" t="str">
        <f t="shared" si="30"/>
        <v>4019/4020</v>
      </c>
      <c r="L126" s="70" t="str">
        <f>VLOOKUP(A126,'Trips&amp;Operators'!$C$1:$E$9999,3,FALSE)</f>
        <v>STORY</v>
      </c>
      <c r="M126" s="14">
        <f t="shared" si="31"/>
        <v>2.5833333333139308E-2</v>
      </c>
      <c r="N126" s="15">
        <f t="shared" si="29"/>
        <v>37.199999999720603</v>
      </c>
      <c r="O126" s="15"/>
      <c r="P126" s="15"/>
      <c r="Q126" s="55" t="s">
        <v>302</v>
      </c>
      <c r="R126" s="71" t="s">
        <v>598</v>
      </c>
      <c r="T126" s="62" t="str">
        <f t="shared" si="32"/>
        <v>https://search-rtdc-monitor-bjffxe2xuh6vdkpspy63sjmuny.us-east-1.es.amazonaws.com/_plugin/kibana/#/discover/Steve-Slow-Train-Analysis-(2080s-and-2083s)?_g=(refreshInterval:(display:Off,section:0,value:0),time:(from:'2016-05-02 20:49:59-0600',mode:absolute,to:'2016-05-02 21:34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126" s="62" t="str">
        <f t="shared" si="37"/>
        <v>N</v>
      </c>
      <c r="V126" s="62">
        <f t="shared" si="28"/>
        <v>1</v>
      </c>
      <c r="W126" s="62">
        <f t="shared" si="34"/>
        <v>23.307099999999998</v>
      </c>
      <c r="X126" s="62">
        <f t="shared" si="35"/>
        <v>1.4500000000000001E-2</v>
      </c>
      <c r="Y126" s="62">
        <f t="shared" si="36"/>
        <v>23.292599999999997</v>
      </c>
      <c r="Z126" s="63">
        <f>VLOOKUP(A126,Enforcements!$C$3:$J$40,8,0)</f>
        <v>224578</v>
      </c>
      <c r="AA126" s="63" t="str">
        <f>VLOOKUP(A126,Enforcements!$C$3:$J$40,3,0)</f>
        <v>PERMANENT SPEED RESTRICTION</v>
      </c>
    </row>
    <row r="127" spans="1:27" s="2" customFormat="1" x14ac:dyDescent="0.25">
      <c r="A127" s="13" t="s">
        <v>431</v>
      </c>
      <c r="B127" s="13">
        <v>4016</v>
      </c>
      <c r="C127" s="13" t="s">
        <v>52</v>
      </c>
      <c r="D127" s="13" t="s">
        <v>151</v>
      </c>
      <c r="E127" s="32">
        <v>42492.84165509259</v>
      </c>
      <c r="F127" s="32">
        <v>42492.854247685187</v>
      </c>
      <c r="G127" s="40">
        <v>1</v>
      </c>
      <c r="H127" s="32" t="s">
        <v>575</v>
      </c>
      <c r="I127" s="32">
        <v>42492.881249999999</v>
      </c>
      <c r="J127" s="13">
        <v>2</v>
      </c>
      <c r="K127" s="13" t="str">
        <f t="shared" si="30"/>
        <v>4015/4016</v>
      </c>
      <c r="L127" s="70" t="str">
        <f>VLOOKUP(A127,'Trips&amp;Operators'!$C$1:$E$9999,3,FALSE)</f>
        <v>STRICKLAND</v>
      </c>
      <c r="M127" s="14">
        <f t="shared" si="31"/>
        <v>2.700231481139781E-2</v>
      </c>
      <c r="N127" s="15">
        <f t="shared" si="29"/>
        <v>38.883333328412846</v>
      </c>
      <c r="O127" s="15"/>
      <c r="P127" s="15"/>
      <c r="Q127" s="55"/>
      <c r="R127" s="55"/>
      <c r="T127" s="62" t="str">
        <f t="shared" si="32"/>
        <v>https://search-rtdc-monitor-bjffxe2xuh6vdkpspy63sjmuny.us-east-1.es.amazonaws.com/_plugin/kibana/#/discover/Steve-Slow-Train-Analysis-(2080s-and-2083s)?_g=(refreshInterval:(display:Off,section:0,value:0),time:(from:'2016-05-02 20:10:59-0600',mode:absolute,to:'2016-05-02 21:10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127" s="62" t="str">
        <f t="shared" si="37"/>
        <v>N</v>
      </c>
      <c r="V127" s="62">
        <f t="shared" si="28"/>
        <v>1</v>
      </c>
      <c r="W127" s="62">
        <f t="shared" si="34"/>
        <v>4.6600000000000003E-2</v>
      </c>
      <c r="X127" s="62">
        <f t="shared" si="35"/>
        <v>23.326799999999999</v>
      </c>
      <c r="Y127" s="62">
        <f t="shared" si="36"/>
        <v>23.280199999999997</v>
      </c>
      <c r="Z127" s="63">
        <f>VLOOKUP(A127,Enforcements!$C$3:$J$40,8,0)</f>
        <v>119716</v>
      </c>
      <c r="AA127" s="63" t="str">
        <f>VLOOKUP(A127,Enforcements!$C$3:$J$40,3,0)</f>
        <v>PERMANENT SPEED RESTRICTION</v>
      </c>
    </row>
    <row r="128" spans="1:27" s="2" customFormat="1" x14ac:dyDescent="0.25">
      <c r="A128" s="13" t="s">
        <v>433</v>
      </c>
      <c r="B128" s="13">
        <v>4015</v>
      </c>
      <c r="C128" s="13" t="s">
        <v>52</v>
      </c>
      <c r="D128" s="13" t="s">
        <v>181</v>
      </c>
      <c r="E128" s="32">
        <v>42492.887523148151</v>
      </c>
      <c r="F128" s="32">
        <v>42492.888680555552</v>
      </c>
      <c r="G128" s="40">
        <v>1</v>
      </c>
      <c r="H128" s="32" t="s">
        <v>185</v>
      </c>
      <c r="I128" s="32">
        <v>42492.923263888886</v>
      </c>
      <c r="J128" s="13">
        <v>1</v>
      </c>
      <c r="K128" s="13" t="str">
        <f t="shared" si="30"/>
        <v>4015/4016</v>
      </c>
      <c r="L128" s="70" t="str">
        <f>VLOOKUP(A128,'Trips&amp;Operators'!$C$1:$E$9999,3,FALSE)</f>
        <v>STRICKLAND</v>
      </c>
      <c r="M128" s="14">
        <f t="shared" si="31"/>
        <v>3.4583333334012423E-2</v>
      </c>
      <c r="N128" s="15">
        <f t="shared" si="29"/>
        <v>49.800000000977889</v>
      </c>
      <c r="O128" s="15"/>
      <c r="P128" s="15"/>
      <c r="Q128" s="55"/>
      <c r="R128" s="55"/>
      <c r="T128" s="62" t="str">
        <f t="shared" si="32"/>
        <v>https://search-rtdc-monitor-bjffxe2xuh6vdkpspy63sjmuny.us-east-1.es.amazonaws.com/_plugin/kibana/#/discover/Steve-Slow-Train-Analysis-(2080s-and-2083s)?_g=(refreshInterval:(display:Off,section:0,value:0),time:(from:'2016-05-02 21:17:02-0600',mode:absolute,to:'2016-05-02 22:10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128" s="62" t="str">
        <f t="shared" ref="U128:U144" si="39">IF(Y128&lt;23,"Y","N")</f>
        <v>N</v>
      </c>
      <c r="V128" s="62">
        <f t="shared" si="28"/>
        <v>1</v>
      </c>
      <c r="W128" s="62">
        <f t="shared" si="34"/>
        <v>23.296500000000002</v>
      </c>
      <c r="X128" s="62">
        <f t="shared" si="35"/>
        <v>1.38E-2</v>
      </c>
      <c r="Y128" s="62">
        <f t="shared" si="36"/>
        <v>23.282700000000002</v>
      </c>
      <c r="Z128" s="63">
        <f>VLOOKUP(A128,Enforcements!$C$3:$J$40,8,0)</f>
        <v>30562</v>
      </c>
      <c r="AA128" s="63" t="str">
        <f>VLOOKUP(A128,Enforcements!$C$3:$J$40,3,0)</f>
        <v>PERMANENT SPEED RESTRICTION</v>
      </c>
    </row>
    <row r="129" spans="1:27" s="2" customFormat="1" x14ac:dyDescent="0.25">
      <c r="A129" s="13" t="s">
        <v>464</v>
      </c>
      <c r="B129" s="13">
        <v>4007</v>
      </c>
      <c r="C129" s="13" t="s">
        <v>52</v>
      </c>
      <c r="D129" s="13" t="s">
        <v>574</v>
      </c>
      <c r="E129" s="32">
        <v>42492.868078703701</v>
      </c>
      <c r="F129" s="32">
        <v>42492.869270833333</v>
      </c>
      <c r="G129" s="40">
        <v>1</v>
      </c>
      <c r="H129" s="32" t="s">
        <v>250</v>
      </c>
      <c r="I129" s="32">
        <v>42492.902233796296</v>
      </c>
      <c r="J129" s="13">
        <v>0</v>
      </c>
      <c r="K129" s="13" t="str">
        <f t="shared" si="30"/>
        <v>4007/4008</v>
      </c>
      <c r="L129" s="70" t="str">
        <f>VLOOKUP(A129,'Trips&amp;Operators'!$C$1:$E$9999,3,FALSE)</f>
        <v>YOUNG</v>
      </c>
      <c r="M129" s="14">
        <f t="shared" si="31"/>
        <v>3.2962962963210884E-2</v>
      </c>
      <c r="N129" s="15">
        <f t="shared" si="29"/>
        <v>47.466666667023674</v>
      </c>
      <c r="O129" s="15"/>
      <c r="P129" s="15"/>
      <c r="Q129" s="55"/>
      <c r="R129" s="55"/>
      <c r="T129" s="62" t="str">
        <f t="shared" si="32"/>
        <v>https://search-rtdc-monitor-bjffxe2xuh6vdkpspy63sjmuny.us-east-1.es.amazonaws.com/_plugin/kibana/#/discover/Steve-Slow-Train-Analysis-(2080s-and-2083s)?_g=(refreshInterval:(display:Off,section:0,value:0),time:(from:'2016-05-02 20:49:02-0600',mode:absolute,to:'2016-05-02 21:40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129" s="62" t="str">
        <f t="shared" si="39"/>
        <v>N</v>
      </c>
      <c r="V129" s="62">
        <f t="shared" si="28"/>
        <v>1</v>
      </c>
      <c r="W129" s="62">
        <f t="shared" si="34"/>
        <v>4.9299999999999997E-2</v>
      </c>
      <c r="X129" s="62">
        <f t="shared" si="35"/>
        <v>23.3291</v>
      </c>
      <c r="Y129" s="62">
        <f t="shared" si="36"/>
        <v>23.279800000000002</v>
      </c>
      <c r="Z129" s="63" t="e">
        <f>VLOOKUP(A129,Enforcements!$C$3:$J$40,8,0)</f>
        <v>#N/A</v>
      </c>
      <c r="AA129" s="63" t="e">
        <f>VLOOKUP(A129,Enforcements!$C$3:$J$40,3,0)</f>
        <v>#N/A</v>
      </c>
    </row>
    <row r="130" spans="1:27" s="2" customFormat="1" x14ac:dyDescent="0.25">
      <c r="A130" s="13" t="s">
        <v>465</v>
      </c>
      <c r="B130" s="13">
        <v>4008</v>
      </c>
      <c r="C130" s="13" t="s">
        <v>52</v>
      </c>
      <c r="D130" s="13" t="s">
        <v>570</v>
      </c>
      <c r="E130" s="32">
        <v>42492.908333333333</v>
      </c>
      <c r="F130" s="32">
        <v>42492.909166666665</v>
      </c>
      <c r="G130" s="40">
        <v>1</v>
      </c>
      <c r="H130" s="32" t="s">
        <v>169</v>
      </c>
      <c r="I130" s="32">
        <v>42492.943831018521</v>
      </c>
      <c r="J130" s="13">
        <v>0</v>
      </c>
      <c r="K130" s="13" t="str">
        <f t="shared" si="30"/>
        <v>4007/4008</v>
      </c>
      <c r="L130" s="70" t="str">
        <f>VLOOKUP(A130,'Trips&amp;Operators'!$C$1:$E$9999,3,FALSE)</f>
        <v>YOUNG</v>
      </c>
      <c r="M130" s="14">
        <f t="shared" si="31"/>
        <v>3.4664351856918074E-2</v>
      </c>
      <c r="N130" s="15">
        <f t="shared" ref="N130:N144" si="40">$M130*24*60</f>
        <v>49.916666673962027</v>
      </c>
      <c r="O130" s="15"/>
      <c r="P130" s="15"/>
      <c r="Q130" s="55"/>
      <c r="R130" s="55"/>
      <c r="T130" s="62" t="str">
        <f t="shared" si="32"/>
        <v>https://search-rtdc-monitor-bjffxe2xuh6vdkpspy63sjmuny.us-east-1.es.amazonaws.com/_plugin/kibana/#/discover/Steve-Slow-Train-Analysis-(2080s-and-2083s)?_g=(refreshInterval:(display:Off,section:0,value:0),time:(from:'2016-05-02 21:47:00-0600',mode:absolute,to:'2016-05-02 22:40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130" s="62" t="str">
        <f t="shared" si="39"/>
        <v>N</v>
      </c>
      <c r="V130" s="62">
        <f t="shared" si="28"/>
        <v>1</v>
      </c>
      <c r="W130" s="62">
        <f t="shared" si="34"/>
        <v>23.2957</v>
      </c>
      <c r="X130" s="62">
        <f t="shared" si="35"/>
        <v>1.67E-2</v>
      </c>
      <c r="Y130" s="62">
        <f t="shared" si="36"/>
        <v>23.279</v>
      </c>
      <c r="Z130" s="63" t="e">
        <f>VLOOKUP(A130,Enforcements!$C$3:$J$40,8,0)</f>
        <v>#N/A</v>
      </c>
      <c r="AA130" s="63" t="e">
        <f>VLOOKUP(A130,Enforcements!$C$3:$J$40,3,0)</f>
        <v>#N/A</v>
      </c>
    </row>
    <row r="131" spans="1:27" s="2" customFormat="1" x14ac:dyDescent="0.25">
      <c r="A131" s="13" t="s">
        <v>435</v>
      </c>
      <c r="B131" s="13">
        <v>4042</v>
      </c>
      <c r="C131" s="13" t="s">
        <v>52</v>
      </c>
      <c r="D131" s="13" t="s">
        <v>148</v>
      </c>
      <c r="E131" s="32">
        <v>42492.893101851849</v>
      </c>
      <c r="F131" s="32">
        <v>42492.894976851851</v>
      </c>
      <c r="G131" s="40">
        <v>2</v>
      </c>
      <c r="H131" s="32" t="s">
        <v>572</v>
      </c>
      <c r="I131" s="32">
        <v>42492.922418981485</v>
      </c>
      <c r="J131" s="13">
        <v>1</v>
      </c>
      <c r="K131" s="13" t="str">
        <f t="shared" ref="K131:K144" si="41">IF(ISEVEN(B131),(B131-1)&amp;"/"&amp;B131,B131&amp;"/"&amp;(B131+1))</f>
        <v>4041/4042</v>
      </c>
      <c r="L131" s="70" t="str">
        <f>VLOOKUP(A131,'Trips&amp;Operators'!$C$1:$E$9999,3,FALSE)</f>
        <v>JACKSON</v>
      </c>
      <c r="M131" s="14">
        <f t="shared" ref="M131:M144" si="42">I131-F131</f>
        <v>2.7442129634437151E-2</v>
      </c>
      <c r="N131" s="15">
        <f t="shared" si="40"/>
        <v>39.516666673589498</v>
      </c>
      <c r="O131" s="15"/>
      <c r="P131" s="15"/>
      <c r="Q131" s="55"/>
      <c r="R131" s="55"/>
      <c r="T131" s="62" t="str">
        <f t="shared" ref="T131:T144" si="43">"https://search-rtdc-monitor-bjffxe2xuh6vdkpspy63sjmuny.us-east-1.es.amazonaws.com/_plugin/kibana/#/discover/Steve-Slow-Train-Analysis-(2080s-and-2083s)?_g=(refreshInterval:(display:Off,section:0,value:0),time:(from:'"&amp;TEXT(E131-1/24/60,"yyyy-MM-DD hh:mm:ss")&amp;"-0600',mode:absolute,to:'"&amp;TEXT(I131+1/24/60,"yyyy-MM-DD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131&amp;"%22')),sort:!(Time,asc))"</f>
        <v>https://search-rtdc-monitor-bjffxe2xuh6vdkpspy63sjmuny.us-east-1.es.amazonaws.com/_plugin/kibana/#/discover/Steve-Slow-Train-Analysis-(2080s-and-2083s)?_g=(refreshInterval:(display:Off,section:0,value:0),time:(from:'2016-05-02 21:25:04-0600',mode:absolute,to:'2016-05-02 22:09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U131" s="62" t="str">
        <f t="shared" si="39"/>
        <v>N</v>
      </c>
      <c r="V131" s="62">
        <f t="shared" si="28"/>
        <v>1</v>
      </c>
      <c r="W131" s="62">
        <f t="shared" ref="W131:W144" si="44">RIGHT(D131,LEN(D131)-4)/10000</f>
        <v>4.3999999999999997E-2</v>
      </c>
      <c r="X131" s="62">
        <f t="shared" ref="X131:X144" si="45">RIGHT(H131,LEN(H131)-4)/10000</f>
        <v>23.325900000000001</v>
      </c>
      <c r="Y131" s="62">
        <f t="shared" ref="Y131:Y144" si="46">ABS(X131-W131)</f>
        <v>23.2819</v>
      </c>
      <c r="Z131" s="63" t="e">
        <f>VLOOKUP(A131,Enforcements!$C$3:$J$40,8,0)</f>
        <v>#N/A</v>
      </c>
      <c r="AA131" s="63" t="e">
        <f>VLOOKUP(A131,Enforcements!$C$3:$J$40,3,0)</f>
        <v>#N/A</v>
      </c>
    </row>
    <row r="132" spans="1:27" s="2" customFormat="1" x14ac:dyDescent="0.25">
      <c r="A132" s="13" t="s">
        <v>436</v>
      </c>
      <c r="B132" s="13">
        <v>4041</v>
      </c>
      <c r="C132" s="13" t="s">
        <v>52</v>
      </c>
      <c r="D132" s="13" t="s">
        <v>569</v>
      </c>
      <c r="E132" s="32">
        <v>42492.927037037036</v>
      </c>
      <c r="F132" s="32">
        <v>42492.93509259259</v>
      </c>
      <c r="G132" s="40">
        <v>1</v>
      </c>
      <c r="H132" s="32" t="s">
        <v>146</v>
      </c>
      <c r="I132" s="32">
        <v>42492.963692129626</v>
      </c>
      <c r="J132" s="13">
        <v>1</v>
      </c>
      <c r="K132" s="13" t="str">
        <f t="shared" si="41"/>
        <v>4041/4042</v>
      </c>
      <c r="L132" s="70" t="str">
        <f>VLOOKUP(A132,'Trips&amp;Operators'!$C$1:$E$9999,3,FALSE)</f>
        <v>JACKSON</v>
      </c>
      <c r="M132" s="14">
        <f t="shared" si="42"/>
        <v>2.8599537035916001E-2</v>
      </c>
      <c r="N132" s="15">
        <f t="shared" si="40"/>
        <v>41.183333331719041</v>
      </c>
      <c r="O132" s="15"/>
      <c r="P132" s="15"/>
      <c r="Q132" s="55"/>
      <c r="R132" s="55"/>
      <c r="T132" s="62" t="str">
        <f t="shared" si="43"/>
        <v>https://search-rtdc-monitor-bjffxe2xuh6vdkpspy63sjmuny.us-east-1.es.amazonaws.com/_plugin/kibana/#/discover/Steve-Slow-Train-Analysis-(2080s-and-2083s)?_g=(refreshInterval:(display:Off,section:0,value:0),time:(from:'2016-05-02 22:13:56-0600',mode:absolute,to:'2016-05-02 23:08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U132" s="62" t="str">
        <f t="shared" si="39"/>
        <v>N</v>
      </c>
      <c r="V132" s="62">
        <f t="shared" si="28"/>
        <v>1</v>
      </c>
      <c r="W132" s="62">
        <f t="shared" si="44"/>
        <v>23.2944</v>
      </c>
      <c r="X132" s="62">
        <f t="shared" si="45"/>
        <v>1.49E-2</v>
      </c>
      <c r="Y132" s="62">
        <f t="shared" si="46"/>
        <v>23.279499999999999</v>
      </c>
      <c r="Z132" s="63">
        <f>VLOOKUP(A132,Enforcements!$C$3:$J$40,8,0)</f>
        <v>229055</v>
      </c>
      <c r="AA132" s="63" t="str">
        <f>VLOOKUP(A132,Enforcements!$C$3:$J$40,3,0)</f>
        <v>PERMANENT SPEED RESTRICTION</v>
      </c>
    </row>
    <row r="133" spans="1:27" s="2" customFormat="1" x14ac:dyDescent="0.25">
      <c r="A133" s="13" t="s">
        <v>494</v>
      </c>
      <c r="B133" s="13">
        <v>4020</v>
      </c>
      <c r="C133" s="13" t="s">
        <v>52</v>
      </c>
      <c r="D133" s="13" t="s">
        <v>133</v>
      </c>
      <c r="E133" s="32">
        <v>42492.906504629631</v>
      </c>
      <c r="F133" s="32">
        <v>42492.910856481481</v>
      </c>
      <c r="G133" s="40">
        <v>6</v>
      </c>
      <c r="H133" s="32" t="s">
        <v>571</v>
      </c>
      <c r="I133" s="32">
        <v>42492.944178240738</v>
      </c>
      <c r="J133" s="13">
        <v>0</v>
      </c>
      <c r="K133" s="13" t="str">
        <f t="shared" si="41"/>
        <v>4019/4020</v>
      </c>
      <c r="L133" s="70" t="str">
        <f>VLOOKUP(A133,'Trips&amp;Operators'!$C$1:$E$9999,3,FALSE)</f>
        <v>STORY</v>
      </c>
      <c r="M133" s="14">
        <f t="shared" si="42"/>
        <v>3.3321759256068617E-2</v>
      </c>
      <c r="N133" s="15">
        <f t="shared" si="40"/>
        <v>47.983333328738809</v>
      </c>
      <c r="O133" s="15"/>
      <c r="P133" s="15"/>
      <c r="Q133" s="55"/>
      <c r="R133" s="55"/>
      <c r="T133" s="62" t="str">
        <f t="shared" si="43"/>
        <v>https://search-rtdc-monitor-bjffxe2xuh6vdkpspy63sjmuny.us-east-1.es.amazonaws.com/_plugin/kibana/#/discover/Steve-Slow-Train-Analysis-(2080s-and-2083s)?_g=(refreshInterval:(display:Off,section:0,value:0),time:(from:'2016-05-02 21:44:22-0600',mode:absolute,to:'2016-05-02 22:40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133" s="62" t="str">
        <f t="shared" si="39"/>
        <v>N</v>
      </c>
      <c r="V133" s="62">
        <f t="shared" ref="V133:V144" si="47">VALUE(LEFT(A133,3))-VALUE(LEFT(A132,3))</f>
        <v>1</v>
      </c>
      <c r="W133" s="62">
        <f t="shared" si="44"/>
        <v>4.5999999999999999E-2</v>
      </c>
      <c r="X133" s="62">
        <f t="shared" si="45"/>
        <v>23.339099999999998</v>
      </c>
      <c r="Y133" s="62">
        <f t="shared" si="46"/>
        <v>23.293099999999999</v>
      </c>
      <c r="Z133" s="63" t="e">
        <f>VLOOKUP(A133,Enforcements!$C$3:$J$40,8,0)</f>
        <v>#N/A</v>
      </c>
      <c r="AA133" s="63" t="e">
        <f>VLOOKUP(A133,Enforcements!$C$3:$J$40,3,0)</f>
        <v>#N/A</v>
      </c>
    </row>
    <row r="134" spans="1:27" s="2" customFormat="1" x14ac:dyDescent="0.25">
      <c r="A134" s="13" t="s">
        <v>455</v>
      </c>
      <c r="B134" s="13">
        <v>4019</v>
      </c>
      <c r="C134" s="13" t="s">
        <v>52</v>
      </c>
      <c r="D134" s="13" t="s">
        <v>291</v>
      </c>
      <c r="E134" s="32">
        <v>42492.946053240739</v>
      </c>
      <c r="F134" s="32">
        <v>42492.955891203703</v>
      </c>
      <c r="G134" s="40">
        <v>1</v>
      </c>
      <c r="H134" s="32" t="s">
        <v>142</v>
      </c>
      <c r="I134" s="32">
        <v>42492.983252314814</v>
      </c>
      <c r="J134" s="13">
        <v>0</v>
      </c>
      <c r="K134" s="13" t="str">
        <f t="shared" si="41"/>
        <v>4019/4020</v>
      </c>
      <c r="L134" s="70" t="str">
        <f>VLOOKUP(A134,'Trips&amp;Operators'!$C$1:$E$9999,3,FALSE)</f>
        <v>STORY</v>
      </c>
      <c r="M134" s="14">
        <f t="shared" si="42"/>
        <v>2.73611111115315E-2</v>
      </c>
      <c r="N134" s="15">
        <f t="shared" si="40"/>
        <v>39.40000000060536</v>
      </c>
      <c r="O134" s="15"/>
      <c r="P134" s="15"/>
      <c r="Q134" s="55"/>
      <c r="R134" s="55"/>
      <c r="T134" s="62" t="str">
        <f t="shared" si="43"/>
        <v>https://search-rtdc-monitor-bjffxe2xuh6vdkpspy63sjmuny.us-east-1.es.amazonaws.com/_plugin/kibana/#/discover/Steve-Slow-Train-Analysis-(2080s-and-2083s)?_g=(refreshInterval:(display:Off,section:0,value:0),time:(from:'2016-05-02 22:41:19-0600',mode:absolute,to:'2016-05-02 23:36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134" s="62" t="str">
        <f t="shared" si="39"/>
        <v>N</v>
      </c>
      <c r="V134" s="62">
        <f t="shared" si="47"/>
        <v>1</v>
      </c>
      <c r="W134" s="62">
        <f t="shared" si="44"/>
        <v>23.31</v>
      </c>
      <c r="X134" s="62">
        <f t="shared" si="45"/>
        <v>1.4500000000000001E-2</v>
      </c>
      <c r="Y134" s="62">
        <f t="shared" si="46"/>
        <v>23.295499999999997</v>
      </c>
      <c r="Z134" s="63" t="e">
        <f>VLOOKUP(A134,Enforcements!$C$3:$J$40,8,0)</f>
        <v>#N/A</v>
      </c>
      <c r="AA134" s="63" t="e">
        <f>VLOOKUP(A134,Enforcements!$C$3:$J$40,3,0)</f>
        <v>#N/A</v>
      </c>
    </row>
    <row r="135" spans="1:27" s="2" customFormat="1" x14ac:dyDescent="0.25">
      <c r="A135" s="13" t="s">
        <v>459</v>
      </c>
      <c r="B135" s="13">
        <v>4016</v>
      </c>
      <c r="C135" s="13" t="s">
        <v>52</v>
      </c>
      <c r="D135" s="13" t="s">
        <v>66</v>
      </c>
      <c r="E135" s="32">
        <v>42492.925358796296</v>
      </c>
      <c r="F135" s="32">
        <v>42492.937604166669</v>
      </c>
      <c r="G135" s="40">
        <v>1</v>
      </c>
      <c r="H135" s="32" t="s">
        <v>278</v>
      </c>
      <c r="I135" s="32">
        <v>42492.962696759256</v>
      </c>
      <c r="J135" s="13">
        <v>0</v>
      </c>
      <c r="K135" s="13" t="str">
        <f t="shared" si="41"/>
        <v>4015/4016</v>
      </c>
      <c r="L135" s="70" t="str">
        <f>VLOOKUP(A135,'Trips&amp;Operators'!$C$1:$E$9999,3,FALSE)</f>
        <v>STRICKLAND</v>
      </c>
      <c r="M135" s="14">
        <f t="shared" si="42"/>
        <v>2.509259258658858E-2</v>
      </c>
      <c r="N135" s="15">
        <f t="shared" si="40"/>
        <v>36.133333324687555</v>
      </c>
      <c r="O135" s="15"/>
      <c r="P135" s="15"/>
      <c r="Q135" s="55"/>
      <c r="R135" s="55"/>
      <c r="T135" s="62" t="str">
        <f t="shared" si="43"/>
        <v>https://search-rtdc-monitor-bjffxe2xuh6vdkpspy63sjmuny.us-east-1.es.amazonaws.com/_plugin/kibana/#/discover/Steve-Slow-Train-Analysis-(2080s-and-2083s)?_g=(refreshInterval:(display:Off,section:0,value:0),time:(from:'2016-05-02 22:11:31-0600',mode:absolute,to:'2016-05-02 23:07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135" s="62" t="str">
        <f t="shared" si="39"/>
        <v>N</v>
      </c>
      <c r="V135" s="62">
        <f t="shared" si="47"/>
        <v>1</v>
      </c>
      <c r="W135" s="62">
        <f t="shared" si="44"/>
        <v>4.4600000000000001E-2</v>
      </c>
      <c r="X135" s="62">
        <f t="shared" si="45"/>
        <v>23.3308</v>
      </c>
      <c r="Y135" s="62">
        <f t="shared" si="46"/>
        <v>23.286200000000001</v>
      </c>
      <c r="Z135" s="63" t="e">
        <f>VLOOKUP(A135,Enforcements!$C$3:$J$40,8,0)</f>
        <v>#N/A</v>
      </c>
      <c r="AA135" s="63" t="e">
        <f>VLOOKUP(A135,Enforcements!$C$3:$J$40,3,0)</f>
        <v>#N/A</v>
      </c>
    </row>
    <row r="136" spans="1:27" s="2" customFormat="1" x14ac:dyDescent="0.25">
      <c r="A136" s="13" t="s">
        <v>452</v>
      </c>
      <c r="B136" s="13">
        <v>4015</v>
      </c>
      <c r="C136" s="13" t="s">
        <v>52</v>
      </c>
      <c r="D136" s="13" t="s">
        <v>158</v>
      </c>
      <c r="E136" s="32">
        <v>42492.970497685186</v>
      </c>
      <c r="F136" s="32">
        <v>42492.971203703702</v>
      </c>
      <c r="G136" s="40">
        <v>1</v>
      </c>
      <c r="H136" s="32" t="s">
        <v>220</v>
      </c>
      <c r="I136" s="32">
        <v>42493.003657407404</v>
      </c>
      <c r="J136" s="13">
        <v>0</v>
      </c>
      <c r="K136" s="13" t="str">
        <f t="shared" si="41"/>
        <v>4015/4016</v>
      </c>
      <c r="L136" s="70" t="str">
        <f>VLOOKUP(A136,'Trips&amp;Operators'!$C$1:$E$9999,3,FALSE)</f>
        <v>STRICKLAND</v>
      </c>
      <c r="M136" s="14">
        <f t="shared" si="42"/>
        <v>3.2453703701321501E-2</v>
      </c>
      <c r="N136" s="15">
        <f t="shared" si="40"/>
        <v>46.733333329902962</v>
      </c>
      <c r="O136" s="15"/>
      <c r="P136" s="15"/>
      <c r="Q136" s="55"/>
      <c r="R136" s="55"/>
      <c r="T136" s="62" t="str">
        <f t="shared" si="43"/>
        <v>https://search-rtdc-monitor-bjffxe2xuh6vdkpspy63sjmuny.us-east-1.es.amazonaws.com/_plugin/kibana/#/discover/Steve-Slow-Train-Analysis-(2080s-and-2083s)?_g=(refreshInterval:(display:Off,section:0,value:0),time:(from:'2016-05-02 23:16:31-0600',mode:absolute,to:'2016-05-03 00:06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136" s="62" t="str">
        <f t="shared" si="39"/>
        <v>N</v>
      </c>
      <c r="V136" s="62">
        <f t="shared" si="47"/>
        <v>1</v>
      </c>
      <c r="W136" s="62">
        <f t="shared" si="44"/>
        <v>23.299600000000002</v>
      </c>
      <c r="X136" s="62">
        <f t="shared" si="45"/>
        <v>1.52E-2</v>
      </c>
      <c r="Y136" s="62">
        <f t="shared" si="46"/>
        <v>23.284400000000002</v>
      </c>
      <c r="Z136" s="63" t="e">
        <f>VLOOKUP(A136,Enforcements!$C$3:$J$40,8,0)</f>
        <v>#N/A</v>
      </c>
      <c r="AA136" s="63" t="e">
        <f>VLOOKUP(A136,Enforcements!$C$3:$J$40,3,0)</f>
        <v>#N/A</v>
      </c>
    </row>
    <row r="137" spans="1:27" s="2" customFormat="1" x14ac:dyDescent="0.25">
      <c r="A137" s="13" t="s">
        <v>466</v>
      </c>
      <c r="B137" s="13">
        <v>4007</v>
      </c>
      <c r="C137" s="13" t="s">
        <v>52</v>
      </c>
      <c r="D137" s="13" t="s">
        <v>160</v>
      </c>
      <c r="E137" s="32">
        <v>42492.950590277775</v>
      </c>
      <c r="F137" s="32">
        <v>42492.951585648145</v>
      </c>
      <c r="G137" s="40">
        <v>1</v>
      </c>
      <c r="H137" s="32" t="s">
        <v>152</v>
      </c>
      <c r="I137" s="32">
        <v>42492.984942129631</v>
      </c>
      <c r="J137" s="13">
        <v>0</v>
      </c>
      <c r="K137" s="13" t="str">
        <f t="shared" si="41"/>
        <v>4007/4008</v>
      </c>
      <c r="L137" s="70" t="str">
        <f>VLOOKUP(A137,'Trips&amp;Operators'!$C$1:$E$9999,3,FALSE)</f>
        <v>YOUNG</v>
      </c>
      <c r="M137" s="14">
        <f t="shared" si="42"/>
        <v>3.3356481486407574E-2</v>
      </c>
      <c r="N137" s="15">
        <f t="shared" si="40"/>
        <v>48.033333340426907</v>
      </c>
      <c r="O137" s="15"/>
      <c r="P137" s="15"/>
      <c r="Q137" s="55"/>
      <c r="R137" s="55"/>
      <c r="T137" s="62" t="str">
        <f t="shared" si="43"/>
        <v>https://search-rtdc-monitor-bjffxe2xuh6vdkpspy63sjmuny.us-east-1.es.amazonaws.com/_plugin/kibana/#/discover/Steve-Slow-Train-Analysis-(2080s-and-2083s)?_g=(refreshInterval:(display:Off,section:0,value:0),time:(from:'2016-05-02 22:47:51-0600',mode:absolute,to:'2016-05-02 23:39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137" s="62" t="str">
        <f t="shared" si="39"/>
        <v>N</v>
      </c>
      <c r="V137" s="62">
        <f t="shared" si="47"/>
        <v>1</v>
      </c>
      <c r="W137" s="62">
        <f t="shared" si="44"/>
        <v>4.6699999999999998E-2</v>
      </c>
      <c r="X137" s="62">
        <f t="shared" si="45"/>
        <v>23.330400000000001</v>
      </c>
      <c r="Y137" s="62">
        <f t="shared" si="46"/>
        <v>23.2837</v>
      </c>
      <c r="Z137" s="63" t="e">
        <f>VLOOKUP(A137,Enforcements!$C$3:$J$40,8,0)</f>
        <v>#N/A</v>
      </c>
      <c r="AA137" s="63" t="e">
        <f>VLOOKUP(A137,Enforcements!$C$3:$J$40,3,0)</f>
        <v>#N/A</v>
      </c>
    </row>
    <row r="138" spans="1:27" s="2" customFormat="1" x14ac:dyDescent="0.25">
      <c r="A138" s="13" t="s">
        <v>516</v>
      </c>
      <c r="B138" s="13">
        <v>4008</v>
      </c>
      <c r="C138" s="13" t="s">
        <v>52</v>
      </c>
      <c r="D138" s="13" t="s">
        <v>141</v>
      </c>
      <c r="E138" s="32">
        <v>42492.987511574072</v>
      </c>
      <c r="F138" s="32">
        <v>42492.997789351852</v>
      </c>
      <c r="G138" s="40">
        <v>1</v>
      </c>
      <c r="H138" s="32" t="s">
        <v>251</v>
      </c>
      <c r="I138" s="32">
        <v>42493.026018518518</v>
      </c>
      <c r="J138" s="13">
        <v>0</v>
      </c>
      <c r="K138" s="13" t="str">
        <f t="shared" si="41"/>
        <v>4007/4008</v>
      </c>
      <c r="L138" s="70" t="str">
        <f>VLOOKUP(A138,'Trips&amp;Operators'!$C$1:$E$9999,3,FALSE)</f>
        <v>YOUNG</v>
      </c>
      <c r="M138" s="14">
        <f t="shared" si="42"/>
        <v>2.8229166666278616E-2</v>
      </c>
      <c r="N138" s="15">
        <f t="shared" si="40"/>
        <v>40.649999999441206</v>
      </c>
      <c r="O138" s="15"/>
      <c r="P138" s="15"/>
      <c r="Q138" s="55"/>
      <c r="R138" s="55"/>
      <c r="T138" s="62" t="str">
        <f t="shared" si="43"/>
        <v>https://search-rtdc-monitor-bjffxe2xuh6vdkpspy63sjmuny.us-east-1.es.amazonaws.com/_plugin/kibana/#/discover/Steve-Slow-Train-Analysis-(2080s-and-2083s)?_g=(refreshInterval:(display:Off,section:0,value:0),time:(from:'2016-05-02 23:41:01-0600',mode:absolute,to:'2016-05-03 00:38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138" s="62" t="str">
        <f t="shared" si="39"/>
        <v>N</v>
      </c>
      <c r="V138" s="62">
        <f t="shared" si="47"/>
        <v>1</v>
      </c>
      <c r="W138" s="62">
        <f t="shared" si="44"/>
        <v>23.299099999999999</v>
      </c>
      <c r="X138" s="62">
        <f t="shared" si="45"/>
        <v>1.6E-2</v>
      </c>
      <c r="Y138" s="62">
        <f t="shared" si="46"/>
        <v>23.283100000000001</v>
      </c>
      <c r="Z138" s="63" t="e">
        <f>VLOOKUP(A138,Enforcements!$C$3:$J$40,8,0)</f>
        <v>#N/A</v>
      </c>
      <c r="AA138" s="63" t="e">
        <f>VLOOKUP(A138,Enforcements!$C$3:$J$40,3,0)</f>
        <v>#N/A</v>
      </c>
    </row>
    <row r="139" spans="1:27" s="2" customFormat="1" x14ac:dyDescent="0.25">
      <c r="A139" s="13" t="s">
        <v>438</v>
      </c>
      <c r="B139" s="13">
        <v>4042</v>
      </c>
      <c r="C139" s="13" t="s">
        <v>52</v>
      </c>
      <c r="D139" s="13" t="s">
        <v>140</v>
      </c>
      <c r="E139" s="32">
        <v>42492.979467592595</v>
      </c>
      <c r="F139" s="32">
        <v>42492.980405092596</v>
      </c>
      <c r="G139" s="40">
        <v>1</v>
      </c>
      <c r="H139" s="32" t="s">
        <v>568</v>
      </c>
      <c r="I139" s="32">
        <v>42493.00640046296</v>
      </c>
      <c r="J139" s="13">
        <v>2</v>
      </c>
      <c r="K139" s="13" t="str">
        <f t="shared" si="41"/>
        <v>4041/4042</v>
      </c>
      <c r="L139" s="70" t="str">
        <f>VLOOKUP(A139,'Trips&amp;Operators'!$C$1:$E$9999,3,FALSE)</f>
        <v>JACKSON</v>
      </c>
      <c r="M139" s="14">
        <f t="shared" si="42"/>
        <v>2.5995370364398696E-2</v>
      </c>
      <c r="N139" s="15">
        <f t="shared" si="40"/>
        <v>37.433333324734122</v>
      </c>
      <c r="O139" s="15"/>
      <c r="P139" s="15"/>
      <c r="Q139" s="55"/>
      <c r="R139" s="55"/>
      <c r="T139" s="62" t="str">
        <f t="shared" si="43"/>
        <v>https://search-rtdc-monitor-bjffxe2xuh6vdkpspy63sjmuny.us-east-1.es.amazonaws.com/_plugin/kibana/#/discover/Steve-Slow-Train-Analysis-(2080s-and-2083s)?_g=(refreshInterval:(display:Off,section:0,value:0),time:(from:'2016-05-02 23:29:26-0600',mode:absolute,to:'2016-05-03 00:10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U139" s="62" t="str">
        <f t="shared" si="39"/>
        <v>N</v>
      </c>
      <c r="V139" s="62">
        <f t="shared" si="47"/>
        <v>1</v>
      </c>
      <c r="W139" s="62">
        <f t="shared" si="44"/>
        <v>4.6399999999999997E-2</v>
      </c>
      <c r="X139" s="62">
        <f t="shared" si="45"/>
        <v>23.328700000000001</v>
      </c>
      <c r="Y139" s="62">
        <f t="shared" si="46"/>
        <v>23.282300000000003</v>
      </c>
      <c r="Z139" s="63">
        <f>VLOOKUP(A139,Enforcements!$C$3:$J$40,8,0)</f>
        <v>20338</v>
      </c>
      <c r="AA139" s="63" t="str">
        <f>VLOOKUP(A139,Enforcements!$C$3:$J$40,3,0)</f>
        <v>PERMANENT SPEED RESTRICTION</v>
      </c>
    </row>
    <row r="140" spans="1:27" s="2" customFormat="1" x14ac:dyDescent="0.25">
      <c r="A140" s="13" t="s">
        <v>451</v>
      </c>
      <c r="B140" s="13">
        <v>4041</v>
      </c>
      <c r="C140" s="13" t="s">
        <v>52</v>
      </c>
      <c r="D140" s="13" t="s">
        <v>565</v>
      </c>
      <c r="E140" s="32">
        <v>42493.011145833334</v>
      </c>
      <c r="F140" s="32">
        <v>42493.012465277781</v>
      </c>
      <c r="G140" s="40">
        <v>1</v>
      </c>
      <c r="H140" s="32" t="s">
        <v>203</v>
      </c>
      <c r="I140" s="32">
        <v>42493.044895833336</v>
      </c>
      <c r="J140" s="13">
        <v>0</v>
      </c>
      <c r="K140" s="13" t="str">
        <f t="shared" si="41"/>
        <v>4041/4042</v>
      </c>
      <c r="L140" s="70" t="str">
        <f>VLOOKUP(A140,'Trips&amp;Operators'!$C$1:$E$9999,3,FALSE)</f>
        <v>JACKSON</v>
      </c>
      <c r="M140" s="14">
        <f t="shared" si="42"/>
        <v>3.2430555555038154E-2</v>
      </c>
      <c r="N140" s="15">
        <f t="shared" si="40"/>
        <v>46.699999999254942</v>
      </c>
      <c r="O140" s="15"/>
      <c r="P140" s="15"/>
      <c r="Q140" s="55"/>
      <c r="R140" s="55"/>
      <c r="T140" s="62" t="str">
        <f t="shared" si="43"/>
        <v>https://search-rtdc-monitor-bjffxe2xuh6vdkpspy63sjmuny.us-east-1.es.amazonaws.com/_plugin/kibana/#/discover/Steve-Slow-Train-Analysis-(2080s-and-2083s)?_g=(refreshInterval:(display:Off,section:0,value:0),time:(from:'2016-05-03 00:15:03-0600',mode:absolute,to:'2016-05-03 01:05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U140" s="62" t="str">
        <f t="shared" si="39"/>
        <v>N</v>
      </c>
      <c r="V140" s="62">
        <f t="shared" si="47"/>
        <v>1</v>
      </c>
      <c r="W140" s="62">
        <f t="shared" si="44"/>
        <v>23.297000000000001</v>
      </c>
      <c r="X140" s="62">
        <f t="shared" si="45"/>
        <v>1.4999999999999999E-2</v>
      </c>
      <c r="Y140" s="62">
        <f t="shared" si="46"/>
        <v>23.282</v>
      </c>
      <c r="Z140" s="63" t="e">
        <f>VLOOKUP(A140,Enforcements!$C$3:$J$40,8,0)</f>
        <v>#N/A</v>
      </c>
      <c r="AA140" s="63" t="e">
        <f>VLOOKUP(A140,Enforcements!$C$3:$J$40,3,0)</f>
        <v>#N/A</v>
      </c>
    </row>
    <row r="141" spans="1:27" s="2" customFormat="1" x14ac:dyDescent="0.25">
      <c r="A141" s="13" t="s">
        <v>467</v>
      </c>
      <c r="B141" s="13">
        <v>4020</v>
      </c>
      <c r="C141" s="13" t="s">
        <v>52</v>
      </c>
      <c r="D141" s="13" t="s">
        <v>296</v>
      </c>
      <c r="E141" s="32">
        <v>42492.988206018519</v>
      </c>
      <c r="F141" s="32">
        <v>42492.991296296299</v>
      </c>
      <c r="G141" s="40">
        <v>4</v>
      </c>
      <c r="H141" s="32" t="s">
        <v>567</v>
      </c>
      <c r="I141" s="32">
        <v>42493.025000000001</v>
      </c>
      <c r="J141" s="13">
        <v>0</v>
      </c>
      <c r="K141" s="13" t="str">
        <f t="shared" si="41"/>
        <v>4019/4020</v>
      </c>
      <c r="L141" s="70" t="str">
        <f>VLOOKUP(A141,'Trips&amp;Operators'!$C$1:$E$9999,3,FALSE)</f>
        <v>STORY</v>
      </c>
      <c r="M141" s="14">
        <f t="shared" si="42"/>
        <v>3.3703703702485655E-2</v>
      </c>
      <c r="N141" s="15">
        <f t="shared" si="40"/>
        <v>48.533333331579342</v>
      </c>
      <c r="O141" s="15"/>
      <c r="P141" s="15"/>
      <c r="Q141" s="55"/>
      <c r="R141" s="55"/>
      <c r="T141" s="62" t="str">
        <f t="shared" si="43"/>
        <v>https://search-rtdc-monitor-bjffxe2xuh6vdkpspy63sjmuny.us-east-1.es.amazonaws.com/_plugin/kibana/#/discover/Steve-Slow-Train-Analysis-(2080s-and-2083s)?_g=(refreshInterval:(display:Off,section:0,value:0),time:(from:'2016-05-02 23:42:01-0600',mode:absolute,to:'2016-05-03 00:37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141" s="62" t="str">
        <f t="shared" si="39"/>
        <v>N</v>
      </c>
      <c r="V141" s="62">
        <f t="shared" si="47"/>
        <v>1</v>
      </c>
      <c r="W141" s="62">
        <f t="shared" si="44"/>
        <v>4.5499999999999999E-2</v>
      </c>
      <c r="X141" s="62">
        <f t="shared" si="45"/>
        <v>23.342300000000002</v>
      </c>
      <c r="Y141" s="62">
        <f t="shared" si="46"/>
        <v>23.296800000000001</v>
      </c>
      <c r="Z141" s="63" t="e">
        <f>VLOOKUP(A141,Enforcements!$C$3:$J$40,8,0)</f>
        <v>#N/A</v>
      </c>
      <c r="AA141" s="63" t="e">
        <f>VLOOKUP(A141,Enforcements!$C$3:$J$40,3,0)</f>
        <v>#N/A</v>
      </c>
    </row>
    <row r="142" spans="1:27" s="2" customFormat="1" x14ac:dyDescent="0.25">
      <c r="A142" s="13" t="s">
        <v>496</v>
      </c>
      <c r="B142" s="13">
        <v>4019</v>
      </c>
      <c r="C142" s="13" t="s">
        <v>52</v>
      </c>
      <c r="D142" s="13" t="s">
        <v>564</v>
      </c>
      <c r="E142" s="32">
        <v>42493.030706018515</v>
      </c>
      <c r="F142" s="32">
        <v>42493.039155092592</v>
      </c>
      <c r="G142" s="40">
        <v>1</v>
      </c>
      <c r="H142" s="32" t="s">
        <v>203</v>
      </c>
      <c r="I142" s="32">
        <v>42493.066840277781</v>
      </c>
      <c r="J142" s="13">
        <v>0</v>
      </c>
      <c r="K142" s="13" t="str">
        <f t="shared" si="41"/>
        <v>4019/4020</v>
      </c>
      <c r="L142" s="70" t="str">
        <f>VLOOKUP(A142,'Trips&amp;Operators'!$C$1:$E$9999,3,FALSE)</f>
        <v>STORY</v>
      </c>
      <c r="M142" s="14">
        <f t="shared" si="42"/>
        <v>2.768518518860219E-2</v>
      </c>
      <c r="N142" s="15">
        <f t="shared" si="40"/>
        <v>39.866666671587154</v>
      </c>
      <c r="O142" s="15"/>
      <c r="P142" s="15"/>
      <c r="Q142" s="55"/>
      <c r="R142" s="55"/>
      <c r="T142" s="62" t="str">
        <f t="shared" si="43"/>
        <v>https://search-rtdc-monitor-bjffxe2xuh6vdkpspy63sjmuny.us-east-1.es.amazonaws.com/_plugin/kibana/#/discover/Steve-Slow-Train-Analysis-(2080s-and-2083s)?_g=(refreshInterval:(display:Off,section:0,value:0),time:(from:'2016-05-03 00:43:13-0600',mode:absolute,to:'2016-05-03 01:37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142" s="62" t="str">
        <f t="shared" si="39"/>
        <v>N</v>
      </c>
      <c r="V142" s="62">
        <f t="shared" si="47"/>
        <v>1</v>
      </c>
      <c r="W142" s="62">
        <f t="shared" si="44"/>
        <v>23.3093</v>
      </c>
      <c r="X142" s="62">
        <f t="shared" si="45"/>
        <v>1.4999999999999999E-2</v>
      </c>
      <c r="Y142" s="62">
        <f t="shared" si="46"/>
        <v>23.2943</v>
      </c>
      <c r="Z142" s="63" t="e">
        <f>VLOOKUP(A142,Enforcements!$C$3:$J$40,8,0)</f>
        <v>#N/A</v>
      </c>
      <c r="AA142" s="63" t="e">
        <f>VLOOKUP(A142,Enforcements!$C$3:$J$40,3,0)</f>
        <v>#N/A</v>
      </c>
    </row>
    <row r="143" spans="1:27" s="2" customFormat="1" x14ac:dyDescent="0.25">
      <c r="A143" s="13" t="s">
        <v>439</v>
      </c>
      <c r="B143" s="13">
        <v>4016</v>
      </c>
      <c r="C143" s="13" t="s">
        <v>52</v>
      </c>
      <c r="D143" s="13" t="s">
        <v>566</v>
      </c>
      <c r="E143" s="32">
        <v>42493.005879629629</v>
      </c>
      <c r="F143" s="32">
        <v>42493.021053240744</v>
      </c>
      <c r="G143" s="40">
        <v>2</v>
      </c>
      <c r="H143" s="32" t="s">
        <v>222</v>
      </c>
      <c r="I143" s="32">
        <v>42493.050312500003</v>
      </c>
      <c r="J143" s="13">
        <v>2</v>
      </c>
      <c r="K143" s="13" t="str">
        <f t="shared" si="41"/>
        <v>4015/4016</v>
      </c>
      <c r="L143" s="70" t="str">
        <f>VLOOKUP(A143,'Trips&amp;Operators'!$C$1:$E$9999,3,FALSE)</f>
        <v>STRICKLAND</v>
      </c>
      <c r="M143" s="14">
        <f t="shared" si="42"/>
        <v>2.9259259259561077E-2</v>
      </c>
      <c r="N143" s="15">
        <f t="shared" si="40"/>
        <v>42.133333333767951</v>
      </c>
      <c r="O143" s="15"/>
      <c r="P143" s="15"/>
      <c r="Q143" s="55"/>
      <c r="R143" s="55"/>
      <c r="T143" s="62" t="str">
        <f t="shared" si="43"/>
        <v>https://search-rtdc-monitor-bjffxe2xuh6vdkpspy63sjmuny.us-east-1.es.amazonaws.com/_plugin/kibana/#/discover/Steve-Slow-Train-Analysis-(2080s-and-2083s)?_g=(refreshInterval:(display:Off,section:0,value:0),time:(from:'2016-05-03 00:07:28-0600',mode:absolute,to:'2016-05-03 01:13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143" s="62" t="str">
        <f t="shared" si="39"/>
        <v>N</v>
      </c>
      <c r="V143" s="62">
        <f t="shared" si="47"/>
        <v>1</v>
      </c>
      <c r="W143" s="62">
        <f t="shared" si="44"/>
        <v>4.9799999999999997E-2</v>
      </c>
      <c r="X143" s="62">
        <f t="shared" si="45"/>
        <v>23.3323</v>
      </c>
      <c r="Y143" s="62">
        <f t="shared" si="46"/>
        <v>23.282499999999999</v>
      </c>
      <c r="Z143" s="63">
        <f>VLOOKUP(A143,Enforcements!$C$3:$J$40,8,0)</f>
        <v>20338</v>
      </c>
      <c r="AA143" s="63" t="str">
        <f>VLOOKUP(A143,Enforcements!$C$3:$J$40,3,0)</f>
        <v>PERMANENT SPEED RESTRICTION</v>
      </c>
    </row>
    <row r="144" spans="1:27" s="2" customFormat="1" x14ac:dyDescent="0.25">
      <c r="A144" s="13" t="s">
        <v>440</v>
      </c>
      <c r="B144" s="13">
        <v>4015</v>
      </c>
      <c r="C144" s="13" t="s">
        <v>52</v>
      </c>
      <c r="D144" s="13" t="s">
        <v>198</v>
      </c>
      <c r="E144" s="32">
        <v>42493.057754629626</v>
      </c>
      <c r="F144" s="32">
        <v>42493.058622685188</v>
      </c>
      <c r="G144" s="40">
        <v>1</v>
      </c>
      <c r="H144" s="32" t="s">
        <v>563</v>
      </c>
      <c r="I144" s="32">
        <v>42493.087175925924</v>
      </c>
      <c r="J144" s="13">
        <v>2</v>
      </c>
      <c r="K144" s="13" t="str">
        <f t="shared" si="41"/>
        <v>4015/4016</v>
      </c>
      <c r="L144" s="70" t="str">
        <f>VLOOKUP(A144,'Trips&amp;Operators'!$C$1:$E$9999,3,FALSE)</f>
        <v>STRICKLAND</v>
      </c>
      <c r="M144" s="14">
        <f t="shared" si="42"/>
        <v>2.8553240736073349E-2</v>
      </c>
      <c r="N144" s="15">
        <f t="shared" si="40"/>
        <v>41.116666659945622</v>
      </c>
      <c r="O144" s="15"/>
      <c r="P144" s="15"/>
      <c r="Q144" s="23"/>
      <c r="R144" s="23"/>
      <c r="T144" s="62" t="str">
        <f t="shared" si="43"/>
        <v>https://search-rtdc-monitor-bjffxe2xuh6vdkpspy63sjmuny.us-east-1.es.amazonaws.com/_plugin/kibana/#/discover/Steve-Slow-Train-Analysis-(2080s-and-2083s)?_g=(refreshInterval:(display:Off,section:0,value:0),time:(from:'2016-05-03 01:22:10-0600',mode:absolute,to:'2016-05-03 02:06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144" s="62" t="str">
        <f t="shared" si="39"/>
        <v>N</v>
      </c>
      <c r="V144" s="62">
        <f t="shared" si="47"/>
        <v>1</v>
      </c>
      <c r="W144" s="62">
        <f t="shared" si="44"/>
        <v>23.297699999999999</v>
      </c>
      <c r="X144" s="62">
        <f t="shared" si="45"/>
        <v>1.6500000000000001E-2</v>
      </c>
      <c r="Y144" s="62">
        <f t="shared" si="46"/>
        <v>23.281199999999998</v>
      </c>
      <c r="Z144" s="63">
        <f>VLOOKUP(A144,Enforcements!$C$3:$J$40,8,0)</f>
        <v>190834</v>
      </c>
      <c r="AA144" s="63" t="str">
        <f>VLOOKUP(A144,Enforcements!$C$3:$J$40,3,0)</f>
        <v>PERMANENT SPEED RESTRICTION</v>
      </c>
    </row>
    <row r="145" spans="2:27" s="2" customFormat="1" ht="15.75" thickBot="1" x14ac:dyDescent="0.3">
      <c r="E145" s="33"/>
      <c r="F145" s="33"/>
      <c r="G145" s="41"/>
      <c r="H145" s="33"/>
      <c r="I145" s="74">
        <f>Variables!A2</f>
        <v>42492</v>
      </c>
      <c r="J145" s="75"/>
      <c r="K145" s="43"/>
      <c r="L145" s="43"/>
      <c r="M145" s="76" t="s">
        <v>8</v>
      </c>
      <c r="N145" s="77"/>
      <c r="O145" s="78"/>
      <c r="P145" s="5"/>
      <c r="T145" s="64"/>
      <c r="U145" s="64"/>
      <c r="V145" s="64"/>
      <c r="W145" s="64"/>
      <c r="X145" s="64"/>
      <c r="Y145" s="64"/>
      <c r="Z145" s="65"/>
      <c r="AA145" s="65"/>
    </row>
    <row r="146" spans="2:27" s="2" customFormat="1" ht="15.75" thickBot="1" x14ac:dyDescent="0.3">
      <c r="E146" s="33"/>
      <c r="F146" s="33"/>
      <c r="G146" s="41"/>
      <c r="H146" s="33"/>
      <c r="I146" s="79" t="s">
        <v>10</v>
      </c>
      <c r="J146" s="80"/>
      <c r="K146" s="37"/>
      <c r="L146" s="66"/>
      <c r="M146" s="9" t="s">
        <v>11</v>
      </c>
      <c r="N146" s="6" t="s">
        <v>12</v>
      </c>
      <c r="O146" s="7" t="s">
        <v>13</v>
      </c>
      <c r="P146" s="5"/>
      <c r="T146" s="64"/>
      <c r="U146" s="64"/>
      <c r="V146" s="64"/>
      <c r="W146" s="64"/>
      <c r="X146" s="64"/>
      <c r="Y146" s="64"/>
      <c r="Z146" s="65"/>
      <c r="AA146" s="65"/>
    </row>
    <row r="147" spans="2:27" s="2" customFormat="1" ht="15.75" thickBot="1" x14ac:dyDescent="0.3">
      <c r="E147" s="33"/>
      <c r="F147" s="33"/>
      <c r="G147" s="41"/>
      <c r="H147" s="33"/>
      <c r="I147" s="34" t="s">
        <v>14</v>
      </c>
      <c r="J147" s="3">
        <f>COUNT(N3:P144)</f>
        <v>139</v>
      </c>
      <c r="K147" s="3"/>
      <c r="L147" s="3"/>
      <c r="M147" s="9" t="s">
        <v>15</v>
      </c>
      <c r="N147" s="6" t="s">
        <v>15</v>
      </c>
      <c r="O147" s="7" t="s">
        <v>15</v>
      </c>
      <c r="P147" s="5"/>
      <c r="T147" s="64"/>
      <c r="U147" s="64"/>
      <c r="V147" s="64"/>
      <c r="W147" s="64"/>
      <c r="X147" s="64"/>
      <c r="Y147" s="64"/>
      <c r="Z147" s="65"/>
      <c r="AA147" s="65"/>
    </row>
    <row r="148" spans="2:27" s="2" customFormat="1" ht="15.75" thickBot="1" x14ac:dyDescent="0.3">
      <c r="E148" s="33"/>
      <c r="F148" s="33"/>
      <c r="G148" s="41"/>
      <c r="H148" s="33"/>
      <c r="I148" s="34" t="s">
        <v>17</v>
      </c>
      <c r="J148" s="3">
        <f>COUNT(N3:N144)</f>
        <v>135</v>
      </c>
      <c r="K148" s="3"/>
      <c r="L148" s="3"/>
      <c r="M148" s="10">
        <f>AVERAGE(N3:N144)</f>
        <v>42.067901234530531</v>
      </c>
      <c r="N148" s="6">
        <f>MIN(N3:N144)</f>
        <v>35.749999996041879</v>
      </c>
      <c r="O148" s="7">
        <f>MAX(N3:N144)</f>
        <v>49.916666673962027</v>
      </c>
      <c r="P148" s="5"/>
      <c r="T148" s="64"/>
      <c r="U148" s="64"/>
      <c r="V148" s="64"/>
      <c r="W148" s="64"/>
      <c r="X148" s="64"/>
      <c r="Y148" s="64"/>
      <c r="Z148" s="65"/>
      <c r="AA148" s="65"/>
    </row>
    <row r="149" spans="2:27" s="2" customFormat="1" ht="15.75" thickBot="1" x14ac:dyDescent="0.3">
      <c r="B149"/>
      <c r="C149"/>
      <c r="D149"/>
      <c r="E149" s="16"/>
      <c r="F149" s="16"/>
      <c r="G149" s="42"/>
      <c r="H149" s="16"/>
      <c r="I149" s="35" t="s">
        <v>57</v>
      </c>
      <c r="J149" s="3">
        <f>COUNT(O3:O144)</f>
        <v>1</v>
      </c>
      <c r="K149" s="3"/>
      <c r="L149" s="3"/>
      <c r="M149" s="10">
        <f>IFERROR(AVERAGE(O3:O144),0)</f>
        <v>44.583333319751546</v>
      </c>
      <c r="N149" s="6">
        <f>MIN(O3:O144)</f>
        <v>44.583333319751546</v>
      </c>
      <c r="O149" s="7">
        <f>MAX(O3:O144)</f>
        <v>44.583333319751546</v>
      </c>
      <c r="P149" s="4"/>
      <c r="Q149"/>
      <c r="R149"/>
      <c r="S149"/>
      <c r="T149" s="58"/>
      <c r="U149" s="58"/>
      <c r="V149" s="58"/>
      <c r="W149" s="58"/>
      <c r="X149" s="58"/>
      <c r="Y149" s="58"/>
      <c r="Z149" s="59"/>
      <c r="AA149" s="59"/>
    </row>
    <row r="150" spans="2:27" s="2" customFormat="1" ht="15.75" thickBot="1" x14ac:dyDescent="0.3">
      <c r="B150"/>
      <c r="C150"/>
      <c r="D150"/>
      <c r="E150" s="16"/>
      <c r="F150" s="16"/>
      <c r="G150" s="42"/>
      <c r="H150" s="16"/>
      <c r="I150" s="36" t="s">
        <v>9</v>
      </c>
      <c r="J150" s="3">
        <f>COUNT(P3:P144)</f>
        <v>3</v>
      </c>
      <c r="K150" s="3"/>
      <c r="L150" s="3"/>
      <c r="M150" s="9" t="s">
        <v>15</v>
      </c>
      <c r="N150" s="6" t="s">
        <v>15</v>
      </c>
      <c r="O150" s="7" t="s">
        <v>15</v>
      </c>
      <c r="P150" s="4"/>
      <c r="Q150"/>
      <c r="R150"/>
      <c r="S150"/>
      <c r="T150" s="58"/>
      <c r="U150" s="58"/>
      <c r="V150" s="58"/>
      <c r="W150" s="58"/>
      <c r="X150" s="58"/>
      <c r="Y150" s="58"/>
      <c r="Z150" s="59"/>
      <c r="AA150" s="59"/>
    </row>
    <row r="151" spans="2:27" s="2" customFormat="1" ht="30.75" thickBot="1" x14ac:dyDescent="0.3">
      <c r="E151" s="33"/>
      <c r="F151" s="33"/>
      <c r="G151" s="41"/>
      <c r="H151" s="33"/>
      <c r="I151" s="34" t="s">
        <v>16</v>
      </c>
      <c r="J151" s="3">
        <f>COUNT(N3:O144)</f>
        <v>136</v>
      </c>
      <c r="K151" s="3"/>
      <c r="L151" s="3"/>
      <c r="M151" s="10">
        <f>AVERAGE(N3:P144)</f>
        <v>41.887889688142756</v>
      </c>
      <c r="N151" s="6">
        <f>MIN(N3:O144)</f>
        <v>35.749999996041879</v>
      </c>
      <c r="O151" s="7">
        <f>MAX(N3:O144)</f>
        <v>49.916666673962027</v>
      </c>
      <c r="P151" s="5"/>
      <c r="T151" s="64"/>
      <c r="U151" s="64"/>
      <c r="V151" s="64"/>
      <c r="W151" s="64"/>
      <c r="X151" s="64"/>
      <c r="Y151" s="64"/>
      <c r="Z151" s="65"/>
      <c r="AA151" s="65"/>
    </row>
    <row r="152" spans="2:27" s="2" customFormat="1" ht="30.75" thickBot="1" x14ac:dyDescent="0.3">
      <c r="B152"/>
      <c r="C152"/>
      <c r="D152"/>
      <c r="E152" s="16"/>
      <c r="F152" s="16"/>
      <c r="G152" s="42"/>
      <c r="H152" s="16"/>
      <c r="I152" s="34" t="s">
        <v>19</v>
      </c>
      <c r="J152" s="8">
        <f>J151/J147</f>
        <v>0.97841726618705038</v>
      </c>
      <c r="K152" s="8"/>
      <c r="L152" s="8"/>
      <c r="M152" s="1"/>
      <c r="N152" s="4"/>
      <c r="O152" s="4"/>
      <c r="P152" s="4"/>
      <c r="Q152"/>
      <c r="R152"/>
      <c r="S152"/>
      <c r="T152" s="58"/>
      <c r="U152" s="58"/>
      <c r="V152" s="58"/>
      <c r="W152" s="58"/>
      <c r="X152" s="58"/>
      <c r="Y152" s="58"/>
      <c r="Z152" s="59"/>
      <c r="AA152" s="59"/>
    </row>
    <row r="153" spans="2:27" s="2" customFormat="1" x14ac:dyDescent="0.25">
      <c r="B153"/>
      <c r="C153"/>
      <c r="D153"/>
      <c r="E153" s="16"/>
      <c r="F153" s="16"/>
      <c r="G153" s="42"/>
      <c r="H153" s="16"/>
      <c r="I153" s="16"/>
      <c r="J153"/>
      <c r="K153"/>
      <c r="L153" s="69"/>
      <c r="M153" s="1"/>
      <c r="N153" s="4"/>
      <c r="O153" s="4"/>
      <c r="P153" s="4"/>
      <c r="Q153"/>
      <c r="R153"/>
      <c r="S153"/>
      <c r="T153" s="58"/>
      <c r="U153" s="58"/>
      <c r="V153" s="58"/>
      <c r="W153" s="58"/>
      <c r="X153" s="58"/>
      <c r="Y153" s="58"/>
      <c r="Z153" s="59"/>
      <c r="AA153" s="59"/>
    </row>
    <row r="154" spans="2:27" s="2" customFormat="1" x14ac:dyDescent="0.25">
      <c r="B154"/>
      <c r="C154"/>
      <c r="D154"/>
      <c r="E154" s="16"/>
      <c r="F154" s="16"/>
      <c r="G154" s="42"/>
      <c r="H154" s="16"/>
      <c r="I154" s="16"/>
      <c r="J154"/>
      <c r="K154"/>
      <c r="L154" s="69"/>
      <c r="M154" s="1"/>
      <c r="N154" s="4"/>
      <c r="O154" s="4"/>
      <c r="P154" s="4"/>
      <c r="Q154"/>
      <c r="R154"/>
      <c r="S154"/>
      <c r="T154" s="58"/>
      <c r="U154" s="58"/>
      <c r="V154" s="58"/>
      <c r="W154" s="58"/>
      <c r="X154" s="58"/>
      <c r="Y154" s="58"/>
      <c r="Z154" s="59"/>
      <c r="AA154" s="59"/>
    </row>
    <row r="155" spans="2:27" s="2" customFormat="1" x14ac:dyDescent="0.25">
      <c r="B155"/>
      <c r="C155"/>
      <c r="D155"/>
      <c r="E155" s="16"/>
      <c r="F155" s="16"/>
      <c r="G155" s="42"/>
      <c r="H155" s="16"/>
      <c r="I155" s="16"/>
      <c r="J155"/>
      <c r="K155"/>
      <c r="L155" s="69"/>
      <c r="M155" s="1"/>
      <c r="N155" s="4"/>
      <c r="O155" s="4"/>
      <c r="P155" s="4"/>
      <c r="Q155"/>
      <c r="R155"/>
      <c r="S155"/>
      <c r="T155" s="58"/>
      <c r="U155" s="58"/>
      <c r="V155" s="58"/>
      <c r="W155" s="58"/>
      <c r="X155" s="58"/>
      <c r="Y155" s="58"/>
      <c r="Z155" s="59"/>
      <c r="AA155" s="59"/>
    </row>
    <row r="156" spans="2:27" s="2" customFormat="1" x14ac:dyDescent="0.25">
      <c r="B156"/>
      <c r="C156"/>
      <c r="D156"/>
      <c r="E156" s="16"/>
      <c r="F156" s="16"/>
      <c r="G156" s="42"/>
      <c r="H156" s="16"/>
      <c r="I156" s="16"/>
      <c r="J156"/>
      <c r="K156"/>
      <c r="L156" s="69"/>
      <c r="M156" s="1"/>
      <c r="N156" s="4"/>
      <c r="O156" s="4"/>
      <c r="P156" s="4"/>
      <c r="Q156"/>
      <c r="R156"/>
      <c r="S156"/>
      <c r="T156" s="58"/>
      <c r="U156" s="58"/>
      <c r="V156" s="58"/>
      <c r="W156" s="58"/>
      <c r="X156" s="58"/>
      <c r="Y156" s="58"/>
      <c r="Z156" s="59"/>
      <c r="AA156" s="59"/>
    </row>
    <row r="157" spans="2:27" s="2" customFormat="1" x14ac:dyDescent="0.25">
      <c r="B157"/>
      <c r="C157"/>
      <c r="D157"/>
      <c r="E157" s="16"/>
      <c r="F157" s="16"/>
      <c r="G157" s="42"/>
      <c r="H157" s="16"/>
      <c r="I157" s="16"/>
      <c r="J157"/>
      <c r="K157"/>
      <c r="L157" s="69"/>
      <c r="M157" s="1"/>
      <c r="N157" s="4"/>
      <c r="O157" s="4"/>
      <c r="P157" s="4"/>
      <c r="Q157"/>
      <c r="R157"/>
      <c r="S157"/>
      <c r="T157" s="58"/>
      <c r="U157" s="58"/>
      <c r="V157" s="58"/>
      <c r="W157" s="58"/>
      <c r="X157" s="58"/>
      <c r="Y157" s="58"/>
      <c r="Z157" s="59"/>
      <c r="AA157" s="59"/>
    </row>
    <row r="160" spans="2:27" s="2" customFormat="1" x14ac:dyDescent="0.25">
      <c r="B160"/>
      <c r="C160"/>
      <c r="D160"/>
      <c r="E160" s="16"/>
      <c r="F160" s="16"/>
      <c r="G160" s="42"/>
      <c r="H160" s="16"/>
      <c r="I160" s="16"/>
      <c r="J160"/>
      <c r="K160"/>
      <c r="L160" s="69"/>
      <c r="M160" s="1"/>
      <c r="N160" s="4"/>
      <c r="O160" s="4"/>
      <c r="P160" s="4"/>
      <c r="Q160"/>
      <c r="R160"/>
      <c r="S160"/>
      <c r="T160" s="58"/>
      <c r="U160" s="58"/>
      <c r="V160" s="58"/>
      <c r="W160" s="58"/>
      <c r="X160" s="58"/>
      <c r="Y160" s="58"/>
      <c r="Z160" s="59"/>
      <c r="AA160" s="59"/>
    </row>
  </sheetData>
  <sortState ref="A3:Y144">
    <sortCondition ref="A3:A144"/>
  </sortState>
  <mergeCells count="4">
    <mergeCell ref="I145:J145"/>
    <mergeCell ref="M145:O145"/>
    <mergeCell ref="I146:J146"/>
    <mergeCell ref="A1:P1"/>
  </mergeCells>
  <conditionalFormatting sqref="U1:V1 U2 U3:V1048576">
    <cfRule type="cellIs" dxfId="13" priority="18" operator="equal">
      <formula>"Y"</formula>
    </cfRule>
  </conditionalFormatting>
  <conditionalFormatting sqref="Q86:R86">
    <cfRule type="expression" dxfId="12" priority="5">
      <formula>$M86="Y"</formula>
    </cfRule>
  </conditionalFormatting>
  <conditionalFormatting sqref="V1 V3:V1048576">
    <cfRule type="cellIs" dxfId="11" priority="1" operator="greaterThan">
      <formula>1</formula>
    </cfRule>
  </conditionalFormatting>
  <conditionalFormatting sqref="Q87:R101 Q103:R113 A115:J144 Q115:R144 A3:J113 K3:P144 Q3:R85">
    <cfRule type="expression" dxfId="10" priority="32">
      <formula>$P3&gt;0</formula>
    </cfRule>
    <cfRule type="expression" dxfId="9" priority="33">
      <formula>$O3&gt;0</formula>
    </cfRule>
  </conditionalFormatting>
  <conditionalFormatting sqref="Q102:R102">
    <cfRule type="expression" dxfId="8" priority="53">
      <formula>$P102&gt;0</formula>
    </cfRule>
    <cfRule type="expression" dxfId="7" priority="54">
      <formula>$O114&gt;0</formula>
    </cfRule>
  </conditionalFormatting>
  <conditionalFormatting sqref="A114:J114 Q114:R114">
    <cfRule type="expression" dxfId="6" priority="56">
      <formula>$P114&gt;0</formula>
    </cfRule>
    <cfRule type="expression" dxfId="5" priority="57">
      <formula>#REF!&gt;0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1" id="{BC54A837-71A9-4A94-B0E2-11F0B57C895C}">
            <xm:f>$N3&gt;Variables!$C$2</xm:f>
            <x14:dxf>
              <fill>
                <patternFill>
                  <bgColor theme="5" tint="0.79998168889431442"/>
                </patternFill>
              </fill>
            </x14:dxf>
          </x14:cfRule>
          <xm:sqref>Q87:R101 Q103:R113 A115:J144 Q115:R144 A3:J113 K3:P144 Q3:R85</xm:sqref>
        </x14:conditionalFormatting>
        <x14:conditionalFormatting xmlns:xm="http://schemas.microsoft.com/office/excel/2006/main">
          <x14:cfRule type="expression" priority="52" id="{C67B6D34-6AE8-4183-9C6A-D0B3F39B359D}">
            <xm:f>$N102&gt;Variables!$C$2</xm:f>
            <x14:dxf>
              <fill>
                <patternFill>
                  <bgColor theme="5" tint="0.79998168889431442"/>
                </patternFill>
              </fill>
            </x14:dxf>
          </x14:cfRule>
          <xm:sqref>Q102:R102</xm:sqref>
        </x14:conditionalFormatting>
        <x14:conditionalFormatting xmlns:xm="http://schemas.microsoft.com/office/excel/2006/main">
          <x14:cfRule type="expression" priority="55" id="{60112175-D15C-4FC6-8368-0BCDD535D059}">
            <xm:f>$N114&gt;Variables!$C$2</xm:f>
            <x14:dxf>
              <fill>
                <patternFill>
                  <bgColor theme="5" tint="0.79998168889431442"/>
                </patternFill>
              </fill>
            </x14:dxf>
          </x14:cfRule>
          <xm:sqref>A114:J114 Q114:R114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7"/>
  <sheetViews>
    <sheetView showGridLines="0" tabSelected="1" zoomScaleNormal="100" workbookViewId="0">
      <selection activeCell="L16" sqref="L16"/>
    </sheetView>
  </sheetViews>
  <sheetFormatPr defaultRowHeight="15" x14ac:dyDescent="0.25"/>
  <cols>
    <col min="1" max="1" width="18.42578125" style="16" customWidth="1"/>
    <col min="2" max="2" width="17.5703125" customWidth="1"/>
    <col min="3" max="3" width="13.28515625" customWidth="1"/>
    <col min="4" max="4" width="26.5703125" customWidth="1"/>
    <col min="5" max="5" width="23.5703125" customWidth="1"/>
    <col min="6" max="6" width="7.5703125" customWidth="1"/>
    <col min="7" max="7" width="7.140625" customWidth="1"/>
    <col min="8" max="8" width="9" customWidth="1"/>
    <col min="9" max="9" width="25.140625" customWidth="1"/>
    <col min="10" max="10" width="10.85546875" customWidth="1"/>
    <col min="11" max="11" width="32.7109375" customWidth="1"/>
    <col min="12" max="12" width="19.5703125" customWidth="1"/>
    <col min="13" max="13" width="6.42578125" customWidth="1"/>
    <col min="14" max="14" width="37.85546875" bestFit="1" customWidth="1"/>
  </cols>
  <sheetData>
    <row r="1" spans="1:14" s="28" customFormat="1" ht="15" customHeight="1" x14ac:dyDescent="0.25">
      <c r="A1" s="82" t="str">
        <f>"Eagle P3 Braking Events - "&amp;TEXT(Variables!$A$2,"YYYY-mm-dd")</f>
        <v>Eagle P3 Braking Events - 2016-05-02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29"/>
    </row>
    <row r="2" spans="1:14" s="2" customFormat="1" ht="90" x14ac:dyDescent="0.25">
      <c r="A2" s="27" t="s">
        <v>51</v>
      </c>
      <c r="B2" s="26" t="s">
        <v>50</v>
      </c>
      <c r="C2" s="26" t="s">
        <v>49</v>
      </c>
      <c r="D2" s="26" t="s">
        <v>48</v>
      </c>
      <c r="E2" s="26" t="s">
        <v>47</v>
      </c>
      <c r="F2" s="26" t="s">
        <v>46</v>
      </c>
      <c r="G2" s="26" t="s">
        <v>45</v>
      </c>
      <c r="H2" s="26" t="s">
        <v>44</v>
      </c>
      <c r="I2" s="26" t="s">
        <v>43</v>
      </c>
      <c r="J2" s="26" t="s">
        <v>42</v>
      </c>
      <c r="K2" s="26" t="s">
        <v>41</v>
      </c>
      <c r="L2" s="26" t="s">
        <v>303</v>
      </c>
      <c r="M2" s="26" t="s">
        <v>40</v>
      </c>
      <c r="N2" s="26" t="s">
        <v>24</v>
      </c>
    </row>
    <row r="3" spans="1:14" s="21" customFormat="1" x14ac:dyDescent="0.25">
      <c r="A3" s="25">
        <v>42492.488969907405</v>
      </c>
      <c r="B3" s="24" t="s">
        <v>69</v>
      </c>
      <c r="C3" s="24" t="s">
        <v>399</v>
      </c>
      <c r="D3" s="24" t="s">
        <v>33</v>
      </c>
      <c r="E3" s="24" t="s">
        <v>113</v>
      </c>
      <c r="F3" s="24">
        <v>580</v>
      </c>
      <c r="G3" s="24">
        <v>639</v>
      </c>
      <c r="H3" s="24">
        <v>57696</v>
      </c>
      <c r="I3" s="24" t="s">
        <v>114</v>
      </c>
      <c r="J3" s="24">
        <v>58118</v>
      </c>
      <c r="K3" s="23" t="s">
        <v>30</v>
      </c>
      <c r="L3" s="23" t="str">
        <f>VLOOKUP(C3,'Trips&amp;Operators'!$C$1:$E$9999,3,FALSE)</f>
        <v>DE LA ROSA</v>
      </c>
      <c r="M3" s="22" t="s">
        <v>29</v>
      </c>
      <c r="N3" s="23"/>
    </row>
    <row r="4" spans="1:14" s="21" customFormat="1" x14ac:dyDescent="0.25">
      <c r="A4" s="25">
        <v>42492.541273148148</v>
      </c>
      <c r="B4" s="24" t="s">
        <v>324</v>
      </c>
      <c r="C4" s="24" t="s">
        <v>406</v>
      </c>
      <c r="D4" s="24" t="s">
        <v>33</v>
      </c>
      <c r="E4" s="24" t="s">
        <v>113</v>
      </c>
      <c r="F4" s="24">
        <v>410</v>
      </c>
      <c r="G4" s="24">
        <v>601</v>
      </c>
      <c r="H4" s="24">
        <v>57362</v>
      </c>
      <c r="I4" s="24" t="s">
        <v>114</v>
      </c>
      <c r="J4" s="24">
        <v>58783</v>
      </c>
      <c r="K4" s="23" t="s">
        <v>30</v>
      </c>
      <c r="L4" s="23" t="str">
        <f>VLOOKUP(C4,'Trips&amp;Operators'!$C$1:$E$9999,3,FALSE)</f>
        <v>WEBSTER</v>
      </c>
      <c r="M4" s="22" t="s">
        <v>29</v>
      </c>
      <c r="N4" s="23"/>
    </row>
    <row r="5" spans="1:14" s="21" customFormat="1" x14ac:dyDescent="0.25">
      <c r="A5" s="25">
        <v>42492.290405092594</v>
      </c>
      <c r="B5" s="24" t="s">
        <v>370</v>
      </c>
      <c r="C5" s="24" t="s">
        <v>380</v>
      </c>
      <c r="D5" s="24" t="s">
        <v>33</v>
      </c>
      <c r="E5" s="24" t="s">
        <v>39</v>
      </c>
      <c r="F5" s="24">
        <v>150</v>
      </c>
      <c r="G5" s="24">
        <v>176</v>
      </c>
      <c r="H5" s="24">
        <v>229255</v>
      </c>
      <c r="I5" s="24" t="s">
        <v>38</v>
      </c>
      <c r="J5" s="24">
        <v>229055</v>
      </c>
      <c r="K5" s="23" t="s">
        <v>34</v>
      </c>
      <c r="L5" s="23" t="str">
        <f>VLOOKUP(C5,'Trips&amp;Operators'!$C$1:$E$9999,3,FALSE)</f>
        <v>CHANDLER</v>
      </c>
      <c r="M5" s="22" t="s">
        <v>29</v>
      </c>
      <c r="N5" s="23"/>
    </row>
    <row r="6" spans="1:14" s="21" customFormat="1" x14ac:dyDescent="0.25">
      <c r="A6" s="25">
        <v>42492.303865740738</v>
      </c>
      <c r="B6" s="24" t="s">
        <v>329</v>
      </c>
      <c r="C6" s="24" t="s">
        <v>388</v>
      </c>
      <c r="D6" s="24" t="s">
        <v>33</v>
      </c>
      <c r="E6" s="24" t="s">
        <v>39</v>
      </c>
      <c r="F6" s="24">
        <v>150</v>
      </c>
      <c r="G6" s="24">
        <v>135</v>
      </c>
      <c r="H6" s="24">
        <v>1641</v>
      </c>
      <c r="I6" s="24" t="s">
        <v>38</v>
      </c>
      <c r="J6" s="24">
        <v>2096</v>
      </c>
      <c r="K6" s="23" t="s">
        <v>30</v>
      </c>
      <c r="L6" s="23" t="str">
        <f>VLOOKUP(C6,'Trips&amp;Operators'!$C$1:$E$9999,3,FALSE)</f>
        <v>MALAVE</v>
      </c>
      <c r="M6" s="22" t="s">
        <v>29</v>
      </c>
      <c r="N6" s="23"/>
    </row>
    <row r="7" spans="1:14" s="21" customFormat="1" x14ac:dyDescent="0.25">
      <c r="A7" s="25">
        <v>42492.305231481485</v>
      </c>
      <c r="B7" s="24" t="s">
        <v>329</v>
      </c>
      <c r="C7" s="24" t="s">
        <v>388</v>
      </c>
      <c r="D7" s="24" t="s">
        <v>35</v>
      </c>
      <c r="E7" s="24" t="s">
        <v>39</v>
      </c>
      <c r="F7" s="24">
        <v>200</v>
      </c>
      <c r="G7" s="24">
        <v>260</v>
      </c>
      <c r="H7" s="24">
        <v>5382</v>
      </c>
      <c r="I7" s="24" t="s">
        <v>38</v>
      </c>
      <c r="J7" s="24">
        <v>4677</v>
      </c>
      <c r="K7" s="23" t="s">
        <v>30</v>
      </c>
      <c r="L7" s="23" t="str">
        <f>VLOOKUP(C7,'Trips&amp;Operators'!$C$1:$E$9999,3,FALSE)</f>
        <v>MALAVE</v>
      </c>
      <c r="M7" s="22" t="s">
        <v>29</v>
      </c>
      <c r="N7" s="23"/>
    </row>
    <row r="8" spans="1:14" s="21" customFormat="1" x14ac:dyDescent="0.25">
      <c r="A8" s="25">
        <v>42492.346759259257</v>
      </c>
      <c r="B8" s="24" t="s">
        <v>320</v>
      </c>
      <c r="C8" s="24" t="s">
        <v>394</v>
      </c>
      <c r="D8" s="24" t="s">
        <v>33</v>
      </c>
      <c r="E8" s="24" t="s">
        <v>39</v>
      </c>
      <c r="F8" s="24">
        <v>150</v>
      </c>
      <c r="G8" s="24">
        <v>334</v>
      </c>
      <c r="H8" s="24">
        <v>229190</v>
      </c>
      <c r="I8" s="24" t="s">
        <v>38</v>
      </c>
      <c r="J8" s="24">
        <v>230436</v>
      </c>
      <c r="K8" s="23" t="s">
        <v>30</v>
      </c>
      <c r="L8" s="23" t="str">
        <f>VLOOKUP(C8,'Trips&amp;Operators'!$C$1:$E$9999,3,FALSE)</f>
        <v>CHANDLER</v>
      </c>
      <c r="M8" s="22" t="s">
        <v>29</v>
      </c>
      <c r="N8" s="23"/>
    </row>
    <row r="9" spans="1:14" s="21" customFormat="1" x14ac:dyDescent="0.25">
      <c r="A9" s="25">
        <v>42492.417337962965</v>
      </c>
      <c r="B9" s="24" t="s">
        <v>63</v>
      </c>
      <c r="C9" s="24" t="s">
        <v>397</v>
      </c>
      <c r="D9" s="24" t="s">
        <v>33</v>
      </c>
      <c r="E9" s="24" t="s">
        <v>39</v>
      </c>
      <c r="F9" s="24">
        <v>150</v>
      </c>
      <c r="G9" s="24">
        <v>46</v>
      </c>
      <c r="H9" s="24">
        <v>677</v>
      </c>
      <c r="I9" s="24" t="s">
        <v>38</v>
      </c>
      <c r="J9" s="24">
        <v>0</v>
      </c>
      <c r="K9" s="23" t="s">
        <v>30</v>
      </c>
      <c r="L9" s="23" t="str">
        <f>VLOOKUP(C9,'Trips&amp;Operators'!$C$1:$E$9999,3,FALSE)</f>
        <v>SPECTOR</v>
      </c>
      <c r="M9" s="22" t="s">
        <v>603</v>
      </c>
      <c r="N9" s="23" t="s">
        <v>599</v>
      </c>
    </row>
    <row r="10" spans="1:14" s="21" customFormat="1" x14ac:dyDescent="0.25">
      <c r="A10" s="25">
        <v>42492.417337962965</v>
      </c>
      <c r="B10" s="24" t="s">
        <v>63</v>
      </c>
      <c r="C10" s="24" t="s">
        <v>397</v>
      </c>
      <c r="D10" s="24" t="s">
        <v>33</v>
      </c>
      <c r="E10" s="24" t="s">
        <v>39</v>
      </c>
      <c r="F10" s="24">
        <v>150</v>
      </c>
      <c r="G10" s="24">
        <v>46</v>
      </c>
      <c r="H10" s="24">
        <v>677</v>
      </c>
      <c r="I10" s="24" t="s">
        <v>38</v>
      </c>
      <c r="J10" s="24">
        <v>0</v>
      </c>
      <c r="K10" s="23" t="s">
        <v>30</v>
      </c>
      <c r="L10" s="23" t="str">
        <f>VLOOKUP(C10,'Trips&amp;Operators'!$C$1:$E$9999,3,FALSE)</f>
        <v>SPECTOR</v>
      </c>
      <c r="M10" s="22" t="s">
        <v>603</v>
      </c>
      <c r="N10" s="23" t="s">
        <v>599</v>
      </c>
    </row>
    <row r="11" spans="1:14" s="21" customFormat="1" x14ac:dyDescent="0.25">
      <c r="A11" s="25">
        <v>42492.417407407411</v>
      </c>
      <c r="B11" s="24" t="s">
        <v>63</v>
      </c>
      <c r="C11" s="24" t="s">
        <v>397</v>
      </c>
      <c r="D11" s="24" t="s">
        <v>33</v>
      </c>
      <c r="E11" s="24" t="s">
        <v>39</v>
      </c>
      <c r="F11" s="24">
        <v>150</v>
      </c>
      <c r="G11" s="24">
        <v>59</v>
      </c>
      <c r="H11" s="24">
        <v>688</v>
      </c>
      <c r="I11" s="24" t="s">
        <v>38</v>
      </c>
      <c r="J11" s="24">
        <v>0</v>
      </c>
      <c r="K11" s="23" t="s">
        <v>30</v>
      </c>
      <c r="L11" s="23" t="str">
        <f>VLOOKUP(C11,'Trips&amp;Operators'!$C$1:$E$9999,3,FALSE)</f>
        <v>SPECTOR</v>
      </c>
      <c r="M11" s="22" t="s">
        <v>603</v>
      </c>
      <c r="N11" s="23" t="s">
        <v>599</v>
      </c>
    </row>
    <row r="12" spans="1:14" s="21" customFormat="1" x14ac:dyDescent="0.25">
      <c r="A12" s="25">
        <v>42492.438796296294</v>
      </c>
      <c r="B12" s="24" t="s">
        <v>331</v>
      </c>
      <c r="C12" s="24" t="s">
        <v>396</v>
      </c>
      <c r="D12" s="24" t="s">
        <v>33</v>
      </c>
      <c r="E12" s="24" t="s">
        <v>39</v>
      </c>
      <c r="F12" s="24">
        <v>450</v>
      </c>
      <c r="G12" s="24">
        <v>438</v>
      </c>
      <c r="H12" s="24">
        <v>17383</v>
      </c>
      <c r="I12" s="24" t="s">
        <v>38</v>
      </c>
      <c r="J12" s="24">
        <v>15167</v>
      </c>
      <c r="K12" s="23" t="s">
        <v>34</v>
      </c>
      <c r="L12" s="23" t="str">
        <f>VLOOKUP(C12,'Trips&amp;Operators'!$C$1:$E$9999,3,FALSE)</f>
        <v>MALAVE</v>
      </c>
      <c r="M12" s="22" t="s">
        <v>29</v>
      </c>
      <c r="N12" s="23"/>
    </row>
    <row r="13" spans="1:14" s="21" customFormat="1" x14ac:dyDescent="0.25">
      <c r="A13" s="25">
        <v>42492.462384259263</v>
      </c>
      <c r="B13" s="24" t="s">
        <v>324</v>
      </c>
      <c r="C13" s="24" t="s">
        <v>398</v>
      </c>
      <c r="D13" s="24" t="s">
        <v>33</v>
      </c>
      <c r="E13" s="24" t="s">
        <v>39</v>
      </c>
      <c r="F13" s="24">
        <v>300</v>
      </c>
      <c r="G13" s="24">
        <v>253</v>
      </c>
      <c r="H13" s="24">
        <v>19737</v>
      </c>
      <c r="I13" s="24" t="s">
        <v>38</v>
      </c>
      <c r="J13" s="24">
        <v>20338</v>
      </c>
      <c r="K13" s="23" t="s">
        <v>30</v>
      </c>
      <c r="L13" s="23" t="str">
        <f>VLOOKUP(C13,'Trips&amp;Operators'!$C$1:$E$9999,3,FALSE)</f>
        <v>MALAVE</v>
      </c>
      <c r="M13" s="22" t="s">
        <v>29</v>
      </c>
      <c r="N13" s="23"/>
    </row>
    <row r="14" spans="1:14" s="21" customFormat="1" x14ac:dyDescent="0.25">
      <c r="A14" s="25">
        <v>42492.486296296294</v>
      </c>
      <c r="B14" s="24" t="s">
        <v>69</v>
      </c>
      <c r="C14" s="24" t="s">
        <v>399</v>
      </c>
      <c r="D14" s="24" t="s">
        <v>33</v>
      </c>
      <c r="E14" s="24" t="s">
        <v>39</v>
      </c>
      <c r="F14" s="24">
        <v>300</v>
      </c>
      <c r="G14" s="24">
        <v>247</v>
      </c>
      <c r="H14" s="24">
        <v>19733</v>
      </c>
      <c r="I14" s="24" t="s">
        <v>38</v>
      </c>
      <c r="J14" s="24">
        <v>20338</v>
      </c>
      <c r="K14" s="23" t="s">
        <v>30</v>
      </c>
      <c r="L14" s="23" t="str">
        <f>VLOOKUP(C14,'Trips&amp;Operators'!$C$1:$E$9999,3,FALSE)</f>
        <v>DE LA ROSA</v>
      </c>
      <c r="M14" s="22" t="s">
        <v>29</v>
      </c>
      <c r="N14" s="23"/>
    </row>
    <row r="15" spans="1:14" s="21" customFormat="1" x14ac:dyDescent="0.25">
      <c r="A15" s="25">
        <v>42492.524965277778</v>
      </c>
      <c r="B15" s="24" t="s">
        <v>329</v>
      </c>
      <c r="C15" s="24" t="s">
        <v>404</v>
      </c>
      <c r="D15" s="24" t="s">
        <v>33</v>
      </c>
      <c r="E15" s="24" t="s">
        <v>39</v>
      </c>
      <c r="F15" s="24">
        <v>300</v>
      </c>
      <c r="G15" s="24">
        <v>271</v>
      </c>
      <c r="H15" s="24">
        <v>20031</v>
      </c>
      <c r="I15" s="24" t="s">
        <v>38</v>
      </c>
      <c r="J15" s="24">
        <v>20338</v>
      </c>
      <c r="K15" s="23" t="s">
        <v>30</v>
      </c>
      <c r="L15" s="23" t="str">
        <f>VLOOKUP(C15,'Trips&amp;Operators'!$C$1:$E$9999,3,FALSE)</f>
        <v>YORK</v>
      </c>
      <c r="M15" s="22" t="s">
        <v>29</v>
      </c>
      <c r="N15" s="23"/>
    </row>
    <row r="16" spans="1:14" s="21" customFormat="1" x14ac:dyDescent="0.25">
      <c r="A16" s="25">
        <v>42492.565266203703</v>
      </c>
      <c r="B16" s="24" t="s">
        <v>331</v>
      </c>
      <c r="C16" s="24" t="s">
        <v>409</v>
      </c>
      <c r="D16" s="24" t="s">
        <v>33</v>
      </c>
      <c r="E16" s="24" t="s">
        <v>39</v>
      </c>
      <c r="F16" s="24">
        <v>450</v>
      </c>
      <c r="G16" s="24">
        <v>434</v>
      </c>
      <c r="H16" s="24">
        <v>192256</v>
      </c>
      <c r="I16" s="24" t="s">
        <v>38</v>
      </c>
      <c r="J16" s="24">
        <v>191108</v>
      </c>
      <c r="K16" s="23" t="s">
        <v>34</v>
      </c>
      <c r="L16" s="23" t="str">
        <f>VLOOKUP(C16,'Trips&amp;Operators'!$C$1:$E$9999,3,FALSE)</f>
        <v>YORK</v>
      </c>
      <c r="M16" s="22" t="s">
        <v>29</v>
      </c>
      <c r="N16" s="23"/>
    </row>
    <row r="17" spans="1:14" s="21" customFormat="1" x14ac:dyDescent="0.25">
      <c r="A17" s="25">
        <v>42492.566018518519</v>
      </c>
      <c r="B17" s="24" t="s">
        <v>90</v>
      </c>
      <c r="C17" s="24" t="s">
        <v>411</v>
      </c>
      <c r="D17" s="24" t="s">
        <v>33</v>
      </c>
      <c r="E17" s="24" t="s">
        <v>39</v>
      </c>
      <c r="F17" s="24">
        <v>150</v>
      </c>
      <c r="G17" s="24">
        <v>115</v>
      </c>
      <c r="H17" s="24">
        <v>231516</v>
      </c>
      <c r="I17" s="24" t="s">
        <v>38</v>
      </c>
      <c r="J17" s="24">
        <v>232080</v>
      </c>
      <c r="K17" s="23" t="s">
        <v>30</v>
      </c>
      <c r="L17" s="23" t="str">
        <f>VLOOKUP(C17,'Trips&amp;Operators'!$C$1:$E$9999,3,FALSE)</f>
        <v>COOLAHAN</v>
      </c>
      <c r="M17" s="22" t="s">
        <v>29</v>
      </c>
      <c r="N17" s="23"/>
    </row>
    <row r="18" spans="1:14" s="21" customFormat="1" x14ac:dyDescent="0.25">
      <c r="A18" s="25">
        <v>42492.596238425926</v>
      </c>
      <c r="B18" s="24" t="s">
        <v>104</v>
      </c>
      <c r="C18" s="24" t="s">
        <v>412</v>
      </c>
      <c r="D18" s="24" t="s">
        <v>35</v>
      </c>
      <c r="E18" s="24" t="s">
        <v>39</v>
      </c>
      <c r="F18" s="24">
        <v>600</v>
      </c>
      <c r="G18" s="24">
        <v>656</v>
      </c>
      <c r="H18" s="24">
        <v>184153</v>
      </c>
      <c r="I18" s="24" t="s">
        <v>38</v>
      </c>
      <c r="J18" s="24">
        <v>190834</v>
      </c>
      <c r="K18" s="23" t="s">
        <v>34</v>
      </c>
      <c r="L18" s="23" t="str">
        <f>VLOOKUP(C18,'Trips&amp;Operators'!$C$1:$E$9999,3,FALSE)</f>
        <v>COOLAHAN</v>
      </c>
      <c r="M18" s="22" t="s">
        <v>29</v>
      </c>
      <c r="N18" s="23"/>
    </row>
    <row r="19" spans="1:14" s="21" customFormat="1" x14ac:dyDescent="0.25">
      <c r="A19" s="25">
        <v>42492.614166666666</v>
      </c>
      <c r="B19" s="24" t="s">
        <v>104</v>
      </c>
      <c r="C19" s="24" t="s">
        <v>412</v>
      </c>
      <c r="D19" s="24" t="s">
        <v>33</v>
      </c>
      <c r="E19" s="24" t="s">
        <v>39</v>
      </c>
      <c r="F19" s="24">
        <v>450</v>
      </c>
      <c r="G19" s="24">
        <v>462</v>
      </c>
      <c r="H19" s="24">
        <v>17117</v>
      </c>
      <c r="I19" s="24" t="s">
        <v>38</v>
      </c>
      <c r="J19" s="24">
        <v>15167</v>
      </c>
      <c r="K19" s="23" t="s">
        <v>34</v>
      </c>
      <c r="L19" s="23" t="str">
        <f>VLOOKUP(C19,'Trips&amp;Operators'!$C$1:$E$9999,3,FALSE)</f>
        <v>COOLAHAN</v>
      </c>
      <c r="M19" s="22" t="s">
        <v>29</v>
      </c>
      <c r="N19" s="23"/>
    </row>
    <row r="20" spans="1:14" s="21" customFormat="1" x14ac:dyDescent="0.25">
      <c r="A20" s="25">
        <v>42492.629652777781</v>
      </c>
      <c r="B20" s="24" t="s">
        <v>324</v>
      </c>
      <c r="C20" s="24" t="s">
        <v>414</v>
      </c>
      <c r="D20" s="24" t="s">
        <v>33</v>
      </c>
      <c r="E20" s="24" t="s">
        <v>39</v>
      </c>
      <c r="F20" s="24">
        <v>150</v>
      </c>
      <c r="G20" s="24">
        <v>119</v>
      </c>
      <c r="H20" s="24">
        <v>231481</v>
      </c>
      <c r="I20" s="24" t="s">
        <v>38</v>
      </c>
      <c r="J20" s="24">
        <v>232080</v>
      </c>
      <c r="K20" s="23" t="s">
        <v>30</v>
      </c>
      <c r="L20" s="23" t="str">
        <f>VLOOKUP(C20,'Trips&amp;Operators'!$C$1:$E$9999,3,FALSE)</f>
        <v>WEBSTER</v>
      </c>
      <c r="M20" s="22" t="s">
        <v>29</v>
      </c>
      <c r="N20" s="23"/>
    </row>
    <row r="21" spans="1:14" s="21" customFormat="1" x14ac:dyDescent="0.25">
      <c r="A21" s="25">
        <v>42492.640960648147</v>
      </c>
      <c r="B21" s="24" t="s">
        <v>63</v>
      </c>
      <c r="C21" s="24" t="s">
        <v>416</v>
      </c>
      <c r="D21" s="24" t="s">
        <v>33</v>
      </c>
      <c r="E21" s="24" t="s">
        <v>39</v>
      </c>
      <c r="F21" s="24">
        <v>300</v>
      </c>
      <c r="G21" s="24">
        <v>256</v>
      </c>
      <c r="H21" s="24">
        <v>19784</v>
      </c>
      <c r="I21" s="24" t="s">
        <v>38</v>
      </c>
      <c r="J21" s="24">
        <v>20338</v>
      </c>
      <c r="K21" s="23" t="s">
        <v>30</v>
      </c>
      <c r="L21" s="23" t="str">
        <f>VLOOKUP(C21,'Trips&amp;Operators'!$C$1:$E$9999,3,FALSE)</f>
        <v>BEAM</v>
      </c>
      <c r="M21" s="22" t="s">
        <v>29</v>
      </c>
      <c r="N21" s="23"/>
    </row>
    <row r="22" spans="1:14" s="21" customFormat="1" x14ac:dyDescent="0.25">
      <c r="A22" s="25">
        <v>42492.681701388887</v>
      </c>
      <c r="B22" s="24" t="s">
        <v>320</v>
      </c>
      <c r="C22" s="24" t="s">
        <v>418</v>
      </c>
      <c r="D22" s="24" t="s">
        <v>33</v>
      </c>
      <c r="E22" s="24" t="s">
        <v>39</v>
      </c>
      <c r="F22" s="24">
        <v>150</v>
      </c>
      <c r="G22" s="24">
        <v>124</v>
      </c>
      <c r="H22" s="24">
        <v>231545</v>
      </c>
      <c r="I22" s="24" t="s">
        <v>38</v>
      </c>
      <c r="J22" s="24">
        <v>232107</v>
      </c>
      <c r="K22" s="23" t="s">
        <v>30</v>
      </c>
      <c r="L22" s="23" t="str">
        <f>VLOOKUP(C22,'Trips&amp;Operators'!$C$1:$E$9999,3,FALSE)</f>
        <v>REBOLETTI</v>
      </c>
      <c r="M22" s="22" t="s">
        <v>29</v>
      </c>
      <c r="N22" s="23"/>
    </row>
    <row r="23" spans="1:14" s="21" customFormat="1" x14ac:dyDescent="0.25">
      <c r="A23" s="25">
        <v>42492.683645833335</v>
      </c>
      <c r="B23" s="24" t="s">
        <v>324</v>
      </c>
      <c r="C23" s="24" t="s">
        <v>419</v>
      </c>
      <c r="D23" s="24" t="s">
        <v>33</v>
      </c>
      <c r="E23" s="24" t="s">
        <v>39</v>
      </c>
      <c r="F23" s="24">
        <v>200</v>
      </c>
      <c r="G23" s="24">
        <v>230</v>
      </c>
      <c r="H23" s="24">
        <v>26811</v>
      </c>
      <c r="I23" s="24" t="s">
        <v>38</v>
      </c>
      <c r="J23" s="24">
        <v>27333</v>
      </c>
      <c r="K23" s="23" t="s">
        <v>30</v>
      </c>
      <c r="L23" s="23" t="str">
        <f>VLOOKUP(C23,'Trips&amp;Operators'!$C$1:$E$9999,3,FALSE)</f>
        <v>WEBSTER</v>
      </c>
      <c r="M23" s="22" t="s">
        <v>29</v>
      </c>
      <c r="N23" s="23"/>
    </row>
    <row r="24" spans="1:14" s="21" customFormat="1" x14ac:dyDescent="0.25">
      <c r="A24" s="25">
        <v>42492.690138888887</v>
      </c>
      <c r="B24" s="24" t="s">
        <v>329</v>
      </c>
      <c r="C24" s="24" t="s">
        <v>420</v>
      </c>
      <c r="D24" s="24" t="s">
        <v>33</v>
      </c>
      <c r="E24" s="24" t="s">
        <v>39</v>
      </c>
      <c r="F24" s="24">
        <v>350</v>
      </c>
      <c r="G24" s="24">
        <v>392</v>
      </c>
      <c r="H24" s="24">
        <v>223854</v>
      </c>
      <c r="I24" s="24" t="s">
        <v>38</v>
      </c>
      <c r="J24" s="24">
        <v>224578</v>
      </c>
      <c r="K24" s="23" t="s">
        <v>30</v>
      </c>
      <c r="L24" s="23" t="str">
        <f>VLOOKUP(C24,'Trips&amp;Operators'!$C$1:$E$9999,3,FALSE)</f>
        <v>YORK</v>
      </c>
      <c r="M24" s="22" t="s">
        <v>29</v>
      </c>
      <c r="N24" s="23"/>
    </row>
    <row r="25" spans="1:14" s="21" customFormat="1" x14ac:dyDescent="0.25">
      <c r="A25" s="25">
        <v>42492.691863425927</v>
      </c>
      <c r="B25" s="24" t="s">
        <v>90</v>
      </c>
      <c r="C25" s="24" t="s">
        <v>421</v>
      </c>
      <c r="D25" s="24" t="s">
        <v>33</v>
      </c>
      <c r="E25" s="24" t="s">
        <v>39</v>
      </c>
      <c r="F25" s="24">
        <v>300</v>
      </c>
      <c r="G25" s="24">
        <v>307</v>
      </c>
      <c r="H25" s="24">
        <v>20242</v>
      </c>
      <c r="I25" s="24" t="s">
        <v>38</v>
      </c>
      <c r="J25" s="24">
        <v>20338</v>
      </c>
      <c r="K25" s="23" t="s">
        <v>30</v>
      </c>
      <c r="L25" s="23" t="str">
        <f>VLOOKUP(C25,'Trips&amp;Operators'!$C$1:$E$9999,3,FALSE)</f>
        <v>CANFIELD</v>
      </c>
      <c r="M25" s="22" t="s">
        <v>29</v>
      </c>
      <c r="N25" s="23"/>
    </row>
    <row r="26" spans="1:14" s="21" customFormat="1" x14ac:dyDescent="0.25">
      <c r="A26" s="25">
        <v>42492.869421296295</v>
      </c>
      <c r="B26" s="24" t="s">
        <v>75</v>
      </c>
      <c r="C26" s="24" t="s">
        <v>431</v>
      </c>
      <c r="D26" s="24" t="s">
        <v>35</v>
      </c>
      <c r="E26" s="24" t="s">
        <v>39</v>
      </c>
      <c r="F26" s="24">
        <v>600</v>
      </c>
      <c r="G26" s="24">
        <v>654</v>
      </c>
      <c r="H26" s="24">
        <v>123651</v>
      </c>
      <c r="I26" s="24" t="s">
        <v>38</v>
      </c>
      <c r="J26" s="24">
        <v>119716</v>
      </c>
      <c r="K26" s="23" t="s">
        <v>30</v>
      </c>
      <c r="L26" s="23" t="str">
        <f>VLOOKUP(C26,'Trips&amp;Operators'!$C$1:$E$9999,3,FALSE)</f>
        <v>STRICKLAND</v>
      </c>
      <c r="M26" s="22" t="s">
        <v>29</v>
      </c>
      <c r="N26" s="23"/>
    </row>
    <row r="27" spans="1:14" s="21" customFormat="1" x14ac:dyDescent="0.25">
      <c r="A27" s="25">
        <v>42492.873645833337</v>
      </c>
      <c r="B27" s="24" t="s">
        <v>331</v>
      </c>
      <c r="C27" s="24" t="s">
        <v>432</v>
      </c>
      <c r="D27" s="24" t="s">
        <v>33</v>
      </c>
      <c r="E27" s="24" t="s">
        <v>39</v>
      </c>
      <c r="F27" s="24">
        <v>200</v>
      </c>
      <c r="G27" s="24">
        <v>240</v>
      </c>
      <c r="H27" s="24">
        <v>30660</v>
      </c>
      <c r="I27" s="24" t="s">
        <v>38</v>
      </c>
      <c r="J27" s="24">
        <v>30562</v>
      </c>
      <c r="K27" s="23" t="s">
        <v>34</v>
      </c>
      <c r="L27" s="23" t="str">
        <f>VLOOKUP(C27,'Trips&amp;Operators'!$C$1:$E$9999,3,FALSE)</f>
        <v>JACKSON</v>
      </c>
      <c r="M27" s="22" t="s">
        <v>29</v>
      </c>
      <c r="N27" s="23"/>
    </row>
    <row r="28" spans="1:14" s="21" customFormat="1" x14ac:dyDescent="0.25">
      <c r="A28" s="25">
        <v>42492.916597222225</v>
      </c>
      <c r="B28" s="24" t="s">
        <v>104</v>
      </c>
      <c r="C28" s="24" t="s">
        <v>433</v>
      </c>
      <c r="D28" s="24" t="s">
        <v>35</v>
      </c>
      <c r="E28" s="24" t="s">
        <v>39</v>
      </c>
      <c r="F28" s="24">
        <v>200</v>
      </c>
      <c r="G28" s="24">
        <v>253</v>
      </c>
      <c r="H28" s="24">
        <v>27291</v>
      </c>
      <c r="I28" s="24" t="s">
        <v>38</v>
      </c>
      <c r="J28" s="24">
        <v>30562</v>
      </c>
      <c r="K28" s="23" t="s">
        <v>34</v>
      </c>
      <c r="L28" s="23" t="str">
        <f>VLOOKUP(C28,'Trips&amp;Operators'!$C$1:$E$9999,3,FALSE)</f>
        <v>STRICKLAND</v>
      </c>
      <c r="M28" s="22" t="s">
        <v>29</v>
      </c>
      <c r="N28" s="23"/>
    </row>
    <row r="29" spans="1:14" s="21" customFormat="1" x14ac:dyDescent="0.25">
      <c r="A29" s="25">
        <v>42492.936307870368</v>
      </c>
      <c r="B29" s="24" t="s">
        <v>315</v>
      </c>
      <c r="C29" s="24" t="s">
        <v>436</v>
      </c>
      <c r="D29" s="24" t="s">
        <v>33</v>
      </c>
      <c r="E29" s="24" t="s">
        <v>39</v>
      </c>
      <c r="F29" s="24">
        <v>150</v>
      </c>
      <c r="G29" s="24">
        <v>184</v>
      </c>
      <c r="H29" s="24">
        <v>229273</v>
      </c>
      <c r="I29" s="24" t="s">
        <v>38</v>
      </c>
      <c r="J29" s="24">
        <v>229055</v>
      </c>
      <c r="K29" s="23" t="s">
        <v>34</v>
      </c>
      <c r="L29" s="23" t="str">
        <f>VLOOKUP(C29,'Trips&amp;Operators'!$C$1:$E$9999,3,FALSE)</f>
        <v>JACKSON</v>
      </c>
      <c r="M29" s="22" t="s">
        <v>29</v>
      </c>
      <c r="N29" s="23"/>
    </row>
    <row r="30" spans="1:14" s="21" customFormat="1" x14ac:dyDescent="0.25">
      <c r="A30" s="25">
        <v>42492.940671296295</v>
      </c>
      <c r="B30" s="24" t="s">
        <v>69</v>
      </c>
      <c r="C30" s="24" t="s">
        <v>437</v>
      </c>
      <c r="D30" s="24" t="s">
        <v>33</v>
      </c>
      <c r="E30" s="24" t="s">
        <v>39</v>
      </c>
      <c r="F30" s="24">
        <v>350</v>
      </c>
      <c r="G30" s="24">
        <v>372</v>
      </c>
      <c r="H30" s="24">
        <v>224520</v>
      </c>
      <c r="I30" s="24" t="s">
        <v>38</v>
      </c>
      <c r="J30" s="24">
        <v>224578</v>
      </c>
      <c r="K30" s="23" t="s">
        <v>30</v>
      </c>
      <c r="L30" s="23" t="str">
        <f>VLOOKUP(C30,'Trips&amp;Operators'!$C$1:$E$9999,3,FALSE)</f>
        <v>STORY</v>
      </c>
      <c r="M30" s="22" t="s">
        <v>29</v>
      </c>
      <c r="N30" s="23"/>
    </row>
    <row r="31" spans="1:14" s="21" customFormat="1" x14ac:dyDescent="0.25">
      <c r="A31" s="25">
        <v>42492.984780092593</v>
      </c>
      <c r="B31" s="24" t="s">
        <v>434</v>
      </c>
      <c r="C31" s="24" t="s">
        <v>438</v>
      </c>
      <c r="D31" s="24" t="s">
        <v>33</v>
      </c>
      <c r="E31" s="24" t="s">
        <v>39</v>
      </c>
      <c r="F31" s="24">
        <v>300</v>
      </c>
      <c r="G31" s="24">
        <v>253</v>
      </c>
      <c r="H31" s="24">
        <v>19701</v>
      </c>
      <c r="I31" s="24" t="s">
        <v>38</v>
      </c>
      <c r="J31" s="24">
        <v>20338</v>
      </c>
      <c r="K31" s="23" t="s">
        <v>30</v>
      </c>
      <c r="L31" s="23" t="str">
        <f>VLOOKUP(C31,'Trips&amp;Operators'!$C$1:$E$9999,3,FALSE)</f>
        <v>JACKSON</v>
      </c>
      <c r="M31" s="22" t="s">
        <v>29</v>
      </c>
      <c r="N31" s="23"/>
    </row>
    <row r="32" spans="1:14" s="21" customFormat="1" x14ac:dyDescent="0.25">
      <c r="A32" s="25">
        <v>42493.024884259263</v>
      </c>
      <c r="B32" s="24" t="s">
        <v>75</v>
      </c>
      <c r="C32" s="24" t="s">
        <v>439</v>
      </c>
      <c r="D32" s="24" t="s">
        <v>33</v>
      </c>
      <c r="E32" s="24" t="s">
        <v>39</v>
      </c>
      <c r="F32" s="24">
        <v>300</v>
      </c>
      <c r="G32" s="24">
        <v>281</v>
      </c>
      <c r="H32" s="24">
        <v>20119</v>
      </c>
      <c r="I32" s="24" t="s">
        <v>38</v>
      </c>
      <c r="J32" s="24">
        <v>20338</v>
      </c>
      <c r="K32" s="23" t="s">
        <v>30</v>
      </c>
      <c r="L32" s="23" t="str">
        <f>VLOOKUP(C32,'Trips&amp;Operators'!$C$1:$E$9999,3,FALSE)</f>
        <v>STRICKLAND</v>
      </c>
      <c r="M32" s="22" t="s">
        <v>29</v>
      </c>
      <c r="N32" s="23"/>
    </row>
    <row r="33" spans="1:14" s="21" customFormat="1" x14ac:dyDescent="0.25">
      <c r="A33" s="25">
        <v>42493.02679398148</v>
      </c>
      <c r="B33" s="24" t="s">
        <v>75</v>
      </c>
      <c r="C33" s="24" t="s">
        <v>439</v>
      </c>
      <c r="D33" s="24" t="s">
        <v>33</v>
      </c>
      <c r="E33" s="24" t="s">
        <v>39</v>
      </c>
      <c r="F33" s="24">
        <v>200</v>
      </c>
      <c r="G33" s="24">
        <v>227</v>
      </c>
      <c r="H33" s="24">
        <v>27273</v>
      </c>
      <c r="I33" s="24" t="s">
        <v>38</v>
      </c>
      <c r="J33" s="24">
        <v>27333</v>
      </c>
      <c r="K33" s="23" t="s">
        <v>30</v>
      </c>
      <c r="L33" s="23" t="str">
        <f>VLOOKUP(C33,'Trips&amp;Operators'!$C$1:$E$9999,3,FALSE)</f>
        <v>STRICKLAND</v>
      </c>
      <c r="M33" s="22" t="s">
        <v>29</v>
      </c>
      <c r="N33" s="23"/>
    </row>
    <row r="34" spans="1:14" s="21" customFormat="1" x14ac:dyDescent="0.25">
      <c r="A34" s="25">
        <v>42493.064375000002</v>
      </c>
      <c r="B34" s="24" t="s">
        <v>104</v>
      </c>
      <c r="C34" s="24" t="s">
        <v>440</v>
      </c>
      <c r="D34" s="24" t="s">
        <v>35</v>
      </c>
      <c r="E34" s="24" t="s">
        <v>39</v>
      </c>
      <c r="F34" s="24">
        <v>600</v>
      </c>
      <c r="G34" s="24">
        <v>650</v>
      </c>
      <c r="H34" s="24">
        <v>184102</v>
      </c>
      <c r="I34" s="24" t="s">
        <v>38</v>
      </c>
      <c r="J34" s="24">
        <v>190834</v>
      </c>
      <c r="K34" s="23" t="s">
        <v>34</v>
      </c>
      <c r="L34" s="23" t="str">
        <f>VLOOKUP(C34,'Trips&amp;Operators'!$C$1:$E$9999,3,FALSE)</f>
        <v>STRICKLAND</v>
      </c>
      <c r="M34" s="22" t="s">
        <v>29</v>
      </c>
      <c r="N34" s="23"/>
    </row>
    <row r="35" spans="1:14" s="21" customFormat="1" x14ac:dyDescent="0.25">
      <c r="A35" s="25">
        <v>42492.251168981478</v>
      </c>
      <c r="B35" s="24" t="s">
        <v>320</v>
      </c>
      <c r="C35" s="24" t="s">
        <v>373</v>
      </c>
      <c r="D35" s="24" t="s">
        <v>35</v>
      </c>
      <c r="E35" s="24" t="s">
        <v>37</v>
      </c>
      <c r="F35" s="24">
        <v>0</v>
      </c>
      <c r="G35" s="24">
        <v>63</v>
      </c>
      <c r="H35" s="24">
        <v>1790</v>
      </c>
      <c r="I35" s="24" t="s">
        <v>36</v>
      </c>
      <c r="J35" s="24">
        <v>1692</v>
      </c>
      <c r="K35" s="23" t="s">
        <v>30</v>
      </c>
      <c r="L35" s="23" t="str">
        <f>VLOOKUP(C35,'Trips&amp;Operators'!$C$1:$E$9999,3,FALSE)</f>
        <v>CHANDLER</v>
      </c>
      <c r="M35" s="22" t="s">
        <v>29</v>
      </c>
      <c r="N35" s="23" t="s">
        <v>608</v>
      </c>
    </row>
    <row r="36" spans="1:14" s="21" customFormat="1" x14ac:dyDescent="0.25">
      <c r="A36" s="25">
        <v>42492.416122685187</v>
      </c>
      <c r="B36" s="24" t="s">
        <v>331</v>
      </c>
      <c r="C36" s="24" t="s">
        <v>396</v>
      </c>
      <c r="D36" s="24" t="s">
        <v>33</v>
      </c>
      <c r="E36" s="24" t="s">
        <v>37</v>
      </c>
      <c r="F36" s="24">
        <v>0</v>
      </c>
      <c r="G36" s="24">
        <v>430</v>
      </c>
      <c r="H36" s="24">
        <v>223700</v>
      </c>
      <c r="I36" s="24" t="s">
        <v>36</v>
      </c>
      <c r="J36" s="24">
        <v>219875</v>
      </c>
      <c r="K36" s="23" t="s">
        <v>34</v>
      </c>
      <c r="L36" s="23" t="str">
        <f>VLOOKUP(C36,'Trips&amp;Operators'!$C$1:$E$9999,3,FALSE)</f>
        <v>MALAVE</v>
      </c>
      <c r="M36" s="22" t="s">
        <v>603</v>
      </c>
      <c r="N36" s="23" t="s">
        <v>609</v>
      </c>
    </row>
    <row r="37" spans="1:14" s="21" customFormat="1" x14ac:dyDescent="0.25">
      <c r="A37" s="25">
        <v>42492.416250000002</v>
      </c>
      <c r="B37" s="24" t="s">
        <v>320</v>
      </c>
      <c r="C37" s="24" t="s">
        <v>321</v>
      </c>
      <c r="D37" s="24" t="s">
        <v>33</v>
      </c>
      <c r="E37" s="24" t="s">
        <v>37</v>
      </c>
      <c r="F37" s="24">
        <v>0</v>
      </c>
      <c r="G37" s="24">
        <v>702</v>
      </c>
      <c r="H37" s="24">
        <v>167153</v>
      </c>
      <c r="I37" s="24" t="s">
        <v>36</v>
      </c>
      <c r="J37" s="24">
        <v>168003</v>
      </c>
      <c r="K37" s="23" t="s">
        <v>30</v>
      </c>
      <c r="L37" s="23" t="str">
        <f>VLOOKUP(C37,'Trips&amp;Operators'!$C$1:$E$9999,3,FALSE)</f>
        <v>CHANDLER</v>
      </c>
      <c r="M37" s="22" t="s">
        <v>603</v>
      </c>
      <c r="N37" s="23" t="s">
        <v>609</v>
      </c>
    </row>
    <row r="38" spans="1:14" s="21" customFormat="1" x14ac:dyDescent="0.25">
      <c r="A38" s="25">
        <v>42492.418692129628</v>
      </c>
      <c r="B38" s="24" t="s">
        <v>331</v>
      </c>
      <c r="C38" s="24" t="s">
        <v>396</v>
      </c>
      <c r="D38" s="24" t="s">
        <v>33</v>
      </c>
      <c r="E38" s="24" t="s">
        <v>37</v>
      </c>
      <c r="F38" s="24">
        <v>0</v>
      </c>
      <c r="G38" s="24">
        <v>456</v>
      </c>
      <c r="H38" s="24">
        <v>195162</v>
      </c>
      <c r="I38" s="24" t="s">
        <v>36</v>
      </c>
      <c r="J38" s="24">
        <v>191723</v>
      </c>
      <c r="K38" s="23" t="s">
        <v>34</v>
      </c>
      <c r="L38" s="23" t="str">
        <f>VLOOKUP(C38,'Trips&amp;Operators'!$C$1:$E$9999,3,FALSE)</f>
        <v>MALAVE</v>
      </c>
      <c r="M38" s="22" t="s">
        <v>29</v>
      </c>
      <c r="N38" s="23" t="s">
        <v>610</v>
      </c>
    </row>
    <row r="39" spans="1:14" s="21" customFormat="1" x14ac:dyDescent="0.25">
      <c r="A39" s="25">
        <v>42492.501134259262</v>
      </c>
      <c r="B39" s="24" t="s">
        <v>349</v>
      </c>
      <c r="C39" s="24" t="s">
        <v>402</v>
      </c>
      <c r="D39" s="24" t="s">
        <v>33</v>
      </c>
      <c r="E39" s="24" t="s">
        <v>37</v>
      </c>
      <c r="F39" s="24">
        <v>0</v>
      </c>
      <c r="G39" s="24">
        <v>623</v>
      </c>
      <c r="H39" s="24">
        <v>195788</v>
      </c>
      <c r="I39" s="24" t="s">
        <v>36</v>
      </c>
      <c r="J39" s="24">
        <v>191723</v>
      </c>
      <c r="K39" s="23" t="s">
        <v>34</v>
      </c>
      <c r="L39" s="23" t="str">
        <f>VLOOKUP(C39,'Trips&amp;Operators'!$C$1:$E$9999,3,FALSE)</f>
        <v>MALAVE</v>
      </c>
      <c r="M39" s="22" t="s">
        <v>29</v>
      </c>
      <c r="N39" s="23" t="s">
        <v>610</v>
      </c>
    </row>
    <row r="40" spans="1:14" s="21" customFormat="1" x14ac:dyDescent="0.25">
      <c r="A40" s="25">
        <v>42492.870636574073</v>
      </c>
      <c r="B40" s="24" t="s">
        <v>331</v>
      </c>
      <c r="C40" s="24" t="s">
        <v>432</v>
      </c>
      <c r="D40" s="24" t="s">
        <v>33</v>
      </c>
      <c r="E40" s="24" t="s">
        <v>37</v>
      </c>
      <c r="F40" s="24">
        <v>0</v>
      </c>
      <c r="G40" s="24">
        <v>404</v>
      </c>
      <c r="H40" s="24">
        <v>39102</v>
      </c>
      <c r="I40" s="24" t="s">
        <v>36</v>
      </c>
      <c r="J40" s="24">
        <v>38656</v>
      </c>
      <c r="K40" s="23" t="s">
        <v>34</v>
      </c>
      <c r="L40" s="23" t="str">
        <f>VLOOKUP(C40,'Trips&amp;Operators'!$C$1:$E$9999,3,FALSE)</f>
        <v>JACKSON</v>
      </c>
      <c r="M40" s="22" t="s">
        <v>603</v>
      </c>
      <c r="N40" s="23" t="s">
        <v>611</v>
      </c>
    </row>
    <row r="41" spans="1:14" s="21" customFormat="1" x14ac:dyDescent="0.25">
      <c r="A41" s="25">
        <v>42492.213946759257</v>
      </c>
      <c r="B41" s="24" t="s">
        <v>90</v>
      </c>
      <c r="C41" s="24" t="s">
        <v>346</v>
      </c>
      <c r="D41" s="24" t="s">
        <v>33</v>
      </c>
      <c r="E41" s="24" t="s">
        <v>32</v>
      </c>
      <c r="F41" s="24">
        <v>0</v>
      </c>
      <c r="G41" s="24">
        <v>5</v>
      </c>
      <c r="H41" s="24">
        <v>233324</v>
      </c>
      <c r="I41" s="24" t="s">
        <v>31</v>
      </c>
      <c r="J41" s="24">
        <v>233491</v>
      </c>
      <c r="K41" s="23" t="s">
        <v>30</v>
      </c>
      <c r="L41" s="23" t="str">
        <f>VLOOKUP(C41,'Trips&amp;Operators'!$C$1:$E$9999,3,FALSE)</f>
        <v>DE LA ROSA</v>
      </c>
      <c r="M41" s="22" t="s">
        <v>29</v>
      </c>
      <c r="N41" s="23"/>
    </row>
    <row r="42" spans="1:14" s="21" customFormat="1" x14ac:dyDescent="0.25">
      <c r="A42" s="25">
        <v>42492.243472222224</v>
      </c>
      <c r="B42" s="24" t="s">
        <v>83</v>
      </c>
      <c r="C42" s="24" t="s">
        <v>343</v>
      </c>
      <c r="D42" s="24" t="s">
        <v>33</v>
      </c>
      <c r="E42" s="24" t="s">
        <v>32</v>
      </c>
      <c r="F42" s="24">
        <v>0</v>
      </c>
      <c r="G42" s="24">
        <v>8</v>
      </c>
      <c r="H42" s="24">
        <v>233338</v>
      </c>
      <c r="I42" s="24" t="s">
        <v>31</v>
      </c>
      <c r="J42" s="24">
        <v>233491</v>
      </c>
      <c r="K42" s="23" t="s">
        <v>30</v>
      </c>
      <c r="L42" s="23" t="str">
        <f>VLOOKUP(C42,'Trips&amp;Operators'!$C$1:$E$9999,3,FALSE)</f>
        <v>LEVIN</v>
      </c>
      <c r="M42" s="22" t="s">
        <v>29</v>
      </c>
      <c r="N42" s="23"/>
    </row>
    <row r="43" spans="1:14" s="21" customFormat="1" x14ac:dyDescent="0.25">
      <c r="A43" s="25">
        <v>42492.278761574074</v>
      </c>
      <c r="B43" s="24" t="s">
        <v>320</v>
      </c>
      <c r="C43" s="24" t="s">
        <v>373</v>
      </c>
      <c r="D43" s="24" t="s">
        <v>33</v>
      </c>
      <c r="E43" s="24" t="s">
        <v>32</v>
      </c>
      <c r="F43" s="24">
        <v>0</v>
      </c>
      <c r="G43" s="24">
        <v>62</v>
      </c>
      <c r="H43" s="24">
        <v>233238</v>
      </c>
      <c r="I43" s="24" t="s">
        <v>31</v>
      </c>
      <c r="J43" s="24">
        <v>233491</v>
      </c>
      <c r="K43" s="23" t="s">
        <v>30</v>
      </c>
      <c r="L43" s="23" t="str">
        <f>VLOOKUP(C43,'Trips&amp;Operators'!$C$1:$E$9999,3,FALSE)</f>
        <v>CHANDLER</v>
      </c>
      <c r="M43" s="22" t="s">
        <v>29</v>
      </c>
      <c r="N43" s="23"/>
    </row>
    <row r="44" spans="1:14" s="21" customFormat="1" x14ac:dyDescent="0.25">
      <c r="A44" s="25">
        <v>42492.285775462966</v>
      </c>
      <c r="B44" s="24" t="s">
        <v>90</v>
      </c>
      <c r="C44" s="24" t="s">
        <v>340</v>
      </c>
      <c r="D44" s="24" t="s">
        <v>33</v>
      </c>
      <c r="E44" s="24" t="s">
        <v>32</v>
      </c>
      <c r="F44" s="24">
        <v>0</v>
      </c>
      <c r="G44" s="24">
        <v>6</v>
      </c>
      <c r="H44" s="24">
        <v>233329</v>
      </c>
      <c r="I44" s="24" t="s">
        <v>31</v>
      </c>
      <c r="J44" s="24">
        <v>233491</v>
      </c>
      <c r="K44" s="23" t="s">
        <v>30</v>
      </c>
      <c r="L44" s="23" t="str">
        <f>VLOOKUP(C44,'Trips&amp;Operators'!$C$1:$E$9999,3,FALSE)</f>
        <v>DE LA ROSA</v>
      </c>
      <c r="M44" s="22" t="s">
        <v>29</v>
      </c>
      <c r="N44" s="23"/>
    </row>
    <row r="45" spans="1:14" s="21" customFormat="1" x14ac:dyDescent="0.25">
      <c r="A45" s="25">
        <v>42492.297037037039</v>
      </c>
      <c r="B45" s="24" t="s">
        <v>335</v>
      </c>
      <c r="C45" s="24" t="s">
        <v>336</v>
      </c>
      <c r="D45" s="24" t="s">
        <v>33</v>
      </c>
      <c r="E45" s="24" t="s">
        <v>32</v>
      </c>
      <c r="F45" s="24">
        <v>0</v>
      </c>
      <c r="G45" s="24">
        <v>7</v>
      </c>
      <c r="H45" s="24">
        <v>119</v>
      </c>
      <c r="I45" s="24" t="s">
        <v>31</v>
      </c>
      <c r="J45" s="24">
        <v>1</v>
      </c>
      <c r="K45" s="23" t="s">
        <v>34</v>
      </c>
      <c r="L45" s="23" t="str">
        <f>VLOOKUP(C45,'Trips&amp;Operators'!$C$1:$E$9999,3,FALSE)</f>
        <v>MALAVE</v>
      </c>
      <c r="M45" s="22" t="s">
        <v>29</v>
      </c>
      <c r="N45" s="23"/>
    </row>
    <row r="46" spans="1:14" s="21" customFormat="1" x14ac:dyDescent="0.25">
      <c r="A46" s="25">
        <v>42492.326006944444</v>
      </c>
      <c r="B46" s="24" t="s">
        <v>69</v>
      </c>
      <c r="C46" s="24" t="s">
        <v>347</v>
      </c>
      <c r="D46" s="24" t="s">
        <v>33</v>
      </c>
      <c r="E46" s="24" t="s">
        <v>32</v>
      </c>
      <c r="F46" s="24">
        <v>0</v>
      </c>
      <c r="G46" s="24">
        <v>6</v>
      </c>
      <c r="H46" s="24">
        <v>116</v>
      </c>
      <c r="I46" s="24" t="s">
        <v>31</v>
      </c>
      <c r="J46" s="24">
        <v>1</v>
      </c>
      <c r="K46" s="23" t="s">
        <v>34</v>
      </c>
      <c r="L46" s="23" t="str">
        <f>VLOOKUP(C46,'Trips&amp;Operators'!$C$1:$E$9999,3,FALSE)</f>
        <v>DE LA ROSA</v>
      </c>
      <c r="M46" s="22" t="s">
        <v>29</v>
      </c>
      <c r="N46" s="23"/>
    </row>
    <row r="47" spans="1:14" s="21" customFormat="1" x14ac:dyDescent="0.25">
      <c r="A47" s="25">
        <v>42492.33761574074</v>
      </c>
      <c r="B47" s="24" t="s">
        <v>324</v>
      </c>
      <c r="C47" s="24" t="s">
        <v>389</v>
      </c>
      <c r="D47" s="24" t="s">
        <v>33</v>
      </c>
      <c r="E47" s="24" t="s">
        <v>32</v>
      </c>
      <c r="F47" s="24">
        <v>0</v>
      </c>
      <c r="G47" s="24">
        <v>7</v>
      </c>
      <c r="H47" s="24">
        <v>233330</v>
      </c>
      <c r="I47" s="24" t="s">
        <v>31</v>
      </c>
      <c r="J47" s="24">
        <v>233491</v>
      </c>
      <c r="K47" s="23" t="s">
        <v>30</v>
      </c>
      <c r="L47" s="23" t="str">
        <f>VLOOKUP(C47,'Trips&amp;Operators'!$C$1:$E$9999,3,FALSE)</f>
        <v>BRUDER</v>
      </c>
      <c r="M47" s="22" t="s">
        <v>29</v>
      </c>
      <c r="N47" s="23"/>
    </row>
    <row r="48" spans="1:14" s="21" customFormat="1" x14ac:dyDescent="0.25">
      <c r="A48" s="25">
        <v>42492.348136574074</v>
      </c>
      <c r="B48" s="24" t="s">
        <v>320</v>
      </c>
      <c r="C48" s="24" t="s">
        <v>394</v>
      </c>
      <c r="D48" s="24" t="s">
        <v>33</v>
      </c>
      <c r="E48" s="24" t="s">
        <v>32</v>
      </c>
      <c r="F48" s="24">
        <v>0</v>
      </c>
      <c r="G48" s="24">
        <v>52</v>
      </c>
      <c r="H48" s="24">
        <v>233263</v>
      </c>
      <c r="I48" s="24" t="s">
        <v>31</v>
      </c>
      <c r="J48" s="24">
        <v>233491</v>
      </c>
      <c r="K48" s="23" t="s">
        <v>30</v>
      </c>
      <c r="L48" s="23" t="str">
        <f>VLOOKUP(C48,'Trips&amp;Operators'!$C$1:$E$9999,3,FALSE)</f>
        <v>CHANDLER</v>
      </c>
      <c r="M48" s="22" t="s">
        <v>29</v>
      </c>
      <c r="N48" s="23"/>
    </row>
    <row r="49" spans="1:14" s="21" customFormat="1" x14ac:dyDescent="0.25">
      <c r="A49" s="25">
        <v>42492.366377314815</v>
      </c>
      <c r="B49" s="24" t="s">
        <v>331</v>
      </c>
      <c r="C49" s="24" t="s">
        <v>332</v>
      </c>
      <c r="D49" s="24" t="s">
        <v>33</v>
      </c>
      <c r="E49" s="24" t="s">
        <v>32</v>
      </c>
      <c r="F49" s="24">
        <v>0</v>
      </c>
      <c r="G49" s="24">
        <v>9</v>
      </c>
      <c r="H49" s="24">
        <v>94</v>
      </c>
      <c r="I49" s="24" t="s">
        <v>31</v>
      </c>
      <c r="J49" s="24">
        <v>1</v>
      </c>
      <c r="K49" s="23" t="s">
        <v>34</v>
      </c>
      <c r="L49" s="23" t="str">
        <f>VLOOKUP(C49,'Trips&amp;Operators'!$C$1:$E$9999,3,FALSE)</f>
        <v>MALAVE</v>
      </c>
      <c r="M49" s="22" t="s">
        <v>29</v>
      </c>
      <c r="N49" s="23"/>
    </row>
    <row r="50" spans="1:14" s="21" customFormat="1" x14ac:dyDescent="0.25">
      <c r="A50" s="25">
        <v>42492.368981481479</v>
      </c>
      <c r="B50" s="24" t="s">
        <v>63</v>
      </c>
      <c r="C50" s="24" t="s">
        <v>376</v>
      </c>
      <c r="D50" s="24" t="s">
        <v>33</v>
      </c>
      <c r="E50" s="24" t="s">
        <v>32</v>
      </c>
      <c r="F50" s="24">
        <v>0</v>
      </c>
      <c r="G50" s="24">
        <v>65</v>
      </c>
      <c r="H50" s="24">
        <v>233287</v>
      </c>
      <c r="I50" s="24" t="s">
        <v>31</v>
      </c>
      <c r="J50" s="24">
        <v>233491</v>
      </c>
      <c r="K50" s="23" t="s">
        <v>30</v>
      </c>
      <c r="L50" s="23" t="str">
        <f>VLOOKUP(C50,'Trips&amp;Operators'!$C$1:$E$9999,3,FALSE)</f>
        <v>SPECTOR</v>
      </c>
      <c r="M50" s="22" t="s">
        <v>29</v>
      </c>
      <c r="N50" s="23"/>
    </row>
    <row r="51" spans="1:14" s="21" customFormat="1" x14ac:dyDescent="0.25">
      <c r="A51" s="25">
        <v>42492.377384259256</v>
      </c>
      <c r="B51" s="24" t="s">
        <v>324</v>
      </c>
      <c r="C51" s="24" t="s">
        <v>389</v>
      </c>
      <c r="D51" s="24" t="s">
        <v>33</v>
      </c>
      <c r="E51" s="24" t="s">
        <v>32</v>
      </c>
      <c r="F51" s="24">
        <v>0</v>
      </c>
      <c r="G51" s="24">
        <v>8</v>
      </c>
      <c r="H51" s="24">
        <v>123</v>
      </c>
      <c r="I51" s="24" t="s">
        <v>31</v>
      </c>
      <c r="J51" s="24">
        <v>1</v>
      </c>
      <c r="K51" s="23" t="s">
        <v>34</v>
      </c>
      <c r="L51" s="23" t="str">
        <f>VLOOKUP(C51,'Trips&amp;Operators'!$C$1:$E$9999,3,FALSE)</f>
        <v>BRUDER</v>
      </c>
      <c r="M51" s="22" t="s">
        <v>29</v>
      </c>
      <c r="N51" s="23"/>
    </row>
    <row r="52" spans="1:14" s="21" customFormat="1" x14ac:dyDescent="0.25">
      <c r="A52" s="25">
        <v>42492.378761574073</v>
      </c>
      <c r="B52" s="24" t="s">
        <v>116</v>
      </c>
      <c r="C52" s="24" t="s">
        <v>351</v>
      </c>
      <c r="D52" s="24" t="s">
        <v>33</v>
      </c>
      <c r="E52" s="24" t="s">
        <v>32</v>
      </c>
      <c r="F52" s="24">
        <v>0</v>
      </c>
      <c r="G52" s="24">
        <v>4</v>
      </c>
      <c r="H52" s="24">
        <v>233341</v>
      </c>
      <c r="I52" s="24" t="s">
        <v>31</v>
      </c>
      <c r="J52" s="24">
        <v>233491</v>
      </c>
      <c r="K52" s="23" t="s">
        <v>30</v>
      </c>
      <c r="L52" s="23" t="str">
        <f>VLOOKUP(C52,'Trips&amp;Operators'!$C$1:$E$9999,3,FALSE)</f>
        <v>NEWELL</v>
      </c>
      <c r="M52" s="22" t="s">
        <v>29</v>
      </c>
      <c r="N52" s="23"/>
    </row>
    <row r="53" spans="1:14" s="21" customFormat="1" x14ac:dyDescent="0.25">
      <c r="A53" s="25">
        <v>42492.410590277781</v>
      </c>
      <c r="B53" s="24" t="s">
        <v>324</v>
      </c>
      <c r="C53" s="24" t="s">
        <v>325</v>
      </c>
      <c r="D53" s="24" t="s">
        <v>33</v>
      </c>
      <c r="E53" s="24" t="s">
        <v>32</v>
      </c>
      <c r="F53" s="24">
        <v>0</v>
      </c>
      <c r="G53" s="24">
        <v>9</v>
      </c>
      <c r="H53" s="24">
        <v>233344</v>
      </c>
      <c r="I53" s="24" t="s">
        <v>31</v>
      </c>
      <c r="J53" s="24">
        <v>233491</v>
      </c>
      <c r="K53" s="23" t="s">
        <v>30</v>
      </c>
      <c r="L53" s="23" t="str">
        <f>VLOOKUP(C53,'Trips&amp;Operators'!$C$1:$E$9999,3,FALSE)</f>
        <v>BRUDER</v>
      </c>
      <c r="M53" s="22" t="s">
        <v>29</v>
      </c>
      <c r="N53" s="23"/>
    </row>
    <row r="54" spans="1:14" s="21" customFormat="1" x14ac:dyDescent="0.25">
      <c r="A54" s="25">
        <v>42492.424351851849</v>
      </c>
      <c r="B54" s="24" t="s">
        <v>320</v>
      </c>
      <c r="C54" s="24" t="s">
        <v>321</v>
      </c>
      <c r="D54" s="24" t="s">
        <v>33</v>
      </c>
      <c r="E54" s="24" t="s">
        <v>32</v>
      </c>
      <c r="F54" s="24">
        <v>0</v>
      </c>
      <c r="G54" s="24">
        <v>54</v>
      </c>
      <c r="H54" s="24">
        <v>233253</v>
      </c>
      <c r="I54" s="24" t="s">
        <v>31</v>
      </c>
      <c r="J54" s="24">
        <v>233491</v>
      </c>
      <c r="K54" s="23" t="s">
        <v>30</v>
      </c>
      <c r="L54" s="23" t="str">
        <f>VLOOKUP(C54,'Trips&amp;Operators'!$C$1:$E$9999,3,FALSE)</f>
        <v>CHANDLER</v>
      </c>
      <c r="M54" s="22" t="s">
        <v>29</v>
      </c>
      <c r="N54" s="23"/>
    </row>
    <row r="55" spans="1:14" s="21" customFormat="1" x14ac:dyDescent="0.25">
      <c r="A55" s="25">
        <v>42492.442071759258</v>
      </c>
      <c r="B55" s="24" t="s">
        <v>331</v>
      </c>
      <c r="C55" s="24" t="s">
        <v>396</v>
      </c>
      <c r="D55" s="24" t="s">
        <v>33</v>
      </c>
      <c r="E55" s="24" t="s">
        <v>32</v>
      </c>
      <c r="F55" s="24">
        <v>0</v>
      </c>
      <c r="G55" s="24">
        <v>6</v>
      </c>
      <c r="H55" s="24">
        <v>112</v>
      </c>
      <c r="I55" s="24" t="s">
        <v>31</v>
      </c>
      <c r="J55" s="24">
        <v>1</v>
      </c>
      <c r="K55" s="23" t="s">
        <v>34</v>
      </c>
      <c r="L55" s="23" t="str">
        <f>VLOOKUP(C55,'Trips&amp;Operators'!$C$1:$E$9999,3,FALSE)</f>
        <v>MALAVE</v>
      </c>
      <c r="M55" s="22" t="s">
        <v>29</v>
      </c>
      <c r="N55" s="23"/>
    </row>
    <row r="56" spans="1:14" s="21" customFormat="1" x14ac:dyDescent="0.25">
      <c r="A56" s="25">
        <v>42492.482997685183</v>
      </c>
      <c r="B56" s="24" t="s">
        <v>324</v>
      </c>
      <c r="C56" s="24" t="s">
        <v>398</v>
      </c>
      <c r="D56" s="24" t="s">
        <v>33</v>
      </c>
      <c r="E56" s="24" t="s">
        <v>32</v>
      </c>
      <c r="F56" s="24">
        <v>0</v>
      </c>
      <c r="G56" s="24">
        <v>4</v>
      </c>
      <c r="H56" s="24">
        <v>233334</v>
      </c>
      <c r="I56" s="24" t="s">
        <v>31</v>
      </c>
      <c r="J56" s="24">
        <v>233491</v>
      </c>
      <c r="K56" s="23" t="s">
        <v>30</v>
      </c>
      <c r="L56" s="23" t="str">
        <f>VLOOKUP(C56,'Trips&amp;Operators'!$C$1:$E$9999,3,FALSE)</f>
        <v>MALAVE</v>
      </c>
      <c r="M56" s="22" t="s">
        <v>29</v>
      </c>
      <c r="N56" s="23"/>
    </row>
    <row r="57" spans="1:14" s="21" customFormat="1" x14ac:dyDescent="0.25">
      <c r="A57" s="25">
        <v>42492.491527777776</v>
      </c>
      <c r="B57" s="24" t="s">
        <v>67</v>
      </c>
      <c r="C57" s="24" t="s">
        <v>400</v>
      </c>
      <c r="D57" s="24" t="s">
        <v>33</v>
      </c>
      <c r="E57" s="24" t="s">
        <v>32</v>
      </c>
      <c r="F57" s="24">
        <v>0</v>
      </c>
      <c r="G57" s="24">
        <v>54</v>
      </c>
      <c r="H57" s="24">
        <v>200</v>
      </c>
      <c r="I57" s="24" t="s">
        <v>31</v>
      </c>
      <c r="J57" s="24">
        <v>1</v>
      </c>
      <c r="K57" s="23" t="s">
        <v>34</v>
      </c>
      <c r="L57" s="23" t="str">
        <f>VLOOKUP(C57,'Trips&amp;Operators'!$C$1:$E$9999,3,FALSE)</f>
        <v>ACKERMAN</v>
      </c>
      <c r="M57" s="22" t="s">
        <v>29</v>
      </c>
      <c r="N57" s="23"/>
    </row>
    <row r="58" spans="1:14" s="21" customFormat="1" x14ac:dyDescent="0.25">
      <c r="A58" s="25">
        <v>42492.493587962963</v>
      </c>
      <c r="B58" s="24" t="s">
        <v>320</v>
      </c>
      <c r="C58" s="24" t="s">
        <v>401</v>
      </c>
      <c r="D58" s="24" t="s">
        <v>33</v>
      </c>
      <c r="E58" s="24" t="s">
        <v>32</v>
      </c>
      <c r="F58" s="24">
        <v>0</v>
      </c>
      <c r="G58" s="24">
        <v>86</v>
      </c>
      <c r="H58" s="24">
        <v>233134</v>
      </c>
      <c r="I58" s="24" t="s">
        <v>31</v>
      </c>
      <c r="J58" s="24">
        <v>233491</v>
      </c>
      <c r="K58" s="23" t="s">
        <v>30</v>
      </c>
      <c r="L58" s="23" t="str">
        <f>VLOOKUP(C58,'Trips&amp;Operators'!$C$1:$E$9999,3,FALSE)</f>
        <v>COOLAHAN</v>
      </c>
      <c r="M58" s="22" t="s">
        <v>29</v>
      </c>
      <c r="N58" s="23"/>
    </row>
    <row r="59" spans="1:14" s="21" customFormat="1" x14ac:dyDescent="0.25">
      <c r="A59" s="25">
        <v>42492.50503472222</v>
      </c>
      <c r="B59" s="24" t="s">
        <v>69</v>
      </c>
      <c r="C59" s="24" t="s">
        <v>399</v>
      </c>
      <c r="D59" s="24" t="s">
        <v>33</v>
      </c>
      <c r="E59" s="24" t="s">
        <v>32</v>
      </c>
      <c r="F59" s="24">
        <v>0</v>
      </c>
      <c r="G59" s="24">
        <v>2</v>
      </c>
      <c r="H59" s="24">
        <v>233325</v>
      </c>
      <c r="I59" s="24" t="s">
        <v>31</v>
      </c>
      <c r="J59" s="24">
        <v>233491</v>
      </c>
      <c r="K59" s="23" t="s">
        <v>30</v>
      </c>
      <c r="L59" s="23" t="str">
        <f>VLOOKUP(C59,'Trips&amp;Operators'!$C$1:$E$9999,3,FALSE)</f>
        <v>DE LA ROSA</v>
      </c>
      <c r="M59" s="22" t="s">
        <v>29</v>
      </c>
      <c r="N59" s="23"/>
    </row>
    <row r="60" spans="1:14" s="21" customFormat="1" x14ac:dyDescent="0.25">
      <c r="A60" s="25">
        <v>42492.516157407408</v>
      </c>
      <c r="B60" s="24" t="s">
        <v>63</v>
      </c>
      <c r="C60" s="24" t="s">
        <v>403</v>
      </c>
      <c r="D60" s="24" t="s">
        <v>33</v>
      </c>
      <c r="E60" s="24" t="s">
        <v>32</v>
      </c>
      <c r="F60" s="24">
        <v>0</v>
      </c>
      <c r="G60" s="24">
        <v>47</v>
      </c>
      <c r="H60" s="24">
        <v>233308</v>
      </c>
      <c r="I60" s="24" t="s">
        <v>31</v>
      </c>
      <c r="J60" s="24">
        <v>233491</v>
      </c>
      <c r="K60" s="23" t="s">
        <v>30</v>
      </c>
      <c r="L60" s="23" t="str">
        <f>VLOOKUP(C60,'Trips&amp;Operators'!$C$1:$E$9999,3,FALSE)</f>
        <v>BEAM</v>
      </c>
      <c r="M60" s="22" t="s">
        <v>29</v>
      </c>
      <c r="N60" s="23"/>
    </row>
    <row r="61" spans="1:14" s="21" customFormat="1" x14ac:dyDescent="0.25">
      <c r="A61" s="25">
        <v>42492.538495370369</v>
      </c>
      <c r="B61" s="24" t="s">
        <v>69</v>
      </c>
      <c r="C61" s="24" t="s">
        <v>405</v>
      </c>
      <c r="D61" s="24" t="s">
        <v>33</v>
      </c>
      <c r="E61" s="24" t="s">
        <v>32</v>
      </c>
      <c r="F61" s="24">
        <v>0</v>
      </c>
      <c r="G61" s="24">
        <v>61</v>
      </c>
      <c r="H61" s="24">
        <v>211</v>
      </c>
      <c r="I61" s="24" t="s">
        <v>31</v>
      </c>
      <c r="J61" s="24">
        <v>1</v>
      </c>
      <c r="K61" s="23" t="s">
        <v>34</v>
      </c>
      <c r="L61" s="23" t="str">
        <f>VLOOKUP(C61,'Trips&amp;Operators'!$C$1:$E$9999,3,FALSE)</f>
        <v>CANFIELD</v>
      </c>
      <c r="M61" s="22" t="s">
        <v>29</v>
      </c>
      <c r="N61" s="23"/>
    </row>
    <row r="62" spans="1:14" s="21" customFormat="1" x14ac:dyDescent="0.25">
      <c r="A62" s="25">
        <v>42492.545902777776</v>
      </c>
      <c r="B62" s="24" t="s">
        <v>329</v>
      </c>
      <c r="C62" s="24" t="s">
        <v>404</v>
      </c>
      <c r="D62" s="24" t="s">
        <v>33</v>
      </c>
      <c r="E62" s="24" t="s">
        <v>32</v>
      </c>
      <c r="F62" s="24">
        <v>0</v>
      </c>
      <c r="G62" s="24">
        <v>7</v>
      </c>
      <c r="H62" s="24">
        <v>233320</v>
      </c>
      <c r="I62" s="24" t="s">
        <v>31</v>
      </c>
      <c r="J62" s="24">
        <v>233491</v>
      </c>
      <c r="K62" s="23" t="s">
        <v>30</v>
      </c>
      <c r="L62" s="23" t="str">
        <f>VLOOKUP(C62,'Trips&amp;Operators'!$C$1:$E$9999,3,FALSE)</f>
        <v>YORK</v>
      </c>
      <c r="M62" s="22" t="s">
        <v>29</v>
      </c>
      <c r="N62" s="23"/>
    </row>
    <row r="63" spans="1:14" s="21" customFormat="1" x14ac:dyDescent="0.25">
      <c r="A63" s="25">
        <v>42492.546898148146</v>
      </c>
      <c r="B63" s="24" t="s">
        <v>370</v>
      </c>
      <c r="C63" s="24" t="s">
        <v>407</v>
      </c>
      <c r="D63" s="24" t="s">
        <v>33</v>
      </c>
      <c r="E63" s="24" t="s">
        <v>32</v>
      </c>
      <c r="F63" s="24">
        <v>0</v>
      </c>
      <c r="G63" s="24">
        <v>2</v>
      </c>
      <c r="H63" s="24">
        <v>1836</v>
      </c>
      <c r="I63" s="24" t="s">
        <v>31</v>
      </c>
      <c r="J63" s="24">
        <v>839</v>
      </c>
      <c r="K63" s="23" t="s">
        <v>34</v>
      </c>
      <c r="L63" s="23" t="str">
        <f>VLOOKUP(C63,'Trips&amp;Operators'!$C$1:$E$9999,3,FALSE)</f>
        <v>COOLAHAN</v>
      </c>
      <c r="M63" s="22" t="s">
        <v>29</v>
      </c>
      <c r="N63" s="23"/>
    </row>
    <row r="64" spans="1:14" s="21" customFormat="1" x14ac:dyDescent="0.25">
      <c r="A64" s="25">
        <v>42492.5547337963</v>
      </c>
      <c r="B64" s="24" t="s">
        <v>88</v>
      </c>
      <c r="C64" s="24" t="s">
        <v>408</v>
      </c>
      <c r="D64" s="24" t="s">
        <v>33</v>
      </c>
      <c r="E64" s="24" t="s">
        <v>32</v>
      </c>
      <c r="F64" s="24">
        <v>0</v>
      </c>
      <c r="G64" s="24">
        <v>9</v>
      </c>
      <c r="H64" s="24">
        <v>112</v>
      </c>
      <c r="I64" s="24" t="s">
        <v>31</v>
      </c>
      <c r="J64" s="24">
        <v>1</v>
      </c>
      <c r="K64" s="23" t="s">
        <v>34</v>
      </c>
      <c r="L64" s="23" t="str">
        <f>VLOOKUP(C64,'Trips&amp;Operators'!$C$1:$E$9999,3,FALSE)</f>
        <v>BEAM</v>
      </c>
      <c r="M64" s="22" t="s">
        <v>29</v>
      </c>
      <c r="N64" s="23"/>
    </row>
    <row r="65" spans="1:14" s="21" customFormat="1" x14ac:dyDescent="0.25">
      <c r="A65" s="25">
        <v>42492.565613425926</v>
      </c>
      <c r="B65" s="24" t="s">
        <v>67</v>
      </c>
      <c r="C65" s="24" t="s">
        <v>410</v>
      </c>
      <c r="D65" s="24" t="s">
        <v>33</v>
      </c>
      <c r="E65" s="24" t="s">
        <v>32</v>
      </c>
      <c r="F65" s="24">
        <v>0</v>
      </c>
      <c r="G65" s="24">
        <v>76</v>
      </c>
      <c r="H65" s="24">
        <v>300</v>
      </c>
      <c r="I65" s="24" t="s">
        <v>31</v>
      </c>
      <c r="J65" s="24">
        <v>1</v>
      </c>
      <c r="K65" s="23" t="s">
        <v>34</v>
      </c>
      <c r="L65" s="23" t="str">
        <f>VLOOKUP(C65,'Trips&amp;Operators'!$C$1:$E$9999,3,FALSE)</f>
        <v>ACKERMAN</v>
      </c>
      <c r="M65" s="22" t="s">
        <v>29</v>
      </c>
      <c r="N65" s="23"/>
    </row>
    <row r="66" spans="1:14" s="21" customFormat="1" x14ac:dyDescent="0.25">
      <c r="A66" s="25">
        <v>42492.565798611111</v>
      </c>
      <c r="B66" s="24" t="s">
        <v>67</v>
      </c>
      <c r="C66" s="24" t="s">
        <v>410</v>
      </c>
      <c r="D66" s="24" t="s">
        <v>33</v>
      </c>
      <c r="E66" s="24" t="s">
        <v>32</v>
      </c>
      <c r="F66" s="24">
        <v>0</v>
      </c>
      <c r="G66" s="24">
        <v>8</v>
      </c>
      <c r="H66" s="24">
        <v>214</v>
      </c>
      <c r="I66" s="24" t="s">
        <v>31</v>
      </c>
      <c r="J66" s="24">
        <v>1</v>
      </c>
      <c r="K66" s="23" t="s">
        <v>34</v>
      </c>
      <c r="L66" s="23" t="str">
        <f>VLOOKUP(C66,'Trips&amp;Operators'!$C$1:$E$9999,3,FALSE)</f>
        <v>ACKERMAN</v>
      </c>
      <c r="M66" s="22" t="s">
        <v>29</v>
      </c>
      <c r="N66" s="23"/>
    </row>
    <row r="67" spans="1:14" s="21" customFormat="1" x14ac:dyDescent="0.25">
      <c r="A67" s="25">
        <v>42492.587013888886</v>
      </c>
      <c r="B67" s="24" t="s">
        <v>331</v>
      </c>
      <c r="C67" s="24" t="s">
        <v>409</v>
      </c>
      <c r="D67" s="24" t="s">
        <v>33</v>
      </c>
      <c r="E67" s="24" t="s">
        <v>32</v>
      </c>
      <c r="F67" s="24">
        <v>0</v>
      </c>
      <c r="G67" s="24">
        <v>40</v>
      </c>
      <c r="H67" s="24">
        <v>150</v>
      </c>
      <c r="I67" s="24" t="s">
        <v>31</v>
      </c>
      <c r="J67" s="24">
        <v>1</v>
      </c>
      <c r="K67" s="23" t="s">
        <v>34</v>
      </c>
      <c r="L67" s="23" t="str">
        <f>VLOOKUP(C67,'Trips&amp;Operators'!$C$1:$E$9999,3,FALSE)</f>
        <v>YORK</v>
      </c>
      <c r="M67" s="22" t="s">
        <v>29</v>
      </c>
      <c r="N67" s="23"/>
    </row>
    <row r="68" spans="1:14" s="21" customFormat="1" x14ac:dyDescent="0.25">
      <c r="A68" s="25">
        <v>42492.610613425924</v>
      </c>
      <c r="B68" s="24" t="s">
        <v>320</v>
      </c>
      <c r="C68" s="24" t="s">
        <v>413</v>
      </c>
      <c r="D68" s="24" t="s">
        <v>33</v>
      </c>
      <c r="E68" s="24" t="s">
        <v>32</v>
      </c>
      <c r="F68" s="24">
        <v>0</v>
      </c>
      <c r="G68" s="24">
        <v>35</v>
      </c>
      <c r="H68" s="24">
        <v>233334</v>
      </c>
      <c r="I68" s="24" t="s">
        <v>31</v>
      </c>
      <c r="J68" s="24">
        <v>233491</v>
      </c>
      <c r="K68" s="23" t="s">
        <v>30</v>
      </c>
      <c r="L68" s="23" t="str">
        <f>VLOOKUP(C68,'Trips&amp;Operators'!$C$1:$E$9999,3,FALSE)</f>
        <v>CUSHING</v>
      </c>
      <c r="M68" s="22" t="s">
        <v>29</v>
      </c>
      <c r="N68" s="23"/>
    </row>
    <row r="69" spans="1:14" s="21" customFormat="1" x14ac:dyDescent="0.25">
      <c r="A69" s="25">
        <v>42492.630706018521</v>
      </c>
      <c r="B69" s="24" t="s">
        <v>324</v>
      </c>
      <c r="C69" s="24" t="s">
        <v>414</v>
      </c>
      <c r="D69" s="24" t="s">
        <v>33</v>
      </c>
      <c r="E69" s="24" t="s">
        <v>32</v>
      </c>
      <c r="F69" s="24">
        <v>0</v>
      </c>
      <c r="G69" s="24">
        <v>6</v>
      </c>
      <c r="H69" s="24">
        <v>233314</v>
      </c>
      <c r="I69" s="24" t="s">
        <v>31</v>
      </c>
      <c r="J69" s="24">
        <v>233491</v>
      </c>
      <c r="K69" s="23" t="s">
        <v>30</v>
      </c>
      <c r="L69" s="23" t="str">
        <f>VLOOKUP(C69,'Trips&amp;Operators'!$C$1:$E$9999,3,FALSE)</f>
        <v>WEBSTER</v>
      </c>
      <c r="M69" s="22" t="s">
        <v>29</v>
      </c>
      <c r="N69" s="23"/>
    </row>
    <row r="70" spans="1:14" s="21" customFormat="1" x14ac:dyDescent="0.25">
      <c r="A70" s="25">
        <v>42492.638819444444</v>
      </c>
      <c r="B70" s="24" t="s">
        <v>67</v>
      </c>
      <c r="C70" s="24" t="s">
        <v>415</v>
      </c>
      <c r="D70" s="24" t="s">
        <v>33</v>
      </c>
      <c r="E70" s="24" t="s">
        <v>32</v>
      </c>
      <c r="F70" s="24">
        <v>0</v>
      </c>
      <c r="G70" s="24">
        <v>62</v>
      </c>
      <c r="H70" s="24">
        <v>223</v>
      </c>
      <c r="I70" s="24" t="s">
        <v>31</v>
      </c>
      <c r="J70" s="24">
        <v>1</v>
      </c>
      <c r="K70" s="23" t="s">
        <v>34</v>
      </c>
      <c r="L70" s="23" t="str">
        <f>VLOOKUP(C70,'Trips&amp;Operators'!$C$1:$E$9999,3,FALSE)</f>
        <v>ACKERMAN</v>
      </c>
      <c r="M70" s="22" t="s">
        <v>29</v>
      </c>
      <c r="N70" s="23"/>
    </row>
    <row r="71" spans="1:14" s="21" customFormat="1" x14ac:dyDescent="0.25">
      <c r="A71" s="25">
        <v>42492.663645833331</v>
      </c>
      <c r="B71" s="24" t="s">
        <v>331</v>
      </c>
      <c r="C71" s="24" t="s">
        <v>417</v>
      </c>
      <c r="D71" s="24" t="s">
        <v>33</v>
      </c>
      <c r="E71" s="24" t="s">
        <v>32</v>
      </c>
      <c r="F71" s="24">
        <v>0</v>
      </c>
      <c r="G71" s="24">
        <v>9</v>
      </c>
      <c r="H71" s="24">
        <v>121</v>
      </c>
      <c r="I71" s="24" t="s">
        <v>31</v>
      </c>
      <c r="J71" s="24">
        <v>1</v>
      </c>
      <c r="K71" s="23" t="s">
        <v>34</v>
      </c>
      <c r="L71" s="23" t="str">
        <f>VLOOKUP(C71,'Trips&amp;Operators'!$C$1:$E$9999,3,FALSE)</f>
        <v>BRANNON</v>
      </c>
      <c r="M71" s="22" t="s">
        <v>29</v>
      </c>
      <c r="N71" s="23"/>
    </row>
    <row r="72" spans="1:14" s="21" customFormat="1" x14ac:dyDescent="0.25">
      <c r="A72" s="25">
        <v>42492.711342592593</v>
      </c>
      <c r="B72" s="24" t="s">
        <v>67</v>
      </c>
      <c r="C72" s="24" t="s">
        <v>422</v>
      </c>
      <c r="D72" s="24" t="s">
        <v>33</v>
      </c>
      <c r="E72" s="24" t="s">
        <v>32</v>
      </c>
      <c r="F72" s="24">
        <v>0</v>
      </c>
      <c r="G72" s="24">
        <v>40</v>
      </c>
      <c r="H72" s="24">
        <v>163</v>
      </c>
      <c r="I72" s="24" t="s">
        <v>31</v>
      </c>
      <c r="J72" s="24">
        <v>1</v>
      </c>
      <c r="K72" s="23" t="s">
        <v>34</v>
      </c>
      <c r="L72" s="23" t="str">
        <f>VLOOKUP(C72,'Trips&amp;Operators'!$C$1:$E$9999,3,FALSE)</f>
        <v>ACKERMAN</v>
      </c>
      <c r="M72" s="22" t="s">
        <v>29</v>
      </c>
      <c r="N72" s="23"/>
    </row>
    <row r="73" spans="1:14" s="21" customFormat="1" x14ac:dyDescent="0.25">
      <c r="A73" s="25">
        <v>42492.72519675926</v>
      </c>
      <c r="B73" s="24" t="s">
        <v>370</v>
      </c>
      <c r="C73" s="24" t="s">
        <v>423</v>
      </c>
      <c r="D73" s="24" t="s">
        <v>33</v>
      </c>
      <c r="E73" s="24" t="s">
        <v>32</v>
      </c>
      <c r="F73" s="24">
        <v>0</v>
      </c>
      <c r="G73" s="24">
        <v>61</v>
      </c>
      <c r="H73" s="24">
        <v>238</v>
      </c>
      <c r="I73" s="24" t="s">
        <v>31</v>
      </c>
      <c r="J73" s="24">
        <v>1</v>
      </c>
      <c r="K73" s="23" t="s">
        <v>34</v>
      </c>
      <c r="L73" s="23" t="str">
        <f>VLOOKUP(C73,'Trips&amp;Operators'!$C$1:$E$9999,3,FALSE)</f>
        <v>REBOLETTI</v>
      </c>
      <c r="M73" s="22" t="s">
        <v>29</v>
      </c>
      <c r="N73" s="23"/>
    </row>
    <row r="74" spans="1:14" s="21" customFormat="1" x14ac:dyDescent="0.25">
      <c r="A74" s="25">
        <v>42492.732152777775</v>
      </c>
      <c r="B74" s="24" t="s">
        <v>331</v>
      </c>
      <c r="C74" s="24" t="s">
        <v>424</v>
      </c>
      <c r="D74" s="24" t="s">
        <v>33</v>
      </c>
      <c r="E74" s="24" t="s">
        <v>32</v>
      </c>
      <c r="F74" s="24">
        <v>0</v>
      </c>
      <c r="G74" s="24">
        <v>6</v>
      </c>
      <c r="H74" s="24">
        <v>152</v>
      </c>
      <c r="I74" s="24" t="s">
        <v>31</v>
      </c>
      <c r="J74" s="24">
        <v>1</v>
      </c>
      <c r="K74" s="23" t="s">
        <v>34</v>
      </c>
      <c r="L74" s="23" t="str">
        <f>VLOOKUP(C74,'Trips&amp;Operators'!$C$1:$E$9999,3,FALSE)</f>
        <v>YORK</v>
      </c>
      <c r="M74" s="22" t="s">
        <v>29</v>
      </c>
      <c r="N74" s="23"/>
    </row>
    <row r="75" spans="1:14" s="21" customFormat="1" x14ac:dyDescent="0.25">
      <c r="A75" s="25">
        <v>42492.754247685189</v>
      </c>
      <c r="B75" s="24" t="s">
        <v>320</v>
      </c>
      <c r="C75" s="24" t="s">
        <v>425</v>
      </c>
      <c r="D75" s="24" t="s">
        <v>33</v>
      </c>
      <c r="E75" s="24" t="s">
        <v>32</v>
      </c>
      <c r="F75" s="24">
        <v>0</v>
      </c>
      <c r="G75" s="24">
        <v>6</v>
      </c>
      <c r="H75" s="24">
        <v>233282</v>
      </c>
      <c r="I75" s="24" t="s">
        <v>31</v>
      </c>
      <c r="J75" s="24">
        <v>233491</v>
      </c>
      <c r="K75" s="23" t="s">
        <v>30</v>
      </c>
      <c r="L75" s="23" t="str">
        <f>VLOOKUP(C75,'Trips&amp;Operators'!$C$1:$E$9999,3,FALSE)</f>
        <v>REBOLETTI</v>
      </c>
      <c r="M75" s="22" t="s">
        <v>29</v>
      </c>
      <c r="N75" s="23"/>
    </row>
    <row r="76" spans="1:14" s="21" customFormat="1" x14ac:dyDescent="0.25">
      <c r="A76" s="25">
        <v>42492.772800925923</v>
      </c>
      <c r="B76" s="24" t="s">
        <v>88</v>
      </c>
      <c r="C76" s="24" t="s">
        <v>426</v>
      </c>
      <c r="D76" s="24" t="s">
        <v>33</v>
      </c>
      <c r="E76" s="24" t="s">
        <v>32</v>
      </c>
      <c r="F76" s="24">
        <v>0</v>
      </c>
      <c r="G76" s="24">
        <v>70</v>
      </c>
      <c r="H76" s="24">
        <v>247</v>
      </c>
      <c r="I76" s="24" t="s">
        <v>31</v>
      </c>
      <c r="J76" s="24">
        <v>1</v>
      </c>
      <c r="K76" s="23" t="s">
        <v>34</v>
      </c>
      <c r="L76" s="23" t="str">
        <f>VLOOKUP(C76,'Trips&amp;Operators'!$C$1:$E$9999,3,FALSE)</f>
        <v>BEAM</v>
      </c>
      <c r="M76" s="22" t="s">
        <v>29</v>
      </c>
      <c r="N76" s="23"/>
    </row>
    <row r="77" spans="1:14" s="21" customFormat="1" x14ac:dyDescent="0.25">
      <c r="A77" s="25">
        <v>42492.786597222221</v>
      </c>
      <c r="B77" s="24" t="s">
        <v>90</v>
      </c>
      <c r="C77" s="24" t="s">
        <v>427</v>
      </c>
      <c r="D77" s="24" t="s">
        <v>33</v>
      </c>
      <c r="E77" s="24" t="s">
        <v>32</v>
      </c>
      <c r="F77" s="24">
        <v>0</v>
      </c>
      <c r="G77" s="24">
        <v>8</v>
      </c>
      <c r="H77" s="24">
        <v>233431</v>
      </c>
      <c r="I77" s="24" t="s">
        <v>31</v>
      </c>
      <c r="J77" s="24">
        <v>233491</v>
      </c>
      <c r="K77" s="23" t="s">
        <v>30</v>
      </c>
      <c r="L77" s="23" t="str">
        <f>VLOOKUP(C77,'Trips&amp;Operators'!$C$1:$E$9999,3,FALSE)</f>
        <v>STORY</v>
      </c>
      <c r="M77" s="22" t="s">
        <v>29</v>
      </c>
      <c r="N77" s="23"/>
    </row>
    <row r="78" spans="1:14" s="21" customFormat="1" x14ac:dyDescent="0.25">
      <c r="A78" s="25">
        <v>42492.793981481482</v>
      </c>
      <c r="B78" s="24" t="s">
        <v>370</v>
      </c>
      <c r="C78" s="24" t="s">
        <v>428</v>
      </c>
      <c r="D78" s="24" t="s">
        <v>33</v>
      </c>
      <c r="E78" s="24" t="s">
        <v>32</v>
      </c>
      <c r="F78" s="24">
        <v>0</v>
      </c>
      <c r="G78" s="24">
        <v>3</v>
      </c>
      <c r="H78" s="24">
        <v>114</v>
      </c>
      <c r="I78" s="24" t="s">
        <v>31</v>
      </c>
      <c r="J78" s="24">
        <v>1</v>
      </c>
      <c r="K78" s="23" t="s">
        <v>34</v>
      </c>
      <c r="L78" s="23" t="str">
        <f>VLOOKUP(C78,'Trips&amp;Operators'!$C$1:$E$9999,3,FALSE)</f>
        <v>REBOLETTI</v>
      </c>
      <c r="M78" s="22" t="s">
        <v>29</v>
      </c>
      <c r="N78" s="23"/>
    </row>
    <row r="79" spans="1:14" s="21" customFormat="1" x14ac:dyDescent="0.25">
      <c r="A79" s="25">
        <v>42492.836585648147</v>
      </c>
      <c r="B79" s="24" t="s">
        <v>329</v>
      </c>
      <c r="C79" s="24" t="s">
        <v>429</v>
      </c>
      <c r="D79" s="24" t="s">
        <v>33</v>
      </c>
      <c r="E79" s="24" t="s">
        <v>32</v>
      </c>
      <c r="F79" s="24">
        <v>0</v>
      </c>
      <c r="G79" s="24">
        <v>6</v>
      </c>
      <c r="H79" s="24">
        <v>233307</v>
      </c>
      <c r="I79" s="24" t="s">
        <v>31</v>
      </c>
      <c r="J79" s="24">
        <v>233491</v>
      </c>
      <c r="K79" s="23" t="s">
        <v>30</v>
      </c>
      <c r="L79" s="23" t="str">
        <f>VLOOKUP(C79,'Trips&amp;Operators'!$C$1:$E$9999,3,FALSE)</f>
        <v>JACKSON</v>
      </c>
      <c r="M79" s="22" t="s">
        <v>29</v>
      </c>
      <c r="N79" s="23"/>
    </row>
    <row r="80" spans="1:14" s="21" customFormat="1" x14ac:dyDescent="0.25">
      <c r="A80" s="25">
        <v>42492.858946759261</v>
      </c>
      <c r="B80" s="24" t="s">
        <v>90</v>
      </c>
      <c r="C80" s="24" t="s">
        <v>430</v>
      </c>
      <c r="D80" s="24" t="s">
        <v>33</v>
      </c>
      <c r="E80" s="24" t="s">
        <v>32</v>
      </c>
      <c r="F80" s="24">
        <v>0</v>
      </c>
      <c r="G80" s="24">
        <v>48</v>
      </c>
      <c r="H80" s="24">
        <v>233364</v>
      </c>
      <c r="I80" s="24" t="s">
        <v>31</v>
      </c>
      <c r="J80" s="24">
        <v>233491</v>
      </c>
      <c r="K80" s="23" t="s">
        <v>30</v>
      </c>
      <c r="L80" s="23" t="str">
        <f>VLOOKUP(C80,'Trips&amp;Operators'!$C$1:$E$9999,3,FALSE)</f>
        <v>STORY</v>
      </c>
      <c r="M80" s="22" t="s">
        <v>29</v>
      </c>
      <c r="N80" s="23"/>
    </row>
    <row r="81" spans="1:14" s="21" customFormat="1" x14ac:dyDescent="0.25">
      <c r="A81" s="25">
        <v>42492.880983796298</v>
      </c>
      <c r="B81" s="24" t="s">
        <v>75</v>
      </c>
      <c r="C81" s="24" t="s">
        <v>431</v>
      </c>
      <c r="D81" s="24" t="s">
        <v>33</v>
      </c>
      <c r="E81" s="24" t="s">
        <v>32</v>
      </c>
      <c r="F81" s="24">
        <v>0</v>
      </c>
      <c r="G81" s="24">
        <v>4</v>
      </c>
      <c r="H81" s="24">
        <v>233314</v>
      </c>
      <c r="I81" s="24" t="s">
        <v>31</v>
      </c>
      <c r="J81" s="24">
        <v>233491</v>
      </c>
      <c r="K81" s="23" t="s">
        <v>30</v>
      </c>
      <c r="L81" s="23" t="str">
        <f>VLOOKUP(C81,'Trips&amp;Operators'!$C$1:$E$9999,3,FALSE)</f>
        <v>STRICKLAND</v>
      </c>
      <c r="M81" s="22" t="s">
        <v>29</v>
      </c>
      <c r="N81" s="23"/>
    </row>
    <row r="82" spans="1:14" s="21" customFormat="1" x14ac:dyDescent="0.25">
      <c r="A82" s="25">
        <v>42492.922083333331</v>
      </c>
      <c r="B82" s="24" t="s">
        <v>434</v>
      </c>
      <c r="C82" s="24" t="s">
        <v>435</v>
      </c>
      <c r="D82" s="24" t="s">
        <v>33</v>
      </c>
      <c r="E82" s="24" t="s">
        <v>32</v>
      </c>
      <c r="F82" s="24">
        <v>0</v>
      </c>
      <c r="G82" s="24">
        <v>7</v>
      </c>
      <c r="H82" s="24">
        <v>233295</v>
      </c>
      <c r="I82" s="24" t="s">
        <v>31</v>
      </c>
      <c r="J82" s="24">
        <v>233491</v>
      </c>
      <c r="K82" s="23" t="s">
        <v>30</v>
      </c>
      <c r="L82" s="23" t="str">
        <f>VLOOKUP(C82,'Trips&amp;Operators'!$C$1:$E$9999,3,FALSE)</f>
        <v>JACKSON</v>
      </c>
      <c r="M82" s="22" t="s">
        <v>29</v>
      </c>
      <c r="N82" s="23"/>
    </row>
    <row r="83" spans="1:14" s="21" customFormat="1" x14ac:dyDescent="0.25">
      <c r="A83" s="25">
        <v>42492.943854166668</v>
      </c>
      <c r="B83" s="24" t="s">
        <v>69</v>
      </c>
      <c r="C83" s="24" t="s">
        <v>437</v>
      </c>
      <c r="D83" s="24" t="s">
        <v>33</v>
      </c>
      <c r="E83" s="24" t="s">
        <v>32</v>
      </c>
      <c r="F83" s="24">
        <v>0</v>
      </c>
      <c r="G83" s="24">
        <v>26</v>
      </c>
      <c r="H83" s="24">
        <v>233415</v>
      </c>
      <c r="I83" s="24" t="s">
        <v>31</v>
      </c>
      <c r="J83" s="24">
        <v>233491</v>
      </c>
      <c r="K83" s="23" t="s">
        <v>30</v>
      </c>
      <c r="L83" s="23" t="str">
        <f>VLOOKUP(C83,'Trips&amp;Operators'!$C$1:$E$9999,3,FALSE)</f>
        <v>STORY</v>
      </c>
      <c r="M83" s="22" t="s">
        <v>29</v>
      </c>
      <c r="N83" s="23"/>
    </row>
    <row r="84" spans="1:14" s="21" customFormat="1" x14ac:dyDescent="0.25">
      <c r="A84" s="25">
        <v>42493.006145833337</v>
      </c>
      <c r="B84" s="24" t="s">
        <v>434</v>
      </c>
      <c r="C84" s="24" t="s">
        <v>438</v>
      </c>
      <c r="D84" s="24" t="s">
        <v>33</v>
      </c>
      <c r="E84" s="24" t="s">
        <v>32</v>
      </c>
      <c r="F84" s="24">
        <v>0</v>
      </c>
      <c r="G84" s="24">
        <v>7</v>
      </c>
      <c r="H84" s="24">
        <v>233314</v>
      </c>
      <c r="I84" s="24" t="s">
        <v>31</v>
      </c>
      <c r="J84" s="24">
        <v>233491</v>
      </c>
      <c r="K84" s="23" t="s">
        <v>30</v>
      </c>
      <c r="L84" s="23" t="str">
        <f>VLOOKUP(C84,'Trips&amp;Operators'!$C$1:$E$9999,3,FALSE)</f>
        <v>JACKSON</v>
      </c>
      <c r="M84" s="22" t="s">
        <v>29</v>
      </c>
      <c r="N84" s="23"/>
    </row>
    <row r="85" spans="1:14" s="21" customFormat="1" ht="15.75" thickBot="1" x14ac:dyDescent="0.3">
      <c r="A85" s="44"/>
      <c r="B85" s="45"/>
      <c r="C85" s="45"/>
      <c r="D85" s="45"/>
      <c r="E85" s="45"/>
      <c r="F85" s="45"/>
      <c r="G85" s="45"/>
      <c r="H85" s="45"/>
      <c r="I85" s="45"/>
      <c r="J85" s="45"/>
      <c r="K85" s="46"/>
      <c r="L85" s="46"/>
      <c r="M85" s="47"/>
      <c r="N85" s="46"/>
    </row>
    <row r="86" spans="1:14" x14ac:dyDescent="0.25">
      <c r="K86" s="20" t="s">
        <v>28</v>
      </c>
      <c r="L86" s="56"/>
      <c r="M86" s="19">
        <f>COUNTIF(M3:M84,"=Y")</f>
        <v>6</v>
      </c>
    </row>
    <row r="87" spans="1:14" ht="15.75" thickBot="1" x14ac:dyDescent="0.3">
      <c r="K87" s="18" t="s">
        <v>27</v>
      </c>
      <c r="L87" s="57"/>
      <c r="M87" s="17">
        <f>COUNTA(M3:M84)-M86</f>
        <v>76</v>
      </c>
    </row>
  </sheetData>
  <autoFilter ref="A2:N2">
    <sortState ref="A3:N84">
      <sortCondition ref="E2"/>
    </sortState>
  </autoFilter>
  <mergeCells count="1">
    <mergeCell ref="A1:M1"/>
  </mergeCells>
  <conditionalFormatting sqref="N2 M2:M1048576">
    <cfRule type="cellIs" dxfId="1" priority="3" operator="equal">
      <formula>"Y"</formula>
    </cfRule>
  </conditionalFormatting>
  <conditionalFormatting sqref="B3:N85">
    <cfRule type="expression" dxfId="0" priority="2">
      <formula>$M3="Y"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/>
  </sheetViews>
  <sheetFormatPr defaultRowHeight="15" x14ac:dyDescent="0.25"/>
  <sheetData>
    <row r="1" spans="1:1" s="69" customFormat="1" x14ac:dyDescent="0.25">
      <c r="A1" s="73" t="str">
        <f>"Trips that did not appear in PTC Data "&amp;TEXT(Variables!$A$2,"YYYY-mm-dd")</f>
        <v>Trips that did not appear in PTC Data 2016-05-02</v>
      </c>
    </row>
    <row r="2" spans="1:1" x14ac:dyDescent="0.25">
      <c r="A2" t="s">
        <v>604</v>
      </c>
    </row>
    <row r="3" spans="1:1" x14ac:dyDescent="0.25">
      <c r="A3" t="s">
        <v>457</v>
      </c>
    </row>
    <row r="4" spans="1:1" x14ac:dyDescent="0.25">
      <c r="A4" t="s">
        <v>605</v>
      </c>
    </row>
    <row r="5" spans="1:1" x14ac:dyDescent="0.25">
      <c r="A5" t="s">
        <v>606</v>
      </c>
    </row>
    <row r="6" spans="1:1" x14ac:dyDescent="0.25">
      <c r="A6" t="s">
        <v>607</v>
      </c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E387"/>
  <sheetViews>
    <sheetView topLeftCell="A330" workbookViewId="0">
      <selection activeCell="A339" sqref="A1:A1048576"/>
    </sheetView>
  </sheetViews>
  <sheetFormatPr defaultRowHeight="15" x14ac:dyDescent="0.25"/>
  <cols>
    <col min="1" max="1" width="18.28515625" style="16" bestFit="1" customWidth="1"/>
  </cols>
  <sheetData>
    <row r="1" spans="1:5" x14ac:dyDescent="0.25">
      <c r="A1" s="16">
        <v>42487.630995370368</v>
      </c>
      <c r="B1" t="s">
        <v>320</v>
      </c>
      <c r="C1" t="s">
        <v>354</v>
      </c>
      <c r="D1">
        <v>1290000</v>
      </c>
      <c r="E1" t="s">
        <v>355</v>
      </c>
    </row>
    <row r="2" spans="1:5" x14ac:dyDescent="0.25">
      <c r="A2" s="16">
        <v>42491.52684027778</v>
      </c>
      <c r="B2" t="s">
        <v>67</v>
      </c>
      <c r="C2" t="s">
        <v>93</v>
      </c>
      <c r="D2">
        <v>1490000</v>
      </c>
      <c r="E2" t="s">
        <v>312</v>
      </c>
    </row>
    <row r="3" spans="1:5" x14ac:dyDescent="0.25">
      <c r="A3" s="16">
        <v>42491.614212962966</v>
      </c>
      <c r="B3" t="s">
        <v>71</v>
      </c>
      <c r="C3" t="s">
        <v>102</v>
      </c>
      <c r="D3">
        <v>1460000</v>
      </c>
      <c r="E3" t="s">
        <v>314</v>
      </c>
    </row>
    <row r="4" spans="1:5" x14ac:dyDescent="0.25">
      <c r="A4" s="16">
        <v>42491.335185185184</v>
      </c>
      <c r="B4" t="s">
        <v>104</v>
      </c>
      <c r="C4" t="s">
        <v>230</v>
      </c>
      <c r="D4">
        <v>860000</v>
      </c>
      <c r="E4" t="s">
        <v>311</v>
      </c>
    </row>
    <row r="5" spans="1:5" x14ac:dyDescent="0.25">
      <c r="A5" s="16">
        <v>42491.431087962963</v>
      </c>
      <c r="B5" t="s">
        <v>81</v>
      </c>
      <c r="C5" t="s">
        <v>82</v>
      </c>
      <c r="D5">
        <v>1430000</v>
      </c>
      <c r="E5" t="s">
        <v>305</v>
      </c>
    </row>
    <row r="6" spans="1:5" x14ac:dyDescent="0.25">
      <c r="A6" s="16">
        <v>42491.489120370374</v>
      </c>
      <c r="B6" t="s">
        <v>88</v>
      </c>
      <c r="C6" t="s">
        <v>89</v>
      </c>
      <c r="D6">
        <v>860000</v>
      </c>
      <c r="E6" t="s">
        <v>311</v>
      </c>
    </row>
    <row r="7" spans="1:5" x14ac:dyDescent="0.25">
      <c r="A7" s="16">
        <v>42491.580960648149</v>
      </c>
      <c r="B7" t="s">
        <v>83</v>
      </c>
      <c r="C7" t="s">
        <v>172</v>
      </c>
      <c r="D7">
        <v>880000</v>
      </c>
      <c r="E7" t="s">
        <v>306</v>
      </c>
    </row>
    <row r="8" spans="1:5" x14ac:dyDescent="0.25">
      <c r="A8" s="16">
        <v>42491.654351851852</v>
      </c>
      <c r="B8" t="s">
        <v>83</v>
      </c>
      <c r="C8" t="s">
        <v>106</v>
      </c>
      <c r="D8">
        <v>880000</v>
      </c>
      <c r="E8" t="s">
        <v>306</v>
      </c>
    </row>
    <row r="9" spans="1:5" x14ac:dyDescent="0.25">
      <c r="A9" s="16">
        <v>42491.654629629629</v>
      </c>
      <c r="B9" t="s">
        <v>107</v>
      </c>
      <c r="C9" t="s">
        <v>108</v>
      </c>
      <c r="D9">
        <v>940000</v>
      </c>
      <c r="E9" t="s">
        <v>323</v>
      </c>
    </row>
    <row r="10" spans="1:5" x14ac:dyDescent="0.25">
      <c r="A10" s="16">
        <v>42491.886238425926</v>
      </c>
      <c r="B10" t="s">
        <v>109</v>
      </c>
      <c r="C10" t="s">
        <v>288</v>
      </c>
      <c r="D10">
        <v>1140000</v>
      </c>
      <c r="E10" t="s">
        <v>317</v>
      </c>
    </row>
    <row r="11" spans="1:5" x14ac:dyDescent="0.25">
      <c r="A11" s="16">
        <v>42491.391377314816</v>
      </c>
      <c r="B11" t="s">
        <v>71</v>
      </c>
      <c r="C11" t="s">
        <v>218</v>
      </c>
      <c r="D11">
        <v>1430000</v>
      </c>
      <c r="E11" t="s">
        <v>305</v>
      </c>
    </row>
    <row r="12" spans="1:5" x14ac:dyDescent="0.25">
      <c r="A12" s="16">
        <v>42491.928599537037</v>
      </c>
      <c r="B12" t="s">
        <v>318</v>
      </c>
      <c r="C12" t="s">
        <v>284</v>
      </c>
      <c r="D12">
        <v>1280000</v>
      </c>
      <c r="E12" t="s">
        <v>319</v>
      </c>
    </row>
    <row r="13" spans="1:5" x14ac:dyDescent="0.25">
      <c r="A13" s="16">
        <v>42491.247928240744</v>
      </c>
      <c r="B13" t="s">
        <v>71</v>
      </c>
      <c r="C13" t="s">
        <v>72</v>
      </c>
      <c r="D13">
        <v>1430000</v>
      </c>
      <c r="E13" t="s">
        <v>305</v>
      </c>
    </row>
    <row r="14" spans="1:5" x14ac:dyDescent="0.25">
      <c r="A14" s="16">
        <v>42491.991111111114</v>
      </c>
      <c r="B14" t="s">
        <v>69</v>
      </c>
      <c r="C14" t="s">
        <v>279</v>
      </c>
      <c r="D14">
        <v>970000</v>
      </c>
      <c r="E14" t="s">
        <v>337</v>
      </c>
    </row>
    <row r="15" spans="1:5" x14ac:dyDescent="0.25">
      <c r="A15" s="16">
        <v>42491.225902777776</v>
      </c>
      <c r="B15" t="s">
        <v>75</v>
      </c>
      <c r="C15" t="s">
        <v>253</v>
      </c>
      <c r="D15">
        <v>860000</v>
      </c>
      <c r="E15" t="s">
        <v>311</v>
      </c>
    </row>
    <row r="16" spans="1:5" x14ac:dyDescent="0.25">
      <c r="A16" s="16">
        <v>42492.00708333333</v>
      </c>
      <c r="B16" t="s">
        <v>318</v>
      </c>
      <c r="C16" t="s">
        <v>277</v>
      </c>
      <c r="D16">
        <v>1280000</v>
      </c>
      <c r="E16" t="s">
        <v>319</v>
      </c>
    </row>
    <row r="17" spans="1:5" x14ac:dyDescent="0.25">
      <c r="A17" s="16">
        <v>42491.182523148149</v>
      </c>
      <c r="B17" t="s">
        <v>109</v>
      </c>
      <c r="C17" t="s">
        <v>262</v>
      </c>
      <c r="D17">
        <v>1360000</v>
      </c>
      <c r="E17" t="s">
        <v>307</v>
      </c>
    </row>
    <row r="18" spans="1:5" x14ac:dyDescent="0.25">
      <c r="A18" s="16">
        <v>42492.214513888888</v>
      </c>
      <c r="B18" t="s">
        <v>331</v>
      </c>
      <c r="C18" t="s">
        <v>339</v>
      </c>
      <c r="D18">
        <v>1800000</v>
      </c>
      <c r="E18" t="s">
        <v>322</v>
      </c>
    </row>
    <row r="19" spans="1:5" x14ac:dyDescent="0.25">
      <c r="A19" s="16">
        <v>42491.607418981483</v>
      </c>
      <c r="B19" t="s">
        <v>69</v>
      </c>
      <c r="C19" t="s">
        <v>101</v>
      </c>
      <c r="D19">
        <v>1260000</v>
      </c>
      <c r="E19" t="s">
        <v>313</v>
      </c>
    </row>
    <row r="20" spans="1:5" x14ac:dyDescent="0.25">
      <c r="A20" s="16">
        <v>42492.228726851848</v>
      </c>
      <c r="B20" t="s">
        <v>324</v>
      </c>
      <c r="C20" t="s">
        <v>342</v>
      </c>
      <c r="D20">
        <v>1770000</v>
      </c>
      <c r="E20" t="s">
        <v>326</v>
      </c>
    </row>
    <row r="21" spans="1:5" x14ac:dyDescent="0.25">
      <c r="A21" s="16">
        <v>42491.47378472222</v>
      </c>
      <c r="B21" t="s">
        <v>95</v>
      </c>
      <c r="C21" t="s">
        <v>201</v>
      </c>
      <c r="D21">
        <v>1100000</v>
      </c>
      <c r="E21" t="s">
        <v>310</v>
      </c>
    </row>
    <row r="22" spans="1:5" x14ac:dyDescent="0.25">
      <c r="A22" s="16">
        <v>42492.276180555556</v>
      </c>
      <c r="B22" t="s">
        <v>116</v>
      </c>
      <c r="C22" t="s">
        <v>344</v>
      </c>
      <c r="D22">
        <v>1810000</v>
      </c>
      <c r="E22" t="s">
        <v>345</v>
      </c>
    </row>
    <row r="23" spans="1:5" x14ac:dyDescent="0.25">
      <c r="A23" s="16">
        <v>42491.329375000001</v>
      </c>
      <c r="B23" t="s">
        <v>109</v>
      </c>
      <c r="C23" t="s">
        <v>231</v>
      </c>
      <c r="D23">
        <v>1360000</v>
      </c>
      <c r="E23" t="s">
        <v>307</v>
      </c>
    </row>
    <row r="24" spans="1:5" x14ac:dyDescent="0.25">
      <c r="A24" s="16">
        <v>42491.723495370374</v>
      </c>
      <c r="B24" t="s">
        <v>81</v>
      </c>
      <c r="C24" t="s">
        <v>134</v>
      </c>
      <c r="D24">
        <v>1460000</v>
      </c>
      <c r="E24" t="s">
        <v>314</v>
      </c>
    </row>
    <row r="25" spans="1:5" x14ac:dyDescent="0.25">
      <c r="A25" s="16">
        <v>42491.277407407404</v>
      </c>
      <c r="B25" t="s">
        <v>90</v>
      </c>
      <c r="C25" t="s">
        <v>244</v>
      </c>
      <c r="D25">
        <v>1100000</v>
      </c>
      <c r="E25" t="s">
        <v>310</v>
      </c>
    </row>
    <row r="26" spans="1:5" x14ac:dyDescent="0.25">
      <c r="A26" s="16">
        <v>42491.827314814815</v>
      </c>
      <c r="B26" t="s">
        <v>71</v>
      </c>
      <c r="C26" t="s">
        <v>294</v>
      </c>
      <c r="D26">
        <v>1440000</v>
      </c>
      <c r="E26" t="s">
        <v>316</v>
      </c>
    </row>
    <row r="27" spans="1:5" x14ac:dyDescent="0.25">
      <c r="A27" s="16">
        <v>42491.212453703702</v>
      </c>
      <c r="B27" t="s">
        <v>90</v>
      </c>
      <c r="C27" t="s">
        <v>255</v>
      </c>
      <c r="D27">
        <v>1100000</v>
      </c>
      <c r="E27" t="s">
        <v>310</v>
      </c>
    </row>
    <row r="28" spans="1:5" x14ac:dyDescent="0.25">
      <c r="A28" s="16">
        <v>42491.922731481478</v>
      </c>
      <c r="B28" t="s">
        <v>318</v>
      </c>
      <c r="C28" t="s">
        <v>284</v>
      </c>
      <c r="D28">
        <v>1280000</v>
      </c>
      <c r="E28" t="s">
        <v>319</v>
      </c>
    </row>
    <row r="29" spans="1:5" x14ac:dyDescent="0.25">
      <c r="A29" s="16">
        <v>42488.940300925926</v>
      </c>
      <c r="B29" t="s">
        <v>63</v>
      </c>
      <c r="C29" t="s">
        <v>308</v>
      </c>
      <c r="D29">
        <v>530000</v>
      </c>
      <c r="E29" t="s">
        <v>309</v>
      </c>
    </row>
    <row r="30" spans="1:5" x14ac:dyDescent="0.25">
      <c r="A30" s="16">
        <v>42491.92559027778</v>
      </c>
      <c r="B30" t="s">
        <v>79</v>
      </c>
      <c r="C30" t="s">
        <v>285</v>
      </c>
      <c r="D30">
        <v>1140000</v>
      </c>
      <c r="E30" t="s">
        <v>317</v>
      </c>
    </row>
    <row r="31" spans="1:5" x14ac:dyDescent="0.25">
      <c r="A31" s="16">
        <v>42489.099756944444</v>
      </c>
      <c r="B31" t="s">
        <v>63</v>
      </c>
      <c r="C31" t="s">
        <v>308</v>
      </c>
      <c r="D31">
        <v>530000</v>
      </c>
      <c r="E31" t="s">
        <v>309</v>
      </c>
    </row>
    <row r="32" spans="1:5" x14ac:dyDescent="0.25">
      <c r="A32" s="16">
        <v>42491.966886574075</v>
      </c>
      <c r="B32" t="s">
        <v>109</v>
      </c>
      <c r="C32" t="s">
        <v>282</v>
      </c>
      <c r="D32">
        <v>1140000</v>
      </c>
      <c r="E32" t="s">
        <v>317</v>
      </c>
    </row>
    <row r="33" spans="1:5" x14ac:dyDescent="0.25">
      <c r="A33" s="16">
        <v>42488.814687500002</v>
      </c>
      <c r="B33" t="s">
        <v>88</v>
      </c>
      <c r="C33" t="s">
        <v>308</v>
      </c>
      <c r="D33">
        <v>530000</v>
      </c>
      <c r="E33" t="s">
        <v>309</v>
      </c>
    </row>
    <row r="34" spans="1:5" x14ac:dyDescent="0.25">
      <c r="A34" s="16">
        <v>42492.291458333333</v>
      </c>
      <c r="B34" t="s">
        <v>69</v>
      </c>
      <c r="C34" t="s">
        <v>347</v>
      </c>
      <c r="D34">
        <v>1780000</v>
      </c>
      <c r="E34" t="s">
        <v>341</v>
      </c>
    </row>
    <row r="35" spans="1:5" x14ac:dyDescent="0.25">
      <c r="A35" s="16">
        <v>42489.024988425925</v>
      </c>
      <c r="B35" t="s">
        <v>63</v>
      </c>
      <c r="C35" t="s">
        <v>308</v>
      </c>
      <c r="D35">
        <v>530000</v>
      </c>
      <c r="E35" t="s">
        <v>309</v>
      </c>
    </row>
    <row r="36" spans="1:5" x14ac:dyDescent="0.25">
      <c r="A36" s="16">
        <v>42492.317129629628</v>
      </c>
      <c r="B36" t="s">
        <v>67</v>
      </c>
      <c r="C36" t="s">
        <v>348</v>
      </c>
      <c r="D36">
        <v>1810000</v>
      </c>
      <c r="E36" t="s">
        <v>345</v>
      </c>
    </row>
    <row r="37" spans="1:5" x14ac:dyDescent="0.25">
      <c r="A37" s="16">
        <v>42488.858611111114</v>
      </c>
      <c r="B37" t="s">
        <v>63</v>
      </c>
      <c r="C37" t="s">
        <v>308</v>
      </c>
      <c r="D37">
        <v>530000</v>
      </c>
      <c r="E37" t="s">
        <v>309</v>
      </c>
    </row>
    <row r="38" spans="1:5" x14ac:dyDescent="0.25">
      <c r="A38" s="16">
        <v>42492.341087962966</v>
      </c>
      <c r="B38" t="s">
        <v>331</v>
      </c>
      <c r="C38" t="s">
        <v>332</v>
      </c>
      <c r="D38">
        <v>1310000</v>
      </c>
      <c r="E38" t="s">
        <v>304</v>
      </c>
    </row>
    <row r="39" spans="1:5" x14ac:dyDescent="0.25">
      <c r="A39" s="16">
        <v>42493.255810185183</v>
      </c>
      <c r="B39" t="s">
        <v>434</v>
      </c>
      <c r="C39" t="s">
        <v>441</v>
      </c>
      <c r="D39">
        <v>1780000</v>
      </c>
      <c r="E39" t="s">
        <v>341</v>
      </c>
    </row>
    <row r="40" spans="1:5" x14ac:dyDescent="0.25">
      <c r="A40" s="16">
        <v>42492.345891203702</v>
      </c>
      <c r="B40" t="s">
        <v>349</v>
      </c>
      <c r="C40" t="s">
        <v>350</v>
      </c>
      <c r="D40">
        <v>1770000</v>
      </c>
      <c r="E40" t="s">
        <v>326</v>
      </c>
    </row>
    <row r="41" spans="1:5" x14ac:dyDescent="0.25">
      <c r="A41" s="16">
        <v>42493.230347222219</v>
      </c>
      <c r="B41" t="s">
        <v>353</v>
      </c>
      <c r="C41" t="s">
        <v>442</v>
      </c>
      <c r="D41">
        <v>1090000</v>
      </c>
      <c r="E41" t="s">
        <v>328</v>
      </c>
    </row>
    <row r="42" spans="1:5" x14ac:dyDescent="0.25">
      <c r="A42" s="16">
        <v>42492.348969907405</v>
      </c>
      <c r="B42" t="s">
        <v>116</v>
      </c>
      <c r="C42" t="s">
        <v>351</v>
      </c>
      <c r="D42">
        <v>1810000</v>
      </c>
      <c r="E42" t="s">
        <v>345</v>
      </c>
    </row>
    <row r="43" spans="1:5" x14ac:dyDescent="0.25">
      <c r="A43" s="16">
        <v>42493.21365740741</v>
      </c>
      <c r="B43" t="s">
        <v>349</v>
      </c>
      <c r="C43" t="s">
        <v>443</v>
      </c>
      <c r="D43">
        <v>1800000</v>
      </c>
      <c r="E43" t="s">
        <v>322</v>
      </c>
    </row>
    <row r="44" spans="1:5" x14ac:dyDescent="0.25">
      <c r="A44" s="16">
        <v>42492.363043981481</v>
      </c>
      <c r="B44" t="s">
        <v>69</v>
      </c>
      <c r="C44" t="s">
        <v>352</v>
      </c>
      <c r="D44">
        <v>1780000</v>
      </c>
      <c r="E44" t="s">
        <v>341</v>
      </c>
    </row>
    <row r="45" spans="1:5" x14ac:dyDescent="0.25">
      <c r="A45" s="16">
        <v>42493.212048611109</v>
      </c>
      <c r="B45" t="s">
        <v>349</v>
      </c>
      <c r="C45" t="s">
        <v>443</v>
      </c>
      <c r="D45">
        <v>1800000</v>
      </c>
      <c r="E45" t="s">
        <v>322</v>
      </c>
    </row>
    <row r="46" spans="1:5" x14ac:dyDescent="0.25">
      <c r="A46" s="16">
        <v>42492.47550925926</v>
      </c>
      <c r="B46" t="s">
        <v>90</v>
      </c>
      <c r="C46" t="s">
        <v>444</v>
      </c>
      <c r="D46">
        <v>1840000</v>
      </c>
      <c r="E46" t="s">
        <v>445</v>
      </c>
    </row>
    <row r="47" spans="1:5" x14ac:dyDescent="0.25">
      <c r="A47" s="16">
        <v>42493.209039351852</v>
      </c>
      <c r="B47" t="s">
        <v>63</v>
      </c>
      <c r="C47" t="s">
        <v>446</v>
      </c>
      <c r="D47">
        <v>1810000</v>
      </c>
      <c r="E47" t="s">
        <v>345</v>
      </c>
    </row>
    <row r="48" spans="1:5" x14ac:dyDescent="0.25">
      <c r="A48" s="16">
        <v>42492.553344907406</v>
      </c>
      <c r="B48" t="s">
        <v>75</v>
      </c>
      <c r="C48" t="s">
        <v>411</v>
      </c>
      <c r="D48">
        <v>1290000</v>
      </c>
      <c r="E48" t="s">
        <v>355</v>
      </c>
    </row>
    <row r="49" spans="1:5" x14ac:dyDescent="0.25">
      <c r="A49" s="16">
        <v>42493.191122685188</v>
      </c>
      <c r="B49" t="s">
        <v>447</v>
      </c>
      <c r="C49" t="s">
        <v>448</v>
      </c>
      <c r="D49">
        <v>1260000</v>
      </c>
      <c r="E49" t="s">
        <v>313</v>
      </c>
    </row>
    <row r="50" spans="1:5" x14ac:dyDescent="0.25">
      <c r="A50" s="16">
        <v>42492.558298611111</v>
      </c>
      <c r="B50" t="s">
        <v>331</v>
      </c>
      <c r="C50" t="s">
        <v>409</v>
      </c>
      <c r="D50">
        <v>1830000</v>
      </c>
      <c r="E50" t="s">
        <v>449</v>
      </c>
    </row>
    <row r="51" spans="1:5" x14ac:dyDescent="0.25">
      <c r="A51" s="16">
        <v>42493.169027777774</v>
      </c>
      <c r="B51" t="s">
        <v>331</v>
      </c>
      <c r="C51" t="s">
        <v>450</v>
      </c>
      <c r="D51">
        <v>1770000</v>
      </c>
      <c r="E51" t="s">
        <v>326</v>
      </c>
    </row>
    <row r="52" spans="1:5" x14ac:dyDescent="0.25">
      <c r="A52" s="16">
        <v>42492.583333333336</v>
      </c>
      <c r="B52" t="s">
        <v>320</v>
      </c>
      <c r="C52" t="s">
        <v>413</v>
      </c>
      <c r="D52">
        <v>1200000</v>
      </c>
      <c r="E52" t="s">
        <v>365</v>
      </c>
    </row>
    <row r="53" spans="1:5" x14ac:dyDescent="0.25">
      <c r="A53" s="16">
        <v>42493.011921296296</v>
      </c>
      <c r="B53" t="s">
        <v>315</v>
      </c>
      <c r="C53" t="s">
        <v>451</v>
      </c>
      <c r="D53">
        <v>970000</v>
      </c>
      <c r="E53" t="s">
        <v>337</v>
      </c>
    </row>
    <row r="54" spans="1:5" x14ac:dyDescent="0.25">
      <c r="A54" s="16">
        <v>42492.606886574074</v>
      </c>
      <c r="B54" t="s">
        <v>67</v>
      </c>
      <c r="C54" t="s">
        <v>415</v>
      </c>
      <c r="D54">
        <v>1260000</v>
      </c>
      <c r="E54" t="s">
        <v>313</v>
      </c>
    </row>
    <row r="55" spans="1:5" x14ac:dyDescent="0.25">
      <c r="A55" s="16">
        <v>42492.97084490741</v>
      </c>
      <c r="B55" t="s">
        <v>104</v>
      </c>
      <c r="C55" t="s">
        <v>452</v>
      </c>
      <c r="D55">
        <v>1760000</v>
      </c>
      <c r="E55" t="s">
        <v>453</v>
      </c>
    </row>
    <row r="56" spans="1:5" x14ac:dyDescent="0.25">
      <c r="A56" s="16">
        <v>42492.608055555553</v>
      </c>
      <c r="B56" t="s">
        <v>90</v>
      </c>
      <c r="C56" t="s">
        <v>454</v>
      </c>
      <c r="D56">
        <v>1840000</v>
      </c>
      <c r="E56" t="s">
        <v>445</v>
      </c>
    </row>
    <row r="57" spans="1:5" x14ac:dyDescent="0.25">
      <c r="A57" s="16">
        <v>42492.946539351855</v>
      </c>
      <c r="B57" t="s">
        <v>69</v>
      </c>
      <c r="C57" t="s">
        <v>455</v>
      </c>
      <c r="D57">
        <v>1740000</v>
      </c>
      <c r="E57" t="s">
        <v>456</v>
      </c>
    </row>
    <row r="58" spans="1:5" x14ac:dyDescent="0.25">
      <c r="A58" s="16">
        <v>42492.620289351849</v>
      </c>
      <c r="B58" t="s">
        <v>370</v>
      </c>
      <c r="C58" t="s">
        <v>457</v>
      </c>
      <c r="D58">
        <v>1200000</v>
      </c>
      <c r="E58" t="s">
        <v>365</v>
      </c>
    </row>
    <row r="59" spans="1:5" x14ac:dyDescent="0.25">
      <c r="A59" s="16">
        <v>42492.927824074075</v>
      </c>
      <c r="B59" t="s">
        <v>315</v>
      </c>
      <c r="C59" t="s">
        <v>436</v>
      </c>
      <c r="D59">
        <v>970000</v>
      </c>
      <c r="E59" t="s">
        <v>337</v>
      </c>
    </row>
    <row r="60" spans="1:5" x14ac:dyDescent="0.25">
      <c r="A60" s="16">
        <v>42492.648553240739</v>
      </c>
      <c r="B60" t="s">
        <v>69</v>
      </c>
      <c r="C60" t="s">
        <v>458</v>
      </c>
      <c r="D60">
        <v>1840000</v>
      </c>
      <c r="E60" t="s">
        <v>445</v>
      </c>
    </row>
    <row r="61" spans="1:5" x14ac:dyDescent="0.25">
      <c r="A61" s="16">
        <v>42492.925949074073</v>
      </c>
      <c r="B61" t="s">
        <v>75</v>
      </c>
      <c r="C61" t="s">
        <v>459</v>
      </c>
      <c r="D61">
        <v>1760000</v>
      </c>
      <c r="E61" t="s">
        <v>453</v>
      </c>
    </row>
    <row r="62" spans="1:5" x14ac:dyDescent="0.25">
      <c r="A62" s="16">
        <v>42492.666284722225</v>
      </c>
      <c r="B62" t="s">
        <v>329</v>
      </c>
      <c r="C62" t="s">
        <v>420</v>
      </c>
      <c r="D62">
        <v>1830000</v>
      </c>
      <c r="E62" t="s">
        <v>449</v>
      </c>
    </row>
    <row r="63" spans="1:5" x14ac:dyDescent="0.25">
      <c r="A63" s="16">
        <v>42492.847986111112</v>
      </c>
      <c r="B63" t="s">
        <v>331</v>
      </c>
      <c r="C63" t="s">
        <v>432</v>
      </c>
      <c r="D63">
        <v>970000</v>
      </c>
      <c r="E63" t="s">
        <v>337</v>
      </c>
    </row>
    <row r="64" spans="1:5" x14ac:dyDescent="0.25">
      <c r="A64" s="16">
        <v>42492.746608796297</v>
      </c>
      <c r="B64" t="s">
        <v>324</v>
      </c>
      <c r="C64" t="s">
        <v>460</v>
      </c>
      <c r="D64">
        <v>950000</v>
      </c>
      <c r="E64" t="s">
        <v>356</v>
      </c>
    </row>
    <row r="65" spans="1:5" x14ac:dyDescent="0.25">
      <c r="A65" s="16">
        <v>42492.792685185188</v>
      </c>
      <c r="B65" t="s">
        <v>69</v>
      </c>
      <c r="C65" t="s">
        <v>461</v>
      </c>
      <c r="D65">
        <v>1740000</v>
      </c>
      <c r="E65" t="s">
        <v>456</v>
      </c>
    </row>
    <row r="66" spans="1:5" x14ac:dyDescent="0.25">
      <c r="A66" s="16">
        <v>42492.765752314815</v>
      </c>
      <c r="B66" t="s">
        <v>370</v>
      </c>
      <c r="C66" t="s">
        <v>428</v>
      </c>
      <c r="D66">
        <v>1750000</v>
      </c>
      <c r="E66" t="s">
        <v>462</v>
      </c>
    </row>
    <row r="67" spans="1:5" x14ac:dyDescent="0.25">
      <c r="A67" s="16">
        <v>42492.768217592595</v>
      </c>
      <c r="B67" t="s">
        <v>75</v>
      </c>
      <c r="C67" t="s">
        <v>463</v>
      </c>
      <c r="D67">
        <v>1760000</v>
      </c>
      <c r="E67" t="s">
        <v>453</v>
      </c>
    </row>
    <row r="68" spans="1:5" x14ac:dyDescent="0.25">
      <c r="A68" s="16">
        <v>42492.868587962963</v>
      </c>
      <c r="B68" t="s">
        <v>116</v>
      </c>
      <c r="C68" t="s">
        <v>464</v>
      </c>
      <c r="D68">
        <v>1140000</v>
      </c>
      <c r="E68" t="s">
        <v>317</v>
      </c>
    </row>
    <row r="69" spans="1:5" x14ac:dyDescent="0.25">
      <c r="A69" s="16">
        <v>42492.683206018519</v>
      </c>
      <c r="B69" t="s">
        <v>90</v>
      </c>
      <c r="C69" t="s">
        <v>421</v>
      </c>
      <c r="D69">
        <v>1840000</v>
      </c>
      <c r="E69" t="s">
        <v>445</v>
      </c>
    </row>
    <row r="70" spans="1:5" x14ac:dyDescent="0.25">
      <c r="A70" s="16">
        <v>42492.892141203702</v>
      </c>
      <c r="B70" t="s">
        <v>434</v>
      </c>
      <c r="C70" t="s">
        <v>435</v>
      </c>
      <c r="D70">
        <v>970000</v>
      </c>
      <c r="E70" t="s">
        <v>337</v>
      </c>
    </row>
    <row r="71" spans="1:5" x14ac:dyDescent="0.25">
      <c r="A71" s="16">
        <v>42492.655763888892</v>
      </c>
      <c r="B71" t="s">
        <v>320</v>
      </c>
      <c r="C71" t="s">
        <v>418</v>
      </c>
      <c r="D71">
        <v>1750000</v>
      </c>
      <c r="E71" t="s">
        <v>462</v>
      </c>
    </row>
    <row r="72" spans="1:5" x14ac:dyDescent="0.25">
      <c r="A72" s="16">
        <v>42492.908680555556</v>
      </c>
      <c r="B72" t="s">
        <v>67</v>
      </c>
      <c r="C72" t="s">
        <v>465</v>
      </c>
      <c r="D72">
        <v>1140000</v>
      </c>
      <c r="E72" t="s">
        <v>317</v>
      </c>
    </row>
    <row r="73" spans="1:5" x14ac:dyDescent="0.25">
      <c r="A73" s="16">
        <v>42492.619016203702</v>
      </c>
      <c r="B73" t="s">
        <v>370</v>
      </c>
      <c r="C73" t="s">
        <v>457</v>
      </c>
      <c r="D73">
        <v>1200000</v>
      </c>
      <c r="E73" t="s">
        <v>365</v>
      </c>
    </row>
    <row r="74" spans="1:5" x14ac:dyDescent="0.25">
      <c r="A74" s="16">
        <v>42492.951006944444</v>
      </c>
      <c r="B74" t="s">
        <v>116</v>
      </c>
      <c r="C74" t="s">
        <v>466</v>
      </c>
      <c r="D74">
        <v>1140000</v>
      </c>
      <c r="E74" t="s">
        <v>317</v>
      </c>
    </row>
    <row r="75" spans="1:5" x14ac:dyDescent="0.25">
      <c r="A75" s="16">
        <v>42492.61136574074</v>
      </c>
      <c r="B75" t="s">
        <v>90</v>
      </c>
      <c r="C75" t="s">
        <v>454</v>
      </c>
      <c r="D75">
        <v>1840000</v>
      </c>
      <c r="E75" t="s">
        <v>445</v>
      </c>
    </row>
    <row r="76" spans="1:5" x14ac:dyDescent="0.25">
      <c r="A76" s="16">
        <v>42492.988703703704</v>
      </c>
      <c r="B76" t="s">
        <v>90</v>
      </c>
      <c r="C76" t="s">
        <v>467</v>
      </c>
      <c r="D76">
        <v>1740000</v>
      </c>
      <c r="E76" t="s">
        <v>456</v>
      </c>
    </row>
    <row r="77" spans="1:5" x14ac:dyDescent="0.25">
      <c r="A77" s="16">
        <v>42492.595648148148</v>
      </c>
      <c r="B77" t="s">
        <v>88</v>
      </c>
      <c r="C77" t="s">
        <v>468</v>
      </c>
      <c r="D77">
        <v>1340000</v>
      </c>
      <c r="E77" t="s">
        <v>469</v>
      </c>
    </row>
    <row r="78" spans="1:5" x14ac:dyDescent="0.25">
      <c r="A78" s="16">
        <v>42493.006874999999</v>
      </c>
      <c r="B78" t="s">
        <v>75</v>
      </c>
      <c r="C78" t="s">
        <v>439</v>
      </c>
      <c r="D78">
        <v>1760000</v>
      </c>
      <c r="E78" t="s">
        <v>453</v>
      </c>
    </row>
    <row r="79" spans="1:5" x14ac:dyDescent="0.25">
      <c r="A79" s="16">
        <v>42492.590601851851</v>
      </c>
      <c r="B79" t="s">
        <v>104</v>
      </c>
      <c r="C79" t="s">
        <v>412</v>
      </c>
      <c r="D79">
        <v>1290000</v>
      </c>
      <c r="E79" t="s">
        <v>355</v>
      </c>
    </row>
    <row r="80" spans="1:5" x14ac:dyDescent="0.25">
      <c r="A80" s="16">
        <v>42493.126273148147</v>
      </c>
      <c r="B80" t="s">
        <v>63</v>
      </c>
      <c r="C80" t="s">
        <v>470</v>
      </c>
      <c r="D80">
        <v>1770000</v>
      </c>
      <c r="E80" t="s">
        <v>326</v>
      </c>
    </row>
    <row r="81" spans="1:5" x14ac:dyDescent="0.25">
      <c r="A81" s="16">
        <v>42492.559537037036</v>
      </c>
      <c r="B81" t="s">
        <v>331</v>
      </c>
      <c r="C81" t="s">
        <v>409</v>
      </c>
      <c r="D81">
        <v>1830000</v>
      </c>
      <c r="E81" t="s">
        <v>449</v>
      </c>
    </row>
    <row r="82" spans="1:5" x14ac:dyDescent="0.25">
      <c r="A82" s="16">
        <v>42493.167013888888</v>
      </c>
      <c r="B82" t="s">
        <v>331</v>
      </c>
      <c r="C82" t="s">
        <v>450</v>
      </c>
      <c r="D82">
        <v>1770000</v>
      </c>
      <c r="E82" t="s">
        <v>326</v>
      </c>
    </row>
    <row r="83" spans="1:5" x14ac:dyDescent="0.25">
      <c r="A83" s="16">
        <v>42492.541712962964</v>
      </c>
      <c r="B83" t="s">
        <v>90</v>
      </c>
      <c r="C83" t="s">
        <v>411</v>
      </c>
      <c r="D83">
        <v>1840000</v>
      </c>
      <c r="E83" t="s">
        <v>445</v>
      </c>
    </row>
    <row r="84" spans="1:5" x14ac:dyDescent="0.25">
      <c r="A84" s="16">
        <v>42493.182442129626</v>
      </c>
      <c r="B84" t="s">
        <v>434</v>
      </c>
      <c r="C84" t="s">
        <v>471</v>
      </c>
      <c r="D84">
        <v>1780000</v>
      </c>
      <c r="E84" t="s">
        <v>341</v>
      </c>
    </row>
    <row r="85" spans="1:5" x14ac:dyDescent="0.25">
      <c r="A85" s="16">
        <v>42492.540439814817</v>
      </c>
      <c r="B85" t="s">
        <v>90</v>
      </c>
      <c r="C85" t="s">
        <v>411</v>
      </c>
      <c r="D85">
        <v>1840000</v>
      </c>
      <c r="E85" t="s">
        <v>445</v>
      </c>
    </row>
    <row r="86" spans="1:5" x14ac:dyDescent="0.25">
      <c r="A86" s="16">
        <v>42493.195231481484</v>
      </c>
      <c r="B86" t="s">
        <v>472</v>
      </c>
      <c r="C86" t="s">
        <v>473</v>
      </c>
      <c r="D86">
        <v>1110000</v>
      </c>
      <c r="E86" t="s">
        <v>474</v>
      </c>
    </row>
    <row r="87" spans="1:5" x14ac:dyDescent="0.25">
      <c r="A87" s="16">
        <v>42492.53597222222</v>
      </c>
      <c r="B87" t="s">
        <v>67</v>
      </c>
      <c r="C87" t="s">
        <v>410</v>
      </c>
      <c r="D87">
        <v>1260000</v>
      </c>
      <c r="E87" t="s">
        <v>313</v>
      </c>
    </row>
    <row r="88" spans="1:5" x14ac:dyDescent="0.25">
      <c r="A88" s="16">
        <v>42493.218252314815</v>
      </c>
      <c r="B88" t="s">
        <v>315</v>
      </c>
      <c r="C88" t="s">
        <v>475</v>
      </c>
      <c r="D88">
        <v>1780000</v>
      </c>
      <c r="E88" t="s">
        <v>341</v>
      </c>
    </row>
    <row r="89" spans="1:5" x14ac:dyDescent="0.25">
      <c r="A89" s="16">
        <v>42492.531458333331</v>
      </c>
      <c r="B89" t="s">
        <v>324</v>
      </c>
      <c r="C89" t="s">
        <v>406</v>
      </c>
      <c r="D89">
        <v>950000</v>
      </c>
      <c r="E89" t="s">
        <v>356</v>
      </c>
    </row>
    <row r="90" spans="1:5" x14ac:dyDescent="0.25">
      <c r="A90" s="16">
        <v>42487.881365740737</v>
      </c>
      <c r="B90" t="s">
        <v>353</v>
      </c>
      <c r="C90" t="s">
        <v>354</v>
      </c>
      <c r="D90">
        <v>1290000</v>
      </c>
      <c r="E90" t="s">
        <v>355</v>
      </c>
    </row>
    <row r="91" spans="1:5" x14ac:dyDescent="0.25">
      <c r="A91" s="16">
        <v>42492.524270833332</v>
      </c>
      <c r="B91" t="s">
        <v>88</v>
      </c>
      <c r="C91" t="s">
        <v>408</v>
      </c>
      <c r="D91">
        <v>1340000</v>
      </c>
      <c r="E91" t="s">
        <v>469</v>
      </c>
    </row>
    <row r="92" spans="1:5" x14ac:dyDescent="0.25">
      <c r="A92" s="16">
        <v>42488.778263888889</v>
      </c>
      <c r="B92" t="s">
        <v>63</v>
      </c>
      <c r="C92" t="s">
        <v>308</v>
      </c>
      <c r="D92">
        <v>530000</v>
      </c>
      <c r="E92" t="s">
        <v>309</v>
      </c>
    </row>
    <row r="93" spans="1:5" x14ac:dyDescent="0.25">
      <c r="A93" s="16">
        <v>42492.509456018517</v>
      </c>
      <c r="B93" t="s">
        <v>83</v>
      </c>
      <c r="C93" t="s">
        <v>476</v>
      </c>
      <c r="D93">
        <v>1750000</v>
      </c>
      <c r="E93" t="s">
        <v>462</v>
      </c>
    </row>
    <row r="94" spans="1:5" x14ac:dyDescent="0.25">
      <c r="A94" s="16">
        <v>42489.130023148151</v>
      </c>
      <c r="B94" t="s">
        <v>88</v>
      </c>
      <c r="C94" t="s">
        <v>308</v>
      </c>
      <c r="D94">
        <v>530000</v>
      </c>
      <c r="E94" t="s">
        <v>309</v>
      </c>
    </row>
    <row r="95" spans="1:5" x14ac:dyDescent="0.25">
      <c r="A95" s="16">
        <v>42492.461747685185</v>
      </c>
      <c r="B95" t="s">
        <v>67</v>
      </c>
      <c r="C95" t="s">
        <v>400</v>
      </c>
      <c r="D95">
        <v>1260000</v>
      </c>
      <c r="E95" t="s">
        <v>313</v>
      </c>
    </row>
    <row r="96" spans="1:5" x14ac:dyDescent="0.25">
      <c r="A96" s="16">
        <v>42488.984780092593</v>
      </c>
      <c r="B96" t="s">
        <v>88</v>
      </c>
      <c r="C96" t="s">
        <v>308</v>
      </c>
      <c r="D96">
        <v>530000</v>
      </c>
      <c r="E96" t="s">
        <v>309</v>
      </c>
    </row>
    <row r="97" spans="1:5" x14ac:dyDescent="0.25">
      <c r="A97" s="16">
        <v>42492.437418981484</v>
      </c>
      <c r="B97" t="s">
        <v>69</v>
      </c>
      <c r="C97" t="s">
        <v>399</v>
      </c>
      <c r="D97">
        <v>1780000</v>
      </c>
      <c r="E97" t="s">
        <v>341</v>
      </c>
    </row>
    <row r="98" spans="1:5" x14ac:dyDescent="0.25">
      <c r="A98" s="16">
        <v>42491.131736111114</v>
      </c>
      <c r="B98" t="s">
        <v>90</v>
      </c>
      <c r="C98" t="s">
        <v>268</v>
      </c>
      <c r="D98">
        <v>1300000</v>
      </c>
      <c r="E98" t="s">
        <v>334</v>
      </c>
    </row>
    <row r="99" spans="1:5" x14ac:dyDescent="0.25">
      <c r="A99" s="16">
        <v>42492.423206018517</v>
      </c>
      <c r="B99" t="s">
        <v>63</v>
      </c>
      <c r="C99" t="s">
        <v>397</v>
      </c>
      <c r="D99">
        <v>1090000</v>
      </c>
      <c r="E99" t="s">
        <v>328</v>
      </c>
    </row>
    <row r="100" spans="1:5" x14ac:dyDescent="0.25">
      <c r="A100" s="16">
        <v>42491.174016203702</v>
      </c>
      <c r="B100" t="s">
        <v>71</v>
      </c>
      <c r="C100" t="s">
        <v>263</v>
      </c>
      <c r="D100">
        <v>1430000</v>
      </c>
      <c r="E100" t="s">
        <v>305</v>
      </c>
    </row>
    <row r="101" spans="1:5" x14ac:dyDescent="0.25">
      <c r="A101" s="16">
        <v>42492.401504629626</v>
      </c>
      <c r="B101" t="s">
        <v>90</v>
      </c>
      <c r="C101" t="s">
        <v>477</v>
      </c>
      <c r="D101">
        <v>1780000</v>
      </c>
      <c r="E101" t="s">
        <v>341</v>
      </c>
    </row>
    <row r="102" spans="1:5" x14ac:dyDescent="0.25">
      <c r="A102" s="16">
        <v>42491.24291666667</v>
      </c>
      <c r="B102" t="s">
        <v>69</v>
      </c>
      <c r="C102" t="s">
        <v>70</v>
      </c>
      <c r="D102">
        <v>1100000</v>
      </c>
      <c r="E102" t="s">
        <v>310</v>
      </c>
    </row>
    <row r="103" spans="1:5" x14ac:dyDescent="0.25">
      <c r="A103" s="16">
        <v>42492.393564814818</v>
      </c>
      <c r="B103" t="s">
        <v>320</v>
      </c>
      <c r="C103" t="s">
        <v>321</v>
      </c>
      <c r="D103">
        <v>1800000</v>
      </c>
      <c r="E103" t="s">
        <v>322</v>
      </c>
    </row>
    <row r="104" spans="1:5" x14ac:dyDescent="0.25">
      <c r="A104" s="16">
        <v>42491.260509259257</v>
      </c>
      <c r="B104" t="s">
        <v>109</v>
      </c>
      <c r="C104" t="s">
        <v>247</v>
      </c>
      <c r="D104">
        <v>1360000</v>
      </c>
      <c r="E104" t="s">
        <v>307</v>
      </c>
    </row>
    <row r="105" spans="1:5" x14ac:dyDescent="0.25">
      <c r="A105" s="16">
        <v>42492.381504629629</v>
      </c>
      <c r="B105" t="s">
        <v>324</v>
      </c>
      <c r="C105" t="s">
        <v>325</v>
      </c>
      <c r="D105">
        <v>1770000</v>
      </c>
      <c r="E105" t="s">
        <v>326</v>
      </c>
    </row>
    <row r="106" spans="1:5" x14ac:dyDescent="0.25">
      <c r="A106" s="16">
        <v>42491.387615740743</v>
      </c>
      <c r="B106" t="s">
        <v>69</v>
      </c>
      <c r="C106" t="s">
        <v>219</v>
      </c>
      <c r="D106">
        <v>1100000</v>
      </c>
      <c r="E106" t="s">
        <v>310</v>
      </c>
    </row>
    <row r="107" spans="1:5" x14ac:dyDescent="0.25">
      <c r="A107" s="16">
        <v>42492.379305555558</v>
      </c>
      <c r="B107" t="s">
        <v>88</v>
      </c>
      <c r="C107" t="s">
        <v>327</v>
      </c>
      <c r="D107">
        <v>1090000</v>
      </c>
      <c r="E107" t="s">
        <v>328</v>
      </c>
    </row>
    <row r="108" spans="1:5" x14ac:dyDescent="0.25">
      <c r="A108" s="16">
        <v>42491.423090277778</v>
      </c>
      <c r="B108" t="s">
        <v>90</v>
      </c>
      <c r="C108" t="s">
        <v>208</v>
      </c>
      <c r="D108">
        <v>1260000</v>
      </c>
      <c r="E108" t="s">
        <v>313</v>
      </c>
    </row>
    <row r="109" spans="1:5" x14ac:dyDescent="0.25">
      <c r="A109" s="16">
        <v>42492.372777777775</v>
      </c>
      <c r="B109" t="s">
        <v>329</v>
      </c>
      <c r="C109" t="s">
        <v>330</v>
      </c>
      <c r="D109">
        <v>1310000</v>
      </c>
      <c r="E109" t="s">
        <v>304</v>
      </c>
    </row>
    <row r="110" spans="1:5" x14ac:dyDescent="0.25">
      <c r="A110" s="16">
        <v>42491.455416666664</v>
      </c>
      <c r="B110" t="s">
        <v>67</v>
      </c>
      <c r="C110" t="s">
        <v>85</v>
      </c>
      <c r="D110">
        <v>1310000</v>
      </c>
      <c r="E110" t="s">
        <v>304</v>
      </c>
    </row>
    <row r="111" spans="1:5" x14ac:dyDescent="0.25">
      <c r="A111" s="16">
        <v>42492.34207175926</v>
      </c>
      <c r="B111" t="s">
        <v>331</v>
      </c>
      <c r="C111" t="s">
        <v>332</v>
      </c>
      <c r="D111">
        <v>1310000</v>
      </c>
      <c r="E111" t="s">
        <v>304</v>
      </c>
    </row>
    <row r="112" spans="1:5" x14ac:dyDescent="0.25">
      <c r="A112" s="16">
        <v>42491.484155092592</v>
      </c>
      <c r="B112" t="s">
        <v>318</v>
      </c>
      <c r="C112" t="s">
        <v>199</v>
      </c>
      <c r="D112">
        <v>940000</v>
      </c>
      <c r="E112" t="s">
        <v>323</v>
      </c>
    </row>
    <row r="113" spans="1:5" x14ac:dyDescent="0.25">
      <c r="A113" s="16">
        <v>42492.322453703702</v>
      </c>
      <c r="B113" t="s">
        <v>95</v>
      </c>
      <c r="C113" t="s">
        <v>333</v>
      </c>
      <c r="D113">
        <v>1300000</v>
      </c>
      <c r="E113" t="s">
        <v>334</v>
      </c>
    </row>
    <row r="114" spans="1:5" x14ac:dyDescent="0.25">
      <c r="A114" s="16">
        <v>42491.611863425926</v>
      </c>
      <c r="B114" t="s">
        <v>71</v>
      </c>
      <c r="C114" t="s">
        <v>102</v>
      </c>
      <c r="D114">
        <v>1460000</v>
      </c>
      <c r="E114" t="s">
        <v>314</v>
      </c>
    </row>
    <row r="115" spans="1:5" x14ac:dyDescent="0.25">
      <c r="A115" s="16">
        <v>42492.255416666667</v>
      </c>
      <c r="B115" t="s">
        <v>90</v>
      </c>
      <c r="C115" t="s">
        <v>340</v>
      </c>
      <c r="D115">
        <v>1780000</v>
      </c>
      <c r="E115" t="s">
        <v>341</v>
      </c>
    </row>
    <row r="116" spans="1:5" x14ac:dyDescent="0.25">
      <c r="A116" s="16">
        <v>42491.636562500003</v>
      </c>
      <c r="B116" t="s">
        <v>88</v>
      </c>
      <c r="C116" t="s">
        <v>157</v>
      </c>
      <c r="D116">
        <v>950000</v>
      </c>
      <c r="E116" t="s">
        <v>356</v>
      </c>
    </row>
    <row r="117" spans="1:5" x14ac:dyDescent="0.25">
      <c r="A117" s="16">
        <v>42492.18954861111</v>
      </c>
      <c r="B117" t="s">
        <v>63</v>
      </c>
      <c r="C117" t="s">
        <v>358</v>
      </c>
      <c r="D117">
        <v>1090000</v>
      </c>
      <c r="E117" t="s">
        <v>328</v>
      </c>
    </row>
    <row r="118" spans="1:5" x14ac:dyDescent="0.25">
      <c r="A118" s="16">
        <v>42491.640879629631</v>
      </c>
      <c r="B118" t="s">
        <v>90</v>
      </c>
      <c r="C118" t="s">
        <v>103</v>
      </c>
      <c r="D118">
        <v>1260000</v>
      </c>
      <c r="E118" t="s">
        <v>313</v>
      </c>
    </row>
    <row r="119" spans="1:5" x14ac:dyDescent="0.25">
      <c r="A119" s="16">
        <v>42491.924513888887</v>
      </c>
      <c r="B119" t="s">
        <v>318</v>
      </c>
      <c r="C119" t="s">
        <v>284</v>
      </c>
      <c r="D119">
        <v>1280000</v>
      </c>
      <c r="E119" t="s">
        <v>319</v>
      </c>
    </row>
    <row r="120" spans="1:5" x14ac:dyDescent="0.25">
      <c r="A120" s="16">
        <v>42491.191967592589</v>
      </c>
      <c r="B120" t="s">
        <v>116</v>
      </c>
      <c r="C120" t="s">
        <v>259</v>
      </c>
      <c r="D120">
        <v>1310000</v>
      </c>
      <c r="E120" t="s">
        <v>304</v>
      </c>
    </row>
    <row r="121" spans="1:5" x14ac:dyDescent="0.25">
      <c r="A121" s="16">
        <v>42491.883368055554</v>
      </c>
      <c r="B121" t="s">
        <v>107</v>
      </c>
      <c r="C121" t="s">
        <v>289</v>
      </c>
      <c r="D121">
        <v>1280000</v>
      </c>
      <c r="E121" t="s">
        <v>319</v>
      </c>
    </row>
    <row r="122" spans="1:5" x14ac:dyDescent="0.25">
      <c r="A122" s="16">
        <v>42491.259085648147</v>
      </c>
      <c r="B122" t="s">
        <v>109</v>
      </c>
      <c r="C122" t="s">
        <v>247</v>
      </c>
      <c r="D122">
        <v>1360000</v>
      </c>
      <c r="E122" t="s">
        <v>307</v>
      </c>
    </row>
    <row r="123" spans="1:5" x14ac:dyDescent="0.25">
      <c r="A123" s="16">
        <v>42491.826597222222</v>
      </c>
      <c r="B123" t="s">
        <v>69</v>
      </c>
      <c r="C123" t="s">
        <v>295</v>
      </c>
      <c r="D123">
        <v>970000</v>
      </c>
      <c r="E123" t="s">
        <v>337</v>
      </c>
    </row>
    <row r="124" spans="1:5" x14ac:dyDescent="0.25">
      <c r="A124" s="16">
        <v>42491.265497685185</v>
      </c>
      <c r="B124" t="s">
        <v>116</v>
      </c>
      <c r="C124" t="s">
        <v>246</v>
      </c>
      <c r="D124">
        <v>1310000</v>
      </c>
      <c r="E124" t="s">
        <v>304</v>
      </c>
    </row>
    <row r="125" spans="1:5" x14ac:dyDescent="0.25">
      <c r="A125" s="16">
        <v>42491.804340277777</v>
      </c>
      <c r="B125" t="s">
        <v>107</v>
      </c>
      <c r="C125" t="s">
        <v>297</v>
      </c>
      <c r="D125">
        <v>1280000</v>
      </c>
      <c r="E125" t="s">
        <v>319</v>
      </c>
    </row>
    <row r="126" spans="1:5" x14ac:dyDescent="0.25">
      <c r="A126" s="16">
        <v>42491.31763888889</v>
      </c>
      <c r="B126" t="s">
        <v>71</v>
      </c>
      <c r="C126" t="s">
        <v>74</v>
      </c>
      <c r="D126">
        <v>1430000</v>
      </c>
      <c r="E126" t="s">
        <v>305</v>
      </c>
    </row>
    <row r="127" spans="1:5" x14ac:dyDescent="0.25">
      <c r="A127" s="16">
        <v>42491.752789351849</v>
      </c>
      <c r="B127" t="s">
        <v>69</v>
      </c>
      <c r="C127" t="s">
        <v>122</v>
      </c>
      <c r="D127">
        <v>970000</v>
      </c>
      <c r="E127" t="s">
        <v>337</v>
      </c>
    </row>
    <row r="128" spans="1:5" x14ac:dyDescent="0.25">
      <c r="A128" s="16">
        <v>42491.461608796293</v>
      </c>
      <c r="B128" t="s">
        <v>69</v>
      </c>
      <c r="C128" t="s">
        <v>87</v>
      </c>
      <c r="D128">
        <v>1260000</v>
      </c>
      <c r="E128" t="s">
        <v>313</v>
      </c>
    </row>
    <row r="129" spans="1:5" x14ac:dyDescent="0.25">
      <c r="A129" s="16">
        <v>42491.742997685185</v>
      </c>
      <c r="B129" t="s">
        <v>67</v>
      </c>
      <c r="C129" t="s">
        <v>127</v>
      </c>
      <c r="D129">
        <v>1490000</v>
      </c>
      <c r="E129" t="s">
        <v>312</v>
      </c>
    </row>
    <row r="130" spans="1:5" x14ac:dyDescent="0.25">
      <c r="A130" s="16">
        <v>42491.49</v>
      </c>
      <c r="B130" t="s">
        <v>116</v>
      </c>
      <c r="C130" t="s">
        <v>196</v>
      </c>
      <c r="D130">
        <v>1490000</v>
      </c>
      <c r="E130" t="s">
        <v>312</v>
      </c>
    </row>
    <row r="131" spans="1:5" x14ac:dyDescent="0.25">
      <c r="A131" s="16">
        <v>42491.728472222225</v>
      </c>
      <c r="B131" t="s">
        <v>83</v>
      </c>
      <c r="C131" t="s">
        <v>120</v>
      </c>
      <c r="D131">
        <v>880000</v>
      </c>
      <c r="E131" t="s">
        <v>306</v>
      </c>
    </row>
    <row r="132" spans="1:5" x14ac:dyDescent="0.25">
      <c r="A132" s="16">
        <v>42491.534745370373</v>
      </c>
      <c r="B132" t="s">
        <v>69</v>
      </c>
      <c r="C132" t="s">
        <v>184</v>
      </c>
      <c r="D132">
        <v>1260000</v>
      </c>
      <c r="E132" t="s">
        <v>313</v>
      </c>
    </row>
    <row r="133" spans="1:5" x14ac:dyDescent="0.25">
      <c r="A133" s="16">
        <v>42492.267500000002</v>
      </c>
      <c r="B133" t="s">
        <v>335</v>
      </c>
      <c r="C133" t="s">
        <v>336</v>
      </c>
      <c r="D133">
        <v>1310000</v>
      </c>
      <c r="E133" t="s">
        <v>304</v>
      </c>
    </row>
    <row r="134" spans="1:5" x14ac:dyDescent="0.25">
      <c r="A134" s="16">
        <v>42491.542858796296</v>
      </c>
      <c r="B134" t="s">
        <v>71</v>
      </c>
      <c r="C134" t="s">
        <v>94</v>
      </c>
      <c r="D134">
        <v>1460000</v>
      </c>
      <c r="E134" t="s">
        <v>314</v>
      </c>
    </row>
    <row r="135" spans="1:5" x14ac:dyDescent="0.25">
      <c r="A135" s="16">
        <v>42492.267268518517</v>
      </c>
      <c r="B135" t="s">
        <v>63</v>
      </c>
      <c r="C135" t="s">
        <v>338</v>
      </c>
      <c r="D135">
        <v>1090000</v>
      </c>
      <c r="E135" t="s">
        <v>328</v>
      </c>
    </row>
    <row r="136" spans="1:5" x14ac:dyDescent="0.25">
      <c r="A136" s="16">
        <v>42491.625115740739</v>
      </c>
      <c r="B136" t="s">
        <v>104</v>
      </c>
      <c r="C136" t="s">
        <v>105</v>
      </c>
      <c r="D136">
        <v>1190000</v>
      </c>
      <c r="E136" t="s">
        <v>357</v>
      </c>
    </row>
    <row r="137" spans="1:5" x14ac:dyDescent="0.25">
      <c r="A137" s="16">
        <v>42492.210902777777</v>
      </c>
      <c r="B137" t="s">
        <v>83</v>
      </c>
      <c r="C137" t="s">
        <v>343</v>
      </c>
      <c r="D137">
        <v>1300000</v>
      </c>
      <c r="E137" t="s">
        <v>334</v>
      </c>
    </row>
    <row r="138" spans="1:5" x14ac:dyDescent="0.25">
      <c r="A138" s="16">
        <v>42491.682442129626</v>
      </c>
      <c r="B138" t="s">
        <v>71</v>
      </c>
      <c r="C138" t="s">
        <v>112</v>
      </c>
      <c r="D138">
        <v>1460000</v>
      </c>
      <c r="E138" t="s">
        <v>314</v>
      </c>
    </row>
    <row r="139" spans="1:5" x14ac:dyDescent="0.25">
      <c r="A139" s="16">
        <v>42492.180671296293</v>
      </c>
      <c r="B139" t="s">
        <v>90</v>
      </c>
      <c r="C139" t="s">
        <v>346</v>
      </c>
      <c r="D139">
        <v>1780000</v>
      </c>
      <c r="E139" t="s">
        <v>341</v>
      </c>
    </row>
    <row r="140" spans="1:5" x14ac:dyDescent="0.25">
      <c r="A140" s="16">
        <v>42491.74486111111</v>
      </c>
      <c r="B140" t="s">
        <v>63</v>
      </c>
      <c r="C140" t="s">
        <v>125</v>
      </c>
      <c r="D140">
        <v>950000</v>
      </c>
      <c r="E140" t="s">
        <v>356</v>
      </c>
    </row>
    <row r="141" spans="1:5" x14ac:dyDescent="0.25">
      <c r="A141" s="16">
        <v>42492.124421296299</v>
      </c>
      <c r="B141" t="s">
        <v>116</v>
      </c>
      <c r="C141" t="s">
        <v>359</v>
      </c>
      <c r="D141">
        <v>1300000</v>
      </c>
      <c r="E141" t="s">
        <v>334</v>
      </c>
    </row>
    <row r="142" spans="1:5" x14ac:dyDescent="0.25">
      <c r="A142" s="16">
        <v>42491.310069444444</v>
      </c>
      <c r="B142" t="s">
        <v>63</v>
      </c>
      <c r="C142" t="s">
        <v>234</v>
      </c>
      <c r="D142">
        <v>1480000</v>
      </c>
      <c r="E142" t="s">
        <v>361</v>
      </c>
    </row>
    <row r="143" spans="1:5" x14ac:dyDescent="0.25">
      <c r="A143" s="16">
        <v>42492.036689814813</v>
      </c>
      <c r="B143" t="s">
        <v>90</v>
      </c>
      <c r="C143" t="s">
        <v>360</v>
      </c>
      <c r="D143">
        <v>970000</v>
      </c>
      <c r="E143" t="s">
        <v>337</v>
      </c>
    </row>
    <row r="144" spans="1:5" x14ac:dyDescent="0.25">
      <c r="A144" s="16">
        <v>42491.31726851852</v>
      </c>
      <c r="B144" t="s">
        <v>69</v>
      </c>
      <c r="C144" t="s">
        <v>73</v>
      </c>
      <c r="D144">
        <v>1100000</v>
      </c>
      <c r="E144" t="s">
        <v>310</v>
      </c>
    </row>
    <row r="145" spans="1:5" x14ac:dyDescent="0.25">
      <c r="A145" s="16">
        <v>42491.843842592592</v>
      </c>
      <c r="B145" t="s">
        <v>79</v>
      </c>
      <c r="C145" t="s">
        <v>292</v>
      </c>
      <c r="D145">
        <v>1140000</v>
      </c>
      <c r="E145" t="s">
        <v>317</v>
      </c>
    </row>
    <row r="146" spans="1:5" x14ac:dyDescent="0.25">
      <c r="A146" s="16">
        <v>42491.320150462961</v>
      </c>
      <c r="B146" t="s">
        <v>71</v>
      </c>
      <c r="C146" t="s">
        <v>74</v>
      </c>
      <c r="D146">
        <v>1430000</v>
      </c>
      <c r="E146" t="s">
        <v>305</v>
      </c>
    </row>
    <row r="147" spans="1:5" x14ac:dyDescent="0.25">
      <c r="A147" s="16">
        <v>42491.78837962963</v>
      </c>
      <c r="B147" t="s">
        <v>81</v>
      </c>
      <c r="C147" t="s">
        <v>269</v>
      </c>
      <c r="D147">
        <v>1440000</v>
      </c>
      <c r="E147" t="s">
        <v>316</v>
      </c>
    </row>
    <row r="148" spans="1:5" x14ac:dyDescent="0.25">
      <c r="A148" s="16">
        <v>42491.418391203704</v>
      </c>
      <c r="B148" t="s">
        <v>88</v>
      </c>
      <c r="C148" t="s">
        <v>210</v>
      </c>
      <c r="D148">
        <v>1480000</v>
      </c>
      <c r="E148" t="s">
        <v>361</v>
      </c>
    </row>
    <row r="149" spans="1:5" x14ac:dyDescent="0.25">
      <c r="A149" s="16">
        <v>42491.766145833331</v>
      </c>
      <c r="B149" t="s">
        <v>95</v>
      </c>
      <c r="C149" t="s">
        <v>121</v>
      </c>
      <c r="D149">
        <v>880000</v>
      </c>
      <c r="E149" t="s">
        <v>306</v>
      </c>
    </row>
    <row r="150" spans="1:5" x14ac:dyDescent="0.25">
      <c r="A150" s="16">
        <v>42491.432673611111</v>
      </c>
      <c r="B150" t="s">
        <v>83</v>
      </c>
      <c r="C150" t="s">
        <v>84</v>
      </c>
      <c r="D150">
        <v>1100000</v>
      </c>
      <c r="E150" t="s">
        <v>310</v>
      </c>
    </row>
    <row r="151" spans="1:5" x14ac:dyDescent="0.25">
      <c r="A151" s="16">
        <v>42491.758715277778</v>
      </c>
      <c r="B151" t="s">
        <v>71</v>
      </c>
      <c r="C151" t="s">
        <v>123</v>
      </c>
      <c r="D151">
        <v>1440000</v>
      </c>
      <c r="E151" t="s">
        <v>316</v>
      </c>
    </row>
    <row r="152" spans="1:5" x14ac:dyDescent="0.25">
      <c r="A152" s="16">
        <v>42491.453148148146</v>
      </c>
      <c r="B152" t="s">
        <v>63</v>
      </c>
      <c r="C152" t="s">
        <v>86</v>
      </c>
      <c r="D152">
        <v>860000</v>
      </c>
      <c r="E152" t="s">
        <v>311</v>
      </c>
    </row>
    <row r="153" spans="1:5" x14ac:dyDescent="0.25">
      <c r="A153" s="16">
        <v>42491.679768518516</v>
      </c>
      <c r="B153" t="s">
        <v>69</v>
      </c>
      <c r="C153" t="s">
        <v>118</v>
      </c>
      <c r="D153">
        <v>1260000</v>
      </c>
      <c r="E153" t="s">
        <v>313</v>
      </c>
    </row>
    <row r="154" spans="1:5" x14ac:dyDescent="0.25">
      <c r="A154" s="16">
        <v>42491.507534722223</v>
      </c>
      <c r="B154" t="s">
        <v>83</v>
      </c>
      <c r="C154" t="s">
        <v>192</v>
      </c>
      <c r="D154">
        <v>880000</v>
      </c>
      <c r="E154" t="s">
        <v>306</v>
      </c>
    </row>
    <row r="155" spans="1:5" x14ac:dyDescent="0.25">
      <c r="A155" s="16">
        <v>42491.672592592593</v>
      </c>
      <c r="B155" t="s">
        <v>63</v>
      </c>
      <c r="C155" t="s">
        <v>111</v>
      </c>
      <c r="D155">
        <v>950000</v>
      </c>
      <c r="E155" t="s">
        <v>356</v>
      </c>
    </row>
    <row r="156" spans="1:5" x14ac:dyDescent="0.25">
      <c r="A156" s="16">
        <v>42491.69390046296</v>
      </c>
      <c r="B156" t="s">
        <v>318</v>
      </c>
      <c r="C156" t="s">
        <v>143</v>
      </c>
      <c r="D156">
        <v>940000</v>
      </c>
      <c r="E156" t="s">
        <v>323</v>
      </c>
    </row>
    <row r="157" spans="1:5" x14ac:dyDescent="0.25">
      <c r="A157" s="16">
        <v>42491.665358796294</v>
      </c>
      <c r="B157" t="s">
        <v>109</v>
      </c>
      <c r="C157" t="s">
        <v>110</v>
      </c>
      <c r="D157">
        <v>1190000</v>
      </c>
      <c r="E157" t="s">
        <v>357</v>
      </c>
    </row>
    <row r="158" spans="1:5" x14ac:dyDescent="0.25">
      <c r="A158" s="16">
        <v>42491.702280092592</v>
      </c>
      <c r="B158" t="s">
        <v>116</v>
      </c>
      <c r="C158" t="s">
        <v>117</v>
      </c>
      <c r="D158">
        <v>1490000</v>
      </c>
      <c r="E158" t="s">
        <v>312</v>
      </c>
    </row>
    <row r="159" spans="1:5" x14ac:dyDescent="0.25">
      <c r="A159" s="16">
        <v>42491.572500000002</v>
      </c>
      <c r="B159" t="s">
        <v>81</v>
      </c>
      <c r="C159" t="s">
        <v>173</v>
      </c>
      <c r="D159">
        <v>1460000</v>
      </c>
      <c r="E159" t="s">
        <v>314</v>
      </c>
    </row>
    <row r="160" spans="1:5" x14ac:dyDescent="0.25">
      <c r="A160" s="16">
        <v>42491.708645833336</v>
      </c>
      <c r="B160" t="s">
        <v>88</v>
      </c>
      <c r="C160" t="s">
        <v>137</v>
      </c>
      <c r="D160">
        <v>950000</v>
      </c>
      <c r="E160" t="s">
        <v>356</v>
      </c>
    </row>
    <row r="161" spans="1:5" x14ac:dyDescent="0.25">
      <c r="A161" s="16">
        <v>42491.550937499997</v>
      </c>
      <c r="B161" t="s">
        <v>318</v>
      </c>
      <c r="C161" t="s">
        <v>180</v>
      </c>
      <c r="D161">
        <v>940000</v>
      </c>
      <c r="E161" t="s">
        <v>323</v>
      </c>
    </row>
    <row r="162" spans="1:5" x14ac:dyDescent="0.25">
      <c r="A162" s="16">
        <v>42491.729456018518</v>
      </c>
      <c r="B162" t="s">
        <v>107</v>
      </c>
      <c r="C162" t="s">
        <v>119</v>
      </c>
      <c r="D162">
        <v>940000</v>
      </c>
      <c r="E162" t="s">
        <v>323</v>
      </c>
    </row>
    <row r="163" spans="1:5" x14ac:dyDescent="0.25">
      <c r="A163" s="16">
        <v>42491.548078703701</v>
      </c>
      <c r="B163" t="s">
        <v>318</v>
      </c>
      <c r="C163" t="s">
        <v>180</v>
      </c>
      <c r="D163">
        <v>940000</v>
      </c>
      <c r="E163" t="s">
        <v>323</v>
      </c>
    </row>
    <row r="164" spans="1:5" x14ac:dyDescent="0.25">
      <c r="A164" s="16">
        <v>42491.738055555557</v>
      </c>
      <c r="B164" t="s">
        <v>109</v>
      </c>
      <c r="C164" t="s">
        <v>129</v>
      </c>
      <c r="D164">
        <v>1140000</v>
      </c>
      <c r="E164" t="s">
        <v>317</v>
      </c>
    </row>
    <row r="165" spans="1:5" x14ac:dyDescent="0.25">
      <c r="A165" s="16">
        <v>42491.482685185183</v>
      </c>
      <c r="B165" t="s">
        <v>318</v>
      </c>
      <c r="C165" t="s">
        <v>199</v>
      </c>
      <c r="D165">
        <v>940000</v>
      </c>
      <c r="E165" t="s">
        <v>323</v>
      </c>
    </row>
    <row r="166" spans="1:5" x14ac:dyDescent="0.25">
      <c r="A166" s="16">
        <v>42491.769490740742</v>
      </c>
      <c r="B166" t="s">
        <v>318</v>
      </c>
      <c r="C166" t="s">
        <v>299</v>
      </c>
      <c r="D166">
        <v>1280000</v>
      </c>
      <c r="E166" t="s">
        <v>319</v>
      </c>
    </row>
    <row r="167" spans="1:5" x14ac:dyDescent="0.25">
      <c r="A167" s="16">
        <v>42491.406053240738</v>
      </c>
      <c r="B167" t="s">
        <v>104</v>
      </c>
      <c r="C167" t="s">
        <v>213</v>
      </c>
      <c r="D167">
        <v>860000</v>
      </c>
      <c r="E167" t="s">
        <v>311</v>
      </c>
    </row>
    <row r="168" spans="1:5" x14ac:dyDescent="0.25">
      <c r="A168" s="16">
        <v>42491.772916666669</v>
      </c>
      <c r="B168" t="s">
        <v>79</v>
      </c>
      <c r="C168" t="s">
        <v>292</v>
      </c>
      <c r="D168">
        <v>1140000</v>
      </c>
      <c r="E168" t="s">
        <v>317</v>
      </c>
    </row>
    <row r="169" spans="1:5" x14ac:dyDescent="0.25">
      <c r="A169" s="16">
        <v>42491.344780092593</v>
      </c>
      <c r="B169" t="s">
        <v>88</v>
      </c>
      <c r="C169" t="s">
        <v>228</v>
      </c>
      <c r="D169">
        <v>1480000</v>
      </c>
      <c r="E169" t="s">
        <v>361</v>
      </c>
    </row>
    <row r="170" spans="1:5" x14ac:dyDescent="0.25">
      <c r="A170" s="16">
        <v>42491.863564814812</v>
      </c>
      <c r="B170" t="s">
        <v>81</v>
      </c>
      <c r="C170" t="s">
        <v>270</v>
      </c>
      <c r="D170">
        <v>1440000</v>
      </c>
      <c r="E170" t="s">
        <v>316</v>
      </c>
    </row>
    <row r="171" spans="1:5" x14ac:dyDescent="0.25">
      <c r="A171" s="16">
        <v>42491.212164351855</v>
      </c>
      <c r="B171" t="s">
        <v>83</v>
      </c>
      <c r="C171" t="s">
        <v>256</v>
      </c>
      <c r="D171">
        <v>1300000</v>
      </c>
      <c r="E171" t="s">
        <v>334</v>
      </c>
    </row>
    <row r="172" spans="1:5" x14ac:dyDescent="0.25">
      <c r="A172" s="16">
        <v>42491.969618055555</v>
      </c>
      <c r="B172" t="s">
        <v>107</v>
      </c>
      <c r="C172" t="s">
        <v>280</v>
      </c>
      <c r="D172">
        <v>1280000</v>
      </c>
      <c r="E172" t="s">
        <v>319</v>
      </c>
    </row>
    <row r="173" spans="1:5" x14ac:dyDescent="0.25">
      <c r="A173" s="16">
        <v>42489.431712962964</v>
      </c>
      <c r="B173" t="s">
        <v>75</v>
      </c>
      <c r="C173" t="s">
        <v>364</v>
      </c>
      <c r="D173">
        <v>1200000</v>
      </c>
      <c r="E173" t="s">
        <v>365</v>
      </c>
    </row>
    <row r="174" spans="1:5" x14ac:dyDescent="0.25">
      <c r="A174" s="16">
        <v>42492.253530092596</v>
      </c>
      <c r="B174" t="s">
        <v>95</v>
      </c>
      <c r="C174" t="s">
        <v>366</v>
      </c>
      <c r="D174">
        <v>1300000</v>
      </c>
      <c r="E174" t="s">
        <v>334</v>
      </c>
    </row>
    <row r="175" spans="1:5" x14ac:dyDescent="0.25">
      <c r="A175" s="16">
        <v>42491.620150462964</v>
      </c>
      <c r="B175" t="s">
        <v>318</v>
      </c>
      <c r="C175" t="s">
        <v>164</v>
      </c>
      <c r="D175">
        <v>940000</v>
      </c>
      <c r="E175" t="s">
        <v>323</v>
      </c>
    </row>
    <row r="176" spans="1:5" x14ac:dyDescent="0.25">
      <c r="A176" s="16">
        <v>42491.885046296295</v>
      </c>
      <c r="B176" t="s">
        <v>109</v>
      </c>
      <c r="C176" t="s">
        <v>288</v>
      </c>
      <c r="D176">
        <v>1140000</v>
      </c>
      <c r="E176" t="s">
        <v>317</v>
      </c>
    </row>
    <row r="177" spans="1:5" x14ac:dyDescent="0.25">
      <c r="A177" s="16">
        <v>42491.593206018515</v>
      </c>
      <c r="B177" t="s">
        <v>67</v>
      </c>
      <c r="C177" t="s">
        <v>168</v>
      </c>
      <c r="D177">
        <v>1490000</v>
      </c>
      <c r="E177" t="s">
        <v>312</v>
      </c>
    </row>
    <row r="178" spans="1:5" x14ac:dyDescent="0.25">
      <c r="A178" s="16">
        <v>42491.951284722221</v>
      </c>
      <c r="B178" t="s">
        <v>81</v>
      </c>
      <c r="C178" t="s">
        <v>272</v>
      </c>
      <c r="D178">
        <v>1440000</v>
      </c>
      <c r="E178" t="s">
        <v>316</v>
      </c>
    </row>
    <row r="179" spans="1:5" x14ac:dyDescent="0.25">
      <c r="A179" s="16">
        <v>42491.591168981482</v>
      </c>
      <c r="B179" t="s">
        <v>75</v>
      </c>
      <c r="C179" t="s">
        <v>170</v>
      </c>
      <c r="D179">
        <v>1190000</v>
      </c>
      <c r="E179" t="s">
        <v>357</v>
      </c>
    </row>
    <row r="180" spans="1:5" x14ac:dyDescent="0.25">
      <c r="A180" s="16">
        <v>42491.987812500003</v>
      </c>
      <c r="B180" t="s">
        <v>71</v>
      </c>
      <c r="C180" t="s">
        <v>273</v>
      </c>
      <c r="D180">
        <v>1440000</v>
      </c>
      <c r="E180" t="s">
        <v>316</v>
      </c>
    </row>
    <row r="181" spans="1:5" x14ac:dyDescent="0.25">
      <c r="A181" s="16">
        <v>42491.554143518515</v>
      </c>
      <c r="B181" t="s">
        <v>104</v>
      </c>
      <c r="C181" t="s">
        <v>179</v>
      </c>
      <c r="D181">
        <v>1190000</v>
      </c>
      <c r="E181" t="s">
        <v>357</v>
      </c>
    </row>
    <row r="182" spans="1:5" x14ac:dyDescent="0.25">
      <c r="A182" s="16">
        <v>42492.012488425928</v>
      </c>
      <c r="B182" t="s">
        <v>79</v>
      </c>
      <c r="C182" t="s">
        <v>274</v>
      </c>
      <c r="D182">
        <v>1140000</v>
      </c>
      <c r="E182" t="s">
        <v>317</v>
      </c>
    </row>
    <row r="183" spans="1:5" x14ac:dyDescent="0.25">
      <c r="A183" s="16">
        <v>42491.516342592593</v>
      </c>
      <c r="B183" t="s">
        <v>107</v>
      </c>
      <c r="C183" t="s">
        <v>189</v>
      </c>
      <c r="D183">
        <v>940000</v>
      </c>
      <c r="E183" t="s">
        <v>323</v>
      </c>
    </row>
    <row r="184" spans="1:5" x14ac:dyDescent="0.25">
      <c r="A184" s="16">
        <v>42492.22587962963</v>
      </c>
      <c r="B184" t="s">
        <v>353</v>
      </c>
      <c r="C184" t="s">
        <v>374</v>
      </c>
      <c r="D184">
        <v>1310000</v>
      </c>
      <c r="E184" t="s">
        <v>304</v>
      </c>
    </row>
    <row r="185" spans="1:5" x14ac:dyDescent="0.25">
      <c r="A185" s="16">
        <v>42491.350740740738</v>
      </c>
      <c r="B185" t="s">
        <v>90</v>
      </c>
      <c r="C185" t="s">
        <v>227</v>
      </c>
      <c r="D185">
        <v>1100000</v>
      </c>
      <c r="E185" t="s">
        <v>310</v>
      </c>
    </row>
    <row r="186" spans="1:5" x14ac:dyDescent="0.25">
      <c r="A186" s="16">
        <v>42492.274988425925</v>
      </c>
      <c r="B186" t="s">
        <v>349</v>
      </c>
      <c r="C186" t="s">
        <v>367</v>
      </c>
      <c r="D186">
        <v>1770000</v>
      </c>
      <c r="E186" t="s">
        <v>326</v>
      </c>
    </row>
    <row r="187" spans="1:5" x14ac:dyDescent="0.25">
      <c r="A187" s="16">
        <v>42491.232060185182</v>
      </c>
      <c r="B187" t="s">
        <v>63</v>
      </c>
      <c r="C187" t="s">
        <v>252</v>
      </c>
      <c r="D187">
        <v>1480000</v>
      </c>
      <c r="E187" t="s">
        <v>361</v>
      </c>
    </row>
    <row r="188" spans="1:5" x14ac:dyDescent="0.25">
      <c r="A188" s="16">
        <v>42492.340231481481</v>
      </c>
      <c r="B188" t="s">
        <v>63</v>
      </c>
      <c r="C188" t="s">
        <v>376</v>
      </c>
      <c r="D188">
        <v>1090000</v>
      </c>
      <c r="E188" t="s">
        <v>328</v>
      </c>
    </row>
    <row r="189" spans="1:5" x14ac:dyDescent="0.25">
      <c r="A189" s="16">
        <v>42491.211030092592</v>
      </c>
      <c r="B189" t="s">
        <v>107</v>
      </c>
      <c r="C189" t="s">
        <v>257</v>
      </c>
      <c r="D189">
        <v>1430000</v>
      </c>
      <c r="E189" t="s">
        <v>305</v>
      </c>
    </row>
    <row r="190" spans="1:5" x14ac:dyDescent="0.25">
      <c r="A190" s="16">
        <v>42492.359444444446</v>
      </c>
      <c r="B190" t="s">
        <v>83</v>
      </c>
      <c r="C190" t="s">
        <v>377</v>
      </c>
      <c r="D190">
        <v>1300000</v>
      </c>
      <c r="E190" t="s">
        <v>334</v>
      </c>
    </row>
    <row r="191" spans="1:5" x14ac:dyDescent="0.25">
      <c r="A191" s="16">
        <v>42490.635011574072</v>
      </c>
      <c r="B191" t="s">
        <v>324</v>
      </c>
      <c r="C191" t="s">
        <v>362</v>
      </c>
      <c r="D191">
        <v>1500000</v>
      </c>
      <c r="E191" t="s">
        <v>363</v>
      </c>
    </row>
    <row r="192" spans="1:5" x14ac:dyDescent="0.25">
      <c r="A192" s="16">
        <v>42492.410277777781</v>
      </c>
      <c r="B192" t="s">
        <v>331</v>
      </c>
      <c r="C192" t="s">
        <v>396</v>
      </c>
      <c r="D192">
        <v>1310000</v>
      </c>
      <c r="E192" t="s">
        <v>304</v>
      </c>
    </row>
    <row r="193" spans="1:5" x14ac:dyDescent="0.25">
      <c r="A193" s="16">
        <v>42490.633171296293</v>
      </c>
      <c r="B193" t="s">
        <v>324</v>
      </c>
      <c r="C193" t="s">
        <v>362</v>
      </c>
      <c r="D193">
        <v>1500000</v>
      </c>
      <c r="E193" t="s">
        <v>363</v>
      </c>
    </row>
    <row r="194" spans="1:5" x14ac:dyDescent="0.25">
      <c r="A194" s="16">
        <v>42492.411712962959</v>
      </c>
      <c r="B194" t="s">
        <v>63</v>
      </c>
      <c r="C194" t="s">
        <v>397</v>
      </c>
      <c r="D194">
        <v>1090000</v>
      </c>
      <c r="E194" t="s">
        <v>328</v>
      </c>
    </row>
    <row r="195" spans="1:5" x14ac:dyDescent="0.25">
      <c r="A195" s="16">
        <v>42491.629247685189</v>
      </c>
      <c r="B195" t="s">
        <v>116</v>
      </c>
      <c r="C195" t="s">
        <v>159</v>
      </c>
      <c r="D195">
        <v>1490000</v>
      </c>
      <c r="E195" t="s">
        <v>312</v>
      </c>
    </row>
    <row r="196" spans="1:5" x14ac:dyDescent="0.25">
      <c r="A196" s="16">
        <v>42492.435173611113</v>
      </c>
      <c r="B196" t="s">
        <v>370</v>
      </c>
      <c r="C196" t="s">
        <v>478</v>
      </c>
      <c r="D196">
        <v>1800000</v>
      </c>
      <c r="E196" t="s">
        <v>322</v>
      </c>
    </row>
    <row r="197" spans="1:5" x14ac:dyDescent="0.25">
      <c r="A197" s="16">
        <v>42491.599016203705</v>
      </c>
      <c r="B197" t="s">
        <v>63</v>
      </c>
      <c r="C197" t="s">
        <v>99</v>
      </c>
      <c r="D197">
        <v>950000</v>
      </c>
      <c r="E197" t="s">
        <v>356</v>
      </c>
    </row>
    <row r="198" spans="1:5" x14ac:dyDescent="0.25">
      <c r="A198" s="16">
        <v>42492.453182870369</v>
      </c>
      <c r="B198" t="s">
        <v>88</v>
      </c>
      <c r="C198" t="s">
        <v>479</v>
      </c>
      <c r="D198">
        <v>1090000</v>
      </c>
      <c r="E198" t="s">
        <v>328</v>
      </c>
    </row>
    <row r="199" spans="1:5" x14ac:dyDescent="0.25">
      <c r="A199" s="16">
        <v>42491.541365740741</v>
      </c>
      <c r="B199" t="s">
        <v>71</v>
      </c>
      <c r="C199" t="s">
        <v>94</v>
      </c>
      <c r="D199">
        <v>1460000</v>
      </c>
      <c r="E199" t="s">
        <v>314</v>
      </c>
    </row>
    <row r="200" spans="1:5" x14ac:dyDescent="0.25">
      <c r="A200" s="16">
        <v>42492.466307870367</v>
      </c>
      <c r="B200" t="s">
        <v>320</v>
      </c>
      <c r="C200" t="s">
        <v>401</v>
      </c>
      <c r="D200">
        <v>1290000</v>
      </c>
      <c r="E200" t="s">
        <v>355</v>
      </c>
    </row>
    <row r="201" spans="1:5" x14ac:dyDescent="0.25">
      <c r="A201" s="16">
        <v>42491.517847222225</v>
      </c>
      <c r="B201" t="s">
        <v>75</v>
      </c>
      <c r="C201" t="s">
        <v>187</v>
      </c>
      <c r="D201">
        <v>1190000</v>
      </c>
      <c r="E201" t="s">
        <v>357</v>
      </c>
    </row>
    <row r="202" spans="1:5" x14ac:dyDescent="0.25">
      <c r="A202" s="16">
        <v>42492.469317129631</v>
      </c>
      <c r="B202" t="s">
        <v>95</v>
      </c>
      <c r="C202" t="s">
        <v>480</v>
      </c>
      <c r="D202">
        <v>1360000</v>
      </c>
      <c r="E202" t="s">
        <v>307</v>
      </c>
    </row>
    <row r="203" spans="1:5" x14ac:dyDescent="0.25">
      <c r="A203" s="16">
        <v>42491.465995370374</v>
      </c>
      <c r="B203" t="s">
        <v>71</v>
      </c>
      <c r="C203" t="s">
        <v>202</v>
      </c>
      <c r="D203">
        <v>1460000</v>
      </c>
      <c r="E203" t="s">
        <v>314</v>
      </c>
    </row>
    <row r="204" spans="1:5" x14ac:dyDescent="0.25">
      <c r="A204" s="16">
        <v>42492.508356481485</v>
      </c>
      <c r="B204" t="s">
        <v>69</v>
      </c>
      <c r="C204" t="s">
        <v>405</v>
      </c>
      <c r="D204">
        <v>1840000</v>
      </c>
      <c r="E204" t="s">
        <v>445</v>
      </c>
    </row>
    <row r="205" spans="1:5" x14ac:dyDescent="0.25">
      <c r="A205" s="16">
        <v>42491.443831018521</v>
      </c>
      <c r="B205" t="s">
        <v>75</v>
      </c>
      <c r="C205" t="s">
        <v>205</v>
      </c>
      <c r="D205">
        <v>1190000</v>
      </c>
      <c r="E205" t="s">
        <v>357</v>
      </c>
    </row>
    <row r="206" spans="1:5" x14ac:dyDescent="0.25">
      <c r="A206" s="16">
        <v>42492.554664351854</v>
      </c>
      <c r="B206" t="s">
        <v>75</v>
      </c>
      <c r="C206" t="s">
        <v>481</v>
      </c>
      <c r="D206">
        <v>1290000</v>
      </c>
      <c r="E206" t="s">
        <v>355</v>
      </c>
    </row>
    <row r="207" spans="1:5" x14ac:dyDescent="0.25">
      <c r="A207" s="16">
        <v>42491.3903587963</v>
      </c>
      <c r="B207" t="s">
        <v>71</v>
      </c>
      <c r="C207" t="s">
        <v>218</v>
      </c>
      <c r="D207">
        <v>1430000</v>
      </c>
      <c r="E207" t="s">
        <v>305</v>
      </c>
    </row>
    <row r="208" spans="1:5" x14ac:dyDescent="0.25">
      <c r="A208" s="16">
        <v>42492.569861111115</v>
      </c>
      <c r="B208" t="s">
        <v>116</v>
      </c>
      <c r="C208" t="s">
        <v>482</v>
      </c>
      <c r="D208">
        <v>1260000</v>
      </c>
      <c r="E208" t="s">
        <v>313</v>
      </c>
    </row>
    <row r="209" spans="1:5" x14ac:dyDescent="0.25">
      <c r="A209" s="16">
        <v>42491.381527777776</v>
      </c>
      <c r="B209" t="s">
        <v>67</v>
      </c>
      <c r="C209" t="s">
        <v>77</v>
      </c>
      <c r="D209">
        <v>1310000</v>
      </c>
      <c r="E209" t="s">
        <v>304</v>
      </c>
    </row>
    <row r="210" spans="1:5" x14ac:dyDescent="0.25">
      <c r="A210" s="16">
        <v>42492.603402777779</v>
      </c>
      <c r="B210" t="s">
        <v>324</v>
      </c>
      <c r="C210" t="s">
        <v>414</v>
      </c>
      <c r="D210">
        <v>950000</v>
      </c>
      <c r="E210" t="s">
        <v>356</v>
      </c>
    </row>
    <row r="211" spans="1:5" x14ac:dyDescent="0.25">
      <c r="A211" s="16">
        <v>42491.296134259261</v>
      </c>
      <c r="B211" t="s">
        <v>75</v>
      </c>
      <c r="C211" t="s">
        <v>238</v>
      </c>
      <c r="D211">
        <v>860000</v>
      </c>
      <c r="E211" t="s">
        <v>311</v>
      </c>
    </row>
    <row r="212" spans="1:5" x14ac:dyDescent="0.25">
      <c r="A212" s="16">
        <v>42492.608749999999</v>
      </c>
      <c r="B212" t="s">
        <v>90</v>
      </c>
      <c r="C212" t="s">
        <v>454</v>
      </c>
      <c r="D212">
        <v>1840000</v>
      </c>
      <c r="E212" t="s">
        <v>445</v>
      </c>
    </row>
    <row r="213" spans="1:5" x14ac:dyDescent="0.25">
      <c r="A213" s="16">
        <v>42491.283101851855</v>
      </c>
      <c r="B213" t="s">
        <v>81</v>
      </c>
      <c r="C213" t="s">
        <v>242</v>
      </c>
      <c r="D213">
        <v>1430000</v>
      </c>
      <c r="E213" t="s">
        <v>305</v>
      </c>
    </row>
    <row r="214" spans="1:5" x14ac:dyDescent="0.25">
      <c r="A214" s="16">
        <v>42492.620115740741</v>
      </c>
      <c r="B214" t="s">
        <v>75</v>
      </c>
      <c r="C214" t="s">
        <v>483</v>
      </c>
      <c r="D214">
        <v>1290000</v>
      </c>
      <c r="E214" t="s">
        <v>355</v>
      </c>
    </row>
    <row r="215" spans="1:5" x14ac:dyDescent="0.25">
      <c r="A215" s="16">
        <v>42491.221168981479</v>
      </c>
      <c r="B215" t="s">
        <v>79</v>
      </c>
      <c r="C215" t="s">
        <v>254</v>
      </c>
      <c r="D215">
        <v>1360000</v>
      </c>
      <c r="E215" t="s">
        <v>307</v>
      </c>
    </row>
    <row r="216" spans="1:5" x14ac:dyDescent="0.25">
      <c r="A216" s="16">
        <v>42492.669386574074</v>
      </c>
      <c r="B216" t="s">
        <v>88</v>
      </c>
      <c r="C216" t="s">
        <v>484</v>
      </c>
      <c r="D216">
        <v>1340000</v>
      </c>
      <c r="E216" t="s">
        <v>469</v>
      </c>
    </row>
    <row r="217" spans="1:5" x14ac:dyDescent="0.25">
      <c r="A217" s="16">
        <v>42491.149525462963</v>
      </c>
      <c r="B217" t="s">
        <v>75</v>
      </c>
      <c r="C217" t="s">
        <v>266</v>
      </c>
      <c r="D217">
        <v>1480000</v>
      </c>
      <c r="E217" t="s">
        <v>361</v>
      </c>
    </row>
    <row r="218" spans="1:5" x14ac:dyDescent="0.25">
      <c r="A218" s="16">
        <v>42492.680810185186</v>
      </c>
      <c r="B218" t="s">
        <v>67</v>
      </c>
      <c r="C218" t="s">
        <v>422</v>
      </c>
      <c r="D218">
        <v>1260000</v>
      </c>
      <c r="E218" t="s">
        <v>313</v>
      </c>
    </row>
    <row r="219" spans="1:5" x14ac:dyDescent="0.25">
      <c r="A219" s="16">
        <v>42488.780659722222</v>
      </c>
      <c r="B219" t="s">
        <v>63</v>
      </c>
      <c r="C219" t="s">
        <v>308</v>
      </c>
      <c r="D219">
        <v>530000</v>
      </c>
      <c r="E219" t="s">
        <v>309</v>
      </c>
    </row>
    <row r="220" spans="1:5" x14ac:dyDescent="0.25">
      <c r="A220" s="16">
        <v>42492.691342592596</v>
      </c>
      <c r="B220" t="s">
        <v>370</v>
      </c>
      <c r="C220" t="s">
        <v>423</v>
      </c>
      <c r="D220">
        <v>1750000</v>
      </c>
      <c r="E220" t="s">
        <v>462</v>
      </c>
    </row>
    <row r="221" spans="1:5" x14ac:dyDescent="0.25">
      <c r="A221" s="16">
        <v>42487.628078703703</v>
      </c>
      <c r="B221" t="s">
        <v>320</v>
      </c>
      <c r="C221" t="s">
        <v>354</v>
      </c>
      <c r="D221">
        <v>1290000</v>
      </c>
      <c r="E221" t="s">
        <v>355</v>
      </c>
    </row>
    <row r="222" spans="1:5" x14ac:dyDescent="0.25">
      <c r="A222" s="16">
        <v>42492.693009259259</v>
      </c>
      <c r="B222" t="s">
        <v>75</v>
      </c>
      <c r="C222" t="s">
        <v>485</v>
      </c>
      <c r="D222">
        <v>1290000</v>
      </c>
      <c r="E222" t="s">
        <v>355</v>
      </c>
    </row>
    <row r="223" spans="1:5" x14ac:dyDescent="0.25">
      <c r="A223" s="16">
        <v>42487.955104166664</v>
      </c>
      <c r="B223" t="s">
        <v>353</v>
      </c>
      <c r="C223" t="s">
        <v>368</v>
      </c>
      <c r="D223">
        <v>1450000</v>
      </c>
      <c r="E223" t="s">
        <v>369</v>
      </c>
    </row>
    <row r="224" spans="1:5" x14ac:dyDescent="0.25">
      <c r="A224" s="16">
        <v>42492.718668981484</v>
      </c>
      <c r="B224" t="s">
        <v>69</v>
      </c>
      <c r="C224" t="s">
        <v>486</v>
      </c>
      <c r="D224">
        <v>1840000</v>
      </c>
      <c r="E224" t="s">
        <v>445</v>
      </c>
    </row>
    <row r="225" spans="1:5" x14ac:dyDescent="0.25">
      <c r="A225" s="16">
        <v>42493.266250000001</v>
      </c>
      <c r="B225" t="s">
        <v>447</v>
      </c>
      <c r="C225" t="s">
        <v>487</v>
      </c>
      <c r="D225">
        <v>1260000</v>
      </c>
      <c r="E225" t="s">
        <v>313</v>
      </c>
    </row>
    <row r="226" spans="1:5" x14ac:dyDescent="0.25">
      <c r="A226" s="16">
        <v>42492.733148148145</v>
      </c>
      <c r="B226" t="s">
        <v>104</v>
      </c>
      <c r="C226" t="s">
        <v>488</v>
      </c>
      <c r="D226">
        <v>1290000</v>
      </c>
      <c r="E226" t="s">
        <v>355</v>
      </c>
    </row>
    <row r="227" spans="1:5" x14ac:dyDescent="0.25">
      <c r="A227" s="16">
        <v>42493.244189814817</v>
      </c>
      <c r="B227" t="s">
        <v>489</v>
      </c>
      <c r="C227" t="s">
        <v>490</v>
      </c>
      <c r="D227">
        <v>1110000</v>
      </c>
      <c r="E227" t="s">
        <v>474</v>
      </c>
    </row>
    <row r="228" spans="1:5" x14ac:dyDescent="0.25">
      <c r="A228" s="16">
        <v>42492.788842592592</v>
      </c>
      <c r="B228" t="s">
        <v>116</v>
      </c>
      <c r="C228" t="s">
        <v>491</v>
      </c>
      <c r="D228">
        <v>1140000</v>
      </c>
      <c r="E228" t="s">
        <v>317</v>
      </c>
    </row>
    <row r="229" spans="1:5" x14ac:dyDescent="0.25">
      <c r="A229" s="16">
        <v>42493.058206018519</v>
      </c>
      <c r="B229" t="s">
        <v>104</v>
      </c>
      <c r="C229" t="s">
        <v>440</v>
      </c>
      <c r="D229">
        <v>1760000</v>
      </c>
      <c r="E229" t="s">
        <v>453</v>
      </c>
    </row>
    <row r="230" spans="1:5" x14ac:dyDescent="0.25">
      <c r="A230" s="16">
        <v>42492.827222222222</v>
      </c>
      <c r="B230" t="s">
        <v>67</v>
      </c>
      <c r="C230" t="s">
        <v>492</v>
      </c>
      <c r="D230">
        <v>1140000</v>
      </c>
      <c r="E230" t="s">
        <v>317</v>
      </c>
    </row>
    <row r="231" spans="1:5" x14ac:dyDescent="0.25">
      <c r="A231" s="16">
        <v>42493.05028935185</v>
      </c>
      <c r="B231" t="s">
        <v>434</v>
      </c>
      <c r="C231" t="s">
        <v>493</v>
      </c>
      <c r="D231">
        <v>970000</v>
      </c>
      <c r="E231" t="s">
        <v>337</v>
      </c>
    </row>
    <row r="232" spans="1:5" x14ac:dyDescent="0.25">
      <c r="A232" s="16">
        <v>42492.829861111109</v>
      </c>
      <c r="B232" t="s">
        <v>90</v>
      </c>
      <c r="C232" t="s">
        <v>430</v>
      </c>
      <c r="D232">
        <v>1740000</v>
      </c>
      <c r="E232" t="s">
        <v>456</v>
      </c>
    </row>
    <row r="233" spans="1:5" x14ac:dyDescent="0.25">
      <c r="A233" s="16">
        <v>42492.905925925923</v>
      </c>
      <c r="B233" t="s">
        <v>90</v>
      </c>
      <c r="C233" t="s">
        <v>494</v>
      </c>
      <c r="D233">
        <v>1740000</v>
      </c>
      <c r="E233" t="s">
        <v>456</v>
      </c>
    </row>
    <row r="234" spans="1:5" x14ac:dyDescent="0.25">
      <c r="A234" s="16">
        <v>42492.846331018518</v>
      </c>
      <c r="B234" t="s">
        <v>331</v>
      </c>
      <c r="C234" t="s">
        <v>432</v>
      </c>
      <c r="D234">
        <v>970000</v>
      </c>
      <c r="E234" t="s">
        <v>337</v>
      </c>
    </row>
    <row r="235" spans="1:5" x14ac:dyDescent="0.25">
      <c r="A235" s="16">
        <v>42492.888101851851</v>
      </c>
      <c r="B235" t="s">
        <v>104</v>
      </c>
      <c r="C235" t="s">
        <v>433</v>
      </c>
      <c r="D235">
        <v>1760000</v>
      </c>
      <c r="E235" t="s">
        <v>453</v>
      </c>
    </row>
    <row r="236" spans="1:5" x14ac:dyDescent="0.25">
      <c r="A236" s="16">
        <v>42492.893541666665</v>
      </c>
      <c r="B236" t="s">
        <v>434</v>
      </c>
      <c r="C236" t="s">
        <v>435</v>
      </c>
      <c r="D236">
        <v>970000</v>
      </c>
      <c r="E236" t="s">
        <v>337</v>
      </c>
    </row>
    <row r="237" spans="1:5" x14ac:dyDescent="0.25">
      <c r="A237" s="16">
        <v>42492.842314814814</v>
      </c>
      <c r="B237" t="s">
        <v>75</v>
      </c>
      <c r="C237" t="s">
        <v>431</v>
      </c>
      <c r="D237">
        <v>1760000</v>
      </c>
      <c r="E237" t="s">
        <v>453</v>
      </c>
    </row>
    <row r="238" spans="1:5" x14ac:dyDescent="0.25">
      <c r="A238" s="16">
        <v>42492.978819444441</v>
      </c>
      <c r="B238" t="s">
        <v>434</v>
      </c>
      <c r="C238" t="s">
        <v>438</v>
      </c>
      <c r="D238">
        <v>970000</v>
      </c>
      <c r="E238" t="s">
        <v>337</v>
      </c>
    </row>
    <row r="239" spans="1:5" x14ac:dyDescent="0.25">
      <c r="A239" s="16">
        <v>42493.264120370368</v>
      </c>
      <c r="B239" t="s">
        <v>335</v>
      </c>
      <c r="C239" t="s">
        <v>495</v>
      </c>
      <c r="D239">
        <v>1090000</v>
      </c>
      <c r="E239" t="s">
        <v>328</v>
      </c>
    </row>
    <row r="240" spans="1:5" x14ac:dyDescent="0.25">
      <c r="A240" s="16">
        <v>42493.031539351854</v>
      </c>
      <c r="B240" t="s">
        <v>69</v>
      </c>
      <c r="C240" t="s">
        <v>496</v>
      </c>
      <c r="D240">
        <v>1740000</v>
      </c>
      <c r="E240" t="s">
        <v>456</v>
      </c>
    </row>
    <row r="241" spans="1:5" x14ac:dyDescent="0.25">
      <c r="A241" s="16">
        <v>42493.049039351848</v>
      </c>
      <c r="B241" t="s">
        <v>434</v>
      </c>
      <c r="C241" t="s">
        <v>493</v>
      </c>
      <c r="D241">
        <v>970000</v>
      </c>
      <c r="E241" t="s">
        <v>337</v>
      </c>
    </row>
    <row r="242" spans="1:5" x14ac:dyDescent="0.25">
      <c r="A242" s="16">
        <v>42493.23678240741</v>
      </c>
      <c r="B242" t="s">
        <v>489</v>
      </c>
      <c r="C242" t="s">
        <v>490</v>
      </c>
      <c r="D242">
        <v>1110000</v>
      </c>
      <c r="E242" t="s">
        <v>474</v>
      </c>
    </row>
    <row r="243" spans="1:5" x14ac:dyDescent="0.25">
      <c r="A243" s="16">
        <v>42492.979814814818</v>
      </c>
      <c r="B243" t="s">
        <v>434</v>
      </c>
      <c r="C243" t="s">
        <v>438</v>
      </c>
      <c r="D243">
        <v>970000</v>
      </c>
      <c r="E243" t="s">
        <v>337</v>
      </c>
    </row>
    <row r="244" spans="1:5" x14ac:dyDescent="0.25">
      <c r="A244" s="16">
        <v>42493.247407407405</v>
      </c>
      <c r="B244" t="s">
        <v>320</v>
      </c>
      <c r="C244" t="s">
        <v>497</v>
      </c>
      <c r="D244">
        <v>1800000</v>
      </c>
      <c r="E244" t="s">
        <v>322</v>
      </c>
    </row>
    <row r="245" spans="1:5" x14ac:dyDescent="0.25">
      <c r="A245" s="16">
        <v>42492.808182870373</v>
      </c>
      <c r="B245" t="s">
        <v>329</v>
      </c>
      <c r="C245" t="s">
        <v>429</v>
      </c>
      <c r="D245">
        <v>970000</v>
      </c>
      <c r="E245" t="s">
        <v>337</v>
      </c>
    </row>
    <row r="246" spans="1:5" x14ac:dyDescent="0.25">
      <c r="A246" s="16">
        <v>42493.249814814815</v>
      </c>
      <c r="B246" t="s">
        <v>331</v>
      </c>
      <c r="C246" t="s">
        <v>498</v>
      </c>
      <c r="D246">
        <v>1770000</v>
      </c>
      <c r="E246" t="s">
        <v>326</v>
      </c>
    </row>
    <row r="247" spans="1:5" x14ac:dyDescent="0.25">
      <c r="A247" s="16">
        <v>42492.799768518518</v>
      </c>
      <c r="B247" t="s">
        <v>104</v>
      </c>
      <c r="C247" t="s">
        <v>499</v>
      </c>
      <c r="D247">
        <v>1760000</v>
      </c>
      <c r="E247" t="s">
        <v>453</v>
      </c>
    </row>
    <row r="248" spans="1:5" x14ac:dyDescent="0.25">
      <c r="A248" s="16">
        <v>42489.423715277779</v>
      </c>
      <c r="B248" t="s">
        <v>104</v>
      </c>
      <c r="C248" t="s">
        <v>379</v>
      </c>
      <c r="D248">
        <v>1200000</v>
      </c>
      <c r="E248" t="s">
        <v>365</v>
      </c>
    </row>
    <row r="249" spans="1:5" x14ac:dyDescent="0.25">
      <c r="A249" s="16">
        <v>42492.774305555555</v>
      </c>
      <c r="B249" t="s">
        <v>331</v>
      </c>
      <c r="C249" t="s">
        <v>500</v>
      </c>
      <c r="D249">
        <v>970000</v>
      </c>
      <c r="E249" t="s">
        <v>337</v>
      </c>
    </row>
    <row r="250" spans="1:5" x14ac:dyDescent="0.25">
      <c r="A250" s="16">
        <v>42488.816053240742</v>
      </c>
      <c r="B250" t="s">
        <v>88</v>
      </c>
      <c r="C250" t="s">
        <v>308</v>
      </c>
      <c r="D250">
        <v>530000</v>
      </c>
      <c r="E250" t="s">
        <v>309</v>
      </c>
    </row>
    <row r="251" spans="1:5" x14ac:dyDescent="0.25">
      <c r="A251" s="16">
        <v>42492.7425</v>
      </c>
      <c r="B251" t="s">
        <v>88</v>
      </c>
      <c r="C251" t="s">
        <v>426</v>
      </c>
      <c r="D251">
        <v>1340000</v>
      </c>
      <c r="E251" t="s">
        <v>469</v>
      </c>
    </row>
    <row r="252" spans="1:5" x14ac:dyDescent="0.25">
      <c r="A252" s="16">
        <v>42489.067569444444</v>
      </c>
      <c r="B252" t="s">
        <v>88</v>
      </c>
      <c r="C252" t="s">
        <v>308</v>
      </c>
      <c r="D252">
        <v>530000</v>
      </c>
      <c r="E252" t="s">
        <v>309</v>
      </c>
    </row>
    <row r="253" spans="1:5" x14ac:dyDescent="0.25">
      <c r="A253" s="16">
        <v>42492.684398148151</v>
      </c>
      <c r="B253" t="s">
        <v>90</v>
      </c>
      <c r="C253" t="s">
        <v>421</v>
      </c>
      <c r="D253">
        <v>1840000</v>
      </c>
      <c r="E253" t="s">
        <v>445</v>
      </c>
    </row>
    <row r="254" spans="1:5" x14ac:dyDescent="0.25">
      <c r="A254" s="16">
        <v>42491.252430555556</v>
      </c>
      <c r="B254" t="s">
        <v>95</v>
      </c>
      <c r="C254" t="s">
        <v>249</v>
      </c>
      <c r="D254">
        <v>1300000</v>
      </c>
      <c r="E254" t="s">
        <v>334</v>
      </c>
    </row>
    <row r="255" spans="1:5" x14ac:dyDescent="0.25">
      <c r="A255" s="16">
        <v>42492.424351851849</v>
      </c>
      <c r="B255" t="s">
        <v>116</v>
      </c>
      <c r="C255" t="s">
        <v>501</v>
      </c>
      <c r="D255">
        <v>1260000</v>
      </c>
      <c r="E255" t="s">
        <v>313</v>
      </c>
    </row>
    <row r="256" spans="1:5" x14ac:dyDescent="0.25">
      <c r="A256" s="16">
        <v>42491.397499999999</v>
      </c>
      <c r="B256" t="s">
        <v>95</v>
      </c>
      <c r="C256" t="s">
        <v>216</v>
      </c>
      <c r="D256">
        <v>1300000</v>
      </c>
      <c r="E256" t="s">
        <v>334</v>
      </c>
    </row>
    <row r="257" spans="1:5" x14ac:dyDescent="0.25">
      <c r="A257" s="16">
        <v>42492.287835648145</v>
      </c>
      <c r="B257" t="s">
        <v>83</v>
      </c>
      <c r="C257" t="s">
        <v>372</v>
      </c>
      <c r="D257">
        <v>1300000</v>
      </c>
      <c r="E257" t="s">
        <v>334</v>
      </c>
    </row>
    <row r="258" spans="1:5" x14ac:dyDescent="0.25">
      <c r="A258" s="16">
        <v>42491.405150462961</v>
      </c>
      <c r="B258" t="s">
        <v>109</v>
      </c>
      <c r="C258" t="s">
        <v>214</v>
      </c>
      <c r="D258">
        <v>1360000</v>
      </c>
      <c r="E258" t="s">
        <v>307</v>
      </c>
    </row>
    <row r="259" spans="1:5" x14ac:dyDescent="0.25">
      <c r="A259" s="16">
        <v>42492.28224537037</v>
      </c>
      <c r="B259" t="s">
        <v>370</v>
      </c>
      <c r="C259" t="s">
        <v>380</v>
      </c>
      <c r="D259">
        <v>1800000</v>
      </c>
      <c r="E259" t="s">
        <v>322</v>
      </c>
    </row>
    <row r="260" spans="1:5" x14ac:dyDescent="0.25">
      <c r="A260" s="16">
        <v>42491.441203703704</v>
      </c>
      <c r="B260" t="s">
        <v>79</v>
      </c>
      <c r="C260" t="s">
        <v>80</v>
      </c>
      <c r="D260">
        <v>1360000</v>
      </c>
      <c r="E260" t="s">
        <v>307</v>
      </c>
    </row>
    <row r="261" spans="1:5" x14ac:dyDescent="0.25">
      <c r="A261" s="16">
        <v>42492.204351851855</v>
      </c>
      <c r="B261" t="s">
        <v>116</v>
      </c>
      <c r="C261" t="s">
        <v>381</v>
      </c>
      <c r="D261">
        <v>1410000</v>
      </c>
      <c r="E261" t="s">
        <v>382</v>
      </c>
    </row>
    <row r="262" spans="1:5" x14ac:dyDescent="0.25">
      <c r="A262" s="16">
        <v>42491.52983796296</v>
      </c>
      <c r="B262" t="s">
        <v>63</v>
      </c>
      <c r="C262" t="s">
        <v>92</v>
      </c>
      <c r="D262">
        <v>950000</v>
      </c>
      <c r="E262" t="s">
        <v>356</v>
      </c>
    </row>
    <row r="263" spans="1:5" x14ac:dyDescent="0.25">
      <c r="A263" s="16">
        <v>42492.056064814817</v>
      </c>
      <c r="B263" t="s">
        <v>107</v>
      </c>
      <c r="C263" t="s">
        <v>275</v>
      </c>
      <c r="D263">
        <v>1280000</v>
      </c>
      <c r="E263" t="s">
        <v>319</v>
      </c>
    </row>
    <row r="264" spans="1:5" x14ac:dyDescent="0.25">
      <c r="A264" s="16">
        <v>42491.568842592591</v>
      </c>
      <c r="B264" t="s">
        <v>90</v>
      </c>
      <c r="C264" t="s">
        <v>98</v>
      </c>
      <c r="D264">
        <v>1260000</v>
      </c>
      <c r="E264" t="s">
        <v>313</v>
      </c>
    </row>
    <row r="265" spans="1:5" x14ac:dyDescent="0.25">
      <c r="A265" s="16">
        <v>42492.029675925929</v>
      </c>
      <c r="B265" t="s">
        <v>81</v>
      </c>
      <c r="C265" t="s">
        <v>276</v>
      </c>
      <c r="D265">
        <v>1440000</v>
      </c>
      <c r="E265" t="s">
        <v>316</v>
      </c>
    </row>
    <row r="266" spans="1:5" x14ac:dyDescent="0.25">
      <c r="A266" s="16">
        <v>42491.581226851849</v>
      </c>
      <c r="B266" t="s">
        <v>107</v>
      </c>
      <c r="C266" t="s">
        <v>171</v>
      </c>
      <c r="D266">
        <v>940000</v>
      </c>
      <c r="E266" t="s">
        <v>323</v>
      </c>
    </row>
    <row r="267" spans="1:5" x14ac:dyDescent="0.25">
      <c r="A267" s="16">
        <v>42492.760046296295</v>
      </c>
      <c r="B267" t="s">
        <v>90</v>
      </c>
      <c r="C267" t="s">
        <v>427</v>
      </c>
      <c r="D267">
        <v>1740000</v>
      </c>
      <c r="E267" t="s">
        <v>456</v>
      </c>
    </row>
    <row r="268" spans="1:5" x14ac:dyDescent="0.25">
      <c r="A268" s="16">
        <v>42491.641759259262</v>
      </c>
      <c r="B268" t="s">
        <v>81</v>
      </c>
      <c r="C268" t="s">
        <v>155</v>
      </c>
      <c r="D268">
        <v>1460000</v>
      </c>
      <c r="E268" t="s">
        <v>314</v>
      </c>
    </row>
    <row r="269" spans="1:5" x14ac:dyDescent="0.25">
      <c r="A269" s="16">
        <v>42492.727141203701</v>
      </c>
      <c r="B269" t="s">
        <v>320</v>
      </c>
      <c r="C269" t="s">
        <v>425</v>
      </c>
      <c r="D269">
        <v>1750000</v>
      </c>
      <c r="E269" t="s">
        <v>462</v>
      </c>
    </row>
    <row r="270" spans="1:5" x14ac:dyDescent="0.25">
      <c r="A270" s="16">
        <v>42491.717268518521</v>
      </c>
      <c r="B270" t="s">
        <v>90</v>
      </c>
      <c r="C270" t="s">
        <v>136</v>
      </c>
      <c r="D270">
        <v>970000</v>
      </c>
      <c r="E270" t="s">
        <v>337</v>
      </c>
    </row>
    <row r="271" spans="1:5" x14ac:dyDescent="0.25">
      <c r="A271" s="16">
        <v>42492.63789351852</v>
      </c>
      <c r="B271" t="s">
        <v>331</v>
      </c>
      <c r="C271" t="s">
        <v>417</v>
      </c>
      <c r="D271">
        <v>1190000</v>
      </c>
      <c r="E271" t="s">
        <v>357</v>
      </c>
    </row>
    <row r="272" spans="1:5" x14ac:dyDescent="0.25">
      <c r="A272" s="16">
        <v>42491.786087962966</v>
      </c>
      <c r="B272" t="s">
        <v>88</v>
      </c>
      <c r="C272" t="s">
        <v>298</v>
      </c>
      <c r="D272">
        <v>950000</v>
      </c>
      <c r="E272" t="s">
        <v>356</v>
      </c>
    </row>
    <row r="273" spans="1:5" x14ac:dyDescent="0.25">
      <c r="A273" s="16">
        <v>42492.420497685183</v>
      </c>
      <c r="B273" t="s">
        <v>349</v>
      </c>
      <c r="C273" t="s">
        <v>502</v>
      </c>
      <c r="D273">
        <v>1770000</v>
      </c>
      <c r="E273" t="s">
        <v>326</v>
      </c>
    </row>
    <row r="274" spans="1:5" x14ac:dyDescent="0.25">
      <c r="A274" s="16">
        <v>42491.191770833335</v>
      </c>
      <c r="B274" t="s">
        <v>88</v>
      </c>
      <c r="C274" t="s">
        <v>261</v>
      </c>
      <c r="D274">
        <v>1480000</v>
      </c>
      <c r="E274" t="s">
        <v>361</v>
      </c>
    </row>
    <row r="275" spans="1:5" x14ac:dyDescent="0.25">
      <c r="A275" s="16">
        <v>42492.359861111108</v>
      </c>
      <c r="B275" t="s">
        <v>370</v>
      </c>
      <c r="C275" t="s">
        <v>371</v>
      </c>
      <c r="D275">
        <v>1800000</v>
      </c>
      <c r="E275" t="s">
        <v>322</v>
      </c>
    </row>
    <row r="276" spans="1:5" x14ac:dyDescent="0.25">
      <c r="A276" s="16">
        <v>42491.204618055555</v>
      </c>
      <c r="B276" t="s">
        <v>90</v>
      </c>
      <c r="C276" t="s">
        <v>255</v>
      </c>
      <c r="D276">
        <v>1100000</v>
      </c>
      <c r="E276" t="s">
        <v>310</v>
      </c>
    </row>
    <row r="277" spans="1:5" x14ac:dyDescent="0.25">
      <c r="A277" s="16">
        <v>42492.328819444447</v>
      </c>
      <c r="B277" t="s">
        <v>90</v>
      </c>
      <c r="C277" t="s">
        <v>378</v>
      </c>
      <c r="D277">
        <v>1780000</v>
      </c>
      <c r="E277" t="s">
        <v>341</v>
      </c>
    </row>
    <row r="278" spans="1:5" x14ac:dyDescent="0.25">
      <c r="A278" s="16">
        <v>42491.287893518522</v>
      </c>
      <c r="B278" t="s">
        <v>83</v>
      </c>
      <c r="C278" t="s">
        <v>241</v>
      </c>
      <c r="D278">
        <v>1300000</v>
      </c>
      <c r="E278" t="s">
        <v>334</v>
      </c>
    </row>
    <row r="279" spans="1:5" x14ac:dyDescent="0.25">
      <c r="A279" s="16">
        <v>42492.248506944445</v>
      </c>
      <c r="B279" t="s">
        <v>320</v>
      </c>
      <c r="C279" t="s">
        <v>373</v>
      </c>
      <c r="D279">
        <v>1800000</v>
      </c>
      <c r="E279" t="s">
        <v>322</v>
      </c>
    </row>
    <row r="280" spans="1:5" x14ac:dyDescent="0.25">
      <c r="A280" s="16">
        <v>42491.321666666663</v>
      </c>
      <c r="B280" t="s">
        <v>95</v>
      </c>
      <c r="C280" t="s">
        <v>232</v>
      </c>
      <c r="D280">
        <v>1300000</v>
      </c>
      <c r="E280" t="s">
        <v>334</v>
      </c>
    </row>
    <row r="281" spans="1:5" x14ac:dyDescent="0.25">
      <c r="A281" s="16">
        <v>42492.190648148149</v>
      </c>
      <c r="B281" t="s">
        <v>349</v>
      </c>
      <c r="C281" t="s">
        <v>383</v>
      </c>
      <c r="D281">
        <v>1480000</v>
      </c>
      <c r="E281" t="s">
        <v>361</v>
      </c>
    </row>
    <row r="282" spans="1:5" x14ac:dyDescent="0.25">
      <c r="A282" s="16">
        <v>42491.549525462964</v>
      </c>
      <c r="B282" t="s">
        <v>318</v>
      </c>
      <c r="C282" t="s">
        <v>180</v>
      </c>
      <c r="D282">
        <v>940000</v>
      </c>
      <c r="E282" t="s">
        <v>323</v>
      </c>
    </row>
    <row r="283" spans="1:5" x14ac:dyDescent="0.25">
      <c r="A283" s="16">
        <v>42492.175729166665</v>
      </c>
      <c r="B283" t="s">
        <v>320</v>
      </c>
      <c r="C283" t="s">
        <v>375</v>
      </c>
      <c r="D283">
        <v>1800000</v>
      </c>
      <c r="E283" t="s">
        <v>322</v>
      </c>
    </row>
    <row r="284" spans="1:5" x14ac:dyDescent="0.25">
      <c r="A284" s="16">
        <v>42491.557696759257</v>
      </c>
      <c r="B284" t="s">
        <v>116</v>
      </c>
      <c r="C284" t="s">
        <v>177</v>
      </c>
      <c r="D284">
        <v>1490000</v>
      </c>
      <c r="E284" t="s">
        <v>312</v>
      </c>
    </row>
    <row r="285" spans="1:5" x14ac:dyDescent="0.25">
      <c r="A285" s="16">
        <v>42492.617974537039</v>
      </c>
      <c r="B285" t="s">
        <v>370</v>
      </c>
      <c r="C285" t="s">
        <v>457</v>
      </c>
      <c r="D285">
        <v>1200000</v>
      </c>
      <c r="E285" t="s">
        <v>365</v>
      </c>
    </row>
    <row r="286" spans="1:5" x14ac:dyDescent="0.25">
      <c r="A286" s="16">
        <v>42491.56490740741</v>
      </c>
      <c r="B286" t="s">
        <v>88</v>
      </c>
      <c r="C286" t="s">
        <v>97</v>
      </c>
      <c r="D286">
        <v>950000</v>
      </c>
      <c r="E286" t="s">
        <v>356</v>
      </c>
    </row>
    <row r="287" spans="1:5" x14ac:dyDescent="0.25">
      <c r="A287" s="16">
        <v>42492.593946759262</v>
      </c>
      <c r="B287" t="s">
        <v>329</v>
      </c>
      <c r="C287" t="s">
        <v>503</v>
      </c>
      <c r="D287">
        <v>1830000</v>
      </c>
      <c r="E287" t="s">
        <v>449</v>
      </c>
    </row>
    <row r="288" spans="1:5" x14ac:dyDescent="0.25">
      <c r="A288" s="16">
        <v>42491.665381944447</v>
      </c>
      <c r="B288" t="s">
        <v>67</v>
      </c>
      <c r="C288" t="s">
        <v>150</v>
      </c>
      <c r="D288">
        <v>1490000</v>
      </c>
      <c r="E288" t="s">
        <v>312</v>
      </c>
    </row>
    <row r="289" spans="1:5" x14ac:dyDescent="0.25">
      <c r="A289" s="16">
        <v>42492.58935185185</v>
      </c>
      <c r="B289" t="s">
        <v>104</v>
      </c>
      <c r="C289" t="s">
        <v>412</v>
      </c>
      <c r="D289">
        <v>1290000</v>
      </c>
      <c r="E289" t="s">
        <v>355</v>
      </c>
    </row>
    <row r="290" spans="1:5" x14ac:dyDescent="0.25">
      <c r="A290" s="16">
        <v>42491.810023148151</v>
      </c>
      <c r="B290" t="s">
        <v>109</v>
      </c>
      <c r="C290" t="s">
        <v>129</v>
      </c>
      <c r="D290">
        <v>1140000</v>
      </c>
      <c r="E290" t="s">
        <v>317</v>
      </c>
    </row>
    <row r="291" spans="1:5" x14ac:dyDescent="0.25">
      <c r="A291" s="16">
        <v>42492.518229166664</v>
      </c>
      <c r="B291" t="s">
        <v>370</v>
      </c>
      <c r="C291" t="s">
        <v>407</v>
      </c>
      <c r="D291">
        <v>1290000</v>
      </c>
      <c r="E291" t="s">
        <v>355</v>
      </c>
    </row>
    <row r="292" spans="1:5" x14ac:dyDescent="0.25">
      <c r="A292" s="16">
        <v>42491.207256944443</v>
      </c>
      <c r="B292" t="s">
        <v>90</v>
      </c>
      <c r="C292" t="s">
        <v>255</v>
      </c>
      <c r="D292">
        <v>1100000</v>
      </c>
      <c r="E292" t="s">
        <v>310</v>
      </c>
    </row>
    <row r="293" spans="1:5" x14ac:dyDescent="0.25">
      <c r="A293" s="16">
        <v>42492.51699074074</v>
      </c>
      <c r="B293" t="s">
        <v>329</v>
      </c>
      <c r="C293" t="s">
        <v>404</v>
      </c>
      <c r="D293">
        <v>1830000</v>
      </c>
      <c r="E293" t="s">
        <v>449</v>
      </c>
    </row>
    <row r="294" spans="1:5" x14ac:dyDescent="0.25">
      <c r="A294" s="16">
        <v>42491.260162037041</v>
      </c>
      <c r="B294" t="s">
        <v>104</v>
      </c>
      <c r="C294" t="s">
        <v>248</v>
      </c>
      <c r="D294">
        <v>860000</v>
      </c>
      <c r="E294" t="s">
        <v>311</v>
      </c>
    </row>
    <row r="295" spans="1:5" x14ac:dyDescent="0.25">
      <c r="A295" s="16">
        <v>42492.50236111111</v>
      </c>
      <c r="B295" t="s">
        <v>370</v>
      </c>
      <c r="C295" t="s">
        <v>407</v>
      </c>
      <c r="D295">
        <v>1290000</v>
      </c>
      <c r="E295" t="s">
        <v>355</v>
      </c>
    </row>
    <row r="296" spans="1:5" x14ac:dyDescent="0.25">
      <c r="A296" s="16">
        <v>42491.359236111108</v>
      </c>
      <c r="B296" t="s">
        <v>83</v>
      </c>
      <c r="C296" t="s">
        <v>225</v>
      </c>
      <c r="D296">
        <v>1300000</v>
      </c>
      <c r="E296" t="s">
        <v>334</v>
      </c>
    </row>
    <row r="297" spans="1:5" x14ac:dyDescent="0.25">
      <c r="A297" s="16">
        <v>42492.495682870373</v>
      </c>
      <c r="B297" t="s">
        <v>116</v>
      </c>
      <c r="C297" t="s">
        <v>504</v>
      </c>
      <c r="D297">
        <v>1260000</v>
      </c>
      <c r="E297" t="s">
        <v>313</v>
      </c>
    </row>
    <row r="298" spans="1:5" x14ac:dyDescent="0.25">
      <c r="A298" s="16">
        <v>42491.365763888891</v>
      </c>
      <c r="B298" t="s">
        <v>79</v>
      </c>
      <c r="C298" t="s">
        <v>223</v>
      </c>
      <c r="D298">
        <v>1360000</v>
      </c>
      <c r="E298" t="s">
        <v>307</v>
      </c>
    </row>
    <row r="299" spans="1:5" x14ac:dyDescent="0.25">
      <c r="A299" s="16">
        <v>42492.495347222219</v>
      </c>
      <c r="B299" t="s">
        <v>349</v>
      </c>
      <c r="C299" t="s">
        <v>402</v>
      </c>
      <c r="D299">
        <v>1310000</v>
      </c>
      <c r="E299" t="s">
        <v>304</v>
      </c>
    </row>
    <row r="300" spans="1:5" x14ac:dyDescent="0.25">
      <c r="A300" s="16">
        <v>42491.37940972222</v>
      </c>
      <c r="B300" t="s">
        <v>63</v>
      </c>
      <c r="C300" t="s">
        <v>78</v>
      </c>
      <c r="D300">
        <v>1480000</v>
      </c>
      <c r="E300" t="s">
        <v>361</v>
      </c>
    </row>
    <row r="301" spans="1:5" x14ac:dyDescent="0.25">
      <c r="A301" s="16">
        <v>42492.485821759263</v>
      </c>
      <c r="B301" t="s">
        <v>331</v>
      </c>
      <c r="C301" t="s">
        <v>505</v>
      </c>
      <c r="D301">
        <v>1830000</v>
      </c>
      <c r="E301" t="s">
        <v>449</v>
      </c>
    </row>
    <row r="302" spans="1:5" x14ac:dyDescent="0.25">
      <c r="A302" s="16">
        <v>42491.71675925926</v>
      </c>
      <c r="B302" t="s">
        <v>116</v>
      </c>
      <c r="C302" t="s">
        <v>117</v>
      </c>
      <c r="D302">
        <v>1490000</v>
      </c>
      <c r="E302" t="s">
        <v>312</v>
      </c>
    </row>
    <row r="303" spans="1:5" x14ac:dyDescent="0.25">
      <c r="A303" s="16">
        <v>42492.484166666669</v>
      </c>
      <c r="B303" t="s">
        <v>331</v>
      </c>
      <c r="C303" t="s">
        <v>505</v>
      </c>
      <c r="D303">
        <v>1830000</v>
      </c>
      <c r="E303" t="s">
        <v>449</v>
      </c>
    </row>
    <row r="304" spans="1:5" x14ac:dyDescent="0.25">
      <c r="A304" s="16">
        <v>42491.828275462962</v>
      </c>
      <c r="B304" t="s">
        <v>71</v>
      </c>
      <c r="C304" t="s">
        <v>294</v>
      </c>
      <c r="D304">
        <v>1440000</v>
      </c>
      <c r="E304" t="s">
        <v>316</v>
      </c>
    </row>
    <row r="305" spans="1:5" x14ac:dyDescent="0.25">
      <c r="A305" s="16">
        <v>42492.446851851855</v>
      </c>
      <c r="B305" t="s">
        <v>329</v>
      </c>
      <c r="C305" t="s">
        <v>506</v>
      </c>
      <c r="D305">
        <v>1830000</v>
      </c>
      <c r="E305" t="s">
        <v>449</v>
      </c>
    </row>
    <row r="306" spans="1:5" x14ac:dyDescent="0.25">
      <c r="A306" s="16">
        <v>42492.151770833334</v>
      </c>
      <c r="B306" t="s">
        <v>353</v>
      </c>
      <c r="C306" t="s">
        <v>384</v>
      </c>
      <c r="D306">
        <v>1770000</v>
      </c>
      <c r="E306" t="s">
        <v>326</v>
      </c>
    </row>
    <row r="307" spans="1:5" x14ac:dyDescent="0.25">
      <c r="A307" s="16">
        <v>42492.434016203704</v>
      </c>
      <c r="B307" t="s">
        <v>83</v>
      </c>
      <c r="C307" t="s">
        <v>507</v>
      </c>
      <c r="D307">
        <v>1810000</v>
      </c>
      <c r="E307" t="s">
        <v>345</v>
      </c>
    </row>
    <row r="308" spans="1:5" x14ac:dyDescent="0.25">
      <c r="A308" s="16">
        <v>42492.220208333332</v>
      </c>
      <c r="B308" t="s">
        <v>69</v>
      </c>
      <c r="C308" t="s">
        <v>385</v>
      </c>
      <c r="D308">
        <v>1780000</v>
      </c>
      <c r="E308" t="s">
        <v>341</v>
      </c>
    </row>
    <row r="309" spans="1:5" x14ac:dyDescent="0.25">
      <c r="A309" s="16">
        <v>42491.952893518515</v>
      </c>
      <c r="B309" t="s">
        <v>90</v>
      </c>
      <c r="C309" t="s">
        <v>283</v>
      </c>
      <c r="D309">
        <v>970000</v>
      </c>
      <c r="E309" t="s">
        <v>337</v>
      </c>
    </row>
    <row r="310" spans="1:5" x14ac:dyDescent="0.25">
      <c r="A310" s="16">
        <v>42492.230798611112</v>
      </c>
      <c r="B310" t="s">
        <v>324</v>
      </c>
      <c r="C310" t="s">
        <v>342</v>
      </c>
      <c r="D310">
        <v>1770000</v>
      </c>
      <c r="E310" t="s">
        <v>326</v>
      </c>
    </row>
    <row r="311" spans="1:5" x14ac:dyDescent="0.25">
      <c r="A311" s="16">
        <v>42491.908645833333</v>
      </c>
      <c r="B311" t="s">
        <v>69</v>
      </c>
      <c r="C311" t="s">
        <v>286</v>
      </c>
      <c r="D311">
        <v>970000</v>
      </c>
      <c r="E311" t="s">
        <v>337</v>
      </c>
    </row>
    <row r="312" spans="1:5" x14ac:dyDescent="0.25">
      <c r="A312" s="16">
        <v>42492.25540509259</v>
      </c>
      <c r="B312" t="s">
        <v>320</v>
      </c>
      <c r="C312" t="s">
        <v>373</v>
      </c>
      <c r="D312">
        <v>1800000</v>
      </c>
      <c r="E312" t="s">
        <v>322</v>
      </c>
    </row>
    <row r="313" spans="1:5" x14ac:dyDescent="0.25">
      <c r="A313" s="16">
        <v>42491.904143518521</v>
      </c>
      <c r="B313" t="s">
        <v>71</v>
      </c>
      <c r="C313" t="s">
        <v>271</v>
      </c>
      <c r="D313">
        <v>1440000</v>
      </c>
      <c r="E313" t="s">
        <v>316</v>
      </c>
    </row>
    <row r="314" spans="1:5" x14ac:dyDescent="0.25">
      <c r="A314" s="16">
        <v>42492.300717592596</v>
      </c>
      <c r="B314" t="s">
        <v>329</v>
      </c>
      <c r="C314" t="s">
        <v>388</v>
      </c>
      <c r="D314">
        <v>1310000</v>
      </c>
      <c r="E314" t="s">
        <v>304</v>
      </c>
    </row>
    <row r="315" spans="1:5" x14ac:dyDescent="0.25">
      <c r="A315" s="16">
        <v>42491.69667824074</v>
      </c>
      <c r="B315" t="s">
        <v>79</v>
      </c>
      <c r="C315" t="s">
        <v>115</v>
      </c>
      <c r="D315">
        <v>1190000</v>
      </c>
      <c r="E315" t="s">
        <v>357</v>
      </c>
    </row>
    <row r="316" spans="1:5" x14ac:dyDescent="0.25">
      <c r="A316" s="16">
        <v>42492.30364583333</v>
      </c>
      <c r="B316" t="s">
        <v>88</v>
      </c>
      <c r="C316" t="s">
        <v>393</v>
      </c>
      <c r="D316">
        <v>1090000</v>
      </c>
      <c r="E316" t="s">
        <v>328</v>
      </c>
    </row>
    <row r="317" spans="1:5" x14ac:dyDescent="0.25">
      <c r="A317" s="16">
        <v>42491.691261574073</v>
      </c>
      <c r="B317" t="s">
        <v>95</v>
      </c>
      <c r="C317" t="s">
        <v>145</v>
      </c>
      <c r="D317">
        <v>880000</v>
      </c>
      <c r="E317" t="s">
        <v>306</v>
      </c>
    </row>
    <row r="318" spans="1:5" x14ac:dyDescent="0.25">
      <c r="A318" s="16">
        <v>42492.387025462966</v>
      </c>
      <c r="B318" t="s">
        <v>67</v>
      </c>
      <c r="C318" t="s">
        <v>390</v>
      </c>
      <c r="D318">
        <v>1810000</v>
      </c>
      <c r="E318" t="s">
        <v>345</v>
      </c>
    </row>
    <row r="319" spans="1:5" x14ac:dyDescent="0.25">
      <c r="A319" s="16">
        <v>42491.620104166665</v>
      </c>
      <c r="B319" t="s">
        <v>95</v>
      </c>
      <c r="C319" t="s">
        <v>100</v>
      </c>
      <c r="D319">
        <v>880000</v>
      </c>
      <c r="E319" t="s">
        <v>306</v>
      </c>
    </row>
    <row r="320" spans="1:5" x14ac:dyDescent="0.25">
      <c r="A320" s="16">
        <v>42492.674224537041</v>
      </c>
      <c r="B320" t="s">
        <v>324</v>
      </c>
      <c r="C320" t="s">
        <v>419</v>
      </c>
      <c r="D320">
        <v>950000</v>
      </c>
      <c r="E320" t="s">
        <v>356</v>
      </c>
    </row>
    <row r="321" spans="1:5" x14ac:dyDescent="0.25">
      <c r="A321" s="16">
        <v>42491.548877314817</v>
      </c>
      <c r="B321" t="s">
        <v>318</v>
      </c>
      <c r="C321" t="s">
        <v>180</v>
      </c>
      <c r="D321">
        <v>940000</v>
      </c>
      <c r="E321" t="s">
        <v>323</v>
      </c>
    </row>
    <row r="322" spans="1:5" x14ac:dyDescent="0.25">
      <c r="A322" s="16">
        <v>42492.457604166666</v>
      </c>
      <c r="B322" t="s">
        <v>324</v>
      </c>
      <c r="C322" t="s">
        <v>398</v>
      </c>
      <c r="D322">
        <v>1310000</v>
      </c>
      <c r="E322" t="s">
        <v>304</v>
      </c>
    </row>
    <row r="323" spans="1:5" x14ac:dyDescent="0.25">
      <c r="A323" s="16">
        <v>42491.504733796297</v>
      </c>
      <c r="B323" t="s">
        <v>81</v>
      </c>
      <c r="C323" t="s">
        <v>194</v>
      </c>
      <c r="D323">
        <v>1460000</v>
      </c>
      <c r="E323" t="s">
        <v>314</v>
      </c>
    </row>
    <row r="324" spans="1:5" x14ac:dyDescent="0.25">
      <c r="A324" s="16">
        <v>42492.485289351855</v>
      </c>
      <c r="B324" t="s">
        <v>63</v>
      </c>
      <c r="C324" t="s">
        <v>403</v>
      </c>
      <c r="D324">
        <v>1340000</v>
      </c>
      <c r="E324" t="s">
        <v>469</v>
      </c>
    </row>
    <row r="325" spans="1:5" x14ac:dyDescent="0.25">
      <c r="A325" s="16">
        <v>42491.411203703705</v>
      </c>
      <c r="B325" t="s">
        <v>116</v>
      </c>
      <c r="C325" t="s">
        <v>211</v>
      </c>
      <c r="D325">
        <v>1310000</v>
      </c>
      <c r="E325" t="s">
        <v>304</v>
      </c>
    </row>
    <row r="326" spans="1:5" x14ac:dyDescent="0.25">
      <c r="A326" s="16">
        <v>42492.548946759256</v>
      </c>
      <c r="B326" t="s">
        <v>95</v>
      </c>
      <c r="C326" t="s">
        <v>508</v>
      </c>
      <c r="D326">
        <v>1750000</v>
      </c>
      <c r="E326" t="s">
        <v>462</v>
      </c>
    </row>
    <row r="327" spans="1:5" x14ac:dyDescent="0.25">
      <c r="A327" s="16">
        <v>42491.40347222222</v>
      </c>
      <c r="B327" t="s">
        <v>109</v>
      </c>
      <c r="C327" t="s">
        <v>214</v>
      </c>
      <c r="D327">
        <v>1360000</v>
      </c>
      <c r="E327" t="s">
        <v>307</v>
      </c>
    </row>
    <row r="328" spans="1:5" x14ac:dyDescent="0.25">
      <c r="A328" s="16">
        <v>42492.558298611111</v>
      </c>
      <c r="B328" t="s">
        <v>63</v>
      </c>
      <c r="C328" t="s">
        <v>509</v>
      </c>
      <c r="D328">
        <v>1340000</v>
      </c>
      <c r="E328" t="s">
        <v>469</v>
      </c>
    </row>
    <row r="329" spans="1:5" x14ac:dyDescent="0.25">
      <c r="A329" s="16">
        <v>42491.902939814812</v>
      </c>
      <c r="B329" t="s">
        <v>71</v>
      </c>
      <c r="C329" t="s">
        <v>271</v>
      </c>
      <c r="D329">
        <v>1440000</v>
      </c>
      <c r="E329" t="s">
        <v>316</v>
      </c>
    </row>
    <row r="330" spans="1:5" x14ac:dyDescent="0.25">
      <c r="A330" s="16">
        <v>42492.57230324074</v>
      </c>
      <c r="B330" t="s">
        <v>69</v>
      </c>
      <c r="C330" t="s">
        <v>510</v>
      </c>
      <c r="D330">
        <v>1840000</v>
      </c>
      <c r="E330" t="s">
        <v>445</v>
      </c>
    </row>
    <row r="331" spans="1:5" x14ac:dyDescent="0.25">
      <c r="A331" s="16">
        <v>42491.838634259257</v>
      </c>
      <c r="B331" t="s">
        <v>318</v>
      </c>
      <c r="C331" t="s">
        <v>293</v>
      </c>
      <c r="D331">
        <v>1280000</v>
      </c>
      <c r="E331" t="s">
        <v>319</v>
      </c>
    </row>
    <row r="332" spans="1:5" x14ac:dyDescent="0.25">
      <c r="A332" s="16">
        <v>42492.632592592592</v>
      </c>
      <c r="B332" t="s">
        <v>63</v>
      </c>
      <c r="C332" t="s">
        <v>416</v>
      </c>
      <c r="D332">
        <v>1340000</v>
      </c>
      <c r="E332" t="s">
        <v>469</v>
      </c>
    </row>
    <row r="333" spans="1:5" x14ac:dyDescent="0.25">
      <c r="A333" s="16">
        <v>42491.739398148151</v>
      </c>
      <c r="B333" t="s">
        <v>109</v>
      </c>
      <c r="C333" t="s">
        <v>129</v>
      </c>
      <c r="D333">
        <v>1140000</v>
      </c>
      <c r="E333" t="s">
        <v>317</v>
      </c>
    </row>
    <row r="334" spans="1:5" x14ac:dyDescent="0.25">
      <c r="A334" s="16">
        <v>42492.637152777781</v>
      </c>
      <c r="B334" t="s">
        <v>331</v>
      </c>
      <c r="C334" t="s">
        <v>511</v>
      </c>
      <c r="D334">
        <v>1190000</v>
      </c>
      <c r="E334" t="s">
        <v>357</v>
      </c>
    </row>
    <row r="335" spans="1:5" x14ac:dyDescent="0.25">
      <c r="A335" s="16">
        <v>42491.544930555552</v>
      </c>
      <c r="B335" t="s">
        <v>95</v>
      </c>
      <c r="C335" t="s">
        <v>96</v>
      </c>
      <c r="D335">
        <v>880000</v>
      </c>
      <c r="E335" t="s">
        <v>306</v>
      </c>
    </row>
    <row r="336" spans="1:5" x14ac:dyDescent="0.25">
      <c r="A336" s="16">
        <v>42492.641689814816</v>
      </c>
      <c r="B336" t="s">
        <v>116</v>
      </c>
      <c r="C336" t="s">
        <v>512</v>
      </c>
      <c r="D336">
        <v>1260000</v>
      </c>
      <c r="E336" t="s">
        <v>313</v>
      </c>
    </row>
    <row r="337" spans="1:5" x14ac:dyDescent="0.25">
      <c r="A337" s="16">
        <v>42491.480775462966</v>
      </c>
      <c r="B337" t="s">
        <v>104</v>
      </c>
      <c r="C337" t="s">
        <v>200</v>
      </c>
      <c r="D337">
        <v>1190000</v>
      </c>
      <c r="E337" t="s">
        <v>357</v>
      </c>
    </row>
    <row r="338" spans="1:5" x14ac:dyDescent="0.25">
      <c r="A338" s="16">
        <v>42492.702974537038</v>
      </c>
      <c r="B338" t="s">
        <v>63</v>
      </c>
      <c r="C338" t="s">
        <v>513</v>
      </c>
      <c r="D338">
        <v>1340000</v>
      </c>
      <c r="E338" t="s">
        <v>469</v>
      </c>
    </row>
    <row r="339" spans="1:5" x14ac:dyDescent="0.25">
      <c r="A339" s="16">
        <v>42491.343587962961</v>
      </c>
      <c r="B339" t="s">
        <v>116</v>
      </c>
      <c r="C339" t="s">
        <v>229</v>
      </c>
      <c r="D339">
        <v>1310000</v>
      </c>
      <c r="E339" t="s">
        <v>304</v>
      </c>
    </row>
    <row r="340" spans="1:5" x14ac:dyDescent="0.25">
      <c r="A340" s="16">
        <v>42491.968761574077</v>
      </c>
      <c r="B340" t="s">
        <v>109</v>
      </c>
      <c r="C340" t="s">
        <v>282</v>
      </c>
      <c r="D340">
        <v>1140000</v>
      </c>
      <c r="E340" t="s">
        <v>317</v>
      </c>
    </row>
    <row r="341" spans="1:5" x14ac:dyDescent="0.25">
      <c r="A341" s="16">
        <v>42491.318576388891</v>
      </c>
      <c r="B341" t="s">
        <v>71</v>
      </c>
      <c r="C341" t="s">
        <v>74</v>
      </c>
      <c r="D341">
        <v>1430000</v>
      </c>
      <c r="E341" t="s">
        <v>305</v>
      </c>
    </row>
    <row r="342" spans="1:5" x14ac:dyDescent="0.25">
      <c r="A342" s="16">
        <v>42492.169074074074</v>
      </c>
      <c r="B342" t="s">
        <v>95</v>
      </c>
      <c r="C342" t="s">
        <v>391</v>
      </c>
      <c r="D342">
        <v>1300000</v>
      </c>
      <c r="E342" t="s">
        <v>334</v>
      </c>
    </row>
    <row r="343" spans="1:5" x14ac:dyDescent="0.25">
      <c r="A343" s="16">
        <v>42491.26972222222</v>
      </c>
      <c r="B343" t="s">
        <v>88</v>
      </c>
      <c r="C343" t="s">
        <v>245</v>
      </c>
      <c r="D343">
        <v>1480000</v>
      </c>
      <c r="E343" t="s">
        <v>361</v>
      </c>
    </row>
    <row r="344" spans="1:5" x14ac:dyDescent="0.25">
      <c r="A344" s="16">
        <v>42492.212557870371</v>
      </c>
      <c r="B344" t="s">
        <v>116</v>
      </c>
      <c r="C344" t="s">
        <v>381</v>
      </c>
      <c r="D344">
        <v>1410000</v>
      </c>
      <c r="E344" t="s">
        <v>382</v>
      </c>
    </row>
    <row r="345" spans="1:5" x14ac:dyDescent="0.25">
      <c r="A345" s="16">
        <v>42491.869293981479</v>
      </c>
      <c r="B345" t="s">
        <v>90</v>
      </c>
      <c r="C345" t="s">
        <v>290</v>
      </c>
      <c r="D345">
        <v>970000</v>
      </c>
      <c r="E345" t="s">
        <v>337</v>
      </c>
    </row>
    <row r="346" spans="1:5" x14ac:dyDescent="0.25">
      <c r="A346" s="16">
        <v>42492.234189814815</v>
      </c>
      <c r="B346" t="s">
        <v>88</v>
      </c>
      <c r="C346" t="s">
        <v>387</v>
      </c>
      <c r="D346">
        <v>1090000</v>
      </c>
      <c r="E346" t="s">
        <v>328</v>
      </c>
    </row>
    <row r="347" spans="1:5" x14ac:dyDescent="0.25">
      <c r="A347" s="16">
        <v>42491.789340277777</v>
      </c>
      <c r="B347" t="s">
        <v>90</v>
      </c>
      <c r="C347" t="s">
        <v>300</v>
      </c>
      <c r="D347">
        <v>970000</v>
      </c>
      <c r="E347" t="s">
        <v>337</v>
      </c>
    </row>
    <row r="348" spans="1:5" x14ac:dyDescent="0.25">
      <c r="A348" s="16">
        <v>42492.240844907406</v>
      </c>
      <c r="B348" t="s">
        <v>67</v>
      </c>
      <c r="C348" t="s">
        <v>392</v>
      </c>
      <c r="D348">
        <v>1810000</v>
      </c>
      <c r="E348" t="s">
        <v>345</v>
      </c>
    </row>
    <row r="349" spans="1:5" x14ac:dyDescent="0.25">
      <c r="A349" s="16">
        <v>42491.7578125</v>
      </c>
      <c r="B349" t="s">
        <v>71</v>
      </c>
      <c r="C349" t="s">
        <v>123</v>
      </c>
      <c r="D349">
        <v>1440000</v>
      </c>
      <c r="E349" t="s">
        <v>316</v>
      </c>
    </row>
    <row r="350" spans="1:5" x14ac:dyDescent="0.25">
      <c r="A350" s="16">
        <v>42492.307581018518</v>
      </c>
      <c r="B350" t="s">
        <v>324</v>
      </c>
      <c r="C350" t="s">
        <v>389</v>
      </c>
      <c r="D350">
        <v>1770000</v>
      </c>
      <c r="E350" t="s">
        <v>326</v>
      </c>
    </row>
    <row r="351" spans="1:5" x14ac:dyDescent="0.25">
      <c r="A351" s="16">
        <v>42491.692094907405</v>
      </c>
      <c r="B351" t="s">
        <v>318</v>
      </c>
      <c r="C351" t="s">
        <v>143</v>
      </c>
      <c r="D351">
        <v>940000</v>
      </c>
      <c r="E351" t="s">
        <v>323</v>
      </c>
    </row>
    <row r="352" spans="1:5" x14ac:dyDescent="0.25">
      <c r="A352" s="16">
        <v>42492.321446759262</v>
      </c>
      <c r="B352" t="s">
        <v>320</v>
      </c>
      <c r="C352" t="s">
        <v>394</v>
      </c>
      <c r="D352">
        <v>1800000</v>
      </c>
      <c r="E352" t="s">
        <v>322</v>
      </c>
    </row>
    <row r="353" spans="1:5" x14ac:dyDescent="0.25">
      <c r="A353" s="16">
        <v>42491.618715277778</v>
      </c>
      <c r="B353" t="s">
        <v>318</v>
      </c>
      <c r="C353" t="s">
        <v>164</v>
      </c>
      <c r="D353">
        <v>940000</v>
      </c>
      <c r="E353" t="s">
        <v>323</v>
      </c>
    </row>
    <row r="354" spans="1:5" x14ac:dyDescent="0.25">
      <c r="A354" s="16">
        <v>42492.396145833336</v>
      </c>
      <c r="B354" t="s">
        <v>95</v>
      </c>
      <c r="C354" t="s">
        <v>395</v>
      </c>
      <c r="D354">
        <v>1300000</v>
      </c>
      <c r="E354" t="s">
        <v>334</v>
      </c>
    </row>
    <row r="355" spans="1:5" x14ac:dyDescent="0.25">
      <c r="A355" s="16">
        <v>42491.498402777775</v>
      </c>
      <c r="B355" t="s">
        <v>90</v>
      </c>
      <c r="C355" t="s">
        <v>91</v>
      </c>
      <c r="D355">
        <v>1260000</v>
      </c>
      <c r="E355" t="s">
        <v>313</v>
      </c>
    </row>
    <row r="356" spans="1:5" x14ac:dyDescent="0.25">
      <c r="A356" s="16">
        <v>42492.661874999998</v>
      </c>
      <c r="B356" t="s">
        <v>104</v>
      </c>
      <c r="C356" t="s">
        <v>514</v>
      </c>
      <c r="D356">
        <v>1290000</v>
      </c>
      <c r="E356" t="s">
        <v>355</v>
      </c>
    </row>
    <row r="357" spans="1:5" x14ac:dyDescent="0.25">
      <c r="A357" s="16">
        <v>42491.464212962965</v>
      </c>
      <c r="B357" t="s">
        <v>71</v>
      </c>
      <c r="C357" t="s">
        <v>202</v>
      </c>
      <c r="D357">
        <v>1460000</v>
      </c>
      <c r="E357" t="s">
        <v>314</v>
      </c>
    </row>
    <row r="358" spans="1:5" x14ac:dyDescent="0.25">
      <c r="A358" s="16">
        <v>42492.701828703706</v>
      </c>
      <c r="B358" t="s">
        <v>331</v>
      </c>
      <c r="C358" t="s">
        <v>424</v>
      </c>
      <c r="D358">
        <v>1830000</v>
      </c>
      <c r="E358" t="s">
        <v>449</v>
      </c>
    </row>
    <row r="359" spans="1:5" x14ac:dyDescent="0.25">
      <c r="A359" s="16">
        <v>42491.369398148148</v>
      </c>
      <c r="B359" t="s">
        <v>75</v>
      </c>
      <c r="C359" t="s">
        <v>76</v>
      </c>
      <c r="D359">
        <v>860000</v>
      </c>
      <c r="E359" t="s">
        <v>311</v>
      </c>
    </row>
    <row r="360" spans="1:5" x14ac:dyDescent="0.25">
      <c r="A360" s="16">
        <v>42492.716921296298</v>
      </c>
      <c r="B360" t="s">
        <v>116</v>
      </c>
      <c r="C360" t="s">
        <v>515</v>
      </c>
      <c r="D360">
        <v>1140000</v>
      </c>
      <c r="E360" t="s">
        <v>317</v>
      </c>
    </row>
    <row r="361" spans="1:5" x14ac:dyDescent="0.25">
      <c r="A361" s="16">
        <v>42491.30878472222</v>
      </c>
      <c r="B361" t="s">
        <v>67</v>
      </c>
      <c r="C361" t="s">
        <v>237</v>
      </c>
      <c r="D361">
        <v>1310000</v>
      </c>
      <c r="E361" t="s">
        <v>304</v>
      </c>
    </row>
    <row r="362" spans="1:5" x14ac:dyDescent="0.25">
      <c r="A362" s="16">
        <v>42492.828611111108</v>
      </c>
      <c r="B362" t="s">
        <v>90</v>
      </c>
      <c r="C362" t="s">
        <v>430</v>
      </c>
      <c r="D362">
        <v>1740000</v>
      </c>
      <c r="E362" t="s">
        <v>456</v>
      </c>
    </row>
    <row r="363" spans="1:5" x14ac:dyDescent="0.25">
      <c r="A363" s="16">
        <v>42491.295092592591</v>
      </c>
      <c r="B363" t="s">
        <v>79</v>
      </c>
      <c r="C363" t="s">
        <v>239</v>
      </c>
      <c r="D363">
        <v>1360000</v>
      </c>
      <c r="E363" t="s">
        <v>307</v>
      </c>
    </row>
    <row r="364" spans="1:5" x14ac:dyDescent="0.25">
      <c r="A364" s="16">
        <v>42492.907071759262</v>
      </c>
      <c r="B364" t="s">
        <v>90</v>
      </c>
      <c r="C364" t="s">
        <v>494</v>
      </c>
      <c r="D364">
        <v>1740000</v>
      </c>
      <c r="E364" t="s">
        <v>456</v>
      </c>
    </row>
    <row r="365" spans="1:5" x14ac:dyDescent="0.25">
      <c r="A365" s="16">
        <v>42491.233159722222</v>
      </c>
      <c r="B365" t="s">
        <v>67</v>
      </c>
      <c r="C365" t="s">
        <v>68</v>
      </c>
      <c r="D365">
        <v>1310000</v>
      </c>
      <c r="E365" t="s">
        <v>304</v>
      </c>
    </row>
    <row r="366" spans="1:5" x14ac:dyDescent="0.25">
      <c r="A366" s="16">
        <v>42492.988229166665</v>
      </c>
      <c r="B366" t="s">
        <v>67</v>
      </c>
      <c r="C366" t="s">
        <v>516</v>
      </c>
      <c r="D366">
        <v>1140000</v>
      </c>
      <c r="E366" t="s">
        <v>317</v>
      </c>
    </row>
    <row r="367" spans="1:5" x14ac:dyDescent="0.25">
      <c r="A367" s="16">
        <v>42487.878564814811</v>
      </c>
      <c r="B367" t="s">
        <v>353</v>
      </c>
      <c r="C367" t="s">
        <v>354</v>
      </c>
      <c r="D367">
        <v>1290000</v>
      </c>
      <c r="E367" t="s">
        <v>355</v>
      </c>
    </row>
    <row r="368" spans="1:5" x14ac:dyDescent="0.25">
      <c r="A368" s="16">
        <v>42493.057071759256</v>
      </c>
      <c r="B368" t="s">
        <v>104</v>
      </c>
      <c r="C368" t="s">
        <v>440</v>
      </c>
      <c r="D368">
        <v>1760000</v>
      </c>
      <c r="E368" t="s">
        <v>453</v>
      </c>
    </row>
    <row r="369" spans="1:5" x14ac:dyDescent="0.25">
      <c r="A369" s="16">
        <v>42489.464791666665</v>
      </c>
      <c r="B369" t="s">
        <v>104</v>
      </c>
      <c r="C369" t="s">
        <v>379</v>
      </c>
      <c r="D369">
        <v>1200000</v>
      </c>
      <c r="E369" t="s">
        <v>365</v>
      </c>
    </row>
    <row r="370" spans="1:5" x14ac:dyDescent="0.25">
      <c r="A370" s="16">
        <v>42493.170856481483</v>
      </c>
      <c r="B370" t="s">
        <v>320</v>
      </c>
      <c r="C370" t="s">
        <v>517</v>
      </c>
      <c r="D370">
        <v>1800000</v>
      </c>
      <c r="E370" t="s">
        <v>322</v>
      </c>
    </row>
    <row r="371" spans="1:5" x14ac:dyDescent="0.25">
      <c r="A371" s="16">
        <v>42489.098912037036</v>
      </c>
      <c r="B371" t="s">
        <v>63</v>
      </c>
      <c r="C371" t="s">
        <v>308</v>
      </c>
      <c r="D371">
        <v>530000</v>
      </c>
      <c r="E371" t="s">
        <v>309</v>
      </c>
    </row>
    <row r="372" spans="1:5" x14ac:dyDescent="0.25">
      <c r="A372" s="16">
        <v>42492.738229166665</v>
      </c>
      <c r="B372" t="s">
        <v>329</v>
      </c>
      <c r="C372" t="s">
        <v>518</v>
      </c>
      <c r="D372">
        <v>970000</v>
      </c>
      <c r="E372" t="s">
        <v>337</v>
      </c>
    </row>
    <row r="373" spans="1:5" x14ac:dyDescent="0.25">
      <c r="A373" s="16">
        <v>42487.882523148146</v>
      </c>
      <c r="B373" t="s">
        <v>353</v>
      </c>
      <c r="C373" t="s">
        <v>354</v>
      </c>
      <c r="D373">
        <v>1290000</v>
      </c>
      <c r="E373" t="s">
        <v>355</v>
      </c>
    </row>
    <row r="374" spans="1:5" x14ac:dyDescent="0.25">
      <c r="A374" s="16">
        <v>42492.751423611109</v>
      </c>
      <c r="B374" t="s">
        <v>67</v>
      </c>
      <c r="C374" t="s">
        <v>519</v>
      </c>
      <c r="D374">
        <v>1140000</v>
      </c>
      <c r="E374" t="s">
        <v>317</v>
      </c>
    </row>
    <row r="375" spans="1:5" x14ac:dyDescent="0.25">
      <c r="A375" s="16">
        <v>42487.633506944447</v>
      </c>
      <c r="B375" t="s">
        <v>320</v>
      </c>
      <c r="C375" t="s">
        <v>354</v>
      </c>
      <c r="D375">
        <v>1290000</v>
      </c>
      <c r="E375" t="s">
        <v>355</v>
      </c>
    </row>
    <row r="376" spans="1:5" x14ac:dyDescent="0.25">
      <c r="A376" s="16">
        <v>42492.868125000001</v>
      </c>
      <c r="B376" t="s">
        <v>69</v>
      </c>
      <c r="C376" t="s">
        <v>437</v>
      </c>
      <c r="D376">
        <v>1740000</v>
      </c>
      <c r="E376" t="s">
        <v>456</v>
      </c>
    </row>
    <row r="377" spans="1:5" x14ac:dyDescent="0.25">
      <c r="A377" s="16">
        <v>42491.169374999998</v>
      </c>
      <c r="B377" t="s">
        <v>95</v>
      </c>
      <c r="C377" t="s">
        <v>264</v>
      </c>
      <c r="D377">
        <v>1300000</v>
      </c>
      <c r="E377" t="s">
        <v>334</v>
      </c>
    </row>
    <row r="378" spans="1:5" x14ac:dyDescent="0.25">
      <c r="A378" s="16">
        <v>42492.869189814817</v>
      </c>
      <c r="B378" t="s">
        <v>69</v>
      </c>
      <c r="C378" t="s">
        <v>437</v>
      </c>
      <c r="D378">
        <v>1740000</v>
      </c>
      <c r="E378" t="s">
        <v>456</v>
      </c>
    </row>
    <row r="379" spans="1:5" x14ac:dyDescent="0.25">
      <c r="A379" s="16">
        <v>42491.130543981482</v>
      </c>
      <c r="B379" t="s">
        <v>90</v>
      </c>
      <c r="C379" t="s">
        <v>268</v>
      </c>
      <c r="D379">
        <v>1300000</v>
      </c>
      <c r="E379" t="s">
        <v>334</v>
      </c>
    </row>
    <row r="380" spans="1:5" x14ac:dyDescent="0.25">
      <c r="A380" s="16">
        <v>42493.15452546296</v>
      </c>
      <c r="B380" t="s">
        <v>353</v>
      </c>
      <c r="C380" t="s">
        <v>520</v>
      </c>
      <c r="D380">
        <v>1110000</v>
      </c>
      <c r="E380" t="s">
        <v>474</v>
      </c>
    </row>
    <row r="381" spans="1:5" x14ac:dyDescent="0.25">
      <c r="A381" s="16">
        <v>42489.472013888888</v>
      </c>
      <c r="B381" t="s">
        <v>75</v>
      </c>
      <c r="C381" t="s">
        <v>364</v>
      </c>
      <c r="D381">
        <v>0</v>
      </c>
      <c r="E381" t="s">
        <v>386</v>
      </c>
    </row>
    <row r="382" spans="1:5" x14ac:dyDescent="0.25">
      <c r="A382" s="16">
        <v>42493.210416666669</v>
      </c>
      <c r="B382" t="s">
        <v>329</v>
      </c>
      <c r="C382" t="s">
        <v>521</v>
      </c>
      <c r="D382">
        <v>1770000</v>
      </c>
      <c r="E382" t="s">
        <v>326</v>
      </c>
    </row>
    <row r="383" spans="1:5" x14ac:dyDescent="0.25">
      <c r="A383" s="16">
        <v>42488.90253472222</v>
      </c>
      <c r="B383" t="s">
        <v>88</v>
      </c>
      <c r="C383" t="s">
        <v>308</v>
      </c>
      <c r="D383">
        <v>530000</v>
      </c>
      <c r="E383" t="s">
        <v>309</v>
      </c>
    </row>
    <row r="384" spans="1:5" x14ac:dyDescent="0.25">
      <c r="A384" s="16">
        <v>42493.232523148145</v>
      </c>
      <c r="B384" t="s">
        <v>522</v>
      </c>
      <c r="C384" t="s">
        <v>523</v>
      </c>
      <c r="D384">
        <v>1260000</v>
      </c>
      <c r="E384" t="s">
        <v>313</v>
      </c>
    </row>
    <row r="385" spans="1:5" x14ac:dyDescent="0.25">
      <c r="A385" s="16">
        <v>42488.860543981478</v>
      </c>
      <c r="B385" t="s">
        <v>63</v>
      </c>
      <c r="C385" t="s">
        <v>308</v>
      </c>
      <c r="D385">
        <v>530000</v>
      </c>
      <c r="E385" t="s">
        <v>309</v>
      </c>
    </row>
    <row r="386" spans="1:5" x14ac:dyDescent="0.25">
      <c r="A386" s="16">
        <v>42493.243125000001</v>
      </c>
      <c r="B386" t="s">
        <v>88</v>
      </c>
      <c r="C386" t="s">
        <v>524</v>
      </c>
      <c r="D386">
        <v>1810000</v>
      </c>
      <c r="E386" t="s">
        <v>345</v>
      </c>
    </row>
    <row r="387" spans="1:5" x14ac:dyDescent="0.25">
      <c r="A387" s="16">
        <v>42491.35769675926</v>
      </c>
      <c r="B387" t="s">
        <v>81</v>
      </c>
      <c r="C387" t="s">
        <v>226</v>
      </c>
      <c r="D387">
        <v>1430000</v>
      </c>
      <c r="E387" t="s">
        <v>305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C2"/>
  <sheetViews>
    <sheetView workbookViewId="0">
      <selection activeCell="A3" sqref="A3"/>
    </sheetView>
  </sheetViews>
  <sheetFormatPr defaultRowHeight="15" x14ac:dyDescent="0.25"/>
  <cols>
    <col min="1" max="1" width="32.140625" customWidth="1"/>
    <col min="3" max="3" width="24" customWidth="1"/>
  </cols>
  <sheetData>
    <row r="1" spans="1:3" ht="105.75" x14ac:dyDescent="0.3">
      <c r="A1" s="30" t="s">
        <v>25</v>
      </c>
      <c r="C1" s="38" t="s">
        <v>60</v>
      </c>
    </row>
    <row r="2" spans="1:3" ht="15.75" thickBot="1" x14ac:dyDescent="0.3">
      <c r="A2" s="31">
        <v>42492</v>
      </c>
      <c r="B2" s="11"/>
      <c r="C2" s="39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Train Runs</vt:lpstr>
      <vt:lpstr>Enforcements</vt:lpstr>
      <vt:lpstr>Missing Trips</vt:lpstr>
      <vt:lpstr>Trips&amp;Operators</vt:lpstr>
      <vt:lpstr>Variables</vt:lpstr>
      <vt:lpstr>'Train Runs'!Denver_Train_Runs_04122016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Whitlock, Robert;Tu, Steve</dc:creator>
  <cp:lastModifiedBy>Steve Tu</cp:lastModifiedBy>
  <dcterms:created xsi:type="dcterms:W3CDTF">2016-04-12T13:52:23Z</dcterms:created>
  <dcterms:modified xsi:type="dcterms:W3CDTF">2016-05-03T18:23:28Z</dcterms:modified>
</cp:coreProperties>
</file>