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Runs'!$A$2:$AA$2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5" i="1" l="1"/>
  <c r="L63" i="3"/>
  <c r="L23" i="3"/>
  <c r="L24" i="3"/>
  <c r="L25" i="3"/>
  <c r="L5" i="3"/>
  <c r="L26" i="3"/>
  <c r="L6" i="3"/>
  <c r="L7" i="3"/>
  <c r="L27" i="3"/>
  <c r="L21" i="3"/>
  <c r="L8" i="3"/>
  <c r="L28" i="3"/>
  <c r="L29" i="3"/>
  <c r="L30" i="3"/>
  <c r="L31" i="3"/>
  <c r="L32" i="3"/>
  <c r="L33" i="3"/>
  <c r="L34" i="3"/>
  <c r="L35" i="3"/>
  <c r="L3" i="3"/>
  <c r="L9" i="3"/>
  <c r="L36" i="3"/>
  <c r="L37" i="3"/>
  <c r="L38" i="3"/>
  <c r="L39" i="3"/>
  <c r="L40" i="3"/>
  <c r="L41" i="3"/>
  <c r="L42" i="3"/>
  <c r="L43" i="3"/>
  <c r="L10" i="3"/>
  <c r="L44" i="3"/>
  <c r="L11" i="3"/>
  <c r="L12" i="3"/>
  <c r="L13" i="3"/>
  <c r="L45" i="3"/>
  <c r="L14" i="3"/>
  <c r="L15" i="3"/>
  <c r="L16" i="3"/>
  <c r="L46" i="3"/>
  <c r="L47" i="3"/>
  <c r="L48" i="3"/>
  <c r="L4" i="3"/>
  <c r="L49" i="3"/>
  <c r="L17" i="3"/>
  <c r="L50" i="3"/>
  <c r="L51" i="3"/>
  <c r="L52" i="3"/>
  <c r="L18" i="3"/>
  <c r="L22" i="3"/>
  <c r="L19" i="3"/>
  <c r="L53" i="3"/>
  <c r="L54" i="3"/>
  <c r="L20" i="3"/>
  <c r="L55" i="3"/>
  <c r="L56" i="3"/>
  <c r="L57" i="3"/>
  <c r="L58" i="3"/>
  <c r="L59" i="3"/>
  <c r="L60" i="3"/>
  <c r="L61" i="3"/>
  <c r="L62" i="3"/>
  <c r="M56" i="1" l="1"/>
  <c r="N56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T5" i="1"/>
  <c r="W5" i="1"/>
  <c r="X5" i="1"/>
  <c r="Z5" i="1"/>
  <c r="AA5" i="1"/>
  <c r="T6" i="1"/>
  <c r="W6" i="1"/>
  <c r="X6" i="1"/>
  <c r="Y6" i="1"/>
  <c r="U6" i="1" s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Y9" i="1"/>
  <c r="U9" i="1" s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Y13" i="1" s="1"/>
  <c r="U13" i="1" s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Y16" i="1" s="1"/>
  <c r="U16" i="1" s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Y20" i="1" s="1"/>
  <c r="U20" i="1" s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W23" i="1"/>
  <c r="X23" i="1"/>
  <c r="Z23" i="1"/>
  <c r="AA23" i="1"/>
  <c r="T24" i="1"/>
  <c r="W24" i="1"/>
  <c r="X24" i="1"/>
  <c r="Y24" i="1" s="1"/>
  <c r="U24" i="1" s="1"/>
  <c r="Z24" i="1"/>
  <c r="AA24" i="1"/>
  <c r="T25" i="1"/>
  <c r="W25" i="1"/>
  <c r="X25" i="1"/>
  <c r="Z25" i="1"/>
  <c r="AA25" i="1"/>
  <c r="T26" i="1"/>
  <c r="W26" i="1"/>
  <c r="Y26" i="1" s="1"/>
  <c r="U26" i="1" s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I150" i="1"/>
  <c r="T4" i="1"/>
  <c r="W4" i="1"/>
  <c r="X4" i="1"/>
  <c r="Z4" i="1"/>
  <c r="AA4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Y62" i="1" s="1"/>
  <c r="U62" i="1" s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X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1" i="1"/>
  <c r="W91" i="1"/>
  <c r="X91" i="1"/>
  <c r="Z91" i="1"/>
  <c r="AA91" i="1"/>
  <c r="T92" i="1"/>
  <c r="W92" i="1"/>
  <c r="X92" i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Z147" i="1"/>
  <c r="AA147" i="1"/>
  <c r="T148" i="1"/>
  <c r="W148" i="1"/>
  <c r="X148" i="1"/>
  <c r="Z148" i="1"/>
  <c r="AA148" i="1"/>
  <c r="AA3" i="1"/>
  <c r="Z3" i="1"/>
  <c r="Y25" i="1" l="1"/>
  <c r="U25" i="1" s="1"/>
  <c r="Y21" i="1"/>
  <c r="U21" i="1" s="1"/>
  <c r="Y52" i="1"/>
  <c r="U52" i="1" s="1"/>
  <c r="Y29" i="1"/>
  <c r="U29" i="1" s="1"/>
  <c r="Y119" i="1"/>
  <c r="U119" i="1" s="1"/>
  <c r="Y95" i="1"/>
  <c r="U95" i="1" s="1"/>
  <c r="Y91" i="1"/>
  <c r="U91" i="1" s="1"/>
  <c r="Y10" i="1"/>
  <c r="U10" i="1" s="1"/>
  <c r="Y54" i="1"/>
  <c r="U54" i="1" s="1"/>
  <c r="Y30" i="1"/>
  <c r="U30" i="1" s="1"/>
  <c r="Y7" i="1"/>
  <c r="U7" i="1" s="1"/>
  <c r="Y116" i="1"/>
  <c r="U116" i="1" s="1"/>
  <c r="Y108" i="1"/>
  <c r="U108" i="1" s="1"/>
  <c r="Y84" i="1"/>
  <c r="U84" i="1" s="1"/>
  <c r="Y49" i="1"/>
  <c r="U49" i="1" s="1"/>
  <c r="Y22" i="1"/>
  <c r="U22" i="1" s="1"/>
  <c r="Y18" i="1"/>
  <c r="U18" i="1" s="1"/>
  <c r="Y5" i="1"/>
  <c r="U5" i="1" s="1"/>
  <c r="Y110" i="1"/>
  <c r="U110" i="1" s="1"/>
  <c r="Y69" i="1"/>
  <c r="U69" i="1" s="1"/>
  <c r="Y65" i="1"/>
  <c r="U65" i="1" s="1"/>
  <c r="Y23" i="1"/>
  <c r="U23" i="1" s="1"/>
  <c r="Y76" i="1"/>
  <c r="U76" i="1" s="1"/>
  <c r="Y68" i="1"/>
  <c r="U68" i="1" s="1"/>
  <c r="Y64" i="1"/>
  <c r="U64" i="1" s="1"/>
  <c r="Y50" i="1"/>
  <c r="U50" i="1" s="1"/>
  <c r="Y14" i="1"/>
  <c r="U14" i="1" s="1"/>
  <c r="Y87" i="1"/>
  <c r="U87" i="1" s="1"/>
  <c r="Y79" i="1"/>
  <c r="U79" i="1" s="1"/>
  <c r="Y17" i="1"/>
  <c r="U17" i="1" s="1"/>
  <c r="Y8" i="1"/>
  <c r="U8" i="1" s="1"/>
  <c r="Y28" i="1"/>
  <c r="U28" i="1" s="1"/>
  <c r="Y19" i="1"/>
  <c r="U19" i="1" s="1"/>
  <c r="Y12" i="1"/>
  <c r="U12" i="1" s="1"/>
  <c r="Y127" i="1"/>
  <c r="U127" i="1" s="1"/>
  <c r="Y123" i="1"/>
  <c r="U123" i="1" s="1"/>
  <c r="Y63" i="1"/>
  <c r="U63" i="1" s="1"/>
  <c r="Y27" i="1"/>
  <c r="U27" i="1" s="1"/>
  <c r="Y11" i="1"/>
  <c r="U11" i="1" s="1"/>
  <c r="Y31" i="1"/>
  <c r="U31" i="1" s="1"/>
  <c r="Y15" i="1"/>
  <c r="U15" i="1" s="1"/>
  <c r="Y148" i="1"/>
  <c r="U148" i="1" s="1"/>
  <c r="Y140" i="1"/>
  <c r="U140" i="1" s="1"/>
  <c r="Y93" i="1"/>
  <c r="U93" i="1" s="1"/>
  <c r="Y86" i="1"/>
  <c r="U86" i="1" s="1"/>
  <c r="Y78" i="1"/>
  <c r="U78" i="1" s="1"/>
  <c r="Y71" i="1"/>
  <c r="U71" i="1" s="1"/>
  <c r="Y67" i="1"/>
  <c r="U67" i="1" s="1"/>
  <c r="Y38" i="1"/>
  <c r="U38" i="1" s="1"/>
  <c r="Y70" i="1"/>
  <c r="U70" i="1" s="1"/>
  <c r="Y66" i="1"/>
  <c r="U66" i="1" s="1"/>
  <c r="Y143" i="1"/>
  <c r="U143" i="1" s="1"/>
  <c r="Y142" i="1"/>
  <c r="U142" i="1" s="1"/>
  <c r="Y125" i="1"/>
  <c r="U125" i="1" s="1"/>
  <c r="Y118" i="1"/>
  <c r="U118" i="1" s="1"/>
  <c r="Y111" i="1"/>
  <c r="U111" i="1" s="1"/>
  <c r="Y60" i="1"/>
  <c r="U60" i="1" s="1"/>
  <c r="Y53" i="1"/>
  <c r="U53" i="1" s="1"/>
  <c r="Y51" i="1"/>
  <c r="U51" i="1" s="1"/>
  <c r="Y48" i="1"/>
  <c r="U48" i="1" s="1"/>
  <c r="Y44" i="1"/>
  <c r="U44" i="1" s="1"/>
  <c r="Y39" i="1"/>
  <c r="U39" i="1" s="1"/>
  <c r="Y35" i="1"/>
  <c r="U35" i="1" s="1"/>
  <c r="Y32" i="1"/>
  <c r="U32" i="1" s="1"/>
  <c r="Y146" i="1"/>
  <c r="U146" i="1" s="1"/>
  <c r="Y145" i="1"/>
  <c r="U145" i="1" s="1"/>
  <c r="Y135" i="1"/>
  <c r="U135" i="1" s="1"/>
  <c r="Y132" i="1"/>
  <c r="U132" i="1" s="1"/>
  <c r="Y131" i="1"/>
  <c r="U131" i="1" s="1"/>
  <c r="Y128" i="1"/>
  <c r="U128" i="1" s="1"/>
  <c r="Y124" i="1"/>
  <c r="U124" i="1" s="1"/>
  <c r="Y114" i="1"/>
  <c r="U114" i="1" s="1"/>
  <c r="Y113" i="1"/>
  <c r="U113" i="1" s="1"/>
  <c r="Y103" i="1"/>
  <c r="U103" i="1" s="1"/>
  <c r="Y100" i="1"/>
  <c r="U100" i="1" s="1"/>
  <c r="Y99" i="1"/>
  <c r="U99" i="1" s="1"/>
  <c r="Y96" i="1"/>
  <c r="U96" i="1" s="1"/>
  <c r="Y92" i="1"/>
  <c r="U92" i="1" s="1"/>
  <c r="Y82" i="1"/>
  <c r="U82" i="1" s="1"/>
  <c r="Y81" i="1"/>
  <c r="U81" i="1" s="1"/>
  <c r="Y55" i="1"/>
  <c r="U55" i="1" s="1"/>
  <c r="Y47" i="1"/>
  <c r="U47" i="1" s="1"/>
  <c r="Y46" i="1"/>
  <c r="U46" i="1" s="1"/>
  <c r="Y43" i="1"/>
  <c r="U43" i="1" s="1"/>
  <c r="Y42" i="1"/>
  <c r="U42" i="1" s="1"/>
  <c r="Y36" i="1"/>
  <c r="U36" i="1" s="1"/>
  <c r="Y4" i="1"/>
  <c r="U4" i="1" s="1"/>
  <c r="Y147" i="1"/>
  <c r="U147" i="1" s="1"/>
  <c r="Y137" i="1"/>
  <c r="U137" i="1" s="1"/>
  <c r="Y134" i="1"/>
  <c r="U134" i="1" s="1"/>
  <c r="Y133" i="1"/>
  <c r="U133" i="1" s="1"/>
  <c r="Y129" i="1"/>
  <c r="U129" i="1" s="1"/>
  <c r="Y126" i="1"/>
  <c r="U126" i="1" s="1"/>
  <c r="Y117" i="1"/>
  <c r="U117" i="1" s="1"/>
  <c r="Y115" i="1"/>
  <c r="U115" i="1" s="1"/>
  <c r="Y105" i="1"/>
  <c r="U105" i="1" s="1"/>
  <c r="Y102" i="1"/>
  <c r="U102" i="1" s="1"/>
  <c r="Y101" i="1"/>
  <c r="U101" i="1" s="1"/>
  <c r="Y97" i="1"/>
  <c r="U97" i="1" s="1"/>
  <c r="Y94" i="1"/>
  <c r="U94" i="1" s="1"/>
  <c r="Y85" i="1"/>
  <c r="U85" i="1" s="1"/>
  <c r="Y83" i="1"/>
  <c r="U83" i="1" s="1"/>
  <c r="Y80" i="1"/>
  <c r="U80" i="1" s="1"/>
  <c r="Y138" i="1"/>
  <c r="U138" i="1" s="1"/>
  <c r="Y144" i="1"/>
  <c r="U144" i="1" s="1"/>
  <c r="Y130" i="1"/>
  <c r="U130" i="1" s="1"/>
  <c r="Y112" i="1"/>
  <c r="U112" i="1" s="1"/>
  <c r="Y98" i="1"/>
  <c r="U98" i="1" s="1"/>
  <c r="Y141" i="1"/>
  <c r="U141" i="1" s="1"/>
  <c r="Y139" i="1"/>
  <c r="U139" i="1" s="1"/>
  <c r="Y136" i="1"/>
  <c r="U136" i="1" s="1"/>
  <c r="Y122" i="1"/>
  <c r="U122" i="1" s="1"/>
  <c r="Y121" i="1"/>
  <c r="U121" i="1" s="1"/>
  <c r="Y109" i="1"/>
  <c r="U109" i="1" s="1"/>
  <c r="Y107" i="1"/>
  <c r="U107" i="1" s="1"/>
  <c r="Y104" i="1"/>
  <c r="U104" i="1" s="1"/>
  <c r="Y90" i="1"/>
  <c r="U90" i="1" s="1"/>
  <c r="Y89" i="1"/>
  <c r="U89" i="1" s="1"/>
  <c r="Y77" i="1"/>
  <c r="U77" i="1" s="1"/>
  <c r="Y75" i="1"/>
  <c r="U75" i="1" s="1"/>
  <c r="Y72" i="1"/>
  <c r="U72" i="1" s="1"/>
  <c r="Y58" i="1"/>
  <c r="U58" i="1" s="1"/>
  <c r="Y57" i="1"/>
  <c r="U57" i="1" s="1"/>
  <c r="Y45" i="1"/>
  <c r="U45" i="1" s="1"/>
  <c r="Y33" i="1"/>
  <c r="U33" i="1" s="1"/>
  <c r="Y120" i="1"/>
  <c r="U120" i="1" s="1"/>
  <c r="Y106" i="1"/>
  <c r="U106" i="1" s="1"/>
  <c r="Y88" i="1"/>
  <c r="U88" i="1" s="1"/>
  <c r="Y74" i="1"/>
  <c r="U74" i="1" s="1"/>
  <c r="Y73" i="1"/>
  <c r="U73" i="1" s="1"/>
  <c r="Y61" i="1"/>
  <c r="U61" i="1" s="1"/>
  <c r="Y59" i="1"/>
  <c r="U59" i="1" s="1"/>
  <c r="Y56" i="1"/>
  <c r="U56" i="1" s="1"/>
  <c r="Y40" i="1"/>
  <c r="U40" i="1" s="1"/>
  <c r="Y41" i="1"/>
  <c r="U41" i="1" s="1"/>
  <c r="Y37" i="1"/>
  <c r="U37" i="1" s="1"/>
  <c r="Y34" i="1"/>
  <c r="U34" i="1" s="1"/>
  <c r="M128" i="1" l="1"/>
  <c r="N128" i="1" s="1"/>
  <c r="L128" i="1"/>
  <c r="K128" i="1"/>
  <c r="K4" i="1"/>
  <c r="L4" i="1"/>
  <c r="M4" i="1"/>
  <c r="N4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P67" i="1" s="1"/>
  <c r="K68" i="1"/>
  <c r="L68" i="1"/>
  <c r="M68" i="1"/>
  <c r="P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P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K114" i="1"/>
  <c r="L114" i="1"/>
  <c r="M114" i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K122" i="1"/>
  <c r="L122" i="1"/>
  <c r="M122" i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3" i="1"/>
  <c r="L3" i="1"/>
  <c r="M3" i="1"/>
  <c r="N3" i="1" s="1"/>
  <c r="J152" i="1" l="1"/>
  <c r="A1" i="6"/>
  <c r="T3" i="1" l="1"/>
  <c r="W3" i="1"/>
  <c r="X3" i="1"/>
  <c r="Y3" i="1" l="1"/>
  <c r="U3" i="1" s="1"/>
  <c r="A1" i="3" l="1"/>
  <c r="J154" i="1" l="1"/>
  <c r="J153" i="1"/>
  <c r="J156" i="1" l="1"/>
  <c r="J155" i="1"/>
  <c r="M65" i="3"/>
  <c r="M66" i="3" s="1"/>
  <c r="J157" i="1" l="1"/>
  <c r="A1" i="1"/>
  <c r="O154" i="1" l="1"/>
  <c r="N154" i="1"/>
  <c r="M154" i="1"/>
  <c r="N156" i="1" l="1"/>
  <c r="N153" i="1"/>
  <c r="O156" i="1"/>
  <c r="M156" i="1"/>
  <c r="M153" i="1"/>
  <c r="O153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<sst xmlns="http://schemas.openxmlformats.org/spreadsheetml/2006/main" count="1752" uniqueCount="492">
  <si>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</si>
  <si>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</si>
  <si>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</si>
  <si>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</si>
  <si>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</si>
  <si>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</si>
  <si>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</si>
  <si>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</si>
  <si>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</si>
  <si>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</si>
  <si>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</si>
  <si>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</si>
  <si>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</si>
  <si>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</si>
  <si>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</si>
  <si>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</si>
  <si>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</si>
  <si>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</si>
  <si>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</si>
  <si>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</si>
  <si>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</si>
  <si>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</si>
  <si>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</si>
  <si>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</si>
  <si>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</si>
  <si>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</si>
  <si>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</si>
  <si>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</si>
  <si>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</si>
  <si>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</si>
  <si>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</si>
  <si>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</si>
  <si>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</si>
  <si>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</si>
  <si>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</si>
  <si>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</si>
  <si>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</si>
  <si>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</si>
  <si>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</si>
  <si>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</si>
  <si>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</si>
  <si>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</si>
  <si>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</si>
  <si>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</si>
  <si>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</si>
  <si>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</si>
  <si>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</si>
  <si>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</si>
  <si>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</si>
  <si>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</si>
  <si>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</si>
  <si>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STRICKLAND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</si>
  <si>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</si>
  <si>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</si>
  <si>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</si>
  <si>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</si>
  <si>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</si>
  <si>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</si>
  <si>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rtdc.l.rtdc.4030:itc</t>
  </si>
  <si>
    <t>Decreasing Mileposts (2)</t>
  </si>
  <si>
    <t>rtdc.l.rtdc.4017:itc</t>
  </si>
  <si>
    <t>rtdc.l.rtdc.4031:itc</t>
  </si>
  <si>
    <t>Reactive Enforcement (3)</t>
  </si>
  <si>
    <t>SIGNAL</t>
  </si>
  <si>
    <t>Signal based authority (5)</t>
  </si>
  <si>
    <t>rtdc.l.rtdc.4032:itc</t>
  </si>
  <si>
    <t>rtdc.l.rtdc.4014:itc</t>
  </si>
  <si>
    <t>rtdc.l.rtdc.4018:itc</t>
  </si>
  <si>
    <t>rtdc.l.rtdc.4027:itc</t>
  </si>
  <si>
    <t>PERMANENT SPEED RESTRICTION</t>
  </si>
  <si>
    <t>Speed (6)</t>
  </si>
  <si>
    <t>rtdc.l.rtdc.4023:itc</t>
  </si>
  <si>
    <t>rtdc.l.rtdc.4013:itc</t>
  </si>
  <si>
    <t>rtdc.l.rtdc.4024:itc</t>
  </si>
  <si>
    <t>rtdc.l.rtdc.4029:itc</t>
  </si>
  <si>
    <t>rtdc.l.rtdc.4012:itc</t>
  </si>
  <si>
    <t>227-04</t>
  </si>
  <si>
    <t>225-04</t>
  </si>
  <si>
    <t>228-04</t>
  </si>
  <si>
    <t>231-04</t>
  </si>
  <si>
    <t>230-04</t>
  </si>
  <si>
    <t>232-04</t>
  </si>
  <si>
    <t>237-04</t>
  </si>
  <si>
    <t>241-04</t>
  </si>
  <si>
    <t>240-04</t>
  </si>
  <si>
    <t>243-04</t>
  </si>
  <si>
    <t>REBOLETTI</t>
  </si>
  <si>
    <t>JACKSON</t>
  </si>
  <si>
    <t>rtdc.l.rtdc.4028:itc</t>
  </si>
  <si>
    <t>STEWART</t>
  </si>
  <si>
    <t>STARKS</t>
  </si>
  <si>
    <t>YOUNG</t>
  </si>
  <si>
    <t>SPECTOR</t>
  </si>
  <si>
    <t>NEWELL</t>
  </si>
  <si>
    <t>DE LA ROSA</t>
  </si>
  <si>
    <t>CHANDLER</t>
  </si>
  <si>
    <t>BRUDER</t>
  </si>
  <si>
    <t>222-04</t>
  </si>
  <si>
    <t>BARTLETT</t>
  </si>
  <si>
    <t>GEBRETEKLE</t>
  </si>
  <si>
    <t>rtdc.l.rtdc.4015:itc</t>
  </si>
  <si>
    <t>304-05</t>
  </si>
  <si>
    <t>110-05</t>
  </si>
  <si>
    <t>rtdc.l.rtdc.4026:itc</t>
  </si>
  <si>
    <t>rtdc.l.rtdc.4043:itc</t>
  </si>
  <si>
    <t>114-05</t>
  </si>
  <si>
    <t>LEVIN</t>
  </si>
  <si>
    <t>121-05</t>
  </si>
  <si>
    <t>rtdc.l.rtdc.4038:itc</t>
  </si>
  <si>
    <t>STORY</t>
  </si>
  <si>
    <t>rtdc.l.rtdc.4025:itc</t>
  </si>
  <si>
    <t>rtdc.l.rtdc.4037:itc</t>
  </si>
  <si>
    <t>226-04</t>
  </si>
  <si>
    <t>112-05</t>
  </si>
  <si>
    <t>rtdc.l.rtdc.4044:itc</t>
  </si>
  <si>
    <t>113-05</t>
  </si>
  <si>
    <t>111-05</t>
  </si>
  <si>
    <t>102-05</t>
  </si>
  <si>
    <t>101-05</t>
  </si>
  <si>
    <t>ADANE</t>
  </si>
  <si>
    <t>239-04</t>
  </si>
  <si>
    <t>220-04</t>
  </si>
  <si>
    <t>234-04</t>
  </si>
  <si>
    <t>238-04</t>
  </si>
  <si>
    <t>YORK</t>
  </si>
  <si>
    <t>223-04</t>
  </si>
  <si>
    <t>rtdc.l.rtdc.4020:itc</t>
  </si>
  <si>
    <t>117-05</t>
  </si>
  <si>
    <t>119-05</t>
  </si>
  <si>
    <t>123-05</t>
  </si>
  <si>
    <t>116-05</t>
  </si>
  <si>
    <t>MALAVE</t>
  </si>
  <si>
    <t>115-05</t>
  </si>
  <si>
    <t>242-04</t>
  </si>
  <si>
    <t>rtdc.l.rtdc.4019:itc</t>
  </si>
  <si>
    <t>104-05</t>
  </si>
  <si>
    <t>235-04</t>
  </si>
  <si>
    <t>229-04</t>
  </si>
  <si>
    <t>244-04</t>
  </si>
  <si>
    <t>106-05</t>
  </si>
  <si>
    <t>109-05</t>
  </si>
  <si>
    <t>107-05</t>
  </si>
  <si>
    <t>224-04</t>
  </si>
  <si>
    <t>103-05</t>
  </si>
  <si>
    <t>105-05</t>
  </si>
  <si>
    <t>108-05</t>
  </si>
  <si>
    <t>233-04</t>
  </si>
  <si>
    <t>236-04</t>
  </si>
  <si>
    <t>DE.1.0.6.0</t>
  </si>
  <si>
    <t>204:233297</t>
  </si>
  <si>
    <t>204:233310</t>
  </si>
  <si>
    <t>204:174</t>
  </si>
  <si>
    <t>204:233336</t>
  </si>
  <si>
    <t>204:467</t>
  </si>
  <si>
    <t>204:233295</t>
  </si>
  <si>
    <t>204:232973</t>
  </si>
  <si>
    <t>204:442</t>
  </si>
  <si>
    <t>204:233302</t>
  </si>
  <si>
    <t>204:232977</t>
  </si>
  <si>
    <t>204:167</t>
  </si>
  <si>
    <t>204:232978</t>
  </si>
  <si>
    <t>204:156</t>
  </si>
  <si>
    <t>204:491</t>
  </si>
  <si>
    <t>204:232985</t>
  </si>
  <si>
    <t>204:149</t>
  </si>
  <si>
    <t>204:1486</t>
  </si>
  <si>
    <t>204:233303</t>
  </si>
  <si>
    <t>204:143</t>
  </si>
  <si>
    <t>204:457</t>
  </si>
  <si>
    <t>204:232991</t>
  </si>
  <si>
    <t>204:233305</t>
  </si>
  <si>
    <t>204:154</t>
  </si>
  <si>
    <t>204:233306</t>
  </si>
  <si>
    <t>204:232974</t>
  </si>
  <si>
    <t>204:160</t>
  </si>
  <si>
    <t>204:449</t>
  </si>
  <si>
    <t>204:233304</t>
  </si>
  <si>
    <t>204:232989</t>
  </si>
  <si>
    <t>204:232984</t>
  </si>
  <si>
    <t>204:444</t>
  </si>
  <si>
    <t>204:145</t>
  </si>
  <si>
    <t>204:447</t>
  </si>
  <si>
    <t>204:232992</t>
  </si>
  <si>
    <t>204:136</t>
  </si>
  <si>
    <t>204:484</t>
  </si>
  <si>
    <t>204:138</t>
  </si>
  <si>
    <t>204:471</t>
  </si>
  <si>
    <t>204:233308</t>
  </si>
  <si>
    <t>204:232996</t>
  </si>
  <si>
    <t>204:455</t>
  </si>
  <si>
    <t>204:451</t>
  </si>
  <si>
    <t>204:473</t>
  </si>
  <si>
    <t>204:158</t>
  </si>
  <si>
    <t>204:233000</t>
  </si>
  <si>
    <t>204:233307</t>
  </si>
  <si>
    <t>204:453</t>
  </si>
  <si>
    <t>204:232998</t>
  </si>
  <si>
    <t>204:233289</t>
  </si>
  <si>
    <t>204:232965</t>
  </si>
  <si>
    <t>204:460</t>
  </si>
  <si>
    <t>204:232976</t>
  </si>
  <si>
    <t>204:169</t>
  </si>
  <si>
    <t>204:233299</t>
  </si>
  <si>
    <t>204:152</t>
  </si>
  <si>
    <t>204:233312</t>
  </si>
  <si>
    <t>204:233285</t>
  </si>
  <si>
    <t>204:163</t>
  </si>
  <si>
    <t>204:233351</t>
  </si>
  <si>
    <t>204:233327</t>
  </si>
  <si>
    <t>204:477</t>
  </si>
  <si>
    <t>204:233328</t>
  </si>
  <si>
    <t>204:233319</t>
  </si>
  <si>
    <t>204:446</t>
  </si>
  <si>
    <t>204:232994</t>
  </si>
  <si>
    <t>204:464</t>
  </si>
  <si>
    <t>204:233337</t>
  </si>
  <si>
    <t>204:233314</t>
  </si>
  <si>
    <t>204:232993</t>
  </si>
  <si>
    <t>204:440</t>
  </si>
  <si>
    <t>204:130</t>
  </si>
  <si>
    <t>204:232969</t>
  </si>
  <si>
    <t>204:478</t>
  </si>
  <si>
    <t>204:172</t>
  </si>
  <si>
    <t>204:232967</t>
  </si>
  <si>
    <t>204:458</t>
  </si>
  <si>
    <t>204:232979</t>
  </si>
  <si>
    <t>204:161</t>
  </si>
  <si>
    <t>204:233011</t>
  </si>
  <si>
    <t>204:232980</t>
  </si>
  <si>
    <t>204:233284</t>
  </si>
  <si>
    <t>204:466</t>
  </si>
  <si>
    <t>204:232982</t>
  </si>
  <si>
    <t>204:469</t>
  </si>
  <si>
    <t>204:232988</t>
  </si>
  <si>
    <t>204:233264</t>
  </si>
  <si>
    <t>204:232938</t>
  </si>
  <si>
    <t>Y</t>
  </si>
  <si>
    <t>N</t>
  </si>
  <si>
    <t>Closed</t>
  </si>
  <si>
    <t>Routing @ Pena</t>
  </si>
  <si>
    <t>120-05</t>
  </si>
  <si>
    <t>130-05</t>
  </si>
  <si>
    <t>122-05</t>
  </si>
  <si>
    <t>124-05</t>
  </si>
  <si>
    <t>131-05</t>
  </si>
  <si>
    <t>139-05</t>
  </si>
  <si>
    <t>126-05</t>
  </si>
  <si>
    <t>134-05</t>
  </si>
  <si>
    <t>127-05</t>
  </si>
  <si>
    <t>128-05</t>
  </si>
  <si>
    <t>135-05</t>
  </si>
  <si>
    <t>COOPER</t>
  </si>
  <si>
    <t>132-05</t>
  </si>
  <si>
    <t>133-05</t>
  </si>
  <si>
    <t>125-05</t>
  </si>
  <si>
    <t>137-05</t>
  </si>
  <si>
    <t>141-05</t>
  </si>
  <si>
    <t>129-05</t>
  </si>
  <si>
    <t>118-05</t>
  </si>
  <si>
    <t>baselines:</t>
  </si>
  <si>
    <t>sunday - thu - 144/day</t>
  </si>
  <si>
    <t>fri-sat - 146/day</t>
  </si>
  <si>
    <t>145-05</t>
  </si>
  <si>
    <t>152-05</t>
  </si>
  <si>
    <t>154-05</t>
  </si>
  <si>
    <t>158-05</t>
  </si>
  <si>
    <t>165-05</t>
  </si>
  <si>
    <t>167-05</t>
  </si>
  <si>
    <t>162-05</t>
  </si>
  <si>
    <t>169-05</t>
  </si>
  <si>
    <t>178-05</t>
  </si>
  <si>
    <t>LOZA</t>
  </si>
  <si>
    <t>192-05</t>
  </si>
  <si>
    <t>194-05</t>
  </si>
  <si>
    <t>209-05</t>
  </si>
  <si>
    <t>213-05</t>
  </si>
  <si>
    <t>210-05</t>
  </si>
  <si>
    <t>214-05</t>
  </si>
  <si>
    <t>242-05</t>
  </si>
  <si>
    <t>GOLIGHTLY</t>
  </si>
  <si>
    <t>218-05</t>
  </si>
  <si>
    <t>187-05</t>
  </si>
  <si>
    <t>225-05</t>
  </si>
  <si>
    <t>180-05</t>
  </si>
  <si>
    <t>COOLAHAN</t>
  </si>
  <si>
    <t>230-05</t>
  </si>
  <si>
    <t>156-05</t>
  </si>
  <si>
    <t>101-06</t>
  </si>
  <si>
    <t>LEDERHAUSE</t>
  </si>
  <si>
    <t>159-05</t>
  </si>
  <si>
    <t>119-06</t>
  </si>
  <si>
    <t>142-05</t>
  </si>
  <si>
    <t>109-06</t>
  </si>
  <si>
    <t>CUSHING</t>
  </si>
  <si>
    <t>rtdc.l.rtdc.4016:itc</t>
  </si>
  <si>
    <t>105-06</t>
  </si>
  <si>
    <t>106-06</t>
  </si>
  <si>
    <t>110-06</t>
  </si>
  <si>
    <t>200-05</t>
  </si>
  <si>
    <t>223-05</t>
  </si>
  <si>
    <t>221-05</t>
  </si>
  <si>
    <t>166-05</t>
  </si>
  <si>
    <t>164-05</t>
  </si>
  <si>
    <t>217-05</t>
  </si>
  <si>
    <t>196-05</t>
  </si>
  <si>
    <t>191-05</t>
  </si>
  <si>
    <t>123-06</t>
  </si>
  <si>
    <t>rtdc.l.rtdc.4001:itc</t>
  </si>
  <si>
    <t>116-06</t>
  </si>
  <si>
    <t>SANTIZO</t>
  </si>
  <si>
    <t>237-05</t>
  </si>
  <si>
    <t>227-05</t>
  </si>
  <si>
    <t>147-05</t>
  </si>
  <si>
    <t>205-05</t>
  </si>
  <si>
    <t>197-05</t>
  </si>
  <si>
    <t>201-05</t>
  </si>
  <si>
    <t>127-06</t>
  </si>
  <si>
    <t>190-05</t>
  </si>
  <si>
    <t>160-05</t>
  </si>
  <si>
    <t>186-05</t>
  </si>
  <si>
    <t>177-05</t>
  </si>
  <si>
    <t>184-05</t>
  </si>
  <si>
    <t>189-05</t>
  </si>
  <si>
    <t>182-05</t>
  </si>
  <si>
    <t>204-05</t>
  </si>
  <si>
    <t>240-05</t>
  </si>
  <si>
    <t>244-05</t>
  </si>
  <si>
    <t>199-05</t>
  </si>
  <si>
    <t>226-05</t>
  </si>
  <si>
    <t>102-06</t>
  </si>
  <si>
    <t>107-06</t>
  </si>
  <si>
    <t>170-05</t>
  </si>
  <si>
    <t>181-05</t>
  </si>
  <si>
    <t>188-05</t>
  </si>
  <si>
    <t>rtdc.l.rtdc.4002:itc</t>
  </si>
  <si>
    <t>103-06</t>
  </si>
  <si>
    <t>206-05</t>
  </si>
  <si>
    <t>231-05</t>
  </si>
  <si>
    <t>216-05</t>
  </si>
  <si>
    <t>224-05</t>
  </si>
  <si>
    <t>220-05</t>
  </si>
  <si>
    <t>222-05</t>
  </si>
  <si>
    <t>241-05</t>
  </si>
  <si>
    <t>111-06</t>
  </si>
  <si>
    <t>208-05</t>
  </si>
  <si>
    <t>rtdc.l.rtdc.4008:itc</t>
  </si>
  <si>
    <t>118-06</t>
  </si>
  <si>
    <t>211-05</t>
  </si>
  <si>
    <t>120-06</t>
  </si>
  <si>
    <t>144-05</t>
  </si>
  <si>
    <t>235-05</t>
  </si>
  <si>
    <t>173-05</t>
  </si>
  <si>
    <t>195-05</t>
  </si>
  <si>
    <t>115-06</t>
  </si>
  <si>
    <t>232-05</t>
  </si>
  <si>
    <t>113-06</t>
  </si>
  <si>
    <t>238-05</t>
  </si>
  <si>
    <t>104-06</t>
  </si>
  <si>
    <t>219-05</t>
  </si>
  <si>
    <t>121-06</t>
  </si>
  <si>
    <t>233-05</t>
  </si>
  <si>
    <t>125-06</t>
  </si>
  <si>
    <t>229-05</t>
  </si>
  <si>
    <t>rtdc.l.rtdc.4007:itc</t>
  </si>
  <si>
    <t>117-06</t>
  </si>
  <si>
    <t>243-05</t>
  </si>
  <si>
    <t>138-05</t>
  </si>
  <si>
    <t>239-05</t>
  </si>
  <si>
    <t>168-05</t>
  </si>
  <si>
    <t>234-05</t>
  </si>
  <si>
    <t>212-05</t>
  </si>
  <si>
    <t>215-05</t>
  </si>
  <si>
    <t>183-05</t>
  </si>
  <si>
    <t>143-05</t>
  </si>
  <si>
    <t>140-05</t>
  </si>
  <si>
    <t>150-05</t>
  </si>
  <si>
    <t>163-05</t>
  </si>
  <si>
    <t>171-05</t>
  </si>
  <si>
    <t>157-05</t>
  </si>
  <si>
    <t>172-05</t>
  </si>
  <si>
    <t>193-05</t>
  </si>
  <si>
    <t>185-05</t>
  </si>
  <si>
    <t>136-05</t>
  </si>
  <si>
    <t>161-05</t>
  </si>
  <si>
    <t>176-05</t>
  </si>
  <si>
    <t>146-05</t>
  </si>
  <si>
    <t>202-05</t>
  </si>
  <si>
    <t>153-05</t>
  </si>
  <si>
    <t>236-05</t>
  </si>
  <si>
    <t>179-05</t>
  </si>
  <si>
    <t>112-06</t>
  </si>
  <si>
    <t>155-05</t>
  </si>
  <si>
    <t>203-05</t>
  </si>
  <si>
    <t>303-05</t>
  </si>
  <si>
    <t>174-05</t>
  </si>
  <si>
    <t>175-05</t>
  </si>
  <si>
    <t>108-06</t>
  </si>
  <si>
    <t>198-05</t>
  </si>
  <si>
    <t>228-05</t>
  </si>
  <si>
    <t>148-05</t>
  </si>
  <si>
    <t>114-06</t>
  </si>
  <si>
    <t>149-05</t>
  </si>
  <si>
    <t>207-05</t>
  </si>
  <si>
    <t>151-05</t>
  </si>
  <si>
    <t>GRADE CROSSING</t>
  </si>
  <si>
    <t>Bulletin (2)</t>
  </si>
  <si>
    <t>204:715</t>
  </si>
  <si>
    <t>204:232683</t>
  </si>
  <si>
    <t>204:768</t>
  </si>
  <si>
    <t>204:232728</t>
  </si>
  <si>
    <t>204:775</t>
  </si>
  <si>
    <t>204:232677</t>
  </si>
  <si>
    <t>204:1941</t>
  </si>
  <si>
    <t>204:233274</t>
  </si>
  <si>
    <t>204:761</t>
  </si>
  <si>
    <t>204:141</t>
  </si>
  <si>
    <t>204:150</t>
  </si>
  <si>
    <t>204:770</t>
  </si>
  <si>
    <t>204:233071</t>
  </si>
  <si>
    <t>204:232909</t>
  </si>
  <si>
    <t>204:364</t>
  </si>
  <si>
    <t>204:233004</t>
  </si>
  <si>
    <t>204:233301</t>
  </si>
  <si>
    <t>204:232975</t>
  </si>
  <si>
    <t>204:437</t>
  </si>
  <si>
    <t>204:498</t>
  </si>
  <si>
    <t>204:233298</t>
  </si>
  <si>
    <t>204:495</t>
  </si>
  <si>
    <t>204:233320</t>
  </si>
  <si>
    <t>204:233009</t>
  </si>
  <si>
    <t>204:232983</t>
  </si>
  <si>
    <t>204:232981</t>
  </si>
  <si>
    <t>204:652</t>
  </si>
  <si>
    <t>204:233359</t>
  </si>
  <si>
    <t>204:233042</t>
  </si>
  <si>
    <t>204:139</t>
  </si>
  <si>
    <t>204:233316</t>
  </si>
  <si>
    <t>204:233272</t>
  </si>
  <si>
    <t>204:626</t>
  </si>
  <si>
    <t>204:233281</t>
  </si>
  <si>
    <t>204:232955</t>
  </si>
  <si>
    <t>204:98042</t>
  </si>
  <si>
    <t>204:233278</t>
  </si>
  <si>
    <t>204:637</t>
  </si>
  <si>
    <t>204:233259</t>
  </si>
  <si>
    <t>204:378</t>
  </si>
  <si>
    <t>204:233006</t>
  </si>
  <si>
    <t>204:362</t>
  </si>
  <si>
    <t>204:233325</t>
  </si>
  <si>
    <t>204:233025</t>
  </si>
  <si>
    <t>204:233334</t>
  </si>
  <si>
    <t>204:233291</t>
  </si>
  <si>
    <t>204:537</t>
  </si>
  <si>
    <t>204:389</t>
  </si>
  <si>
    <t>204:232990</t>
  </si>
  <si>
    <t>204:70132</t>
  </si>
  <si>
    <t>204:232952</t>
  </si>
  <si>
    <t>204:422</t>
  </si>
  <si>
    <t>204:524</t>
  </si>
  <si>
    <t>204:233013</t>
  </si>
  <si>
    <t>204:233364</t>
  </si>
  <si>
    <t>204:233030</t>
  </si>
  <si>
    <t>204:19107</t>
  </si>
  <si>
    <t>204:908</t>
  </si>
  <si>
    <t>204:591</t>
  </si>
  <si>
    <t>204:232961</t>
  </si>
  <si>
    <t>204:189</t>
  </si>
  <si>
    <t>204:232987</t>
  </si>
  <si>
    <t>204:71162</t>
  </si>
  <si>
    <t>204:64127</t>
  </si>
  <si>
    <t>204:233282</t>
  </si>
  <si>
    <t>204:232957</t>
  </si>
  <si>
    <t>204:198</t>
  </si>
  <si>
    <t>204:233270</t>
  </si>
  <si>
    <t>204:489</t>
  </si>
  <si>
    <t>204:233280</t>
  </si>
  <si>
    <t>204:232953</t>
  </si>
  <si>
    <t>204:165</t>
  </si>
  <si>
    <t>204:233331</t>
  </si>
  <si>
    <t>204:233189</t>
  </si>
  <si>
    <t>204:232902</t>
  </si>
  <si>
    <t>204:232968</t>
  </si>
  <si>
    <t>204:232964</t>
  </si>
  <si>
    <t>204:365</t>
  </si>
  <si>
    <t>Married Pair</t>
  </si>
  <si>
    <t>Onboard entered failed state</t>
  </si>
  <si>
    <t>Did not stop for Form C @ Monaco</t>
  </si>
  <si>
    <t>Wi-MAX outage</t>
  </si>
  <si>
    <t>Slow run, no issues apparent after analysis was performed</t>
  </si>
  <si>
    <t>Insufficient GPS signal at DIA more analysis needed</t>
  </si>
  <si>
    <t>Onboard comparator issue led to PTC messaging failure</t>
  </si>
  <si>
    <t>Insufficient GPS signal at DUS more analysis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</si>
</sst>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5"/>
  <sheetViews>
    <sheetView showGridLines="0" tabSelected="1" topLeftCell="A52" zoomScale="85" zoomScaleNormal="85" workbookViewId="0">
      <selection activeCell="R67" sqref="R67:R6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6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8.42578125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484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52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118</v>
      </c>
      <c r="B3" s="61">
        <v>4027</v>
      </c>
      <c r="C3" s="61" t="s">
        <v>148</v>
      </c>
      <c r="D3" s="61" t="s">
        <v>406</v>
      </c>
      <c r="E3" s="30">
        <v>42495.131111111114</v>
      </c>
      <c r="F3" s="30">
        <v>42495.132233796299</v>
      </c>
      <c r="G3" s="38">
        <v>1</v>
      </c>
      <c r="H3" s="30" t="s">
        <v>216</v>
      </c>
      <c r="I3" s="30">
        <v>42495.160868055558</v>
      </c>
      <c r="J3" s="61">
        <v>0</v>
      </c>
      <c r="K3" s="61" t="str">
        <f t="shared" ref="K3:K48" si="0">IF(ISEVEN(B3),(B3-1)&amp;"/"&amp;B3,B3&amp;"/"&amp;(B3+1))</f>
        <v>4027/4028</v>
      </c>
      <c r="L3" s="61" t="str">
        <f>VLOOKUP(A3,'Trips&amp;Operators'!$C$1:$E$9999,3,FALSE)</f>
        <v>LEVIN</v>
      </c>
      <c r="M3" s="12">
        <f t="shared" ref="M3:M48" si="1">I3-F3</f>
        <v>2.8634259258979E-2</v>
      </c>
      <c r="N3" s="13">
        <f t="shared" ref="N3:P80" si="2">$M3*24*60</f>
        <v>41.23333333292976</v>
      </c>
      <c r="O3" s="13"/>
      <c r="P3" s="13"/>
      <c r="Q3" s="62"/>
      <c r="R3" s="52"/>
      <c r="T3" s="75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https://search-rtdc-monitor-bjffxe2xuh6vdkpspy63sjmuny.us-east-1.es.amazonaws.com/_plugin/kibana/#/discover/Steve-Slow-Train-Analysis-(2080s-and-2083s)?_g=(refreshInterval:(display:Off,section:0,value:0),time:(from:'2016-05-05 03:07:48-0600',mode:absolute,to:'2016-05-05 03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" s="75" t="str">
        <f t="shared" ref="U3" si="4">IF(Y3&lt;23,"Y","N")</f>
        <v>N</v>
      </c>
      <c r="V3" s="75"/>
      <c r="W3" s="75">
        <f t="shared" ref="W3" si="5">RIGHT(D3,LEN(D3)-4)/10000</f>
        <v>7.1499999999999994E-2</v>
      </c>
      <c r="X3" s="75">
        <f t="shared" ref="X3" si="6">RIGHT(H3,LEN(H3)-4)/10000</f>
        <v>23.331399999999999</v>
      </c>
      <c r="Y3" s="75">
        <f t="shared" ref="Y3" si="7">ABS(X3-W3)</f>
        <v>23.259899999999998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117</v>
      </c>
      <c r="B4" s="61">
        <v>4043</v>
      </c>
      <c r="C4" s="61" t="s">
        <v>148</v>
      </c>
      <c r="D4" s="61" t="s">
        <v>407</v>
      </c>
      <c r="E4" s="30">
        <v>42495.169756944444</v>
      </c>
      <c r="F4" s="30">
        <v>42495.171018518522</v>
      </c>
      <c r="G4" s="38">
        <v>1</v>
      </c>
      <c r="H4" s="30" t="s">
        <v>161</v>
      </c>
      <c r="I4" s="30">
        <v>42495.199849537035</v>
      </c>
      <c r="J4" s="61">
        <v>0</v>
      </c>
      <c r="K4" s="61" t="str">
        <f t="shared" si="0"/>
        <v>4043/4044</v>
      </c>
      <c r="L4" s="61" t="str">
        <f>VLOOKUP(A4,'Trips&amp;Operators'!$C$1:$E$9999,3,FALSE)</f>
        <v>LEVIN</v>
      </c>
      <c r="M4" s="12">
        <f t="shared" si="1"/>
        <v>2.8831018513301387E-2</v>
      </c>
      <c r="N4" s="13">
        <f t="shared" si="2"/>
        <v>41.516666659153998</v>
      </c>
      <c r="O4" s="13"/>
      <c r="P4" s="13"/>
      <c r="Q4" s="62"/>
      <c r="R4" s="62"/>
      <c r="T4" s="75" t="str">
        <f t="shared" ref="T4:T81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https://search-rtdc-monitor-bjffxe2xuh6vdkpspy63sjmuny.us-east-1.es.amazonaws.com/_plugin/kibana/#/discover/Steve-Slow-Train-Analysis-(2080s-and-2083s)?_g=(refreshInterval:(display:Off,section:0,value:0),time:(from:'2016-05-05 04:03:27-0600',mode:absolute,to:'2016-05-05 04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" s="75" t="str">
        <f t="shared" ref="U4:U81" si="9">IF(Y4&lt;23,"Y","N")</f>
        <v>N</v>
      </c>
      <c r="V4" s="75">
        <f>VALUE(LEFT(A4,3))-VALUE(LEFT(A3,3))</f>
        <v>1</v>
      </c>
      <c r="W4" s="75">
        <f t="shared" ref="W4:W81" si="10">RIGHT(D4,LEN(D4)-4)/10000</f>
        <v>23.2683</v>
      </c>
      <c r="X4" s="75">
        <f t="shared" ref="X4:X81" si="11">RIGHT(H4,LEN(H4)-4)/10000</f>
        <v>1.5599999999999999E-2</v>
      </c>
      <c r="Y4" s="75">
        <f t="shared" ref="Y4:Y81" si="12">ABS(X4-W4)</f>
        <v>23.252700000000001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143</v>
      </c>
      <c r="B5" s="61">
        <v>4029</v>
      </c>
      <c r="C5" s="61" t="s">
        <v>148</v>
      </c>
      <c r="D5" s="61" t="s">
        <v>408</v>
      </c>
      <c r="E5" s="30">
        <v>42495.154618055552</v>
      </c>
      <c r="F5" s="30">
        <v>42495.155590277776</v>
      </c>
      <c r="G5" s="38">
        <v>1</v>
      </c>
      <c r="H5" s="30" t="s">
        <v>207</v>
      </c>
      <c r="I5" s="30">
        <v>42495.181909722225</v>
      </c>
      <c r="J5" s="61">
        <v>0</v>
      </c>
      <c r="K5" s="61" t="str">
        <f t="shared" ref="K5:K22" si="13">IF(ISEVEN(B5),(B5-1)&amp;"/"&amp;B5,B5&amp;"/"&amp;(B5+1))</f>
        <v>4029/4030</v>
      </c>
      <c r="L5" s="61" t="str">
        <f>VLOOKUP(A5,'Trips&amp;Operators'!$C$1:$E$9999,3,FALSE)</f>
        <v>STARKS</v>
      </c>
      <c r="M5" s="12">
        <f t="shared" ref="M5:M22" si="14">I5-F5</f>
        <v>2.6319444448745344E-2</v>
      </c>
      <c r="N5" s="13">
        <f t="shared" si="2"/>
        <v>37.900000006193295</v>
      </c>
      <c r="O5" s="13"/>
      <c r="P5" s="13"/>
      <c r="Q5" s="62"/>
      <c r="R5" s="62"/>
      <c r="T5" s="75" t="str">
        <f t="shared" ref="T5:T31" si="15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https://search-rtdc-monitor-bjffxe2xuh6vdkpspy63sjmuny.us-east-1.es.amazonaws.com/_plugin/kibana/#/discover/Steve-Slow-Train-Analysis-(2080s-and-2083s)?_g=(refreshInterval:(display:Off,section:0,value:0),time:(from:'2016-05-05 03:41:39-0600',mode:absolute,to:'2016-05-05 04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" s="75" t="str">
        <f t="shared" ref="U5:U31" si="16">IF(Y5&lt;23,"Y","N")</f>
        <v>N</v>
      </c>
      <c r="V5" s="75">
        <f t="shared" ref="V5:V67" si="17">VALUE(LEFT(A5,3))-VALUE(LEFT(A4,3))</f>
        <v>1</v>
      </c>
      <c r="W5" s="75">
        <f t="shared" ref="W5:W31" si="18">RIGHT(D5,LEN(D5)-4)/10000</f>
        <v>7.6799999999999993E-2</v>
      </c>
      <c r="X5" s="75">
        <f t="shared" ref="X5:X31" si="19">RIGHT(H5,LEN(H5)-4)/10000</f>
        <v>23.335100000000001</v>
      </c>
      <c r="Y5" s="75">
        <f t="shared" ref="Y5:Y31" si="20">ABS(X5-W5)</f>
        <v>23.258300000000002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135</v>
      </c>
      <c r="B6" s="61">
        <v>4019</v>
      </c>
      <c r="C6" s="61" t="s">
        <v>148</v>
      </c>
      <c r="D6" s="61" t="s">
        <v>409</v>
      </c>
      <c r="E6" s="30">
        <v>42495.193449074075</v>
      </c>
      <c r="F6" s="30">
        <v>42495.194733796299</v>
      </c>
      <c r="G6" s="38">
        <v>1</v>
      </c>
      <c r="H6" s="30" t="s">
        <v>174</v>
      </c>
      <c r="I6" s="30">
        <v>42495.222060185188</v>
      </c>
      <c r="J6" s="61">
        <v>1</v>
      </c>
      <c r="K6" s="61" t="str">
        <f t="shared" si="13"/>
        <v>4019/4020</v>
      </c>
      <c r="L6" s="61" t="str">
        <f>VLOOKUP(A6,'Trips&amp;Operators'!$C$1:$E$9999,3,FALSE)</f>
        <v>STARKS</v>
      </c>
      <c r="M6" s="12">
        <f t="shared" si="14"/>
        <v>2.73263888884685E-2</v>
      </c>
      <c r="N6" s="13">
        <f t="shared" si="2"/>
        <v>39.34999999939464</v>
      </c>
      <c r="O6" s="13"/>
      <c r="P6" s="13"/>
      <c r="Q6" s="62"/>
      <c r="R6" s="62"/>
      <c r="T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04:37:34-0600',mode:absolute,to:'2016-05-05 05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" s="75" t="str">
        <f t="shared" si="16"/>
        <v>N</v>
      </c>
      <c r="V6" s="75">
        <f t="shared" si="17"/>
        <v>1</v>
      </c>
      <c r="W6" s="75">
        <f t="shared" si="18"/>
        <v>23.2728</v>
      </c>
      <c r="X6" s="75">
        <f t="shared" si="19"/>
        <v>1.6E-2</v>
      </c>
      <c r="Y6" s="75">
        <f t="shared" si="20"/>
        <v>23.256800000000002</v>
      </c>
      <c r="Z6" s="76">
        <f>VLOOKUP(A6,Enforcements!$C$3:$J$26,8,0)</f>
        <v>1</v>
      </c>
      <c r="AA6" s="76" t="str">
        <f>VLOOKUP(A6,Enforcements!$C$3:$J$26,3,0)</f>
        <v>TRACK WARRANT AUTHORITY</v>
      </c>
    </row>
    <row r="7" spans="1:89" s="2" customFormat="1" x14ac:dyDescent="0.25">
      <c r="A7" s="61" t="s">
        <v>144</v>
      </c>
      <c r="B7" s="61">
        <v>4018</v>
      </c>
      <c r="C7" s="61" t="s">
        <v>148</v>
      </c>
      <c r="D7" s="61" t="s">
        <v>410</v>
      </c>
      <c r="E7" s="30">
        <v>42495.168912037036</v>
      </c>
      <c r="F7" s="30">
        <v>42495.172372685185</v>
      </c>
      <c r="G7" s="38">
        <v>4</v>
      </c>
      <c r="H7" s="30" t="s">
        <v>150</v>
      </c>
      <c r="I7" s="30">
        <v>42495.201944444445</v>
      </c>
      <c r="J7" s="61">
        <v>0</v>
      </c>
      <c r="K7" s="61" t="str">
        <f t="shared" si="13"/>
        <v>4017/4018</v>
      </c>
      <c r="L7" s="61" t="str">
        <f>VLOOKUP(A7,'Trips&amp;Operators'!$C$1:$E$9999,3,FALSE)</f>
        <v>CHANDLER</v>
      </c>
      <c r="M7" s="12">
        <f t="shared" si="14"/>
        <v>2.9571759259852115E-2</v>
      </c>
      <c r="N7" s="13">
        <f t="shared" si="2"/>
        <v>42.583333334187046</v>
      </c>
      <c r="O7" s="13"/>
      <c r="P7" s="13"/>
      <c r="Q7" s="62"/>
      <c r="R7" s="62"/>
      <c r="T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04:02:14-0600',mode:absolute,to:'2016-05-05 04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" s="75" t="str">
        <f t="shared" si="16"/>
        <v>N</v>
      </c>
      <c r="V7" s="75">
        <f t="shared" si="17"/>
        <v>1</v>
      </c>
      <c r="W7" s="75">
        <f t="shared" si="18"/>
        <v>7.7499999999999999E-2</v>
      </c>
      <c r="X7" s="75">
        <f t="shared" si="19"/>
        <v>23.331</v>
      </c>
      <c r="Y7" s="75">
        <f t="shared" si="20"/>
        <v>23.253499999999999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139</v>
      </c>
      <c r="B8" s="61">
        <v>4015</v>
      </c>
      <c r="C8" s="61" t="s">
        <v>148</v>
      </c>
      <c r="D8" s="61" t="s">
        <v>411</v>
      </c>
      <c r="E8" s="30">
        <v>42495.208483796298</v>
      </c>
      <c r="F8" s="30">
        <v>42495.209282407406</v>
      </c>
      <c r="G8" s="38">
        <v>1</v>
      </c>
      <c r="H8" s="30" t="s">
        <v>412</v>
      </c>
      <c r="I8" s="30">
        <v>42495.241064814814</v>
      </c>
      <c r="J8" s="61">
        <v>0</v>
      </c>
      <c r="K8" s="61" t="str">
        <f t="shared" si="13"/>
        <v>4015/4016</v>
      </c>
      <c r="L8" s="61" t="str">
        <f>VLOOKUP(A8,'Trips&amp;Operators'!$C$1:$E$9999,3,FALSE)</f>
        <v>CHANDLER</v>
      </c>
      <c r="M8" s="12">
        <f t="shared" si="14"/>
        <v>3.178240740817273E-2</v>
      </c>
      <c r="N8" s="13">
        <f t="shared" si="2"/>
        <v>45.766666667768732</v>
      </c>
      <c r="O8" s="13"/>
      <c r="P8" s="13"/>
      <c r="Q8" s="62"/>
      <c r="R8" s="62"/>
      <c r="T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04:59:13-0600',mode:absolute,to:'2016-05-05 05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" s="75" t="str">
        <f t="shared" si="16"/>
        <v>N</v>
      </c>
      <c r="V8" s="75">
        <f t="shared" si="17"/>
        <v>1</v>
      </c>
      <c r="W8" s="75">
        <f t="shared" si="18"/>
        <v>23.267700000000001</v>
      </c>
      <c r="X8" s="75">
        <f t="shared" si="19"/>
        <v>0.19409999999999999</v>
      </c>
      <c r="Y8" s="75">
        <f t="shared" si="20"/>
        <v>23.073600000000003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141</v>
      </c>
      <c r="B9" s="61">
        <v>4014</v>
      </c>
      <c r="C9" s="61" t="s">
        <v>148</v>
      </c>
      <c r="D9" s="61" t="s">
        <v>153</v>
      </c>
      <c r="E9" s="30">
        <v>42495.179108796299</v>
      </c>
      <c r="F9" s="30">
        <v>42495.180578703701</v>
      </c>
      <c r="G9" s="38">
        <v>2</v>
      </c>
      <c r="H9" s="30" t="s">
        <v>413</v>
      </c>
      <c r="I9" s="30">
        <v>42495.213402777779</v>
      </c>
      <c r="J9" s="61">
        <v>0</v>
      </c>
      <c r="K9" s="61" t="str">
        <f t="shared" si="13"/>
        <v>4013/4014</v>
      </c>
      <c r="L9" s="61" t="str">
        <f>VLOOKUP(A9,'Trips&amp;Operators'!$C$1:$E$9999,3,FALSE)</f>
        <v>DE LA ROSA</v>
      </c>
      <c r="M9" s="12">
        <f t="shared" si="14"/>
        <v>3.2824074078234844E-2</v>
      </c>
      <c r="N9" s="13">
        <f t="shared" si="2"/>
        <v>47.266666672658175</v>
      </c>
      <c r="O9" s="13"/>
      <c r="P9" s="13"/>
      <c r="Q9" s="62"/>
      <c r="R9" s="62"/>
      <c r="T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04:16:55-0600',mode:absolute,to:'2016-05-05 05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" s="75" t="str">
        <f t="shared" si="16"/>
        <v>N</v>
      </c>
      <c r="V9" s="75">
        <f t="shared" si="17"/>
        <v>1</v>
      </c>
      <c r="W9" s="75">
        <f t="shared" si="18"/>
        <v>4.6699999999999998E-2</v>
      </c>
      <c r="X9" s="75">
        <f t="shared" si="19"/>
        <v>23.327400000000001</v>
      </c>
      <c r="Y9" s="75">
        <f t="shared" si="20"/>
        <v>23.2807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145</v>
      </c>
      <c r="B10" s="61">
        <v>4013</v>
      </c>
      <c r="C10" s="61" t="s">
        <v>148</v>
      </c>
      <c r="D10" s="61" t="s">
        <v>178</v>
      </c>
      <c r="E10" s="30">
        <v>42495.218692129631</v>
      </c>
      <c r="F10" s="30">
        <v>42495.220057870371</v>
      </c>
      <c r="G10" s="38">
        <v>1</v>
      </c>
      <c r="H10" s="30" t="s">
        <v>159</v>
      </c>
      <c r="I10" s="30">
        <v>42495.252708333333</v>
      </c>
      <c r="J10" s="61">
        <v>0</v>
      </c>
      <c r="K10" s="61" t="str">
        <f t="shared" si="13"/>
        <v>4013/4014</v>
      </c>
      <c r="L10" s="61" t="str">
        <f>VLOOKUP(A10,'Trips&amp;Operators'!$C$1:$E$9999,3,FALSE)</f>
        <v>DE LA ROSA</v>
      </c>
      <c r="M10" s="12">
        <f t="shared" si="14"/>
        <v>3.2650462962919846E-2</v>
      </c>
      <c r="N10" s="13">
        <f t="shared" si="2"/>
        <v>47.016666666604578</v>
      </c>
      <c r="O10" s="13"/>
      <c r="P10" s="13"/>
      <c r="Q10" s="62"/>
      <c r="R10" s="62"/>
      <c r="T1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05:13:55-0600',mode:absolute,to:'2016-05-05 06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" s="75" t="str">
        <f t="shared" si="16"/>
        <v>N</v>
      </c>
      <c r="V10" s="75">
        <f t="shared" si="17"/>
        <v>1</v>
      </c>
      <c r="W10" s="75">
        <f t="shared" si="18"/>
        <v>23.298400000000001</v>
      </c>
      <c r="X10" s="75">
        <f t="shared" si="19"/>
        <v>1.67E-2</v>
      </c>
      <c r="Y10" s="75">
        <f t="shared" si="20"/>
        <v>23.281700000000001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140</v>
      </c>
      <c r="B11" s="61">
        <v>4011</v>
      </c>
      <c r="C11" s="61" t="s">
        <v>148</v>
      </c>
      <c r="D11" s="61" t="s">
        <v>212</v>
      </c>
      <c r="E11" s="30">
        <v>42495.193391203706</v>
      </c>
      <c r="F11" s="30">
        <v>42495.194328703707</v>
      </c>
      <c r="G11" s="38">
        <v>1</v>
      </c>
      <c r="H11" s="30" t="s">
        <v>157</v>
      </c>
      <c r="I11" s="30">
        <v>42495.222881944443</v>
      </c>
      <c r="J11" s="61">
        <v>0</v>
      </c>
      <c r="K11" s="61" t="str">
        <f t="shared" si="13"/>
        <v>4011/4012</v>
      </c>
      <c r="L11" s="61" t="str">
        <f>VLOOKUP(A11,'Trips&amp;Operators'!$C$1:$E$9999,3,FALSE)</f>
        <v>NEWELL</v>
      </c>
      <c r="M11" s="12">
        <f t="shared" si="14"/>
        <v>2.8553240736073349E-2</v>
      </c>
      <c r="N11" s="13">
        <f t="shared" si="2"/>
        <v>41.116666659945622</v>
      </c>
      <c r="O11" s="13"/>
      <c r="P11" s="13"/>
      <c r="Q11" s="62"/>
      <c r="R11" s="62"/>
      <c r="T1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04:37:29-0600',mode:absolute,to:'2016-05-05 05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" s="75" t="str">
        <f t="shared" si="16"/>
        <v>N</v>
      </c>
      <c r="V11" s="75">
        <f t="shared" si="17"/>
        <v>1</v>
      </c>
      <c r="W11" s="75">
        <f t="shared" si="18"/>
        <v>4.4600000000000001E-2</v>
      </c>
      <c r="X11" s="75">
        <f t="shared" si="19"/>
        <v>23.330200000000001</v>
      </c>
      <c r="Y11" s="75">
        <f t="shared" si="20"/>
        <v>23.285600000000002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102</v>
      </c>
      <c r="B12" s="61">
        <v>4012</v>
      </c>
      <c r="C12" s="61" t="s">
        <v>148</v>
      </c>
      <c r="D12" s="61" t="s">
        <v>188</v>
      </c>
      <c r="E12" s="30">
        <v>42495.229178240741</v>
      </c>
      <c r="F12" s="30">
        <v>42495.230497685188</v>
      </c>
      <c r="G12" s="38">
        <v>1</v>
      </c>
      <c r="H12" s="30" t="s">
        <v>222</v>
      </c>
      <c r="I12" s="30">
        <v>42495.262175925927</v>
      </c>
      <c r="J12" s="61">
        <v>0</v>
      </c>
      <c r="K12" s="61" t="str">
        <f t="shared" si="13"/>
        <v>4011/4012</v>
      </c>
      <c r="L12" s="61" t="str">
        <f>VLOOKUP(A12,'Trips&amp;Operators'!$C$1:$E$9999,3,FALSE)</f>
        <v>NEWELL</v>
      </c>
      <c r="M12" s="12">
        <f t="shared" si="14"/>
        <v>3.1678240738983732E-2</v>
      </c>
      <c r="N12" s="13">
        <f t="shared" si="2"/>
        <v>45.616666664136574</v>
      </c>
      <c r="O12" s="13"/>
      <c r="P12" s="13"/>
      <c r="Q12" s="62"/>
      <c r="R12" s="62"/>
      <c r="T1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05:29:01-0600',mode:absolute,to:'2016-05-05 06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" s="75" t="str">
        <f t="shared" si="16"/>
        <v>N</v>
      </c>
      <c r="V12" s="75">
        <f t="shared" si="17"/>
        <v>1</v>
      </c>
      <c r="W12" s="75">
        <f t="shared" si="18"/>
        <v>23.299600000000002</v>
      </c>
      <c r="X12" s="75">
        <f t="shared" si="19"/>
        <v>1.72E-2</v>
      </c>
      <c r="Y12" s="75">
        <f t="shared" si="20"/>
        <v>23.282400000000003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116</v>
      </c>
      <c r="B13" s="61">
        <v>4027</v>
      </c>
      <c r="C13" s="61" t="s">
        <v>148</v>
      </c>
      <c r="D13" s="61" t="s">
        <v>414</v>
      </c>
      <c r="E13" s="30">
        <v>42495.203900462962</v>
      </c>
      <c r="F13" s="30">
        <v>42495.208483796298</v>
      </c>
      <c r="G13" s="38">
        <v>6</v>
      </c>
      <c r="H13" s="30" t="s">
        <v>154</v>
      </c>
      <c r="I13" s="30">
        <v>42495.233136574076</v>
      </c>
      <c r="J13" s="61">
        <v>0</v>
      </c>
      <c r="K13" s="61" t="str">
        <f t="shared" si="13"/>
        <v>4027/4028</v>
      </c>
      <c r="L13" s="61" t="str">
        <f>VLOOKUP(A13,'Trips&amp;Operators'!$C$1:$E$9999,3,FALSE)</f>
        <v>GEBRETEKLE</v>
      </c>
      <c r="M13" s="12">
        <f t="shared" si="14"/>
        <v>2.4652777778101154E-2</v>
      </c>
      <c r="N13" s="13">
        <f t="shared" si="2"/>
        <v>35.500000000465661</v>
      </c>
      <c r="O13" s="13"/>
      <c r="P13" s="13"/>
      <c r="Q13" s="62"/>
      <c r="R13" s="62"/>
      <c r="T1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04:52:37-0600',mode:absolute,to:'2016-05-05 05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" s="75" t="str">
        <f t="shared" si="16"/>
        <v>N</v>
      </c>
      <c r="V13" s="75">
        <f t="shared" si="17"/>
        <v>1</v>
      </c>
      <c r="W13" s="75">
        <f t="shared" si="18"/>
        <v>7.6100000000000001E-2</v>
      </c>
      <c r="X13" s="75">
        <f t="shared" si="19"/>
        <v>23.329499999999999</v>
      </c>
      <c r="Y13" s="75">
        <f t="shared" si="20"/>
        <v>23.253399999999999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113</v>
      </c>
      <c r="B14" s="61">
        <v>4028</v>
      </c>
      <c r="C14" s="61" t="s">
        <v>148</v>
      </c>
      <c r="D14" s="61" t="s">
        <v>155</v>
      </c>
      <c r="E14" s="30">
        <v>42495.240405092591</v>
      </c>
      <c r="F14" s="30">
        <v>42495.241886574076</v>
      </c>
      <c r="G14" s="38">
        <v>2</v>
      </c>
      <c r="H14" s="30" t="s">
        <v>415</v>
      </c>
      <c r="I14" s="30">
        <v>42495.2734837963</v>
      </c>
      <c r="J14" s="61">
        <v>0</v>
      </c>
      <c r="K14" s="61" t="str">
        <f t="shared" si="13"/>
        <v>4027/4028</v>
      </c>
      <c r="L14" s="61" t="str">
        <f>VLOOKUP(A14,'Trips&amp;Operators'!$C$1:$E$9999,3,FALSE)</f>
        <v>BRUDER</v>
      </c>
      <c r="M14" s="12">
        <f t="shared" si="14"/>
        <v>3.1597222223354038E-2</v>
      </c>
      <c r="N14" s="13">
        <f t="shared" si="2"/>
        <v>45.500000001629815</v>
      </c>
      <c r="O14" s="13"/>
      <c r="P14" s="13"/>
      <c r="Q14" s="62"/>
      <c r="R14" s="62"/>
      <c r="T1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05:45:11-0600',mode:absolute,to:'2016-05-05 06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" s="75" t="str">
        <f t="shared" si="16"/>
        <v>N</v>
      </c>
      <c r="V14" s="75">
        <f t="shared" si="17"/>
        <v>1</v>
      </c>
      <c r="W14" s="75">
        <f t="shared" si="18"/>
        <v>23.2973</v>
      </c>
      <c r="X14" s="75">
        <f t="shared" si="19"/>
        <v>1.41E-2</v>
      </c>
      <c r="Y14" s="75">
        <f t="shared" si="20"/>
        <v>23.283200000000001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115</v>
      </c>
      <c r="B15" s="61">
        <v>4044</v>
      </c>
      <c r="C15" s="61" t="s">
        <v>148</v>
      </c>
      <c r="D15" s="61" t="s">
        <v>199</v>
      </c>
      <c r="E15" s="30">
        <v>42495.208171296297</v>
      </c>
      <c r="F15" s="30">
        <v>42495.209803240738</v>
      </c>
      <c r="G15" s="38">
        <v>2</v>
      </c>
      <c r="H15" s="30" t="s">
        <v>172</v>
      </c>
      <c r="I15" s="30">
        <v>42495.243518518517</v>
      </c>
      <c r="J15" s="61">
        <v>0</v>
      </c>
      <c r="K15" s="61" t="str">
        <f t="shared" si="13"/>
        <v>4043/4044</v>
      </c>
      <c r="L15" s="61" t="str">
        <f>VLOOKUP(A15,'Trips&amp;Operators'!$C$1:$E$9999,3,FALSE)</f>
        <v>LEVIN</v>
      </c>
      <c r="M15" s="12">
        <f t="shared" si="14"/>
        <v>3.3715277779265307E-2</v>
      </c>
      <c r="N15" s="13">
        <f t="shared" si="2"/>
        <v>48.550000002142042</v>
      </c>
      <c r="O15" s="13"/>
      <c r="P15" s="13"/>
      <c r="Q15" s="62"/>
      <c r="R15" s="62"/>
      <c r="T1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04:58:46-0600',mode:absolute,to:'2016-05-05 05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" s="75" t="str">
        <f t="shared" si="16"/>
        <v>N</v>
      </c>
      <c r="V15" s="75">
        <f t="shared" si="17"/>
        <v>1</v>
      </c>
      <c r="W15" s="75">
        <f t="shared" si="18"/>
        <v>4.5999999999999999E-2</v>
      </c>
      <c r="X15" s="75">
        <f t="shared" si="19"/>
        <v>23.3306</v>
      </c>
      <c r="Y15" s="75">
        <f t="shared" si="20"/>
        <v>23.284600000000001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105</v>
      </c>
      <c r="B16" s="61">
        <v>4043</v>
      </c>
      <c r="C16" s="61" t="s">
        <v>148</v>
      </c>
      <c r="D16" s="61" t="s">
        <v>177</v>
      </c>
      <c r="E16" s="30">
        <v>42495.251145833332</v>
      </c>
      <c r="F16" s="30">
        <v>42495.251979166664</v>
      </c>
      <c r="G16" s="38">
        <v>1</v>
      </c>
      <c r="H16" s="30" t="s">
        <v>416</v>
      </c>
      <c r="I16" s="30">
        <v>42495.283263888887</v>
      </c>
      <c r="J16" s="61">
        <v>0</v>
      </c>
      <c r="K16" s="61" t="str">
        <f t="shared" si="13"/>
        <v>4043/4044</v>
      </c>
      <c r="L16" s="61" t="str">
        <f>VLOOKUP(A16,'Trips&amp;Operators'!$C$1:$E$9999,3,FALSE)</f>
        <v>LEVIN</v>
      </c>
      <c r="M16" s="12">
        <f t="shared" si="14"/>
        <v>3.1284722223063E-2</v>
      </c>
      <c r="N16" s="13">
        <f t="shared" si="2"/>
        <v>45.050000001210719</v>
      </c>
      <c r="O16" s="13"/>
      <c r="P16" s="13"/>
      <c r="Q16" s="62"/>
      <c r="R16" s="62"/>
      <c r="T1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06:00:39-0600',mode:absolute,to:'2016-05-05 06:48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6" s="75" t="str">
        <f t="shared" si="16"/>
        <v>N</v>
      </c>
      <c r="V16" s="75">
        <f t="shared" si="17"/>
        <v>1</v>
      </c>
      <c r="W16" s="75">
        <f t="shared" si="18"/>
        <v>23.2989</v>
      </c>
      <c r="X16" s="75">
        <f t="shared" si="19"/>
        <v>1.4999999999999999E-2</v>
      </c>
      <c r="Y16" s="75">
        <f t="shared" si="20"/>
        <v>23.283899999999999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132</v>
      </c>
      <c r="B17" s="61">
        <v>4029</v>
      </c>
      <c r="C17" s="61" t="s">
        <v>148</v>
      </c>
      <c r="D17" s="61" t="s">
        <v>417</v>
      </c>
      <c r="E17" s="30">
        <v>42495.226388888892</v>
      </c>
      <c r="F17" s="30">
        <v>42495.22729166667</v>
      </c>
      <c r="G17" s="38">
        <v>1</v>
      </c>
      <c r="H17" s="30" t="s">
        <v>418</v>
      </c>
      <c r="I17" s="30">
        <v>42495.253819444442</v>
      </c>
      <c r="J17" s="61">
        <v>1</v>
      </c>
      <c r="K17" s="61" t="str">
        <f t="shared" si="13"/>
        <v>4029/4030</v>
      </c>
      <c r="L17" s="61" t="str">
        <f>VLOOKUP(A17,'Trips&amp;Operators'!$C$1:$E$9999,3,FALSE)</f>
        <v>MALAVE</v>
      </c>
      <c r="M17" s="12">
        <f t="shared" si="14"/>
        <v>2.6527777772571426E-2</v>
      </c>
      <c r="N17" s="13">
        <f t="shared" si="2"/>
        <v>38.199999992502853</v>
      </c>
      <c r="O17" s="13"/>
      <c r="P17" s="13"/>
      <c r="Q17" s="62"/>
      <c r="R17" s="62"/>
      <c r="T1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05:25:00-0600',mode:absolute,to:'2016-05-05 06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7" s="75" t="str">
        <f t="shared" si="16"/>
        <v>N</v>
      </c>
      <c r="V17" s="75">
        <f t="shared" si="17"/>
        <v>1</v>
      </c>
      <c r="W17" s="75">
        <f t="shared" si="18"/>
        <v>7.6999999999999999E-2</v>
      </c>
      <c r="X17" s="75">
        <f t="shared" si="19"/>
        <v>23.307099999999998</v>
      </c>
      <c r="Y17" s="75">
        <f t="shared" si="20"/>
        <v>23.230099999999997</v>
      </c>
      <c r="Z17" s="76">
        <f>VLOOKUP(A17,Enforcements!$C$3:$J$26,8,0)</f>
        <v>233491</v>
      </c>
      <c r="AA17" s="76" t="str">
        <f>VLOOKUP(A17,Enforcements!$C$3:$J$26,3,0)</f>
        <v>TRACK WARRANT AUTHORITY</v>
      </c>
    </row>
    <row r="18" spans="1:27" s="2" customFormat="1" x14ac:dyDescent="0.25">
      <c r="A18" s="61" t="s">
        <v>130</v>
      </c>
      <c r="B18" s="61">
        <v>4030</v>
      </c>
      <c r="C18" s="61" t="s">
        <v>148</v>
      </c>
      <c r="D18" s="61" t="s">
        <v>419</v>
      </c>
      <c r="E18" s="30">
        <v>42495.266712962963</v>
      </c>
      <c r="F18" s="30">
        <v>42495.26803240741</v>
      </c>
      <c r="G18" s="38">
        <v>1</v>
      </c>
      <c r="H18" s="30" t="s">
        <v>420</v>
      </c>
      <c r="I18" s="30">
        <v>42495.295034722221</v>
      </c>
      <c r="J18" s="61">
        <v>1</v>
      </c>
      <c r="K18" s="61" t="str">
        <f t="shared" si="13"/>
        <v>4029/4030</v>
      </c>
      <c r="L18" s="61" t="str">
        <f>VLOOKUP(A18,'Trips&amp;Operators'!$C$1:$E$9999,3,FALSE)</f>
        <v>MALAVE</v>
      </c>
      <c r="M18" s="12">
        <f t="shared" si="14"/>
        <v>2.700231481139781E-2</v>
      </c>
      <c r="N18" s="13">
        <f t="shared" si="2"/>
        <v>38.883333328412846</v>
      </c>
      <c r="O18" s="13"/>
      <c r="P18" s="13"/>
      <c r="Q18" s="62"/>
      <c r="R18" s="62"/>
      <c r="T1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06:23:04-0600',mode:absolute,to:'2016-05-05 07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8" s="75" t="str">
        <f t="shared" si="16"/>
        <v>N</v>
      </c>
      <c r="V18" s="75">
        <f t="shared" si="17"/>
        <v>1</v>
      </c>
      <c r="W18" s="75">
        <f t="shared" si="18"/>
        <v>23.290900000000001</v>
      </c>
      <c r="X18" s="75">
        <f t="shared" si="19"/>
        <v>3.6400000000000002E-2</v>
      </c>
      <c r="Y18" s="75">
        <f t="shared" si="20"/>
        <v>23.2545</v>
      </c>
      <c r="Z18" s="76">
        <f>VLOOKUP(A18,Enforcements!$C$3:$J$26,8,0)</f>
        <v>119716</v>
      </c>
      <c r="AA18" s="76" t="str">
        <f>VLOOKUP(A18,Enforcements!$C$3:$J$26,3,0)</f>
        <v>PERMANENT SPEED RESTRICTION</v>
      </c>
    </row>
    <row r="19" spans="1:27" s="2" customFormat="1" x14ac:dyDescent="0.25">
      <c r="A19" s="61" t="s">
        <v>127</v>
      </c>
      <c r="B19" s="61">
        <v>4020</v>
      </c>
      <c r="C19" s="61" t="s">
        <v>148</v>
      </c>
      <c r="D19" s="61" t="s">
        <v>230</v>
      </c>
      <c r="E19" s="30">
        <v>42495.235717592594</v>
      </c>
      <c r="F19" s="30">
        <v>42495.236979166664</v>
      </c>
      <c r="G19" s="38">
        <v>1</v>
      </c>
      <c r="H19" s="30" t="s">
        <v>152</v>
      </c>
      <c r="I19" s="30">
        <v>42495.265960648147</v>
      </c>
      <c r="J19" s="61">
        <v>0</v>
      </c>
      <c r="K19" s="61" t="str">
        <f t="shared" si="13"/>
        <v>4019/4020</v>
      </c>
      <c r="L19" s="61" t="str">
        <f>VLOOKUP(A19,'Trips&amp;Operators'!$C$1:$E$9999,3,FALSE)</f>
        <v>STARKS</v>
      </c>
      <c r="M19" s="12">
        <f t="shared" si="14"/>
        <v>2.8981481482333038E-2</v>
      </c>
      <c r="N19" s="13">
        <f t="shared" si="2"/>
        <v>41.733333334559575</v>
      </c>
      <c r="O19" s="13"/>
      <c r="P19" s="13"/>
      <c r="Q19" s="62"/>
      <c r="R19" s="62"/>
      <c r="T1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05:38:26-0600',mode:absolute,to:'2016-05-05 06:23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9" s="75" t="str">
        <f t="shared" si="16"/>
        <v>N</v>
      </c>
      <c r="V19" s="75">
        <f t="shared" si="17"/>
        <v>1</v>
      </c>
      <c r="W19" s="75">
        <f t="shared" si="18"/>
        <v>4.6600000000000003E-2</v>
      </c>
      <c r="X19" s="75">
        <f t="shared" si="19"/>
        <v>23.333600000000001</v>
      </c>
      <c r="Y19" s="75">
        <f t="shared" si="20"/>
        <v>23.286999999999999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258</v>
      </c>
      <c r="B20" s="61">
        <v>4019</v>
      </c>
      <c r="C20" s="61" t="s">
        <v>148</v>
      </c>
      <c r="D20" s="61" t="s">
        <v>421</v>
      </c>
      <c r="E20" s="30">
        <v>42495.277094907404</v>
      </c>
      <c r="F20" s="30">
        <v>42495.278055555558</v>
      </c>
      <c r="G20" s="38">
        <v>1</v>
      </c>
      <c r="H20" s="30" t="s">
        <v>180</v>
      </c>
      <c r="I20" s="30">
        <v>42495.30541666667</v>
      </c>
      <c r="J20" s="61">
        <v>1</v>
      </c>
      <c r="K20" s="61" t="str">
        <f t="shared" si="13"/>
        <v>4019/4020</v>
      </c>
      <c r="L20" s="61" t="str">
        <f>VLOOKUP(A20,'Trips&amp;Operators'!$C$1:$E$9999,3,FALSE)</f>
        <v>STARKS</v>
      </c>
      <c r="M20" s="12">
        <f t="shared" si="14"/>
        <v>2.73611111115315E-2</v>
      </c>
      <c r="N20" s="13">
        <f t="shared" si="2"/>
        <v>39.40000000060536</v>
      </c>
      <c r="O20" s="13"/>
      <c r="P20" s="13"/>
      <c r="Q20" s="62"/>
      <c r="R20" s="62"/>
      <c r="T2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06:38:01-0600',mode:absolute,to:'2016-05-05 07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0" s="75" t="str">
        <f t="shared" si="16"/>
        <v>N</v>
      </c>
      <c r="V20" s="75">
        <f t="shared" si="17"/>
        <v>1</v>
      </c>
      <c r="W20" s="75">
        <f t="shared" si="18"/>
        <v>23.3004</v>
      </c>
      <c r="X20" s="75">
        <f t="shared" si="19"/>
        <v>1.4500000000000001E-2</v>
      </c>
      <c r="Y20" s="75">
        <f t="shared" si="20"/>
        <v>23.285899999999998</v>
      </c>
      <c r="Z20" s="76">
        <f>VLOOKUP(A20,Enforcements!$C$3:$J$26,8,0)</f>
        <v>5457</v>
      </c>
      <c r="AA20" s="76" t="str">
        <f>VLOOKUP(A20,Enforcements!$C$3:$J$26,3,0)</f>
        <v>PERMANENT SPEED RESTRICTION</v>
      </c>
    </row>
    <row r="21" spans="1:27" s="2" customFormat="1" x14ac:dyDescent="0.25">
      <c r="A21" s="61" t="s">
        <v>128</v>
      </c>
      <c r="B21" s="61">
        <v>4018</v>
      </c>
      <c r="C21" s="61" t="s">
        <v>148</v>
      </c>
      <c r="D21" s="61" t="s">
        <v>165</v>
      </c>
      <c r="E21" s="30">
        <v>42495.246932870374</v>
      </c>
      <c r="F21" s="30">
        <v>42495.248402777775</v>
      </c>
      <c r="G21" s="38">
        <v>2</v>
      </c>
      <c r="H21" s="30" t="s">
        <v>422</v>
      </c>
      <c r="I21" s="30">
        <v>42495.276099537034</v>
      </c>
      <c r="J21" s="61">
        <v>1</v>
      </c>
      <c r="K21" s="61" t="str">
        <f t="shared" si="13"/>
        <v>4017/4018</v>
      </c>
      <c r="L21" s="61" t="str">
        <f>VLOOKUP(A21,'Trips&amp;Operators'!$C$1:$E$9999,3,FALSE)</f>
        <v>CHANDLER</v>
      </c>
      <c r="M21" s="12">
        <f t="shared" si="14"/>
        <v>2.7696759258105885E-2</v>
      </c>
      <c r="N21" s="13">
        <f t="shared" si="2"/>
        <v>39.883333331672475</v>
      </c>
      <c r="O21" s="13"/>
      <c r="P21" s="13"/>
      <c r="Q21" s="62"/>
      <c r="R21" s="62"/>
      <c r="T2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05:54:35-0600',mode:absolute,to:'2016-05-05 06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1" s="75" t="str">
        <f t="shared" si="16"/>
        <v>N</v>
      </c>
      <c r="V21" s="75">
        <f t="shared" si="17"/>
        <v>1</v>
      </c>
      <c r="W21" s="75">
        <f t="shared" si="18"/>
        <v>0.14860000000000001</v>
      </c>
      <c r="X21" s="75">
        <f t="shared" si="19"/>
        <v>23.330100000000002</v>
      </c>
      <c r="Y21" s="75">
        <f t="shared" si="20"/>
        <v>23.181500000000003</v>
      </c>
      <c r="Z21" s="76">
        <f>VLOOKUP(A21,Enforcements!$C$3:$J$26,8,0)</f>
        <v>233491</v>
      </c>
      <c r="AA21" s="76" t="str">
        <f>VLOOKUP(A21,Enforcements!$C$3:$J$26,3,0)</f>
        <v>TRACK WARRANT AUTHORITY</v>
      </c>
    </row>
    <row r="22" spans="1:27" s="2" customFormat="1" x14ac:dyDescent="0.25">
      <c r="A22" s="61" t="s">
        <v>240</v>
      </c>
      <c r="B22" s="61">
        <v>4017</v>
      </c>
      <c r="C22" s="61" t="s">
        <v>148</v>
      </c>
      <c r="D22" s="61" t="s">
        <v>220</v>
      </c>
      <c r="E22" s="30">
        <v>42495.282037037039</v>
      </c>
      <c r="F22" s="30">
        <v>42495.283402777779</v>
      </c>
      <c r="G22" s="38">
        <v>1</v>
      </c>
      <c r="H22" s="30" t="s">
        <v>416</v>
      </c>
      <c r="I22" s="30">
        <v>42495.314953703702</v>
      </c>
      <c r="J22" s="61">
        <v>1</v>
      </c>
      <c r="K22" s="61" t="str">
        <f t="shared" si="13"/>
        <v>4017/4018</v>
      </c>
      <c r="L22" s="61" t="str">
        <f>VLOOKUP(A22,'Trips&amp;Operators'!$C$1:$E$9999,3,FALSE)</f>
        <v>CHANDLER</v>
      </c>
      <c r="M22" s="12">
        <f t="shared" si="14"/>
        <v>3.1550925923511386E-2</v>
      </c>
      <c r="N22" s="13">
        <f t="shared" si="2"/>
        <v>45.433333329856396</v>
      </c>
      <c r="O22" s="13"/>
      <c r="P22" s="13"/>
      <c r="Q22" s="62"/>
      <c r="R22" s="62"/>
      <c r="T2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06:45:08-0600',mode:absolute,to:'2016-05-05 07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2" s="75" t="str">
        <f t="shared" si="16"/>
        <v>N</v>
      </c>
      <c r="V22" s="75">
        <f t="shared" si="17"/>
        <v>1</v>
      </c>
      <c r="W22" s="75">
        <f t="shared" si="18"/>
        <v>23.296900000000001</v>
      </c>
      <c r="X22" s="75">
        <f t="shared" si="19"/>
        <v>1.4999999999999999E-2</v>
      </c>
      <c r="Y22" s="75">
        <f t="shared" si="20"/>
        <v>23.2819</v>
      </c>
      <c r="Z22" s="76">
        <f>VLOOKUP(A22,Enforcements!$C$3:$J$26,8,0)</f>
        <v>4677</v>
      </c>
      <c r="AA22" s="76" t="str">
        <f>VLOOKUP(A22,Enforcements!$C$3:$J$26,3,0)</f>
        <v>PERMANENT SPEED RESTRICTION</v>
      </c>
    </row>
    <row r="23" spans="1:27" s="2" customFormat="1" x14ac:dyDescent="0.25">
      <c r="A23" s="61" t="s">
        <v>107</v>
      </c>
      <c r="B23" s="61">
        <v>4014</v>
      </c>
      <c r="C23" s="61" t="s">
        <v>148</v>
      </c>
      <c r="D23" s="61" t="s">
        <v>232</v>
      </c>
      <c r="E23" s="30">
        <v>42495.255416666667</v>
      </c>
      <c r="F23" s="30">
        <v>42495.256284722222</v>
      </c>
      <c r="G23" s="38">
        <v>1</v>
      </c>
      <c r="H23" s="30" t="s">
        <v>187</v>
      </c>
      <c r="I23" s="30">
        <v>42495.285879629628</v>
      </c>
      <c r="J23" s="61">
        <v>0</v>
      </c>
      <c r="K23" s="61" t="str">
        <f t="shared" si="0"/>
        <v>4013/4014</v>
      </c>
      <c r="L23" s="61" t="str">
        <f>VLOOKUP(A23,'Trips&amp;Operators'!$C$1:$E$9999,3,FALSE)</f>
        <v>DE LA ROSA</v>
      </c>
      <c r="M23" s="12">
        <f t="shared" si="1"/>
        <v>2.9594907406135462E-2</v>
      </c>
      <c r="N23" s="13">
        <f t="shared" si="2"/>
        <v>42.616666664835066</v>
      </c>
      <c r="O23" s="13"/>
      <c r="P23" s="13"/>
      <c r="Q23" s="62"/>
      <c r="R23" s="62"/>
      <c r="T2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06:06:48-0600',mode:absolute,to:'2016-05-05 06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3" s="75" t="str">
        <f t="shared" si="16"/>
        <v>N</v>
      </c>
      <c r="V23" s="75">
        <f t="shared" si="17"/>
        <v>1</v>
      </c>
      <c r="W23" s="75">
        <f t="shared" si="18"/>
        <v>4.6899999999999997E-2</v>
      </c>
      <c r="X23" s="75">
        <f t="shared" si="19"/>
        <v>23.3308</v>
      </c>
      <c r="Y23" s="75">
        <f t="shared" si="20"/>
        <v>23.283899999999999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242</v>
      </c>
      <c r="B24" s="61">
        <v>4013</v>
      </c>
      <c r="C24" s="61" t="s">
        <v>148</v>
      </c>
      <c r="D24" s="61" t="s">
        <v>169</v>
      </c>
      <c r="E24" s="30">
        <v>42495.291875000003</v>
      </c>
      <c r="F24" s="30">
        <v>42495.292962962965</v>
      </c>
      <c r="G24" s="38">
        <v>1</v>
      </c>
      <c r="H24" s="30" t="s">
        <v>183</v>
      </c>
      <c r="I24" s="30">
        <v>42495.326203703706</v>
      </c>
      <c r="J24" s="61">
        <v>0</v>
      </c>
      <c r="K24" s="61" t="str">
        <f t="shared" si="0"/>
        <v>4013/4014</v>
      </c>
      <c r="L24" s="61" t="str">
        <f>VLOOKUP(A24,'Trips&amp;Operators'!$C$1:$E$9999,3,FALSE)</f>
        <v>DE LA ROSA</v>
      </c>
      <c r="M24" s="12">
        <f t="shared" si="1"/>
        <v>3.3240740740438923E-2</v>
      </c>
      <c r="N24" s="13">
        <f t="shared" si="2"/>
        <v>47.866666666232049</v>
      </c>
      <c r="O24" s="13"/>
      <c r="P24" s="13"/>
      <c r="Q24" s="62"/>
      <c r="R24" s="62"/>
      <c r="T2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06:59:18-0600',mode:absolute,to:'2016-05-05 07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4" s="75" t="str">
        <f t="shared" si="16"/>
        <v>N</v>
      </c>
      <c r="V24" s="75">
        <f t="shared" si="17"/>
        <v>1</v>
      </c>
      <c r="W24" s="75">
        <f t="shared" si="18"/>
        <v>23.299099999999999</v>
      </c>
      <c r="X24" s="75">
        <f t="shared" si="19"/>
        <v>1.3599999999999999E-2</v>
      </c>
      <c r="Y24" s="75">
        <f t="shared" si="20"/>
        <v>23.285499999999999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129</v>
      </c>
      <c r="B25" s="61">
        <v>4011</v>
      </c>
      <c r="C25" s="61" t="s">
        <v>148</v>
      </c>
      <c r="D25" s="61" t="s">
        <v>209</v>
      </c>
      <c r="E25" s="30">
        <v>42495.264328703706</v>
      </c>
      <c r="F25" s="30">
        <v>42495.26525462963</v>
      </c>
      <c r="G25" s="38">
        <v>1</v>
      </c>
      <c r="H25" s="30" t="s">
        <v>149</v>
      </c>
      <c r="I25" s="30">
        <v>42495.295995370368</v>
      </c>
      <c r="J25" s="61">
        <v>1</v>
      </c>
      <c r="K25" s="61" t="str">
        <f t="shared" si="0"/>
        <v>4011/4012</v>
      </c>
      <c r="L25" s="61" t="str">
        <f>VLOOKUP(A25,'Trips&amp;Operators'!$C$1:$E$9999,3,FALSE)</f>
        <v>NEWELL</v>
      </c>
      <c r="M25" s="12">
        <f t="shared" si="1"/>
        <v>3.0740740738110617E-2</v>
      </c>
      <c r="N25" s="13">
        <f t="shared" si="2"/>
        <v>44.266666662879288</v>
      </c>
      <c r="O25" s="13"/>
      <c r="P25" s="13"/>
      <c r="Q25" s="62"/>
      <c r="R25" s="62"/>
      <c r="T2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06:19:38-0600',mode:absolute,to:'2016-05-05 07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5" s="75" t="str">
        <f t="shared" si="16"/>
        <v>N</v>
      </c>
      <c r="V25" s="75">
        <f t="shared" si="17"/>
        <v>1</v>
      </c>
      <c r="W25" s="75">
        <f t="shared" si="18"/>
        <v>4.7699999999999999E-2</v>
      </c>
      <c r="X25" s="75">
        <f t="shared" si="19"/>
        <v>23.329699999999999</v>
      </c>
      <c r="Y25" s="75">
        <f t="shared" si="20"/>
        <v>23.282</v>
      </c>
      <c r="Z25" s="76">
        <f>VLOOKUP(A25,Enforcements!$C$3:$J$26,8,0)</f>
        <v>233491</v>
      </c>
      <c r="AA25" s="76" t="str">
        <f>VLOOKUP(A25,Enforcements!$C$3:$J$26,3,0)</f>
        <v>TRACK WARRANT AUTHORITY</v>
      </c>
    </row>
    <row r="26" spans="1:27" s="2" customFormat="1" x14ac:dyDescent="0.25">
      <c r="A26" s="61" t="s">
        <v>243</v>
      </c>
      <c r="B26" s="61">
        <v>4012</v>
      </c>
      <c r="C26" s="61" t="s">
        <v>148</v>
      </c>
      <c r="D26" s="61" t="s">
        <v>423</v>
      </c>
      <c r="E26" s="30">
        <v>42495.301342592589</v>
      </c>
      <c r="F26" s="30">
        <v>42495.302129629628</v>
      </c>
      <c r="G26" s="38">
        <v>1</v>
      </c>
      <c r="H26" s="30" t="s">
        <v>171</v>
      </c>
      <c r="I26" s="30">
        <v>42495.335266203707</v>
      </c>
      <c r="J26" s="61">
        <v>0</v>
      </c>
      <c r="K26" s="61" t="str">
        <f t="shared" si="0"/>
        <v>4011/4012</v>
      </c>
      <c r="L26" s="61" t="str">
        <f>VLOOKUP(A26,'Trips&amp;Operators'!$C$1:$E$9999,3,FALSE)</f>
        <v>NEWELL</v>
      </c>
      <c r="M26" s="12">
        <f t="shared" si="1"/>
        <v>3.3136574078525882E-2</v>
      </c>
      <c r="N26" s="13">
        <f t="shared" si="2"/>
        <v>47.71666667307727</v>
      </c>
      <c r="O26" s="13"/>
      <c r="P26" s="13"/>
      <c r="Q26" s="62"/>
      <c r="R26" s="62"/>
      <c r="T2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07:12:56-0600',mode:absolute,to:'2016-05-05 08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6" s="75" t="str">
        <f t="shared" si="16"/>
        <v>N</v>
      </c>
      <c r="V26" s="75">
        <f t="shared" si="17"/>
        <v>1</v>
      </c>
      <c r="W26" s="75">
        <f t="shared" si="18"/>
        <v>23.297499999999999</v>
      </c>
      <c r="X26" s="75">
        <f t="shared" si="19"/>
        <v>1.54E-2</v>
      </c>
      <c r="Y26" s="75">
        <f t="shared" si="20"/>
        <v>23.2821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254</v>
      </c>
      <c r="B27" s="61">
        <v>4027</v>
      </c>
      <c r="C27" s="61" t="s">
        <v>148</v>
      </c>
      <c r="D27" s="61" t="s">
        <v>195</v>
      </c>
      <c r="E27" s="30">
        <v>42495.275347222225</v>
      </c>
      <c r="F27" s="30">
        <v>42495.27721064815</v>
      </c>
      <c r="G27" s="38">
        <v>2</v>
      </c>
      <c r="H27" s="30" t="s">
        <v>149</v>
      </c>
      <c r="I27" s="30">
        <v>42495.306203703702</v>
      </c>
      <c r="J27" s="61">
        <v>0</v>
      </c>
      <c r="K27" s="61" t="str">
        <f t="shared" si="0"/>
        <v>4027/4028</v>
      </c>
      <c r="L27" s="61" t="str">
        <f>VLOOKUP(A27,'Trips&amp;Operators'!$C$1:$E$9999,3,FALSE)</f>
        <v>BRUDER</v>
      </c>
      <c r="M27" s="12">
        <f t="shared" si="1"/>
        <v>2.8993055551836733E-2</v>
      </c>
      <c r="N27" s="13">
        <f t="shared" si="2"/>
        <v>41.749999994644895</v>
      </c>
      <c r="O27" s="13"/>
      <c r="P27" s="13"/>
      <c r="Q27" s="62"/>
      <c r="R27" s="62"/>
      <c r="T2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06:35:30-0600',mode:absolute,to:'2016-05-05 07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7" s="75" t="str">
        <f t="shared" si="16"/>
        <v>N</v>
      </c>
      <c r="V27" s="75">
        <f t="shared" si="17"/>
        <v>1</v>
      </c>
      <c r="W27" s="75">
        <f t="shared" si="18"/>
        <v>4.53E-2</v>
      </c>
      <c r="X27" s="75">
        <f t="shared" si="19"/>
        <v>23.329699999999999</v>
      </c>
      <c r="Y27" s="75">
        <f t="shared" si="20"/>
        <v>23.284399999999998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246</v>
      </c>
      <c r="B28" s="61">
        <v>4028</v>
      </c>
      <c r="C28" s="61" t="s">
        <v>148</v>
      </c>
      <c r="D28" s="61" t="s">
        <v>177</v>
      </c>
      <c r="E28" s="30">
        <v>42495.313171296293</v>
      </c>
      <c r="F28" s="30">
        <v>42495.315671296295</v>
      </c>
      <c r="G28" s="38">
        <v>3</v>
      </c>
      <c r="H28" s="30" t="s">
        <v>416</v>
      </c>
      <c r="I28" s="30">
        <v>42495.345833333333</v>
      </c>
      <c r="J28" s="61">
        <v>0</v>
      </c>
      <c r="K28" s="61" t="str">
        <f t="shared" si="0"/>
        <v>4027/4028</v>
      </c>
      <c r="L28" s="61" t="str">
        <f>VLOOKUP(A28,'Trips&amp;Operators'!$C$1:$E$9999,3,FALSE)</f>
        <v>BRUDER</v>
      </c>
      <c r="M28" s="12">
        <f t="shared" si="1"/>
        <v>3.0162037037371192E-2</v>
      </c>
      <c r="N28" s="13">
        <f t="shared" si="2"/>
        <v>43.433333333814517</v>
      </c>
      <c r="O28" s="13"/>
      <c r="P28" s="13"/>
      <c r="Q28" s="62"/>
      <c r="R28" s="62"/>
      <c r="T2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07:29:58-0600',mode:absolute,to:'2016-05-05 08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8" s="75" t="str">
        <f t="shared" si="16"/>
        <v>N</v>
      </c>
      <c r="V28" s="75">
        <f t="shared" si="17"/>
        <v>1</v>
      </c>
      <c r="W28" s="75">
        <f t="shared" si="18"/>
        <v>23.2989</v>
      </c>
      <c r="X28" s="75">
        <f t="shared" si="19"/>
        <v>1.4999999999999999E-2</v>
      </c>
      <c r="Y28" s="75">
        <f t="shared" si="20"/>
        <v>23.283899999999999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248</v>
      </c>
      <c r="B29" s="61">
        <v>4044</v>
      </c>
      <c r="C29" s="61" t="s">
        <v>148</v>
      </c>
      <c r="D29" s="61" t="s">
        <v>424</v>
      </c>
      <c r="E29" s="30">
        <v>42495.286458333336</v>
      </c>
      <c r="F29" s="30">
        <v>42495.287511574075</v>
      </c>
      <c r="G29" s="38">
        <v>1</v>
      </c>
      <c r="H29" s="30" t="s">
        <v>215</v>
      </c>
      <c r="I29" s="30">
        <v>42495.316967592589</v>
      </c>
      <c r="J29" s="61">
        <v>1</v>
      </c>
      <c r="K29" s="61" t="str">
        <f t="shared" si="0"/>
        <v>4043/4044</v>
      </c>
      <c r="L29" s="61" t="str">
        <f>VLOOKUP(A29,'Trips&amp;Operators'!$C$1:$E$9999,3,FALSE)</f>
        <v>LEVIN</v>
      </c>
      <c r="M29" s="12">
        <f t="shared" si="1"/>
        <v>2.9456018513883464E-2</v>
      </c>
      <c r="N29" s="13">
        <f t="shared" si="2"/>
        <v>42.416666659992188</v>
      </c>
      <c r="O29" s="13"/>
      <c r="P29" s="13"/>
      <c r="Q29" s="62"/>
      <c r="R29" s="62"/>
      <c r="T2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06:51:30-0600',mode:absolute,to:'2016-05-05 07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9" s="75" t="str">
        <f t="shared" si="16"/>
        <v>N</v>
      </c>
      <c r="V29" s="75">
        <f t="shared" si="17"/>
        <v>1</v>
      </c>
      <c r="W29" s="75">
        <f t="shared" si="18"/>
        <v>4.3700000000000003E-2</v>
      </c>
      <c r="X29" s="75">
        <f t="shared" si="19"/>
        <v>23.3337</v>
      </c>
      <c r="Y29" s="75">
        <f t="shared" si="20"/>
        <v>23.29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249</v>
      </c>
      <c r="B30" s="61">
        <v>4043</v>
      </c>
      <c r="C30" s="61" t="s">
        <v>148</v>
      </c>
      <c r="D30" s="61" t="s">
        <v>233</v>
      </c>
      <c r="E30" s="30">
        <v>42495.32271990741</v>
      </c>
      <c r="F30" s="30">
        <v>42495.323981481481</v>
      </c>
      <c r="G30" s="38">
        <v>1</v>
      </c>
      <c r="H30" s="30" t="s">
        <v>159</v>
      </c>
      <c r="I30" s="30">
        <v>42495.35633101852</v>
      </c>
      <c r="J30" s="61">
        <v>1</v>
      </c>
      <c r="K30" s="61" t="str">
        <f t="shared" si="0"/>
        <v>4043/4044</v>
      </c>
      <c r="L30" s="61" t="str">
        <f>VLOOKUP(A30,'Trips&amp;Operators'!$C$1:$E$9999,3,FALSE)</f>
        <v>LEVIN</v>
      </c>
      <c r="M30" s="12">
        <f t="shared" si="1"/>
        <v>3.234953703940846E-2</v>
      </c>
      <c r="N30" s="13">
        <f t="shared" si="2"/>
        <v>46.583333336748183</v>
      </c>
      <c r="O30" s="13"/>
      <c r="P30" s="13"/>
      <c r="Q30" s="62"/>
      <c r="R30" s="62"/>
      <c r="T3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07:43:43-0600',mode:absolute,to:'2016-05-05 08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0" s="75" t="str">
        <f t="shared" si="16"/>
        <v>N</v>
      </c>
      <c r="V30" s="75">
        <f t="shared" si="17"/>
        <v>1</v>
      </c>
      <c r="W30" s="75">
        <f t="shared" si="18"/>
        <v>23.2988</v>
      </c>
      <c r="X30" s="75">
        <f t="shared" si="19"/>
        <v>1.67E-2</v>
      </c>
      <c r="Y30" s="75">
        <f t="shared" si="20"/>
        <v>23.2821</v>
      </c>
      <c r="Z30" s="76">
        <f>VLOOKUP(A30,Enforcements!$C$3:$J$26,8,0)</f>
        <v>191723</v>
      </c>
      <c r="AA30" s="76" t="str">
        <f>VLOOKUP(A30,Enforcements!$C$3:$J$26,3,0)</f>
        <v>SIGNAL</v>
      </c>
    </row>
    <row r="31" spans="1:27" s="2" customFormat="1" x14ac:dyDescent="0.25">
      <c r="A31" s="61" t="s">
        <v>257</v>
      </c>
      <c r="B31" s="61">
        <v>4029</v>
      </c>
      <c r="C31" s="61" t="s">
        <v>148</v>
      </c>
      <c r="D31" s="61" t="s">
        <v>425</v>
      </c>
      <c r="E31" s="30">
        <v>42495.300092592595</v>
      </c>
      <c r="F31" s="30">
        <v>42495.301238425927</v>
      </c>
      <c r="G31" s="38">
        <v>1</v>
      </c>
      <c r="H31" s="30" t="s">
        <v>426</v>
      </c>
      <c r="I31" s="30">
        <v>42495.327280092592</v>
      </c>
      <c r="J31" s="61">
        <v>0</v>
      </c>
      <c r="K31" s="61" t="str">
        <f t="shared" si="0"/>
        <v>4029/4030</v>
      </c>
      <c r="L31" s="61" t="str">
        <f>VLOOKUP(A31,'Trips&amp;Operators'!$C$1:$E$9999,3,FALSE)</f>
        <v>MALAVE</v>
      </c>
      <c r="M31" s="12">
        <f t="shared" si="1"/>
        <v>2.6041666664241347E-2</v>
      </c>
      <c r="N31" s="13">
        <f t="shared" si="2"/>
        <v>37.49999999650754</v>
      </c>
      <c r="O31" s="13"/>
      <c r="P31" s="13"/>
      <c r="Q31" s="62"/>
      <c r="R31" s="62"/>
      <c r="T3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https://search-rtdc-monitor-bjffxe2xuh6vdkpspy63sjmuny.us-east-1.es.amazonaws.com/_plugin/kibana/#/discover/Steve-Slow-Train-Analysis-(2080s-and-2083s)?_g=(refreshInterval:(display:Off,section:0,value:0),time:(from:'2016-05-05 07:11:08-0600',mode:absolute,to:'2016-05-05 07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1" s="75" t="str">
        <f t="shared" si="16"/>
        <v>N</v>
      </c>
      <c r="V31" s="75">
        <f t="shared" si="17"/>
        <v>1</v>
      </c>
      <c r="W31" s="75">
        <f t="shared" si="18"/>
        <v>4.9799999999999997E-2</v>
      </c>
      <c r="X31" s="75">
        <f t="shared" si="19"/>
        <v>23.329799999999999</v>
      </c>
      <c r="Y31" s="75">
        <f t="shared" si="20"/>
        <v>23.279999999999998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241</v>
      </c>
      <c r="B32" s="61">
        <v>4030</v>
      </c>
      <c r="C32" s="61" t="s">
        <v>148</v>
      </c>
      <c r="D32" s="61" t="s">
        <v>196</v>
      </c>
      <c r="E32" s="30">
        <v>42495.340960648151</v>
      </c>
      <c r="F32" s="30">
        <v>42495.341909722221</v>
      </c>
      <c r="G32" s="38">
        <v>1</v>
      </c>
      <c r="H32" s="30" t="s">
        <v>427</v>
      </c>
      <c r="I32" s="30">
        <v>42495.366875</v>
      </c>
      <c r="J32" s="61">
        <v>1</v>
      </c>
      <c r="K32" s="61" t="str">
        <f t="shared" si="0"/>
        <v>4029/4030</v>
      </c>
      <c r="L32" s="61" t="str">
        <f>VLOOKUP(A32,'Trips&amp;Operators'!$C$1:$E$9999,3,FALSE)</f>
        <v>MALAVE</v>
      </c>
      <c r="M32" s="12">
        <f t="shared" si="1"/>
        <v>2.4965277778392192E-2</v>
      </c>
      <c r="N32" s="13">
        <f t="shared" si="2"/>
        <v>35.950000000884756</v>
      </c>
      <c r="O32" s="13"/>
      <c r="P32" s="13"/>
      <c r="Q32" s="62"/>
      <c r="R32" s="62"/>
      <c r="T3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08:09:59-0600',mode:absolute,to:'2016-05-05 08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2" s="75" t="str">
        <f t="shared" si="9"/>
        <v>N</v>
      </c>
      <c r="V32" s="75">
        <f t="shared" si="17"/>
        <v>1</v>
      </c>
      <c r="W32" s="75">
        <f t="shared" si="10"/>
        <v>23.299800000000001</v>
      </c>
      <c r="X32" s="75">
        <f t="shared" si="11"/>
        <v>4.9500000000000002E-2</v>
      </c>
      <c r="Y32" s="75">
        <f t="shared" si="12"/>
        <v>23.250300000000003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244</v>
      </c>
      <c r="B33" s="61">
        <v>4020</v>
      </c>
      <c r="C33" s="61" t="s">
        <v>148</v>
      </c>
      <c r="D33" s="61" t="s">
        <v>209</v>
      </c>
      <c r="E33" s="30">
        <v>42495.310729166667</v>
      </c>
      <c r="F33" s="30">
        <v>42495.312280092592</v>
      </c>
      <c r="G33" s="38">
        <v>2</v>
      </c>
      <c r="H33" s="30" t="s">
        <v>428</v>
      </c>
      <c r="I33" s="30">
        <v>42495.338217592594</v>
      </c>
      <c r="J33" s="61">
        <v>0</v>
      </c>
      <c r="K33" s="61" t="str">
        <f t="shared" si="0"/>
        <v>4019/4020</v>
      </c>
      <c r="L33" s="61" t="str">
        <f>VLOOKUP(A33,'Trips&amp;Operators'!$C$1:$E$9999,3,FALSE)</f>
        <v>STARKS</v>
      </c>
      <c r="M33" s="12">
        <f t="shared" si="1"/>
        <v>2.5937500002328306E-2</v>
      </c>
      <c r="N33" s="13">
        <f t="shared" si="2"/>
        <v>37.350000003352761</v>
      </c>
      <c r="O33" s="13"/>
      <c r="P33" s="13"/>
      <c r="Q33" s="62"/>
      <c r="R33" s="62"/>
      <c r="T3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07:26:27-0600',mode:absolute,to:'2016-05-05 08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3" s="75" t="str">
        <f t="shared" si="9"/>
        <v>N</v>
      </c>
      <c r="V33" s="75">
        <f t="shared" si="17"/>
        <v>1</v>
      </c>
      <c r="W33" s="75">
        <f t="shared" si="10"/>
        <v>4.7699999999999999E-2</v>
      </c>
      <c r="X33" s="75">
        <f t="shared" si="11"/>
        <v>23.332000000000001</v>
      </c>
      <c r="Y33" s="75">
        <f t="shared" si="12"/>
        <v>23.284300000000002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252</v>
      </c>
      <c r="B34" s="61">
        <v>4019</v>
      </c>
      <c r="C34" s="61" t="s">
        <v>148</v>
      </c>
      <c r="D34" s="61" t="s">
        <v>429</v>
      </c>
      <c r="E34" s="30">
        <v>42495.349629629629</v>
      </c>
      <c r="F34" s="30">
        <v>42495.350636574076</v>
      </c>
      <c r="G34" s="38">
        <v>1</v>
      </c>
      <c r="H34" s="30" t="s">
        <v>164</v>
      </c>
      <c r="I34" s="30">
        <v>42495.378483796296</v>
      </c>
      <c r="J34" s="61">
        <v>2</v>
      </c>
      <c r="K34" s="61" t="str">
        <f t="shared" si="0"/>
        <v>4019/4020</v>
      </c>
      <c r="L34" s="61" t="str">
        <f>VLOOKUP(A34,'Trips&amp;Operators'!$C$1:$E$9999,3,FALSE)</f>
        <v>STARKS</v>
      </c>
      <c r="M34" s="12">
        <f t="shared" si="1"/>
        <v>2.7847222219861578E-2</v>
      </c>
      <c r="N34" s="13">
        <f t="shared" si="2"/>
        <v>40.099999996600673</v>
      </c>
      <c r="O34" s="13"/>
      <c r="P34" s="13"/>
      <c r="Q34" s="62"/>
      <c r="R34" s="62"/>
      <c r="T3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08:22:28-0600',mode:absolute,to:'2016-05-05 09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4" s="75" t="str">
        <f t="shared" si="9"/>
        <v>N</v>
      </c>
      <c r="V34" s="75">
        <f t="shared" si="17"/>
        <v>1</v>
      </c>
      <c r="W34" s="75">
        <f t="shared" si="10"/>
        <v>23.300899999999999</v>
      </c>
      <c r="X34" s="75">
        <f t="shared" si="11"/>
        <v>1.49E-2</v>
      </c>
      <c r="Y34" s="75">
        <f t="shared" si="12"/>
        <v>23.285999999999998</v>
      </c>
      <c r="Z34" s="76">
        <f>VLOOKUP(A34,Enforcements!$C$3:$J$26,8,0)</f>
        <v>119716</v>
      </c>
      <c r="AA34" s="76" t="str">
        <f>VLOOKUP(A34,Enforcements!$C$3:$J$26,3,0)</f>
        <v>PERMANENT SPEED RESTRICTION</v>
      </c>
    </row>
    <row r="35" spans="1:27" s="2" customFormat="1" x14ac:dyDescent="0.25">
      <c r="A35" s="61" t="s">
        <v>253</v>
      </c>
      <c r="B35" s="61">
        <v>4018</v>
      </c>
      <c r="C35" s="61" t="s">
        <v>148</v>
      </c>
      <c r="D35" s="61" t="s">
        <v>190</v>
      </c>
      <c r="E35" s="30">
        <v>42495.320636574077</v>
      </c>
      <c r="F35" s="30">
        <v>42495.321782407409</v>
      </c>
      <c r="G35" s="38">
        <v>1</v>
      </c>
      <c r="H35" s="30" t="s">
        <v>172</v>
      </c>
      <c r="I35" s="30">
        <v>42495.349537037036</v>
      </c>
      <c r="J35" s="61">
        <v>0</v>
      </c>
      <c r="K35" s="61" t="str">
        <f t="shared" si="0"/>
        <v>4017/4018</v>
      </c>
      <c r="L35" s="61" t="str">
        <f>VLOOKUP(A35,'Trips&amp;Operators'!$C$1:$E$9999,3,FALSE)</f>
        <v>CHANDLER</v>
      </c>
      <c r="M35" s="12">
        <f t="shared" si="1"/>
        <v>2.7754629627452232E-2</v>
      </c>
      <c r="N35" s="13">
        <f t="shared" si="2"/>
        <v>39.966666663531214</v>
      </c>
      <c r="O35" s="13"/>
      <c r="P35" s="13"/>
      <c r="Q35" s="62"/>
      <c r="R35" s="62"/>
      <c r="T3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07:40:43-0600',mode:absolute,to:'2016-05-05 08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5" s="75" t="str">
        <f t="shared" si="9"/>
        <v>N</v>
      </c>
      <c r="V35" s="75">
        <f t="shared" si="17"/>
        <v>1</v>
      </c>
      <c r="W35" s="75">
        <f t="shared" si="10"/>
        <v>4.5100000000000001E-2</v>
      </c>
      <c r="X35" s="75">
        <f t="shared" si="11"/>
        <v>23.3306</v>
      </c>
      <c r="Y35" s="75">
        <f t="shared" si="12"/>
        <v>23.285499999999999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247</v>
      </c>
      <c r="B36" s="61">
        <v>4017</v>
      </c>
      <c r="C36" s="61" t="s">
        <v>148</v>
      </c>
      <c r="D36" s="61" t="s">
        <v>430</v>
      </c>
      <c r="E36" s="30">
        <v>42495.35497685185</v>
      </c>
      <c r="F36" s="30">
        <v>42495.356099537035</v>
      </c>
      <c r="G36" s="38">
        <v>1</v>
      </c>
      <c r="H36" s="30" t="s">
        <v>219</v>
      </c>
      <c r="I36" s="30">
        <v>42495.388506944444</v>
      </c>
      <c r="J36" s="61">
        <v>0</v>
      </c>
      <c r="K36" s="61" t="str">
        <f t="shared" si="0"/>
        <v>4017/4018</v>
      </c>
      <c r="L36" s="61" t="str">
        <f>VLOOKUP(A36,'Trips&amp;Operators'!$C$1:$E$9999,3,FALSE)</f>
        <v>CHANDLER</v>
      </c>
      <c r="M36" s="12">
        <f t="shared" si="1"/>
        <v>3.2407407408754807E-2</v>
      </c>
      <c r="N36" s="13">
        <f t="shared" si="2"/>
        <v>46.666666668606922</v>
      </c>
      <c r="O36" s="13"/>
      <c r="P36" s="13"/>
      <c r="Q36" s="62"/>
      <c r="R36" s="62"/>
      <c r="T3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08:30:10-0600',mode:absolute,to:'2016-05-05 09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6" s="75" t="str">
        <f t="shared" si="9"/>
        <v>N</v>
      </c>
      <c r="V36" s="75">
        <f t="shared" si="17"/>
        <v>1</v>
      </c>
      <c r="W36" s="75">
        <f t="shared" si="10"/>
        <v>23.298300000000001</v>
      </c>
      <c r="X36" s="75">
        <f t="shared" si="11"/>
        <v>1.2999999999999999E-2</v>
      </c>
      <c r="Y36" s="75">
        <f t="shared" si="12"/>
        <v>23.285299999999999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250</v>
      </c>
      <c r="B37" s="61">
        <v>4014</v>
      </c>
      <c r="C37" s="61" t="s">
        <v>148</v>
      </c>
      <c r="D37" s="61" t="s">
        <v>190</v>
      </c>
      <c r="E37" s="30">
        <v>42495.328425925924</v>
      </c>
      <c r="F37" s="30">
        <v>42495.334131944444</v>
      </c>
      <c r="G37" s="38">
        <v>1</v>
      </c>
      <c r="H37" s="30" t="s">
        <v>194</v>
      </c>
      <c r="I37" s="30">
        <v>42495.371504629627</v>
      </c>
      <c r="J37" s="61">
        <v>0</v>
      </c>
      <c r="K37" s="61" t="str">
        <f t="shared" si="0"/>
        <v>4013/4014</v>
      </c>
      <c r="L37" s="61" t="str">
        <f>VLOOKUP(A37,'Trips&amp;Operators'!$C$1:$E$9999,3,FALSE)</f>
        <v>COOPER</v>
      </c>
      <c r="M37" s="12">
        <f t="shared" si="1"/>
        <v>3.7372685183072463E-2</v>
      </c>
      <c r="N37" s="13">
        <f t="shared" si="2"/>
        <v>53.816666663624346</v>
      </c>
      <c r="O37" s="13"/>
      <c r="P37" s="13"/>
      <c r="Q37" s="62"/>
      <c r="R37" s="62" t="s">
        <v>488</v>
      </c>
      <c r="T3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07:51:56-0600',mode:absolute,to:'2016-05-05 08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7" s="75" t="str">
        <f t="shared" si="9"/>
        <v>N</v>
      </c>
      <c r="V37" s="75">
        <f t="shared" si="17"/>
        <v>1</v>
      </c>
      <c r="W37" s="75">
        <f t="shared" si="10"/>
        <v>4.5100000000000001E-2</v>
      </c>
      <c r="X37" s="75">
        <f t="shared" si="11"/>
        <v>23.3307</v>
      </c>
      <c r="Y37" s="75">
        <f t="shared" si="12"/>
        <v>23.285599999999999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382</v>
      </c>
      <c r="B38" s="61">
        <v>4013</v>
      </c>
      <c r="C38" s="61" t="s">
        <v>148</v>
      </c>
      <c r="D38" s="61" t="s">
        <v>423</v>
      </c>
      <c r="E38" s="30">
        <v>42495.369155092594</v>
      </c>
      <c r="F38" s="30">
        <v>42495.370185185187</v>
      </c>
      <c r="G38" s="38">
        <v>1</v>
      </c>
      <c r="H38" s="30" t="s">
        <v>416</v>
      </c>
      <c r="I38" s="30">
        <v>42495.398414351854</v>
      </c>
      <c r="J38" s="61">
        <v>1</v>
      </c>
      <c r="K38" s="61" t="str">
        <f t="shared" si="0"/>
        <v>4013/4014</v>
      </c>
      <c r="L38" s="61" t="str">
        <f>VLOOKUP(A38,'Trips&amp;Operators'!$C$1:$E$9999,3,FALSE)</f>
        <v>COOPER</v>
      </c>
      <c r="M38" s="12">
        <f t="shared" si="1"/>
        <v>2.8229166666278616E-2</v>
      </c>
      <c r="N38" s="13">
        <f t="shared" si="2"/>
        <v>40.649999999441206</v>
      </c>
      <c r="O38" s="13"/>
      <c r="P38" s="13"/>
      <c r="Q38" s="62"/>
      <c r="R38" s="62"/>
      <c r="T3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08:50:35-0600',mode:absolute,to:'2016-05-05 09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8" s="75" t="str">
        <f t="shared" si="9"/>
        <v>N</v>
      </c>
      <c r="V38" s="75">
        <f t="shared" si="17"/>
        <v>1</v>
      </c>
      <c r="W38" s="75">
        <f t="shared" si="10"/>
        <v>23.297499999999999</v>
      </c>
      <c r="X38" s="75">
        <f t="shared" si="11"/>
        <v>1.4999999999999999E-2</v>
      </c>
      <c r="Y38" s="75">
        <f t="shared" si="12"/>
        <v>23.282499999999999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255</v>
      </c>
      <c r="B39" s="61">
        <v>4011</v>
      </c>
      <c r="C39" s="61" t="s">
        <v>148</v>
      </c>
      <c r="D39" s="61" t="s">
        <v>186</v>
      </c>
      <c r="E39" s="30">
        <v>42495.33792824074</v>
      </c>
      <c r="F39" s="30">
        <v>42495.33898148148</v>
      </c>
      <c r="G39" s="38">
        <v>1</v>
      </c>
      <c r="H39" s="30" t="s">
        <v>204</v>
      </c>
      <c r="I39" s="30">
        <v>42495.369988425926</v>
      </c>
      <c r="J39" s="61">
        <v>1</v>
      </c>
      <c r="K39" s="61" t="str">
        <f t="shared" si="0"/>
        <v>4011/4012</v>
      </c>
      <c r="L39" s="61" t="str">
        <f>VLOOKUP(A39,'Trips&amp;Operators'!$C$1:$E$9999,3,FALSE)</f>
        <v>NEWELL</v>
      </c>
      <c r="M39" s="12">
        <f t="shared" si="1"/>
        <v>3.1006944445834961E-2</v>
      </c>
      <c r="N39" s="13">
        <f t="shared" si="2"/>
        <v>44.650000002002344</v>
      </c>
      <c r="O39" s="13"/>
      <c r="P39" s="13"/>
      <c r="Q39" s="62"/>
      <c r="R39" s="62"/>
      <c r="T3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08:05:37-0600',mode:absolute,to:'2016-05-05 08:53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9" s="75" t="str">
        <f t="shared" si="9"/>
        <v>N</v>
      </c>
      <c r="V39" s="75">
        <f t="shared" si="17"/>
        <v>1</v>
      </c>
      <c r="W39" s="75">
        <f t="shared" si="10"/>
        <v>4.7100000000000003E-2</v>
      </c>
      <c r="X39" s="75">
        <f t="shared" si="11"/>
        <v>23.331199999999999</v>
      </c>
      <c r="Y39" s="75">
        <f t="shared" si="12"/>
        <v>23.284099999999999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366</v>
      </c>
      <c r="B40" s="61">
        <v>4012</v>
      </c>
      <c r="C40" s="61" t="s">
        <v>148</v>
      </c>
      <c r="D40" s="61" t="s">
        <v>431</v>
      </c>
      <c r="E40" s="30">
        <v>42495.373148148145</v>
      </c>
      <c r="F40" s="30">
        <v>42495.374027777776</v>
      </c>
      <c r="G40" s="38">
        <v>1</v>
      </c>
      <c r="H40" s="30" t="s">
        <v>164</v>
      </c>
      <c r="I40" s="30">
        <v>42495.40824074074</v>
      </c>
      <c r="J40" s="61">
        <v>0</v>
      </c>
      <c r="K40" s="61" t="str">
        <f t="shared" si="0"/>
        <v>4011/4012</v>
      </c>
      <c r="L40" s="61" t="str">
        <f>VLOOKUP(A40,'Trips&amp;Operators'!$C$1:$E$9999,3,FALSE)</f>
        <v>NEWELL</v>
      </c>
      <c r="M40" s="12">
        <f t="shared" si="1"/>
        <v>3.4212962964375038E-2</v>
      </c>
      <c r="N40" s="13">
        <f t="shared" si="2"/>
        <v>49.266666668700054</v>
      </c>
      <c r="O40" s="13"/>
      <c r="P40" s="13"/>
      <c r="Q40" s="62"/>
      <c r="R40" s="62"/>
      <c r="T4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08:56:20-0600',mode:absolute,to:'2016-05-05 09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0" s="75" t="str">
        <f t="shared" si="9"/>
        <v>N</v>
      </c>
      <c r="V40" s="75">
        <f t="shared" si="17"/>
        <v>1</v>
      </c>
      <c r="W40" s="75">
        <f t="shared" si="10"/>
        <v>23.298100000000002</v>
      </c>
      <c r="X40" s="75">
        <f t="shared" si="11"/>
        <v>1.49E-2</v>
      </c>
      <c r="Y40" s="75">
        <f t="shared" si="12"/>
        <v>23.283200000000001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245</v>
      </c>
      <c r="B41" s="61">
        <v>4027</v>
      </c>
      <c r="C41" s="61" t="s">
        <v>148</v>
      </c>
      <c r="D41" s="61" t="s">
        <v>175</v>
      </c>
      <c r="E41" s="30">
        <v>42495.34710648148</v>
      </c>
      <c r="F41" s="30">
        <v>42495.348171296297</v>
      </c>
      <c r="G41" s="38">
        <v>1</v>
      </c>
      <c r="H41" s="30" t="s">
        <v>422</v>
      </c>
      <c r="I41" s="30">
        <v>42495.378888888888</v>
      </c>
      <c r="J41" s="61">
        <v>0</v>
      </c>
      <c r="K41" s="61" t="str">
        <f t="shared" si="0"/>
        <v>4027/4028</v>
      </c>
      <c r="L41" s="61" t="str">
        <f>VLOOKUP(A41,'Trips&amp;Operators'!$C$1:$E$9999,3,FALSE)</f>
        <v>BRUDER</v>
      </c>
      <c r="M41" s="12">
        <f t="shared" si="1"/>
        <v>3.071759259182727E-2</v>
      </c>
      <c r="N41" s="13">
        <f t="shared" si="2"/>
        <v>44.233333332231268</v>
      </c>
      <c r="O41" s="13"/>
      <c r="P41" s="13"/>
      <c r="Q41" s="62"/>
      <c r="R41" s="62"/>
      <c r="T4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08:18:50-0600',mode:absolute,to:'2016-05-05 09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1" s="75" t="str">
        <f t="shared" si="9"/>
        <v>N</v>
      </c>
      <c r="V41" s="75">
        <f t="shared" si="17"/>
        <v>1</v>
      </c>
      <c r="W41" s="75">
        <f t="shared" si="10"/>
        <v>4.4900000000000002E-2</v>
      </c>
      <c r="X41" s="75">
        <f t="shared" si="11"/>
        <v>23.330100000000002</v>
      </c>
      <c r="Y41" s="75">
        <f t="shared" si="12"/>
        <v>23.285200000000003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374</v>
      </c>
      <c r="B42" s="61">
        <v>4028</v>
      </c>
      <c r="C42" s="61" t="s">
        <v>148</v>
      </c>
      <c r="D42" s="61" t="s">
        <v>160</v>
      </c>
      <c r="E42" s="30">
        <v>42495.385578703703</v>
      </c>
      <c r="F42" s="30">
        <v>42495.389768518522</v>
      </c>
      <c r="G42" s="38">
        <v>6</v>
      </c>
      <c r="H42" s="30" t="s">
        <v>185</v>
      </c>
      <c r="I42" s="30">
        <v>42495.418807870374</v>
      </c>
      <c r="J42" s="61">
        <v>1</v>
      </c>
      <c r="K42" s="61" t="str">
        <f t="shared" si="0"/>
        <v>4027/4028</v>
      </c>
      <c r="L42" s="61" t="str">
        <f>VLOOKUP(A42,'Trips&amp;Operators'!$C$1:$E$9999,3,FALSE)</f>
        <v>BRUDER</v>
      </c>
      <c r="M42" s="12">
        <f t="shared" si="1"/>
        <v>2.9039351851679385E-2</v>
      </c>
      <c r="N42" s="13">
        <f t="shared" si="2"/>
        <v>41.816666666418314</v>
      </c>
      <c r="O42" s="13"/>
      <c r="P42" s="13"/>
      <c r="Q42" s="62"/>
      <c r="R42" s="62"/>
      <c r="T4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09:14:14-0600',mode:absolute,to:'2016-05-05 10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2" s="75" t="str">
        <f t="shared" si="9"/>
        <v>N</v>
      </c>
      <c r="V42" s="75">
        <f t="shared" si="17"/>
        <v>1</v>
      </c>
      <c r="W42" s="75">
        <f t="shared" si="10"/>
        <v>23.297799999999999</v>
      </c>
      <c r="X42" s="75">
        <f t="shared" si="11"/>
        <v>1.38E-2</v>
      </c>
      <c r="Y42" s="75">
        <f t="shared" si="12"/>
        <v>23.283999999999999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256</v>
      </c>
      <c r="B43" s="61">
        <v>4044</v>
      </c>
      <c r="C43" s="61" t="s">
        <v>148</v>
      </c>
      <c r="D43" s="61" t="s">
        <v>179</v>
      </c>
      <c r="E43" s="30">
        <v>42495.360034722224</v>
      </c>
      <c r="F43" s="30">
        <v>42495.361006944448</v>
      </c>
      <c r="G43" s="38">
        <v>1</v>
      </c>
      <c r="H43" s="30" t="s">
        <v>172</v>
      </c>
      <c r="I43" s="30">
        <v>42495.389317129629</v>
      </c>
      <c r="J43" s="61">
        <v>0</v>
      </c>
      <c r="K43" s="61" t="str">
        <f t="shared" si="0"/>
        <v>4043/4044</v>
      </c>
      <c r="L43" s="61" t="str">
        <f>VLOOKUP(A43,'Trips&amp;Operators'!$C$1:$E$9999,3,FALSE)</f>
        <v>LEVIN</v>
      </c>
      <c r="M43" s="12">
        <f t="shared" si="1"/>
        <v>2.8310185181908309E-2</v>
      </c>
      <c r="N43" s="13">
        <f t="shared" si="2"/>
        <v>40.766666661947966</v>
      </c>
      <c r="O43" s="13"/>
      <c r="P43" s="13"/>
      <c r="Q43" s="62"/>
      <c r="R43" s="62"/>
      <c r="T4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08:37:27-0600',mode:absolute,to:'2016-05-05 09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3" s="75" t="str">
        <f t="shared" si="9"/>
        <v>N</v>
      </c>
      <c r="V43" s="75">
        <f t="shared" si="17"/>
        <v>1</v>
      </c>
      <c r="W43" s="75">
        <f t="shared" si="10"/>
        <v>4.4400000000000002E-2</v>
      </c>
      <c r="X43" s="75">
        <f t="shared" si="11"/>
        <v>23.3306</v>
      </c>
      <c r="Y43" s="75">
        <f t="shared" si="12"/>
        <v>23.286200000000001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291</v>
      </c>
      <c r="B44" s="61">
        <v>4043</v>
      </c>
      <c r="C44" s="61" t="s">
        <v>148</v>
      </c>
      <c r="D44" s="61" t="s">
        <v>169</v>
      </c>
      <c r="E44" s="30">
        <v>42495.395937499998</v>
      </c>
      <c r="F44" s="30">
        <v>42495.396782407406</v>
      </c>
      <c r="G44" s="38">
        <v>1</v>
      </c>
      <c r="H44" s="30" t="s">
        <v>415</v>
      </c>
      <c r="I44" s="30">
        <v>42495.429236111115</v>
      </c>
      <c r="J44" s="61">
        <v>0</v>
      </c>
      <c r="K44" s="61" t="str">
        <f t="shared" si="0"/>
        <v>4043/4044</v>
      </c>
      <c r="L44" s="61" t="str">
        <f>VLOOKUP(A44,'Trips&amp;Operators'!$C$1:$E$9999,3,FALSE)</f>
        <v>LEVIN</v>
      </c>
      <c r="M44" s="12">
        <f t="shared" si="1"/>
        <v>3.2453703708597459E-2</v>
      </c>
      <c r="N44" s="13">
        <f t="shared" si="2"/>
        <v>46.733333340380341</v>
      </c>
      <c r="O44" s="13"/>
      <c r="P44" s="13"/>
      <c r="Q44" s="62"/>
      <c r="R44" s="62"/>
      <c r="T4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09:29:09-0600',mode:absolute,to:'2016-05-05 10:19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4" s="75" t="str">
        <f t="shared" si="9"/>
        <v>N</v>
      </c>
      <c r="V44" s="75">
        <f t="shared" si="17"/>
        <v>1</v>
      </c>
      <c r="W44" s="75">
        <f t="shared" si="10"/>
        <v>23.299099999999999</v>
      </c>
      <c r="X44" s="75">
        <f t="shared" si="11"/>
        <v>1.41E-2</v>
      </c>
      <c r="Y44" s="75">
        <f t="shared" si="12"/>
        <v>23.285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373</v>
      </c>
      <c r="B45" s="61">
        <v>4029</v>
      </c>
      <c r="C45" s="61" t="s">
        <v>148</v>
      </c>
      <c r="D45" s="61" t="s">
        <v>432</v>
      </c>
      <c r="E45" s="30">
        <v>42495.374282407407</v>
      </c>
      <c r="F45" s="30">
        <v>42495.374895833331</v>
      </c>
      <c r="G45" s="38">
        <v>0</v>
      </c>
      <c r="H45" s="30" t="s">
        <v>194</v>
      </c>
      <c r="I45" s="30">
        <v>42495.400185185186</v>
      </c>
      <c r="J45" s="61">
        <v>0</v>
      </c>
      <c r="K45" s="61" t="str">
        <f t="shared" si="0"/>
        <v>4029/4030</v>
      </c>
      <c r="L45" s="61" t="str">
        <f>VLOOKUP(A45,'Trips&amp;Operators'!$C$1:$E$9999,3,FALSE)</f>
        <v>MALAVE</v>
      </c>
      <c r="M45" s="12">
        <f t="shared" si="1"/>
        <v>2.5289351855462883E-2</v>
      </c>
      <c r="N45" s="13">
        <f t="shared" si="2"/>
        <v>36.416666671866551</v>
      </c>
      <c r="O45" s="13"/>
      <c r="P45" s="13"/>
      <c r="Q45" s="62"/>
      <c r="R45" s="62"/>
      <c r="T4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08:57:58-0600',mode:absolute,to:'2016-05-05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5" s="75" t="str">
        <f t="shared" si="9"/>
        <v>N</v>
      </c>
      <c r="V45" s="75">
        <f t="shared" si="17"/>
        <v>1</v>
      </c>
      <c r="W45" s="75">
        <f t="shared" si="10"/>
        <v>6.5199999999999994E-2</v>
      </c>
      <c r="X45" s="75">
        <f t="shared" si="11"/>
        <v>23.3307</v>
      </c>
      <c r="Y45" s="75">
        <f t="shared" si="12"/>
        <v>23.265499999999999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349</v>
      </c>
      <c r="B46" s="61">
        <v>4030</v>
      </c>
      <c r="C46" s="61" t="s">
        <v>148</v>
      </c>
      <c r="D46" s="61" t="s">
        <v>228</v>
      </c>
      <c r="E46" s="30">
        <v>42495.411805555559</v>
      </c>
      <c r="F46" s="30">
        <v>42495.412789351853</v>
      </c>
      <c r="G46" s="38">
        <v>1</v>
      </c>
      <c r="H46" s="30" t="s">
        <v>232</v>
      </c>
      <c r="I46" s="30">
        <v>42495.439664351848</v>
      </c>
      <c r="J46" s="61">
        <v>1</v>
      </c>
      <c r="K46" s="61" t="str">
        <f t="shared" si="0"/>
        <v>4029/4030</v>
      </c>
      <c r="L46" s="61" t="str">
        <f>VLOOKUP(A46,'Trips&amp;Operators'!$C$1:$E$9999,3,FALSE)</f>
        <v>MALAVE</v>
      </c>
      <c r="M46" s="12">
        <f t="shared" si="1"/>
        <v>2.6874999995925464E-2</v>
      </c>
      <c r="N46" s="13">
        <f t="shared" si="2"/>
        <v>38.699999994132668</v>
      </c>
      <c r="O46" s="13"/>
      <c r="P46" s="13"/>
      <c r="Q46" s="62"/>
      <c r="R46" s="62"/>
      <c r="T4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09:52:00-0600',mode:absolute,to:'2016-05-05 10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6" s="75" t="str">
        <f t="shared" si="9"/>
        <v>N</v>
      </c>
      <c r="V46" s="75">
        <f t="shared" si="17"/>
        <v>1</v>
      </c>
      <c r="W46" s="75">
        <f t="shared" si="10"/>
        <v>23.297999999999998</v>
      </c>
      <c r="X46" s="75">
        <f t="shared" si="11"/>
        <v>4.6899999999999997E-2</v>
      </c>
      <c r="Y46" s="75">
        <f t="shared" si="12"/>
        <v>23.251099999999997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262</v>
      </c>
      <c r="B47" s="61">
        <v>4020</v>
      </c>
      <c r="C47" s="61" t="s">
        <v>148</v>
      </c>
      <c r="D47" s="61" t="s">
        <v>209</v>
      </c>
      <c r="E47" s="30">
        <v>42495.382905092592</v>
      </c>
      <c r="F47" s="30">
        <v>42495.383773148147</v>
      </c>
      <c r="G47" s="38">
        <v>1</v>
      </c>
      <c r="H47" s="30" t="s">
        <v>433</v>
      </c>
      <c r="I47" s="30">
        <v>42495.410844907405</v>
      </c>
      <c r="J47" s="61">
        <v>0</v>
      </c>
      <c r="K47" s="61" t="str">
        <f t="shared" si="0"/>
        <v>4019/4020</v>
      </c>
      <c r="L47" s="61" t="str">
        <f>VLOOKUP(A47,'Trips&amp;Operators'!$C$1:$E$9999,3,FALSE)</f>
        <v>STARKS</v>
      </c>
      <c r="M47" s="12">
        <f t="shared" si="1"/>
        <v>2.7071759257523809E-2</v>
      </c>
      <c r="N47" s="13">
        <f t="shared" si="2"/>
        <v>38.983333330834284</v>
      </c>
      <c r="O47" s="13"/>
      <c r="P47" s="13"/>
      <c r="Q47" s="62"/>
      <c r="R47" s="62"/>
      <c r="T4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09:10:23-0600',mode:absolute,to:'2016-05-05 09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7" s="75" t="str">
        <f t="shared" si="9"/>
        <v>N</v>
      </c>
      <c r="V47" s="75">
        <f t="shared" si="17"/>
        <v>1</v>
      </c>
      <c r="W47" s="75">
        <f t="shared" si="10"/>
        <v>4.7699999999999999E-2</v>
      </c>
      <c r="X47" s="75">
        <f t="shared" si="11"/>
        <v>23.335899999999999</v>
      </c>
      <c r="Y47" s="75">
        <f t="shared" si="12"/>
        <v>23.2882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385</v>
      </c>
      <c r="B48" s="61">
        <v>4019</v>
      </c>
      <c r="C48" s="61" t="s">
        <v>148</v>
      </c>
      <c r="D48" s="61" t="s">
        <v>434</v>
      </c>
      <c r="E48" s="30">
        <v>42495.422638888886</v>
      </c>
      <c r="F48" s="30">
        <v>42495.423564814817</v>
      </c>
      <c r="G48" s="38">
        <v>1</v>
      </c>
      <c r="H48" s="30" t="s">
        <v>435</v>
      </c>
      <c r="I48" s="30">
        <v>42495.452777777777</v>
      </c>
      <c r="J48" s="61">
        <v>3</v>
      </c>
      <c r="K48" s="61" t="str">
        <f t="shared" si="0"/>
        <v>4019/4020</v>
      </c>
      <c r="L48" s="61" t="str">
        <f>VLOOKUP(A48,'Trips&amp;Operators'!$C$1:$E$9999,3,FALSE)</f>
        <v>STARKS</v>
      </c>
      <c r="M48" s="12">
        <f t="shared" si="1"/>
        <v>2.9212962959718425E-2</v>
      </c>
      <c r="N48" s="13">
        <f t="shared" si="2"/>
        <v>42.066666661994532</v>
      </c>
      <c r="O48" s="13"/>
      <c r="P48" s="13"/>
      <c r="Q48" s="62"/>
      <c r="R48" s="62"/>
      <c r="T4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10:07:36-0600',mode:absolute,to:'2016-05-05 10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8" s="75" t="str">
        <f t="shared" si="9"/>
        <v>N</v>
      </c>
      <c r="V48" s="75">
        <f t="shared" si="17"/>
        <v>1</v>
      </c>
      <c r="W48" s="75">
        <f t="shared" si="10"/>
        <v>23.304200000000002</v>
      </c>
      <c r="X48" s="75">
        <f t="shared" si="11"/>
        <v>1.3899999999999999E-2</v>
      </c>
      <c r="Y48" s="75">
        <f t="shared" si="12"/>
        <v>23.290300000000002</v>
      </c>
      <c r="Z48" s="76">
        <f>VLOOKUP(A48,Enforcements!$C$3:$J$26,8,0)</f>
        <v>42961</v>
      </c>
      <c r="AA48" s="76" t="str">
        <f>VLOOKUP(A48,Enforcements!$C$3:$J$26,3,0)</f>
        <v>GRADE CROSSING</v>
      </c>
    </row>
    <row r="49" spans="1:27" s="2" customFormat="1" x14ac:dyDescent="0.25">
      <c r="A49" s="61" t="s">
        <v>312</v>
      </c>
      <c r="B49" s="61">
        <v>4018</v>
      </c>
      <c r="C49" s="61" t="s">
        <v>148</v>
      </c>
      <c r="D49" s="61" t="s">
        <v>181</v>
      </c>
      <c r="E49" s="30">
        <v>42495.390150462961</v>
      </c>
      <c r="F49" s="30">
        <v>42495.391261574077</v>
      </c>
      <c r="G49" s="38">
        <v>1</v>
      </c>
      <c r="H49" s="30" t="s">
        <v>436</v>
      </c>
      <c r="I49" s="30">
        <v>42495.420787037037</v>
      </c>
      <c r="J49" s="61">
        <v>1</v>
      </c>
      <c r="K49" s="61" t="str">
        <f t="shared" ref="K49:K80" si="21">IF(ISEVEN(B49),(B49-1)&amp;"/"&amp;B49,B49&amp;"/"&amp;(B49+1))</f>
        <v>4017/4018</v>
      </c>
      <c r="L49" s="61" t="str">
        <f>VLOOKUP(A49,'Trips&amp;Operators'!$C$1:$E$9999,3,FALSE)</f>
        <v>CHANDLER</v>
      </c>
      <c r="M49" s="12">
        <f t="shared" ref="M49:M80" si="22">I49-F49</f>
        <v>2.9525462960009463E-2</v>
      </c>
      <c r="N49" s="13">
        <f t="shared" si="2"/>
        <v>42.516666662413627</v>
      </c>
      <c r="O49" s="13"/>
      <c r="P49" s="13"/>
      <c r="Q49" s="62"/>
      <c r="R49" s="62"/>
      <c r="T4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09:20:49-0600',mode:absolute,to:'2016-05-05 10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9" s="75" t="str">
        <f t="shared" si="9"/>
        <v>N</v>
      </c>
      <c r="V49" s="75">
        <f t="shared" si="17"/>
        <v>1</v>
      </c>
      <c r="W49" s="75">
        <f t="shared" si="10"/>
        <v>4.4699999999999997E-2</v>
      </c>
      <c r="X49" s="75">
        <f t="shared" si="11"/>
        <v>23.331600000000002</v>
      </c>
      <c r="Y49" s="75">
        <f t="shared" si="12"/>
        <v>23.286900000000003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399</v>
      </c>
      <c r="B50" s="61">
        <v>4017</v>
      </c>
      <c r="C50" s="61" t="s">
        <v>148</v>
      </c>
      <c r="D50" s="61" t="s">
        <v>188</v>
      </c>
      <c r="E50" s="30">
        <v>42495.428738425922</v>
      </c>
      <c r="F50" s="30">
        <v>42495.430115740739</v>
      </c>
      <c r="G50" s="38">
        <v>1</v>
      </c>
      <c r="H50" s="30" t="s">
        <v>416</v>
      </c>
      <c r="I50" s="30">
        <v>42495.461747685185</v>
      </c>
      <c r="J50" s="61">
        <v>0</v>
      </c>
      <c r="K50" s="61" t="str">
        <f t="shared" si="21"/>
        <v>4017/4018</v>
      </c>
      <c r="L50" s="61" t="str">
        <f>VLOOKUP(A50,'Trips&amp;Operators'!$C$1:$E$9999,3,FALSE)</f>
        <v>CHANDLER</v>
      </c>
      <c r="M50" s="12">
        <f t="shared" si="22"/>
        <v>3.1631944446417037E-2</v>
      </c>
      <c r="N50" s="13">
        <f t="shared" si="2"/>
        <v>45.550000002840534</v>
      </c>
      <c r="O50" s="13"/>
      <c r="P50" s="13"/>
      <c r="Q50" s="62"/>
      <c r="R50" s="62"/>
      <c r="T5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10:16:23-0600',mode:absolute,to:'2016-05-05 11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0" s="75" t="str">
        <f t="shared" si="9"/>
        <v>N</v>
      </c>
      <c r="V50" s="75">
        <f t="shared" si="17"/>
        <v>1</v>
      </c>
      <c r="W50" s="75">
        <f t="shared" si="10"/>
        <v>23.299600000000002</v>
      </c>
      <c r="X50" s="75">
        <f t="shared" si="11"/>
        <v>1.4999999999999999E-2</v>
      </c>
      <c r="Y50" s="75">
        <f t="shared" si="12"/>
        <v>23.284600000000001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401</v>
      </c>
      <c r="B51" s="61">
        <v>4014</v>
      </c>
      <c r="C51" s="61" t="s">
        <v>148</v>
      </c>
      <c r="D51" s="61" t="s">
        <v>218</v>
      </c>
      <c r="E51" s="30">
        <v>42495.401805555557</v>
      </c>
      <c r="F51" s="30">
        <v>42495.403344907405</v>
      </c>
      <c r="G51" s="38">
        <v>2</v>
      </c>
      <c r="H51" s="30" t="s">
        <v>157</v>
      </c>
      <c r="I51" s="30">
        <v>42495.431319444448</v>
      </c>
      <c r="J51" s="61">
        <v>0</v>
      </c>
      <c r="K51" s="61" t="str">
        <f t="shared" si="21"/>
        <v>4013/4014</v>
      </c>
      <c r="L51" s="61" t="str">
        <f>VLOOKUP(A51,'Trips&amp;Operators'!$C$1:$E$9999,3,FALSE)</f>
        <v>DE LA ROSA</v>
      </c>
      <c r="M51" s="12">
        <f t="shared" si="22"/>
        <v>2.7974537042609882E-2</v>
      </c>
      <c r="N51" s="13">
        <f t="shared" si="2"/>
        <v>40.28333334135823</v>
      </c>
      <c r="O51" s="13"/>
      <c r="P51" s="13"/>
      <c r="Q51" s="62"/>
      <c r="R51" s="62"/>
      <c r="T5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09:37:36-0600',mode:absolute,to:'2016-05-05 10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1" s="75" t="str">
        <f t="shared" si="9"/>
        <v>N</v>
      </c>
      <c r="V51" s="75">
        <f t="shared" si="17"/>
        <v>1</v>
      </c>
      <c r="W51" s="75">
        <f t="shared" si="10"/>
        <v>4.3999999999999997E-2</v>
      </c>
      <c r="X51" s="75">
        <f t="shared" si="11"/>
        <v>23.330200000000001</v>
      </c>
      <c r="Y51" s="75">
        <f t="shared" si="12"/>
        <v>23.286200000000001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375</v>
      </c>
      <c r="B52" s="61">
        <v>4013</v>
      </c>
      <c r="C52" s="61" t="s">
        <v>148</v>
      </c>
      <c r="D52" s="61" t="s">
        <v>217</v>
      </c>
      <c r="E52" s="30">
        <v>42495.442118055558</v>
      </c>
      <c r="F52" s="30">
        <v>42495.443391203706</v>
      </c>
      <c r="G52" s="38">
        <v>1</v>
      </c>
      <c r="H52" s="30" t="s">
        <v>203</v>
      </c>
      <c r="I52" s="30">
        <v>42495.471053240741</v>
      </c>
      <c r="J52" s="61">
        <v>0</v>
      </c>
      <c r="K52" s="61" t="str">
        <f t="shared" si="21"/>
        <v>4013/4014</v>
      </c>
      <c r="L52" s="61" t="str">
        <f>VLOOKUP(A52,'Trips&amp;Operators'!$C$1:$E$9999,3,FALSE)</f>
        <v>DE LA ROSA</v>
      </c>
      <c r="M52" s="12">
        <f t="shared" si="22"/>
        <v>2.7662037035042886E-2</v>
      </c>
      <c r="N52" s="13">
        <f t="shared" si="2"/>
        <v>39.833333330461755</v>
      </c>
      <c r="O52" s="13"/>
      <c r="P52" s="13"/>
      <c r="Q52" s="62"/>
      <c r="R52" s="62"/>
      <c r="T5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10:35:39-0600',mode:absolute,to:'2016-05-05 11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2" s="75" t="str">
        <f t="shared" si="9"/>
        <v>N</v>
      </c>
      <c r="V52" s="75">
        <f t="shared" si="17"/>
        <v>1</v>
      </c>
      <c r="W52" s="75">
        <f t="shared" si="10"/>
        <v>23.299299999999999</v>
      </c>
      <c r="X52" s="75">
        <f t="shared" si="11"/>
        <v>1.52E-2</v>
      </c>
      <c r="Y52" s="75">
        <f t="shared" si="12"/>
        <v>23.284099999999999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403</v>
      </c>
      <c r="B53" s="61">
        <v>4011</v>
      </c>
      <c r="C53" s="61" t="s">
        <v>148</v>
      </c>
      <c r="D53" s="61" t="s">
        <v>214</v>
      </c>
      <c r="E53" s="30">
        <v>42495.409756944442</v>
      </c>
      <c r="F53" s="30">
        <v>42495.410567129627</v>
      </c>
      <c r="G53" s="38">
        <v>1</v>
      </c>
      <c r="H53" s="30" t="s">
        <v>437</v>
      </c>
      <c r="I53" s="30">
        <v>42495.44153935185</v>
      </c>
      <c r="J53" s="61">
        <v>1</v>
      </c>
      <c r="K53" s="61" t="str">
        <f t="shared" si="21"/>
        <v>4011/4012</v>
      </c>
      <c r="L53" s="61" t="str">
        <f>VLOOKUP(A53,'Trips&amp;Operators'!$C$1:$E$9999,3,FALSE)</f>
        <v>NEWELL</v>
      </c>
      <c r="M53" s="12">
        <f t="shared" si="22"/>
        <v>3.0972222222771961E-2</v>
      </c>
      <c r="N53" s="13">
        <f t="shared" si="2"/>
        <v>44.600000000791624</v>
      </c>
      <c r="O53" s="13"/>
      <c r="P53" s="13"/>
      <c r="Q53" s="62"/>
      <c r="R53" s="62"/>
      <c r="T5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09:49:03-0600',mode:absolute,to:'2016-05-05 10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3" s="75" t="str">
        <f t="shared" si="9"/>
        <v>N</v>
      </c>
      <c r="V53" s="75">
        <f t="shared" si="17"/>
        <v>1</v>
      </c>
      <c r="W53" s="75">
        <f t="shared" si="10"/>
        <v>4.6399999999999997E-2</v>
      </c>
      <c r="X53" s="75">
        <f t="shared" si="11"/>
        <v>23.327200000000001</v>
      </c>
      <c r="Y53" s="75">
        <f t="shared" si="12"/>
        <v>23.280800000000003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263</v>
      </c>
      <c r="B54" s="61">
        <v>4012</v>
      </c>
      <c r="C54" s="61" t="s">
        <v>148</v>
      </c>
      <c r="D54" s="61" t="s">
        <v>223</v>
      </c>
      <c r="E54" s="30">
        <v>42495.446759259263</v>
      </c>
      <c r="F54" s="30">
        <v>42495.447685185187</v>
      </c>
      <c r="G54" s="38">
        <v>1</v>
      </c>
      <c r="H54" s="30" t="s">
        <v>415</v>
      </c>
      <c r="I54" s="30">
        <v>42495.481157407405</v>
      </c>
      <c r="J54" s="61">
        <v>1</v>
      </c>
      <c r="K54" s="61" t="str">
        <f t="shared" si="21"/>
        <v>4011/4012</v>
      </c>
      <c r="L54" s="61" t="str">
        <f>VLOOKUP(A54,'Trips&amp;Operators'!$C$1:$E$9999,3,FALSE)</f>
        <v>NEWELL</v>
      </c>
      <c r="M54" s="12">
        <f t="shared" si="22"/>
        <v>3.347222221782431E-2</v>
      </c>
      <c r="N54" s="13">
        <f t="shared" si="2"/>
        <v>48.199999993667006</v>
      </c>
      <c r="O54" s="13"/>
      <c r="P54" s="13"/>
      <c r="Q54" s="62"/>
      <c r="R54" s="62"/>
      <c r="T5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10:42:20-0600',mode:absolute,to:'2016-05-05 11:33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4" s="75" t="str">
        <f t="shared" si="9"/>
        <v>N</v>
      </c>
      <c r="V54" s="75">
        <f t="shared" si="17"/>
        <v>1</v>
      </c>
      <c r="W54" s="75">
        <f t="shared" si="10"/>
        <v>23.296700000000001</v>
      </c>
      <c r="X54" s="75">
        <f t="shared" si="11"/>
        <v>1.41E-2</v>
      </c>
      <c r="Y54" s="75">
        <f t="shared" si="12"/>
        <v>23.282600000000002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387</v>
      </c>
      <c r="B55" s="61">
        <v>4027</v>
      </c>
      <c r="C55" s="61" t="s">
        <v>148</v>
      </c>
      <c r="D55" s="61" t="s">
        <v>156</v>
      </c>
      <c r="E55" s="30">
        <v>42495.422326388885</v>
      </c>
      <c r="F55" s="30">
        <v>42495.423217592594</v>
      </c>
      <c r="G55" s="38">
        <v>1</v>
      </c>
      <c r="H55" s="30" t="s">
        <v>154</v>
      </c>
      <c r="I55" s="30">
        <v>42495.452615740738</v>
      </c>
      <c r="J55" s="61">
        <v>0</v>
      </c>
      <c r="K55" s="61" t="str">
        <f t="shared" si="21"/>
        <v>4027/4028</v>
      </c>
      <c r="L55" s="61" t="str">
        <f>VLOOKUP(A55,'Trips&amp;Operators'!$C$1:$E$9999,3,FALSE)</f>
        <v>YORK</v>
      </c>
      <c r="M55" s="12">
        <f t="shared" si="22"/>
        <v>2.9398148144537117E-2</v>
      </c>
      <c r="N55" s="13">
        <f t="shared" si="2"/>
        <v>42.333333328133449</v>
      </c>
      <c r="O55" s="13"/>
      <c r="P55" s="13"/>
      <c r="Q55" s="62"/>
      <c r="R55" s="62"/>
      <c r="T5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10:07:09-0600',mode:absolute,to:'2016-05-05 10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5" s="75" t="str">
        <f t="shared" si="9"/>
        <v>N</v>
      </c>
      <c r="V55" s="75">
        <f t="shared" si="17"/>
        <v>1</v>
      </c>
      <c r="W55" s="75">
        <f t="shared" si="10"/>
        <v>4.4200000000000003E-2</v>
      </c>
      <c r="X55" s="75">
        <f t="shared" si="11"/>
        <v>23.329499999999999</v>
      </c>
      <c r="Y55" s="75">
        <f t="shared" si="12"/>
        <v>23.285299999999999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264</v>
      </c>
      <c r="B56" s="61">
        <v>4028</v>
      </c>
      <c r="C56" s="61" t="s">
        <v>148</v>
      </c>
      <c r="D56" s="61" t="s">
        <v>163</v>
      </c>
      <c r="E56" s="30">
        <v>42495.461157407408</v>
      </c>
      <c r="F56" s="30">
        <v>42495.462141203701</v>
      </c>
      <c r="G56" s="38">
        <v>1</v>
      </c>
      <c r="H56" s="30" t="s">
        <v>164</v>
      </c>
      <c r="I56" s="30">
        <v>42495.491898148146</v>
      </c>
      <c r="J56" s="61">
        <v>0</v>
      </c>
      <c r="K56" s="61" t="str">
        <f t="shared" si="21"/>
        <v>4027/4028</v>
      </c>
      <c r="L56" s="61" t="str">
        <f>VLOOKUP(A56,'Trips&amp;Operators'!$C$1:$E$9999,3,FALSE)</f>
        <v>YORK</v>
      </c>
      <c r="M56" s="12">
        <f>I56-F56+1/24/60/60</f>
        <v>2.9768518518744881E-2</v>
      </c>
      <c r="N56" s="13">
        <f t="shared" si="2"/>
        <v>42.866666666992629</v>
      </c>
      <c r="O56" s="13"/>
      <c r="P56" s="13"/>
      <c r="Q56" s="62"/>
      <c r="R56" s="62"/>
      <c r="T5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11:03:04-0600',mode:absolute,to:'2016-05-05 11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6" s="75" t="str">
        <f t="shared" si="9"/>
        <v>N</v>
      </c>
      <c r="V56" s="75">
        <f t="shared" si="17"/>
        <v>1</v>
      </c>
      <c r="W56" s="75">
        <f t="shared" si="10"/>
        <v>23.298500000000001</v>
      </c>
      <c r="X56" s="75">
        <f t="shared" si="11"/>
        <v>1.49E-2</v>
      </c>
      <c r="Y56" s="75">
        <f t="shared" si="12"/>
        <v>23.2836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391</v>
      </c>
      <c r="B57" s="61">
        <v>4044</v>
      </c>
      <c r="C57" s="61" t="s">
        <v>148</v>
      </c>
      <c r="D57" s="61" t="s">
        <v>224</v>
      </c>
      <c r="E57" s="30">
        <v>42495.43304398148</v>
      </c>
      <c r="F57" s="30">
        <v>42495.434965277775</v>
      </c>
      <c r="G57" s="38">
        <v>2</v>
      </c>
      <c r="H57" s="30" t="s">
        <v>422</v>
      </c>
      <c r="I57" s="30">
        <v>42495.462106481478</v>
      </c>
      <c r="J57" s="61">
        <v>0</v>
      </c>
      <c r="K57" s="61" t="str">
        <f t="shared" si="21"/>
        <v>4043/4044</v>
      </c>
      <c r="L57" s="61" t="str">
        <f>VLOOKUP(A57,'Trips&amp;Operators'!$C$1:$E$9999,3,FALSE)</f>
        <v>BRUDER</v>
      </c>
      <c r="M57" s="12">
        <f t="shared" si="22"/>
        <v>2.7141203703649808E-2</v>
      </c>
      <c r="N57" s="13">
        <f t="shared" si="2"/>
        <v>39.083333333255723</v>
      </c>
      <c r="O57" s="13"/>
      <c r="P57" s="13"/>
      <c r="Q57" s="62"/>
      <c r="R57" s="62"/>
      <c r="T5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10:22:35-0600',mode:absolute,to:'2016-05-05 11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7" s="75" t="str">
        <f t="shared" si="9"/>
        <v>N</v>
      </c>
      <c r="V57" s="75">
        <f t="shared" si="17"/>
        <v>1</v>
      </c>
      <c r="W57" s="75">
        <f t="shared" si="10"/>
        <v>4.58E-2</v>
      </c>
      <c r="X57" s="75">
        <f t="shared" si="11"/>
        <v>23.330100000000002</v>
      </c>
      <c r="Y57" s="75">
        <f t="shared" si="12"/>
        <v>23.284300000000002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286</v>
      </c>
      <c r="B58" s="61">
        <v>4043</v>
      </c>
      <c r="C58" s="61" t="s">
        <v>148</v>
      </c>
      <c r="D58" s="61" t="s">
        <v>228</v>
      </c>
      <c r="E58" s="30">
        <v>42495.468599537038</v>
      </c>
      <c r="F58" s="30">
        <v>42495.470729166664</v>
      </c>
      <c r="G58" s="38">
        <v>3</v>
      </c>
      <c r="H58" s="30" t="s">
        <v>171</v>
      </c>
      <c r="I58" s="30">
        <v>42495.502708333333</v>
      </c>
      <c r="J58" s="61">
        <v>0</v>
      </c>
      <c r="K58" s="61" t="str">
        <f t="shared" si="21"/>
        <v>4043/4044</v>
      </c>
      <c r="L58" s="61" t="str">
        <f>VLOOKUP(A58,'Trips&amp;Operators'!$C$1:$E$9999,3,FALSE)</f>
        <v>GEBRETEKLE</v>
      </c>
      <c r="M58" s="12">
        <f t="shared" si="22"/>
        <v>3.1979166669771075E-2</v>
      </c>
      <c r="N58" s="13">
        <f t="shared" si="2"/>
        <v>46.050000004470348</v>
      </c>
      <c r="O58" s="13"/>
      <c r="P58" s="13"/>
      <c r="Q58" s="62"/>
      <c r="R58" s="62"/>
      <c r="T5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11:13:47-0600',mode:absolute,to:'2016-05-05 12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8" s="75" t="str">
        <f t="shared" si="9"/>
        <v>N</v>
      </c>
      <c r="V58" s="75">
        <f t="shared" si="17"/>
        <v>1</v>
      </c>
      <c r="W58" s="75">
        <f t="shared" si="10"/>
        <v>23.297999999999998</v>
      </c>
      <c r="X58" s="75">
        <f t="shared" si="11"/>
        <v>1.54E-2</v>
      </c>
      <c r="Y58" s="75">
        <f t="shared" si="12"/>
        <v>23.282599999999999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378</v>
      </c>
      <c r="B59" s="61">
        <v>4029</v>
      </c>
      <c r="C59" s="61" t="s">
        <v>148</v>
      </c>
      <c r="D59" s="61" t="s">
        <v>438</v>
      </c>
      <c r="E59" s="30">
        <v>42495.44263888889</v>
      </c>
      <c r="F59" s="30">
        <v>42495.443981481483</v>
      </c>
      <c r="G59" s="38">
        <v>1</v>
      </c>
      <c r="H59" s="30" t="s">
        <v>439</v>
      </c>
      <c r="I59" s="30">
        <v>42495.473703703705</v>
      </c>
      <c r="J59" s="61">
        <v>1</v>
      </c>
      <c r="K59" s="61" t="str">
        <f t="shared" si="21"/>
        <v>4029/4030</v>
      </c>
      <c r="L59" s="61" t="str">
        <f>VLOOKUP(A59,'Trips&amp;Operators'!$C$1:$E$9999,3,FALSE)</f>
        <v>STEWART</v>
      </c>
      <c r="M59" s="12">
        <f t="shared" si="22"/>
        <v>2.9722222221607808E-2</v>
      </c>
      <c r="N59" s="13">
        <f t="shared" si="2"/>
        <v>42.799999999115244</v>
      </c>
      <c r="O59" s="13"/>
      <c r="P59" s="13"/>
      <c r="Q59" s="62"/>
      <c r="R59" s="62"/>
      <c r="T5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10:36:24-0600',mode:absolute,to:'2016-05-05 11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9" s="75" t="str">
        <f t="shared" si="9"/>
        <v>N</v>
      </c>
      <c r="V59" s="75">
        <f t="shared" si="17"/>
        <v>1</v>
      </c>
      <c r="W59" s="75">
        <f t="shared" si="10"/>
        <v>6.2600000000000003E-2</v>
      </c>
      <c r="X59" s="75">
        <f t="shared" si="11"/>
        <v>23.328099999999999</v>
      </c>
      <c r="Y59" s="75">
        <f t="shared" si="12"/>
        <v>23.265499999999999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265</v>
      </c>
      <c r="B60" s="61">
        <v>4030</v>
      </c>
      <c r="C60" s="61" t="s">
        <v>148</v>
      </c>
      <c r="D60" s="61" t="s">
        <v>158</v>
      </c>
      <c r="E60" s="30">
        <v>42495.484155092592</v>
      </c>
      <c r="F60" s="30">
        <v>42495.485277777778</v>
      </c>
      <c r="G60" s="38">
        <v>1</v>
      </c>
      <c r="H60" s="30" t="s">
        <v>162</v>
      </c>
      <c r="I60" s="30">
        <v>42495.514467592591</v>
      </c>
      <c r="J60" s="61">
        <v>1</v>
      </c>
      <c r="K60" s="61" t="str">
        <f t="shared" si="21"/>
        <v>4029/4030</v>
      </c>
      <c r="L60" s="61" t="str">
        <f>VLOOKUP(A60,'Trips&amp;Operators'!$C$1:$E$9999,3,FALSE)</f>
        <v>STEWART</v>
      </c>
      <c r="M60" s="12">
        <f t="shared" si="22"/>
        <v>2.9189814813435078E-2</v>
      </c>
      <c r="N60" s="13">
        <f t="shared" si="2"/>
        <v>42.033333331346512</v>
      </c>
      <c r="O60" s="13"/>
      <c r="P60" s="13"/>
      <c r="Q60" s="62"/>
      <c r="R60" s="62"/>
      <c r="T6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11:36:11-0600',mode:absolute,to:'2016-05-05 12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0" s="75" t="str">
        <f t="shared" si="9"/>
        <v>N</v>
      </c>
      <c r="V60" s="75">
        <f t="shared" si="17"/>
        <v>1</v>
      </c>
      <c r="W60" s="75">
        <f t="shared" si="10"/>
        <v>23.297699999999999</v>
      </c>
      <c r="X60" s="75">
        <f t="shared" si="11"/>
        <v>4.9099999999999998E-2</v>
      </c>
      <c r="Y60" s="75">
        <f t="shared" si="12"/>
        <v>23.2486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289</v>
      </c>
      <c r="B61" s="61">
        <v>4020</v>
      </c>
      <c r="C61" s="61" t="s">
        <v>148</v>
      </c>
      <c r="D61" s="61" t="s">
        <v>175</v>
      </c>
      <c r="E61" s="30">
        <v>42495.455497685187</v>
      </c>
      <c r="F61" s="30">
        <v>42495.457407407404</v>
      </c>
      <c r="G61" s="38">
        <v>2</v>
      </c>
      <c r="H61" s="30" t="s">
        <v>149</v>
      </c>
      <c r="I61" s="30">
        <v>42495.483217592591</v>
      </c>
      <c r="J61" s="61">
        <v>1</v>
      </c>
      <c r="K61" s="61" t="str">
        <f t="shared" si="21"/>
        <v>4019/4020</v>
      </c>
      <c r="L61" s="61" t="str">
        <f>VLOOKUP(A61,'Trips&amp;Operators'!$C$1:$E$9999,3,FALSE)</f>
        <v>MALAVE</v>
      </c>
      <c r="M61" s="12">
        <f t="shared" si="22"/>
        <v>2.5810185186855961E-2</v>
      </c>
      <c r="N61" s="13">
        <f t="shared" si="2"/>
        <v>37.166666669072583</v>
      </c>
      <c r="O61" s="13"/>
      <c r="P61" s="13"/>
      <c r="Q61" s="62"/>
      <c r="R61" s="62"/>
      <c r="T6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10:54:55-0600',mode:absolute,to:'2016-05-05 11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1" s="75" t="str">
        <f t="shared" si="9"/>
        <v>N</v>
      </c>
      <c r="V61" s="75">
        <f t="shared" si="17"/>
        <v>1</v>
      </c>
      <c r="W61" s="75">
        <f t="shared" si="10"/>
        <v>4.4900000000000002E-2</v>
      </c>
      <c r="X61" s="75">
        <f t="shared" si="11"/>
        <v>23.329699999999999</v>
      </c>
      <c r="Y61" s="75">
        <f t="shared" si="12"/>
        <v>23.284800000000001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318</v>
      </c>
      <c r="B62" s="61">
        <v>4019</v>
      </c>
      <c r="C62" s="61" t="s">
        <v>148</v>
      </c>
      <c r="D62" s="61" t="s">
        <v>440</v>
      </c>
      <c r="E62" s="30">
        <v>42495.496030092596</v>
      </c>
      <c r="F62" s="30">
        <v>42495.497372685182</v>
      </c>
      <c r="G62" s="38">
        <v>1</v>
      </c>
      <c r="H62" s="30" t="s">
        <v>171</v>
      </c>
      <c r="I62" s="30">
        <v>42495.523472222223</v>
      </c>
      <c r="J62" s="61">
        <v>1</v>
      </c>
      <c r="K62" s="61" t="str">
        <f t="shared" si="21"/>
        <v>4019/4020</v>
      </c>
      <c r="L62" s="61" t="str">
        <f>VLOOKUP(A62,'Trips&amp;Operators'!$C$1:$E$9999,3,FALSE)</f>
        <v>MALAVE</v>
      </c>
      <c r="M62" s="12">
        <f t="shared" si="22"/>
        <v>2.6099537040863652E-2</v>
      </c>
      <c r="N62" s="13">
        <f t="shared" si="2"/>
        <v>37.583333338843659</v>
      </c>
      <c r="O62" s="13"/>
      <c r="P62" s="13"/>
      <c r="Q62" s="62"/>
      <c r="R62" s="62"/>
      <c r="T6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11:53:17-0600',mode:absolute,to:'2016-05-05 12:34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2" s="75" t="str">
        <f t="shared" si="9"/>
        <v>N</v>
      </c>
      <c r="V62" s="75">
        <f t="shared" si="17"/>
        <v>1</v>
      </c>
      <c r="W62" s="75">
        <f t="shared" si="10"/>
        <v>23.295500000000001</v>
      </c>
      <c r="X62" s="75">
        <f t="shared" si="11"/>
        <v>1.54E-2</v>
      </c>
      <c r="Y62" s="75">
        <f t="shared" si="12"/>
        <v>23.280100000000001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383</v>
      </c>
      <c r="B63" s="61">
        <v>4018</v>
      </c>
      <c r="C63" s="61" t="s">
        <v>148</v>
      </c>
      <c r="D63" s="61" t="s">
        <v>214</v>
      </c>
      <c r="E63" s="30">
        <v>42495.465960648151</v>
      </c>
      <c r="F63" s="30">
        <v>42495.467094907406</v>
      </c>
      <c r="G63" s="38">
        <v>1</v>
      </c>
      <c r="H63" s="30" t="s">
        <v>150</v>
      </c>
      <c r="I63" s="30">
        <v>42495.493726851855</v>
      </c>
      <c r="J63" s="61">
        <v>0</v>
      </c>
      <c r="K63" s="61" t="str">
        <f t="shared" si="21"/>
        <v>4017/4018</v>
      </c>
      <c r="L63" s="61" t="str">
        <f>VLOOKUP(A63,'Trips&amp;Operators'!$C$1:$E$9999,3,FALSE)</f>
        <v>SPECTOR</v>
      </c>
      <c r="M63" s="12">
        <f t="shared" si="22"/>
        <v>2.6631944449036382E-2</v>
      </c>
      <c r="N63" s="13">
        <f t="shared" si="2"/>
        <v>38.35000000661239</v>
      </c>
      <c r="O63" s="13"/>
      <c r="P63" s="13"/>
      <c r="Q63" s="62"/>
      <c r="R63" s="62"/>
      <c r="T6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11:09:59-0600',mode:absolute,to:'2016-05-05 11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3" s="75" t="str">
        <f t="shared" si="9"/>
        <v>N</v>
      </c>
      <c r="V63" s="75">
        <f t="shared" si="17"/>
        <v>1</v>
      </c>
      <c r="W63" s="75">
        <f t="shared" si="10"/>
        <v>4.6399999999999997E-2</v>
      </c>
      <c r="X63" s="75">
        <f t="shared" si="11"/>
        <v>23.331</v>
      </c>
      <c r="Y63" s="75">
        <f t="shared" si="12"/>
        <v>23.284600000000001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268</v>
      </c>
      <c r="B64" s="61">
        <v>4017</v>
      </c>
      <c r="C64" s="61" t="s">
        <v>148</v>
      </c>
      <c r="D64" s="61" t="s">
        <v>177</v>
      </c>
      <c r="E64" s="30">
        <v>42495.496979166666</v>
      </c>
      <c r="F64" s="30">
        <v>42495.507916666669</v>
      </c>
      <c r="G64" s="38">
        <v>2</v>
      </c>
      <c r="H64" s="30" t="s">
        <v>415</v>
      </c>
      <c r="I64" s="30">
        <v>42495.533865740741</v>
      </c>
      <c r="J64" s="61">
        <v>0</v>
      </c>
      <c r="K64" s="61" t="str">
        <f t="shared" si="21"/>
        <v>4017/4018</v>
      </c>
      <c r="L64" s="61" t="str">
        <f>VLOOKUP(A64,'Trips&amp;Operators'!$C$1:$E$9999,3,FALSE)</f>
        <v>SPECTOR</v>
      </c>
      <c r="M64" s="12">
        <f t="shared" si="22"/>
        <v>2.5949074071832001E-2</v>
      </c>
      <c r="N64" s="13">
        <f t="shared" si="2"/>
        <v>37.366666663438082</v>
      </c>
      <c r="O64" s="13"/>
      <c r="P64" s="13"/>
      <c r="Q64" s="62"/>
      <c r="R64" s="62"/>
      <c r="T6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11:54:39-0600',mode:absolute,to:'2016-05-05 12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4" s="75" t="str">
        <f t="shared" si="9"/>
        <v>N</v>
      </c>
      <c r="V64" s="75">
        <f t="shared" si="17"/>
        <v>1</v>
      </c>
      <c r="W64" s="75">
        <f t="shared" si="10"/>
        <v>23.2989</v>
      </c>
      <c r="X64" s="75">
        <f t="shared" si="11"/>
        <v>1.41E-2</v>
      </c>
      <c r="Y64" s="75">
        <f t="shared" si="12"/>
        <v>23.284800000000001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376</v>
      </c>
      <c r="B65" s="61">
        <v>4014</v>
      </c>
      <c r="C65" s="61" t="s">
        <v>148</v>
      </c>
      <c r="D65" s="61" t="s">
        <v>214</v>
      </c>
      <c r="E65" s="30">
        <v>42495.475636574076</v>
      </c>
      <c r="F65" s="30">
        <v>42495.477233796293</v>
      </c>
      <c r="G65" s="38">
        <v>2</v>
      </c>
      <c r="H65" s="30" t="s">
        <v>428</v>
      </c>
      <c r="I65" s="30">
        <v>42495.503668981481</v>
      </c>
      <c r="J65" s="61">
        <v>0</v>
      </c>
      <c r="K65" s="61" t="str">
        <f t="shared" si="21"/>
        <v>4013/4014</v>
      </c>
      <c r="L65" s="61" t="str">
        <f>VLOOKUP(A65,'Trips&amp;Operators'!$C$1:$E$9999,3,FALSE)</f>
        <v>LOZA</v>
      </c>
      <c r="M65" s="12">
        <f t="shared" si="22"/>
        <v>2.6435185187438037E-2</v>
      </c>
      <c r="N65" s="13">
        <f t="shared" si="2"/>
        <v>38.066666669910774</v>
      </c>
      <c r="O65" s="13"/>
      <c r="P65" s="13"/>
      <c r="Q65" s="62"/>
      <c r="R65" s="62"/>
      <c r="T6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11:23:55-0600',mode:absolute,to:'2016-05-05 12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5" s="75" t="str">
        <f t="shared" si="9"/>
        <v>N</v>
      </c>
      <c r="V65" s="75">
        <f t="shared" si="17"/>
        <v>1</v>
      </c>
      <c r="W65" s="75">
        <f t="shared" si="10"/>
        <v>4.6399999999999997E-2</v>
      </c>
      <c r="X65" s="75">
        <f t="shared" si="11"/>
        <v>23.332000000000001</v>
      </c>
      <c r="Y65" s="75">
        <f t="shared" si="12"/>
        <v>23.285600000000002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302</v>
      </c>
      <c r="B66" s="61">
        <v>4013</v>
      </c>
      <c r="C66" s="61" t="s">
        <v>148</v>
      </c>
      <c r="D66" s="61" t="s">
        <v>178</v>
      </c>
      <c r="E66" s="30">
        <v>42495.515462962961</v>
      </c>
      <c r="F66" s="30">
        <v>42495.517002314817</v>
      </c>
      <c r="G66" s="38">
        <v>2</v>
      </c>
      <c r="H66" s="30" t="s">
        <v>161</v>
      </c>
      <c r="I66" s="30">
        <v>42495.543749999997</v>
      </c>
      <c r="J66" s="61">
        <v>1</v>
      </c>
      <c r="K66" s="61" t="str">
        <f t="shared" si="21"/>
        <v>4013/4014</v>
      </c>
      <c r="L66" s="61" t="str">
        <f>VLOOKUP(A66,'Trips&amp;Operators'!$C$1:$E$9999,3,FALSE)</f>
        <v>LOZA</v>
      </c>
      <c r="M66" s="12">
        <f t="shared" si="22"/>
        <v>2.6747685180453118E-2</v>
      </c>
      <c r="N66" s="13">
        <f t="shared" si="2"/>
        <v>38.51666665985249</v>
      </c>
      <c r="O66" s="13"/>
      <c r="P66" s="13"/>
      <c r="Q66" s="62"/>
      <c r="R66" s="62"/>
      <c r="T6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12:21:16-0600',mode:absolute,to:'2016-05-05 13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6" s="75" t="str">
        <f t="shared" si="9"/>
        <v>N</v>
      </c>
      <c r="V66" s="75">
        <f t="shared" si="17"/>
        <v>1</v>
      </c>
      <c r="W66" s="75">
        <f t="shared" si="10"/>
        <v>23.298400000000001</v>
      </c>
      <c r="X66" s="75">
        <f t="shared" si="11"/>
        <v>1.5599999999999999E-2</v>
      </c>
      <c r="Y66" s="75">
        <f t="shared" si="12"/>
        <v>23.282800000000002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266</v>
      </c>
      <c r="B67" s="61">
        <v>4011</v>
      </c>
      <c r="C67" s="61" t="s">
        <v>148</v>
      </c>
      <c r="D67" s="61" t="s">
        <v>224</v>
      </c>
      <c r="E67" s="30">
        <v>42495.485601851855</v>
      </c>
      <c r="F67" s="30">
        <v>42495.486886574072</v>
      </c>
      <c r="G67" s="38">
        <v>1</v>
      </c>
      <c r="H67" s="30" t="s">
        <v>441</v>
      </c>
      <c r="I67" s="30">
        <v>42495.505578703705</v>
      </c>
      <c r="J67" s="61">
        <v>0</v>
      </c>
      <c r="K67" s="61" t="str">
        <f t="shared" si="21"/>
        <v>4011/4012</v>
      </c>
      <c r="L67" s="61" t="str">
        <f>VLOOKUP(A67,'Trips&amp;Operators'!$C$1:$E$9999,3,FALSE)</f>
        <v>JACKSON</v>
      </c>
      <c r="M67" s="12">
        <f t="shared" si="22"/>
        <v>1.8692129633564036E-2</v>
      </c>
      <c r="N67" s="13"/>
      <c r="O67" s="13"/>
      <c r="P67" s="13">
        <f t="shared" si="2"/>
        <v>26.916666672332212</v>
      </c>
      <c r="Q67" s="62" t="s">
        <v>238</v>
      </c>
      <c r="R67" s="62" t="s">
        <v>485</v>
      </c>
      <c r="T6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11:38:16-0600',mode:absolute,to:'2016-05-05 12:09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7" s="75" t="str">
        <f t="shared" si="9"/>
        <v>Y</v>
      </c>
      <c r="V67" s="75">
        <f t="shared" si="17"/>
        <v>1</v>
      </c>
      <c r="W67" s="75">
        <f t="shared" si="10"/>
        <v>4.58E-2</v>
      </c>
      <c r="X67" s="75">
        <f t="shared" si="11"/>
        <v>9.8041999999999998</v>
      </c>
      <c r="Y67" s="75">
        <f t="shared" si="12"/>
        <v>9.7584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301</v>
      </c>
      <c r="B68" s="61">
        <v>4012</v>
      </c>
      <c r="C68" s="61" t="s">
        <v>148</v>
      </c>
      <c r="D68" s="61" t="s">
        <v>155</v>
      </c>
      <c r="E68" s="30">
        <v>42495.528333333335</v>
      </c>
      <c r="F68" s="30">
        <v>42495.52952546296</v>
      </c>
      <c r="G68" s="38">
        <v>1</v>
      </c>
      <c r="H68" s="30" t="s">
        <v>158</v>
      </c>
      <c r="I68" s="30">
        <v>42495.529687499999</v>
      </c>
      <c r="J68" s="61">
        <v>0</v>
      </c>
      <c r="K68" s="61" t="str">
        <f t="shared" si="21"/>
        <v>4011/4012</v>
      </c>
      <c r="L68" s="61" t="str">
        <f>VLOOKUP(A68,'Trips&amp;Operators'!$C$1:$E$9999,3,FALSE)</f>
        <v>JACKSON</v>
      </c>
      <c r="M68" s="12">
        <f t="shared" si="22"/>
        <v>1.6203703853534535E-4</v>
      </c>
      <c r="N68" s="13"/>
      <c r="O68" s="13"/>
      <c r="P68" s="13">
        <f t="shared" si="2"/>
        <v>0.2333333354908973</v>
      </c>
      <c r="Q68" s="62" t="s">
        <v>238</v>
      </c>
      <c r="R68" s="62" t="s">
        <v>489</v>
      </c>
      <c r="T6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12:39:48-0600',mode:absolute,to:'2016-05-05 12:43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8" s="75" t="str">
        <f t="shared" si="9"/>
        <v>Y</v>
      </c>
      <c r="V68" s="75">
        <f t="shared" ref="V68:V131" si="23">VALUE(LEFT(A68,3))-VALUE(LEFT(A67,3))</f>
        <v>1</v>
      </c>
      <c r="W68" s="75">
        <f t="shared" si="10"/>
        <v>23.2973</v>
      </c>
      <c r="X68" s="75">
        <f t="shared" si="11"/>
        <v>23.297699999999999</v>
      </c>
      <c r="Y68" s="75">
        <f t="shared" si="12"/>
        <v>3.9999999999906777E-4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267</v>
      </c>
      <c r="B69" s="61">
        <v>4027</v>
      </c>
      <c r="C69" s="61" t="s">
        <v>148</v>
      </c>
      <c r="D69" s="61" t="s">
        <v>153</v>
      </c>
      <c r="E69" s="30">
        <v>42495.493217592593</v>
      </c>
      <c r="F69" s="30">
        <v>42495.494687500002</v>
      </c>
      <c r="G69" s="38">
        <v>2</v>
      </c>
      <c r="H69" s="30" t="s">
        <v>176</v>
      </c>
      <c r="I69" s="30">
        <v>42495.525300925925</v>
      </c>
      <c r="J69" s="61">
        <v>0</v>
      </c>
      <c r="K69" s="61" t="str">
        <f t="shared" si="21"/>
        <v>4027/4028</v>
      </c>
      <c r="L69" s="61" t="str">
        <f>VLOOKUP(A69,'Trips&amp;Operators'!$C$1:$E$9999,3,FALSE)</f>
        <v>YORK</v>
      </c>
      <c r="M69" s="12">
        <f t="shared" si="22"/>
        <v>3.0613425922638271E-2</v>
      </c>
      <c r="N69" s="13">
        <f t="shared" si="2"/>
        <v>44.08333332859911</v>
      </c>
      <c r="O69" s="13"/>
      <c r="P69" s="13"/>
      <c r="Q69" s="62"/>
      <c r="R69" s="62"/>
      <c r="T6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11:49:14-0600',mode:absolute,to:'2016-05-05 12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9" s="75" t="str">
        <f t="shared" si="9"/>
        <v>N</v>
      </c>
      <c r="V69" s="75">
        <f t="shared" si="23"/>
        <v>1</v>
      </c>
      <c r="W69" s="75">
        <f t="shared" si="10"/>
        <v>4.6699999999999998E-2</v>
      </c>
      <c r="X69" s="75">
        <f t="shared" si="11"/>
        <v>23.330400000000001</v>
      </c>
      <c r="Y69" s="75">
        <f t="shared" si="12"/>
        <v>23.2837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368</v>
      </c>
      <c r="B70" s="61">
        <v>4028</v>
      </c>
      <c r="C70" s="61" t="s">
        <v>148</v>
      </c>
      <c r="D70" s="61" t="s">
        <v>217</v>
      </c>
      <c r="E70" s="30">
        <v>42495.536759259259</v>
      </c>
      <c r="F70" s="30">
        <v>42495.537858796299</v>
      </c>
      <c r="G70" s="38">
        <v>1</v>
      </c>
      <c r="H70" s="30" t="s">
        <v>180</v>
      </c>
      <c r="I70" s="30">
        <v>42495.564768518518</v>
      </c>
      <c r="J70" s="61">
        <v>1</v>
      </c>
      <c r="K70" s="61" t="str">
        <f t="shared" si="21"/>
        <v>4027/4028</v>
      </c>
      <c r="L70" s="61" t="str">
        <f>VLOOKUP(A70,'Trips&amp;Operators'!$C$1:$E$9999,3,FALSE)</f>
        <v>YORK</v>
      </c>
      <c r="M70" s="12">
        <f t="shared" si="22"/>
        <v>2.6909722218988463E-2</v>
      </c>
      <c r="N70" s="13">
        <f t="shared" si="2"/>
        <v>38.749999995343387</v>
      </c>
      <c r="O70" s="13"/>
      <c r="P70" s="13"/>
      <c r="Q70" s="62"/>
      <c r="R70" s="62"/>
      <c r="T7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12:51:56-0600',mode:absolute,to:'2016-05-05 13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0" s="75" t="str">
        <f t="shared" si="9"/>
        <v>N</v>
      </c>
      <c r="V70" s="75">
        <f t="shared" si="23"/>
        <v>1</v>
      </c>
      <c r="W70" s="75">
        <f t="shared" si="10"/>
        <v>23.299299999999999</v>
      </c>
      <c r="X70" s="75">
        <f t="shared" si="11"/>
        <v>1.4500000000000001E-2</v>
      </c>
      <c r="Y70" s="75">
        <f t="shared" si="12"/>
        <v>23.284799999999997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269</v>
      </c>
      <c r="B71" s="61">
        <v>4044</v>
      </c>
      <c r="C71" s="61" t="s">
        <v>148</v>
      </c>
      <c r="D71" s="61" t="s">
        <v>221</v>
      </c>
      <c r="E71" s="30">
        <v>42495.507233796299</v>
      </c>
      <c r="F71" s="30">
        <v>42495.508449074077</v>
      </c>
      <c r="G71" s="38">
        <v>1</v>
      </c>
      <c r="H71" s="30" t="s">
        <v>442</v>
      </c>
      <c r="I71" s="30">
        <v>42495.536759259259</v>
      </c>
      <c r="J71" s="61">
        <v>0</v>
      </c>
      <c r="K71" s="61" t="str">
        <f t="shared" si="21"/>
        <v>4043/4044</v>
      </c>
      <c r="L71" s="61" t="str">
        <f>VLOOKUP(A71,'Trips&amp;Operators'!$C$1:$E$9999,3,FALSE)</f>
        <v>YOUNG</v>
      </c>
      <c r="M71" s="12">
        <f t="shared" si="22"/>
        <v>2.8310185181908309E-2</v>
      </c>
      <c r="N71" s="13">
        <f t="shared" si="2"/>
        <v>40.766666661947966</v>
      </c>
      <c r="O71" s="13"/>
      <c r="P71" s="13"/>
      <c r="Q71" s="62"/>
      <c r="R71" s="62"/>
      <c r="T7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12:09:25-0600',mode:absolute,to:'2016-05-05 12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1" s="75" t="str">
        <f t="shared" si="9"/>
        <v>N</v>
      </c>
      <c r="V71" s="75">
        <f t="shared" si="23"/>
        <v>1</v>
      </c>
      <c r="W71" s="75">
        <f t="shared" si="10"/>
        <v>4.7800000000000002E-2</v>
      </c>
      <c r="X71" s="75">
        <f t="shared" si="11"/>
        <v>23.3278</v>
      </c>
      <c r="Y71" s="75">
        <f t="shared" si="12"/>
        <v>23.28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331</v>
      </c>
      <c r="B72" s="61">
        <v>4043</v>
      </c>
      <c r="C72" s="61" t="s">
        <v>148</v>
      </c>
      <c r="D72" s="61" t="s">
        <v>198</v>
      </c>
      <c r="E72" s="30">
        <v>42495.544583333336</v>
      </c>
      <c r="F72" s="30">
        <v>42495.545590277776</v>
      </c>
      <c r="G72" s="38">
        <v>1</v>
      </c>
      <c r="H72" s="30" t="s">
        <v>416</v>
      </c>
      <c r="I72" s="30">
        <v>42495.5781712963</v>
      </c>
      <c r="J72" s="61">
        <v>0</v>
      </c>
      <c r="K72" s="61" t="str">
        <f t="shared" si="21"/>
        <v>4043/4044</v>
      </c>
      <c r="L72" s="61" t="str">
        <f>VLOOKUP(A72,'Trips&amp;Operators'!$C$1:$E$9999,3,FALSE)</f>
        <v>YOUNG</v>
      </c>
      <c r="M72" s="12">
        <f t="shared" si="22"/>
        <v>3.2581018524069805E-2</v>
      </c>
      <c r="N72" s="13">
        <f t="shared" si="2"/>
        <v>46.916666674660519</v>
      </c>
      <c r="O72" s="13"/>
      <c r="P72" s="13"/>
      <c r="Q72" s="62"/>
      <c r="R72" s="62"/>
      <c r="T7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13:03:12-0600',mode:absolute,to:'2016-05-05 13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2" s="75" t="str">
        <f t="shared" si="9"/>
        <v>N</v>
      </c>
      <c r="V72" s="75">
        <f t="shared" si="23"/>
        <v>1</v>
      </c>
      <c r="W72" s="75">
        <f t="shared" si="10"/>
        <v>23.296500000000002</v>
      </c>
      <c r="X72" s="75">
        <f t="shared" si="11"/>
        <v>1.4999999999999999E-2</v>
      </c>
      <c r="Y72" s="75">
        <f t="shared" si="12"/>
        <v>23.281500000000001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377</v>
      </c>
      <c r="B73" s="61">
        <v>4029</v>
      </c>
      <c r="C73" s="61" t="s">
        <v>148</v>
      </c>
      <c r="D73" s="61" t="s">
        <v>443</v>
      </c>
      <c r="E73" s="30">
        <v>42495.518854166665</v>
      </c>
      <c r="F73" s="30">
        <v>42495.520925925928</v>
      </c>
      <c r="G73" s="38">
        <v>2</v>
      </c>
      <c r="H73" s="30" t="s">
        <v>444</v>
      </c>
      <c r="I73" s="30">
        <v>42495.547129629631</v>
      </c>
      <c r="J73" s="61">
        <v>1</v>
      </c>
      <c r="K73" s="61" t="str">
        <f t="shared" si="21"/>
        <v>4029/4030</v>
      </c>
      <c r="L73" s="61" t="str">
        <f>VLOOKUP(A73,'Trips&amp;Operators'!$C$1:$E$9999,3,FALSE)</f>
        <v>STEWART</v>
      </c>
      <c r="M73" s="12">
        <f t="shared" si="22"/>
        <v>2.6203703702776693E-2</v>
      </c>
      <c r="N73" s="13">
        <f t="shared" si="2"/>
        <v>37.733333331998438</v>
      </c>
      <c r="O73" s="13"/>
      <c r="P73" s="13"/>
      <c r="Q73" s="62"/>
      <c r="R73" s="62"/>
      <c r="T7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12:26:09-0600',mode:absolute,to:'2016-05-05 13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3" s="75" t="str">
        <f t="shared" si="9"/>
        <v>N</v>
      </c>
      <c r="V73" s="75">
        <f t="shared" si="23"/>
        <v>1</v>
      </c>
      <c r="W73" s="75">
        <f t="shared" si="10"/>
        <v>6.3700000000000007E-2</v>
      </c>
      <c r="X73" s="75">
        <f t="shared" si="11"/>
        <v>23.325900000000001</v>
      </c>
      <c r="Y73" s="75">
        <f t="shared" si="12"/>
        <v>23.2622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379</v>
      </c>
      <c r="B74" s="61">
        <v>4030</v>
      </c>
      <c r="C74" s="61" t="s">
        <v>148</v>
      </c>
      <c r="D74" s="61" t="s">
        <v>235</v>
      </c>
      <c r="E74" s="30">
        <v>42495.557557870372</v>
      </c>
      <c r="F74" s="30">
        <v>42495.55872685185</v>
      </c>
      <c r="G74" s="38">
        <v>1</v>
      </c>
      <c r="H74" s="30" t="s">
        <v>445</v>
      </c>
      <c r="I74" s="30">
        <v>42495.589270833334</v>
      </c>
      <c r="J74" s="61">
        <v>3</v>
      </c>
      <c r="K74" s="61" t="str">
        <f t="shared" si="21"/>
        <v>4029/4030</v>
      </c>
      <c r="L74" s="61" t="str">
        <f>VLOOKUP(A74,'Trips&amp;Operators'!$C$1:$E$9999,3,FALSE)</f>
        <v>STEWART</v>
      </c>
      <c r="M74" s="12">
        <f t="shared" si="22"/>
        <v>3.054398148378823E-2</v>
      </c>
      <c r="N74" s="13">
        <f t="shared" si="2"/>
        <v>43.983333336655051</v>
      </c>
      <c r="O74" s="13"/>
      <c r="P74" s="13"/>
      <c r="Q74" s="62"/>
      <c r="R74" s="62"/>
      <c r="T7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13:21:53-0600',mode:absolute,to:'2016-05-05 14:09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4" s="75" t="str">
        <f t="shared" si="9"/>
        <v>N</v>
      </c>
      <c r="V74" s="75">
        <f t="shared" si="23"/>
        <v>1</v>
      </c>
      <c r="W74" s="75">
        <f t="shared" si="10"/>
        <v>23.293800000000001</v>
      </c>
      <c r="X74" s="75">
        <f t="shared" si="11"/>
        <v>3.78E-2</v>
      </c>
      <c r="Y74" s="75">
        <f t="shared" si="12"/>
        <v>23.256</v>
      </c>
      <c r="Z74" s="76">
        <f>VLOOKUP(A74,Enforcements!$C$3:$J$26,8,0)</f>
        <v>191108</v>
      </c>
      <c r="AA74" s="76" t="str">
        <f>VLOOKUP(A74,Enforcements!$C$3:$J$26,3,0)</f>
        <v>PERMANENT SPEED RESTRICTION</v>
      </c>
    </row>
    <row r="75" spans="1:27" s="2" customFormat="1" x14ac:dyDescent="0.25">
      <c r="A75" s="61" t="s">
        <v>351</v>
      </c>
      <c r="B75" s="61">
        <v>4020</v>
      </c>
      <c r="C75" s="61" t="s">
        <v>148</v>
      </c>
      <c r="D75" s="61" t="s">
        <v>153</v>
      </c>
      <c r="E75" s="30">
        <v>42495.526273148149</v>
      </c>
      <c r="F75" s="30">
        <v>42495.527557870373</v>
      </c>
      <c r="G75" s="38">
        <v>1</v>
      </c>
      <c r="H75" s="30" t="s">
        <v>210</v>
      </c>
      <c r="I75" s="30">
        <v>42495.55636574074</v>
      </c>
      <c r="J75" s="61">
        <v>0</v>
      </c>
      <c r="K75" s="61" t="str">
        <f t="shared" si="21"/>
        <v>4019/4020</v>
      </c>
      <c r="L75" s="61" t="str">
        <f>VLOOKUP(A75,'Trips&amp;Operators'!$C$1:$E$9999,3,FALSE)</f>
        <v>BARTLETT</v>
      </c>
      <c r="M75" s="12">
        <f t="shared" si="22"/>
        <v>2.880787036701804E-2</v>
      </c>
      <c r="N75" s="13">
        <f t="shared" si="2"/>
        <v>41.483333328505978</v>
      </c>
      <c r="O75" s="13"/>
      <c r="P75" s="13"/>
      <c r="Q75" s="62"/>
      <c r="R75" s="62"/>
      <c r="T7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12:36:50-0600',mode:absolute,to:'2016-05-05 13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5" s="75" t="str">
        <f t="shared" si="9"/>
        <v>N</v>
      </c>
      <c r="V75" s="75">
        <f t="shared" si="23"/>
        <v>1</v>
      </c>
      <c r="W75" s="75">
        <f t="shared" si="10"/>
        <v>4.6699999999999998E-2</v>
      </c>
      <c r="X75" s="75">
        <f t="shared" si="11"/>
        <v>23.332799999999999</v>
      </c>
      <c r="Y75" s="75">
        <f t="shared" si="12"/>
        <v>23.286099999999998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394</v>
      </c>
      <c r="B76" s="61">
        <v>4019</v>
      </c>
      <c r="C76" s="61" t="s">
        <v>148</v>
      </c>
      <c r="D76" s="61" t="s">
        <v>228</v>
      </c>
      <c r="E76" s="30">
        <v>42495.562372685185</v>
      </c>
      <c r="F76" s="30">
        <v>42495.564456018517</v>
      </c>
      <c r="G76" s="38">
        <v>2</v>
      </c>
      <c r="H76" s="30" t="s">
        <v>206</v>
      </c>
      <c r="I76" s="30">
        <v>42495.597754629627</v>
      </c>
      <c r="J76" s="61">
        <v>1</v>
      </c>
      <c r="K76" s="61" t="str">
        <f t="shared" si="21"/>
        <v>4019/4020</v>
      </c>
      <c r="L76" s="61" t="str">
        <f>VLOOKUP(A76,'Trips&amp;Operators'!$C$1:$E$9999,3,FALSE)</f>
        <v>BARTLETT</v>
      </c>
      <c r="M76" s="12">
        <f t="shared" si="22"/>
        <v>3.329861110978527E-2</v>
      </c>
      <c r="N76" s="13">
        <f t="shared" si="2"/>
        <v>47.949999998090789</v>
      </c>
      <c r="O76" s="13"/>
      <c r="P76" s="13"/>
      <c r="Q76" s="62"/>
      <c r="R76" s="62"/>
      <c r="T7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13:28:49-0600',mode:absolute,to:'2016-05-05 14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6" s="75" t="str">
        <f t="shared" si="9"/>
        <v>N</v>
      </c>
      <c r="V76" s="75">
        <f t="shared" si="23"/>
        <v>1</v>
      </c>
      <c r="W76" s="75">
        <f t="shared" si="10"/>
        <v>23.297999999999998</v>
      </c>
      <c r="X76" s="75">
        <f t="shared" si="11"/>
        <v>1.6299999999999999E-2</v>
      </c>
      <c r="Y76" s="75">
        <f t="shared" si="12"/>
        <v>23.281699999999997</v>
      </c>
      <c r="Z76" s="76">
        <f>VLOOKUP(A76,Enforcements!$C$3:$J$26,8,0)</f>
        <v>229055</v>
      </c>
      <c r="AA76" s="76" t="str">
        <f>VLOOKUP(A76,Enforcements!$C$3:$J$26,3,0)</f>
        <v>PERMANENT SPEED RESTRICTION</v>
      </c>
    </row>
    <row r="77" spans="1:27" s="2" customFormat="1" x14ac:dyDescent="0.25">
      <c r="A77" s="61" t="s">
        <v>395</v>
      </c>
      <c r="B77" s="61">
        <v>4018</v>
      </c>
      <c r="C77" s="61" t="s">
        <v>148</v>
      </c>
      <c r="D77" s="61" t="s">
        <v>224</v>
      </c>
      <c r="E77" s="30">
        <v>42495.537222222221</v>
      </c>
      <c r="F77" s="30">
        <v>42495.538055555553</v>
      </c>
      <c r="G77" s="38">
        <v>1</v>
      </c>
      <c r="H77" s="30" t="s">
        <v>208</v>
      </c>
      <c r="I77" s="30">
        <v>42495.567557870374</v>
      </c>
      <c r="J77" s="61">
        <v>0</v>
      </c>
      <c r="K77" s="61" t="str">
        <f t="shared" si="21"/>
        <v>4017/4018</v>
      </c>
      <c r="L77" s="61" t="str">
        <f>VLOOKUP(A77,'Trips&amp;Operators'!$C$1:$E$9999,3,FALSE)</f>
        <v>SPECTOR</v>
      </c>
      <c r="M77" s="12">
        <f t="shared" si="22"/>
        <v>2.9502314821002074E-2</v>
      </c>
      <c r="N77" s="13">
        <f t="shared" si="2"/>
        <v>42.483333342242986</v>
      </c>
      <c r="O77" s="13"/>
      <c r="P77" s="13"/>
      <c r="Q77" s="62"/>
      <c r="R77" s="62"/>
      <c r="T7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12:52:36-0600',mode:absolute,to:'2016-05-05 13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7" s="75" t="str">
        <f t="shared" si="9"/>
        <v>N</v>
      </c>
      <c r="V77" s="75">
        <f t="shared" si="23"/>
        <v>1</v>
      </c>
      <c r="W77" s="75">
        <f t="shared" si="10"/>
        <v>4.58E-2</v>
      </c>
      <c r="X77" s="75">
        <f t="shared" si="11"/>
        <v>23.332699999999999</v>
      </c>
      <c r="Y77" s="75">
        <f t="shared" si="12"/>
        <v>23.286899999999999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384</v>
      </c>
      <c r="B78" s="61">
        <v>4017</v>
      </c>
      <c r="C78" s="61" t="s">
        <v>148</v>
      </c>
      <c r="D78" s="61" t="s">
        <v>446</v>
      </c>
      <c r="E78" s="30">
        <v>42495.57539351852</v>
      </c>
      <c r="F78" s="30">
        <v>42495.576354166667</v>
      </c>
      <c r="G78" s="38">
        <v>1</v>
      </c>
      <c r="H78" s="30" t="s">
        <v>164</v>
      </c>
      <c r="I78" s="30">
        <v>42495.607175925928</v>
      </c>
      <c r="J78" s="61">
        <v>0</v>
      </c>
      <c r="K78" s="61" t="str">
        <f t="shared" si="21"/>
        <v>4017/4018</v>
      </c>
      <c r="L78" s="61" t="str">
        <f>VLOOKUP(A78,'Trips&amp;Operators'!$C$1:$E$9999,3,FALSE)</f>
        <v>SPECTOR</v>
      </c>
      <c r="M78" s="12">
        <f t="shared" si="22"/>
        <v>3.0821759261016268E-2</v>
      </c>
      <c r="N78" s="13">
        <f t="shared" si="2"/>
        <v>44.383333335863426</v>
      </c>
      <c r="O78" s="13"/>
      <c r="P78" s="13"/>
      <c r="Q78" s="62"/>
      <c r="R78" s="62"/>
      <c r="T7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13:47:34-0600',mode:absolute,to:'2016-05-05 14:35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8" s="75" t="str">
        <f t="shared" si="9"/>
        <v>N</v>
      </c>
      <c r="V78" s="75">
        <f t="shared" si="23"/>
        <v>1</v>
      </c>
      <c r="W78" s="75">
        <f t="shared" si="10"/>
        <v>23.300599999999999</v>
      </c>
      <c r="X78" s="75">
        <f t="shared" si="11"/>
        <v>1.49E-2</v>
      </c>
      <c r="Y78" s="75">
        <f t="shared" si="12"/>
        <v>23.285699999999999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320</v>
      </c>
      <c r="B79" s="61">
        <v>4014</v>
      </c>
      <c r="C79" s="61" t="s">
        <v>148</v>
      </c>
      <c r="D79" s="61" t="s">
        <v>189</v>
      </c>
      <c r="E79" s="30">
        <v>42495.549502314818</v>
      </c>
      <c r="F79" s="30">
        <v>42495.552604166667</v>
      </c>
      <c r="G79" s="38">
        <v>4</v>
      </c>
      <c r="H79" s="30" t="s">
        <v>202</v>
      </c>
      <c r="I79" s="30">
        <v>42495.576527777775</v>
      </c>
      <c r="J79" s="61">
        <v>0</v>
      </c>
      <c r="K79" s="61" t="str">
        <f t="shared" si="21"/>
        <v>4013/4014</v>
      </c>
      <c r="L79" s="61" t="str">
        <f>VLOOKUP(A79,'Trips&amp;Operators'!$C$1:$E$9999,3,FALSE)</f>
        <v>LOZA</v>
      </c>
      <c r="M79" s="12">
        <f t="shared" si="22"/>
        <v>2.3923611108330078E-2</v>
      </c>
      <c r="N79" s="13">
        <f t="shared" si="2"/>
        <v>34.449999995995313</v>
      </c>
      <c r="O79" s="13"/>
      <c r="P79" s="13"/>
      <c r="Q79" s="62"/>
      <c r="R79" s="62"/>
      <c r="T7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13:10:17-0600',mode:absolute,to:'2016-05-05 13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9" s="75" t="str">
        <f t="shared" si="9"/>
        <v>N</v>
      </c>
      <c r="V79" s="75">
        <f t="shared" si="23"/>
        <v>1</v>
      </c>
      <c r="W79" s="75">
        <f t="shared" si="10"/>
        <v>4.5499999999999999E-2</v>
      </c>
      <c r="X79" s="75">
        <f t="shared" si="11"/>
        <v>23.329899999999999</v>
      </c>
      <c r="Y79" s="75">
        <f t="shared" si="12"/>
        <v>23.284399999999998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270</v>
      </c>
      <c r="B80" s="61">
        <v>4013</v>
      </c>
      <c r="C80" s="61" t="s">
        <v>148</v>
      </c>
      <c r="D80" s="61" t="s">
        <v>178</v>
      </c>
      <c r="E80" s="30">
        <v>42495.588796296295</v>
      </c>
      <c r="F80" s="30">
        <v>42495.589745370373</v>
      </c>
      <c r="G80" s="38">
        <v>1</v>
      </c>
      <c r="H80" s="30" t="s">
        <v>164</v>
      </c>
      <c r="I80" s="30">
        <v>42495.617361111108</v>
      </c>
      <c r="J80" s="61">
        <v>0</v>
      </c>
      <c r="K80" s="61" t="str">
        <f t="shared" si="21"/>
        <v>4013/4014</v>
      </c>
      <c r="L80" s="61" t="str">
        <f>VLOOKUP(A80,'Trips&amp;Operators'!$C$1:$E$9999,3,FALSE)</f>
        <v>LOZA</v>
      </c>
      <c r="M80" s="12">
        <f t="shared" si="22"/>
        <v>2.7615740735200234E-2</v>
      </c>
      <c r="N80" s="13">
        <f t="shared" si="2"/>
        <v>39.766666658688337</v>
      </c>
      <c r="O80" s="13"/>
      <c r="P80" s="13"/>
      <c r="Q80" s="62"/>
      <c r="R80" s="62"/>
      <c r="T8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14:06:52-0600',mode:absolute,to:'2016-05-05 14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0" s="75" t="str">
        <f t="shared" si="9"/>
        <v>N</v>
      </c>
      <c r="V80" s="75">
        <f t="shared" si="23"/>
        <v>1</v>
      </c>
      <c r="W80" s="75">
        <f t="shared" si="10"/>
        <v>23.298400000000001</v>
      </c>
      <c r="X80" s="75">
        <f t="shared" si="11"/>
        <v>1.49E-2</v>
      </c>
      <c r="Y80" s="75">
        <f t="shared" si="12"/>
        <v>23.2835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389</v>
      </c>
      <c r="B81" s="61">
        <v>4016</v>
      </c>
      <c r="C81" s="61" t="s">
        <v>148</v>
      </c>
      <c r="D81" s="61" t="s">
        <v>447</v>
      </c>
      <c r="E81" s="30">
        <v>42495.551828703705</v>
      </c>
      <c r="F81" s="30">
        <v>42495.555312500001</v>
      </c>
      <c r="G81" s="38">
        <v>5</v>
      </c>
      <c r="H81" s="30" t="s">
        <v>448</v>
      </c>
      <c r="I81" s="30">
        <v>42495.587361111109</v>
      </c>
      <c r="J81" s="61">
        <v>0</v>
      </c>
      <c r="K81" s="61" t="str">
        <f t="shared" ref="K81:K112" si="24">IF(ISEVEN(B81),(B81-1)&amp;"/"&amp;B81,B81&amp;"/"&amp;(B81+1))</f>
        <v>4015/4016</v>
      </c>
      <c r="L81" s="61" t="str">
        <f>VLOOKUP(A81,'Trips&amp;Operators'!$C$1:$E$9999,3,FALSE)</f>
        <v>COOLAHAN</v>
      </c>
      <c r="M81" s="12">
        <f t="shared" ref="M81:M112" si="25">I81-F81</f>
        <v>3.2048611108621117E-2</v>
      </c>
      <c r="N81" s="13">
        <f t="shared" ref="N81:P130" si="26">$M81*24*60</f>
        <v>46.149999996414408</v>
      </c>
      <c r="O81" s="13"/>
      <c r="P81" s="13"/>
      <c r="Q81" s="62"/>
      <c r="R81" s="62"/>
      <c r="T8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https://search-rtdc-monitor-bjffxe2xuh6vdkpspy63sjmuny.us-east-1.es.amazonaws.com/_plugin/kibana/#/discover/Steve-Slow-Train-Analysis-(2080s-and-2083s)?_g=(refreshInterval:(display:Off,section:0,value:0),time:(from:'2016-05-05 13:13:38-0600',mode:absolute,to:'2016-05-05 14:06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1" s="75" t="str">
        <f t="shared" si="9"/>
        <v>N</v>
      </c>
      <c r="V81" s="75">
        <f t="shared" si="23"/>
        <v>1</v>
      </c>
      <c r="W81" s="75">
        <f t="shared" si="10"/>
        <v>3.6200000000000003E-2</v>
      </c>
      <c r="X81" s="75">
        <f t="shared" si="11"/>
        <v>23.3325</v>
      </c>
      <c r="Y81" s="75">
        <f t="shared" si="12"/>
        <v>23.296299999999999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283</v>
      </c>
      <c r="B82" s="61">
        <v>4015</v>
      </c>
      <c r="C82" s="61" t="s">
        <v>148</v>
      </c>
      <c r="D82" s="61" t="s">
        <v>449</v>
      </c>
      <c r="E82" s="30">
        <v>42495.598078703704</v>
      </c>
      <c r="F82" s="30">
        <v>42495.599212962959</v>
      </c>
      <c r="G82" s="38">
        <v>1</v>
      </c>
      <c r="H82" s="30" t="s">
        <v>435</v>
      </c>
      <c r="I82" s="30">
        <v>42495.628576388888</v>
      </c>
      <c r="J82" s="61">
        <v>1</v>
      </c>
      <c r="K82" s="61" t="str">
        <f t="shared" si="24"/>
        <v>4015/4016</v>
      </c>
      <c r="L82" s="61" t="str">
        <f>VLOOKUP(A82,'Trips&amp;Operators'!$C$1:$E$9999,3,FALSE)</f>
        <v>COOLAHAN</v>
      </c>
      <c r="M82" s="12">
        <f t="shared" si="25"/>
        <v>2.9363425928750075E-2</v>
      </c>
      <c r="N82" s="13">
        <f t="shared" si="26"/>
        <v>42.283333337400109</v>
      </c>
      <c r="O82" s="13"/>
      <c r="P82" s="13"/>
      <c r="Q82" s="62"/>
      <c r="R82" s="62"/>
      <c r="T82" s="75" t="str">
        <f t="shared" ref="T82:T145" si="27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https://search-rtdc-monitor-bjffxe2xuh6vdkpspy63sjmuny.us-east-1.es.amazonaws.com/_plugin/kibana/#/discover/Steve-Slow-Train-Analysis-(2080s-and-2083s)?_g=(refreshInterval:(display:Off,section:0,value:0),time:(from:'2016-05-05 14:20:14-0600',mode:absolute,to:'2016-05-05 15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2" s="75" t="str">
        <f t="shared" ref="U82:U145" si="28">IF(Y82&lt;23,"Y","N")</f>
        <v>N</v>
      </c>
      <c r="V82" s="75">
        <f t="shared" si="23"/>
        <v>1</v>
      </c>
      <c r="W82" s="75">
        <f t="shared" ref="W82:W145" si="29">RIGHT(D82,LEN(D82)-4)/10000</f>
        <v>23.302499999999998</v>
      </c>
      <c r="X82" s="75">
        <f t="shared" ref="X82:X145" si="30">RIGHT(H82,LEN(H82)-4)/10000</f>
        <v>1.3899999999999999E-2</v>
      </c>
      <c r="Y82" s="75">
        <f t="shared" ref="Y82:Y145" si="31">ABS(X82-W82)</f>
        <v>23.288599999999999</v>
      </c>
      <c r="Z82" s="76">
        <f>VLOOKUP(A82,Enforcements!$C$3:$J$26,8,0)</f>
        <v>190834</v>
      </c>
      <c r="AA82" s="76" t="str">
        <f>VLOOKUP(A82,Enforcements!$C$3:$J$26,3,0)</f>
        <v>PERMANENT SPEED RESTRICTION</v>
      </c>
    </row>
    <row r="83" spans="1:27" s="2" customFormat="1" x14ac:dyDescent="0.25">
      <c r="A83" s="61" t="s">
        <v>332</v>
      </c>
      <c r="B83" s="61">
        <v>4027</v>
      </c>
      <c r="C83" s="61" t="s">
        <v>148</v>
      </c>
      <c r="D83" s="61" t="s">
        <v>189</v>
      </c>
      <c r="E83" s="30">
        <v>42495.571053240739</v>
      </c>
      <c r="F83" s="30">
        <v>42495.571863425925</v>
      </c>
      <c r="G83" s="38">
        <v>1</v>
      </c>
      <c r="H83" s="30" t="s">
        <v>450</v>
      </c>
      <c r="I83" s="30">
        <v>42495.600671296299</v>
      </c>
      <c r="J83" s="61">
        <v>2</v>
      </c>
      <c r="K83" s="61" t="str">
        <f t="shared" si="24"/>
        <v>4027/4028</v>
      </c>
      <c r="L83" s="61" t="str">
        <f>VLOOKUP(A83,'Trips&amp;Operators'!$C$1:$E$9999,3,FALSE)</f>
        <v>YORK</v>
      </c>
      <c r="M83" s="12">
        <f t="shared" si="25"/>
        <v>2.8807870374293998E-2</v>
      </c>
      <c r="N83" s="13">
        <f t="shared" si="26"/>
        <v>41.483333338983357</v>
      </c>
      <c r="O83" s="13"/>
      <c r="P83" s="13"/>
      <c r="Q83" s="62"/>
      <c r="R83" s="62"/>
      <c r="T8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13:41:19-0600',mode:absolute,to:'2016-05-05 14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3" s="75" t="str">
        <f t="shared" si="28"/>
        <v>N</v>
      </c>
      <c r="V83" s="75">
        <f t="shared" si="23"/>
        <v>1</v>
      </c>
      <c r="W83" s="75">
        <f t="shared" si="29"/>
        <v>4.5499999999999999E-2</v>
      </c>
      <c r="X83" s="75">
        <f t="shared" si="30"/>
        <v>23.333400000000001</v>
      </c>
      <c r="Y83" s="75">
        <f t="shared" si="31"/>
        <v>23.2879</v>
      </c>
      <c r="Z83" s="76">
        <f>VLOOKUP(A83,Enforcements!$C$3:$J$26,8,0)</f>
        <v>20338</v>
      </c>
      <c r="AA83" s="76" t="str">
        <f>VLOOKUP(A83,Enforcements!$C$3:$J$26,3,0)</f>
        <v>PERMANENT SPEED RESTRICTION</v>
      </c>
    </row>
    <row r="84" spans="1:27" s="2" customFormat="1" x14ac:dyDescent="0.25">
      <c r="A84" s="61" t="s">
        <v>323</v>
      </c>
      <c r="B84" s="61">
        <v>4028</v>
      </c>
      <c r="C84" s="61" t="s">
        <v>148</v>
      </c>
      <c r="D84" s="61" t="s">
        <v>155</v>
      </c>
      <c r="E84" s="30">
        <v>42495.608576388891</v>
      </c>
      <c r="F84" s="30">
        <v>42495.609571759262</v>
      </c>
      <c r="G84" s="38">
        <v>1</v>
      </c>
      <c r="H84" s="30" t="s">
        <v>435</v>
      </c>
      <c r="I84" s="30">
        <v>42495.63790509259</v>
      </c>
      <c r="J84" s="61">
        <v>0</v>
      </c>
      <c r="K84" s="61" t="str">
        <f t="shared" si="24"/>
        <v>4027/4028</v>
      </c>
      <c r="L84" s="61" t="str">
        <f>VLOOKUP(A84,'Trips&amp;Operators'!$C$1:$E$9999,3,FALSE)</f>
        <v>YORK</v>
      </c>
      <c r="M84" s="12">
        <f t="shared" si="25"/>
        <v>2.8333333328191657E-2</v>
      </c>
      <c r="N84" s="13">
        <f t="shared" si="26"/>
        <v>40.799999992595986</v>
      </c>
      <c r="O84" s="13"/>
      <c r="P84" s="13"/>
      <c r="Q84" s="62"/>
      <c r="R84" s="62"/>
      <c r="T8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14:35:21-0600',mode:absolute,to:'2016-05-05 15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4" s="75" t="str">
        <f t="shared" si="28"/>
        <v>N</v>
      </c>
      <c r="V84" s="75">
        <f t="shared" si="23"/>
        <v>1</v>
      </c>
      <c r="W84" s="75">
        <f t="shared" si="29"/>
        <v>23.2973</v>
      </c>
      <c r="X84" s="75">
        <f t="shared" si="30"/>
        <v>1.3899999999999999E-2</v>
      </c>
      <c r="Y84" s="75">
        <f t="shared" si="31"/>
        <v>23.2834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372</v>
      </c>
      <c r="B85" s="61">
        <v>4044</v>
      </c>
      <c r="C85" s="61" t="s">
        <v>148</v>
      </c>
      <c r="D85" s="61" t="s">
        <v>191</v>
      </c>
      <c r="E85" s="30">
        <v>42495.581782407404</v>
      </c>
      <c r="F85" s="30">
        <v>42495.582743055558</v>
      </c>
      <c r="G85" s="38">
        <v>1</v>
      </c>
      <c r="H85" s="30" t="s">
        <v>451</v>
      </c>
      <c r="I85" s="30">
        <v>42495.610891203702</v>
      </c>
      <c r="J85" s="61">
        <v>1</v>
      </c>
      <c r="K85" s="61" t="str">
        <f t="shared" si="24"/>
        <v>4043/4044</v>
      </c>
      <c r="L85" s="61" t="str">
        <f>VLOOKUP(A85,'Trips&amp;Operators'!$C$1:$E$9999,3,FALSE)</f>
        <v>YOUNG</v>
      </c>
      <c r="M85" s="12">
        <f t="shared" si="25"/>
        <v>2.8148148143372964E-2</v>
      </c>
      <c r="N85" s="13">
        <f t="shared" si="26"/>
        <v>40.533333326457068</v>
      </c>
      <c r="O85" s="13"/>
      <c r="P85" s="13"/>
      <c r="Q85" s="62"/>
      <c r="R85" s="62"/>
      <c r="T8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13:56:46-0600',mode:absolute,to:'2016-05-05 14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5" s="75" t="str">
        <f t="shared" si="28"/>
        <v>N</v>
      </c>
      <c r="V85" s="75">
        <f t="shared" si="23"/>
        <v>1</v>
      </c>
      <c r="W85" s="75">
        <f t="shared" si="29"/>
        <v>4.7300000000000002E-2</v>
      </c>
      <c r="X85" s="75">
        <f t="shared" si="30"/>
        <v>23.3291</v>
      </c>
      <c r="Y85" s="75">
        <f t="shared" si="31"/>
        <v>23.2818</v>
      </c>
      <c r="Z85" s="76">
        <f>VLOOKUP(A85,Enforcements!$C$3:$J$26,8,0)</f>
        <v>232107</v>
      </c>
      <c r="AA85" s="76" t="str">
        <f>VLOOKUP(A85,Enforcements!$C$3:$J$26,3,0)</f>
        <v>PERMANENT SPEED RESTRICTION</v>
      </c>
    </row>
    <row r="86" spans="1:27" s="2" customFormat="1" x14ac:dyDescent="0.25">
      <c r="A86" s="61" t="s">
        <v>321</v>
      </c>
      <c r="B86" s="61">
        <v>4043</v>
      </c>
      <c r="C86" s="61" t="s">
        <v>148</v>
      </c>
      <c r="D86" s="61" t="s">
        <v>173</v>
      </c>
      <c r="E86" s="30">
        <v>42495.616967592592</v>
      </c>
      <c r="F86" s="30">
        <v>42495.617939814816</v>
      </c>
      <c r="G86" s="38">
        <v>1</v>
      </c>
      <c r="H86" s="30" t="s">
        <v>226</v>
      </c>
      <c r="I86" s="30">
        <v>42495.649027777778</v>
      </c>
      <c r="J86" s="61">
        <v>0</v>
      </c>
      <c r="K86" s="61" t="str">
        <f t="shared" si="24"/>
        <v>4043/4044</v>
      </c>
      <c r="L86" s="61" t="str">
        <f>VLOOKUP(A86,'Trips&amp;Operators'!$C$1:$E$9999,3,FALSE)</f>
        <v>YOUNG</v>
      </c>
      <c r="M86" s="12">
        <f t="shared" si="25"/>
        <v>3.1087962961464655E-2</v>
      </c>
      <c r="N86" s="13">
        <f t="shared" si="26"/>
        <v>44.766666664509103</v>
      </c>
      <c r="O86" s="13"/>
      <c r="P86" s="13"/>
      <c r="Q86" s="62"/>
      <c r="R86" s="62"/>
      <c r="T8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14:47:26-0600',mode:absolute,to:'2016-05-05 15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6" s="75" t="str">
        <f t="shared" si="28"/>
        <v>N</v>
      </c>
      <c r="V86" s="75">
        <f t="shared" si="23"/>
        <v>1</v>
      </c>
      <c r="W86" s="75">
        <f t="shared" si="29"/>
        <v>23.2974</v>
      </c>
      <c r="X86" s="75">
        <f t="shared" si="30"/>
        <v>1.61E-2</v>
      </c>
      <c r="Y86" s="75">
        <f t="shared" si="31"/>
        <v>23.281299999999998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381</v>
      </c>
      <c r="B87" s="61">
        <v>4029</v>
      </c>
      <c r="C87" s="61" t="s">
        <v>148</v>
      </c>
      <c r="D87" s="61" t="s">
        <v>452</v>
      </c>
      <c r="E87" s="30">
        <v>42495.592662037037</v>
      </c>
      <c r="F87" s="30">
        <v>42495.593668981484</v>
      </c>
      <c r="G87" s="38">
        <v>1</v>
      </c>
      <c r="H87" s="30" t="s">
        <v>154</v>
      </c>
      <c r="I87" s="30">
        <v>42495.619085648148</v>
      </c>
      <c r="J87" s="61">
        <v>0</v>
      </c>
      <c r="K87" s="61" t="str">
        <f t="shared" si="24"/>
        <v>4029/4030</v>
      </c>
      <c r="L87" s="61" t="str">
        <f>VLOOKUP(A87,'Trips&amp;Operators'!$C$1:$E$9999,3,FALSE)</f>
        <v>STEWART</v>
      </c>
      <c r="M87" s="12">
        <f t="shared" si="25"/>
        <v>2.5416666663659271E-2</v>
      </c>
      <c r="N87" s="13">
        <f t="shared" si="26"/>
        <v>36.59999999566935</v>
      </c>
      <c r="O87" s="13"/>
      <c r="P87" s="13"/>
      <c r="Q87" s="62"/>
      <c r="R87" s="62"/>
      <c r="T8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14:12:26-0600',mode:absolute,to:'2016-05-05 14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7" s="75" t="str">
        <f t="shared" si="28"/>
        <v>N</v>
      </c>
      <c r="V87" s="75">
        <f t="shared" si="23"/>
        <v>1</v>
      </c>
      <c r="W87" s="75">
        <f t="shared" si="29"/>
        <v>5.3699999999999998E-2</v>
      </c>
      <c r="X87" s="75">
        <f t="shared" si="30"/>
        <v>23.329499999999999</v>
      </c>
      <c r="Y87" s="75">
        <f t="shared" si="31"/>
        <v>23.2758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319</v>
      </c>
      <c r="B88" s="61">
        <v>4030</v>
      </c>
      <c r="C88" s="61" t="s">
        <v>148</v>
      </c>
      <c r="D88" s="61" t="s">
        <v>220</v>
      </c>
      <c r="E88" s="30">
        <v>42495.626967592594</v>
      </c>
      <c r="F88" s="30">
        <v>42495.630497685182</v>
      </c>
      <c r="G88" s="38">
        <v>5</v>
      </c>
      <c r="H88" s="30" t="s">
        <v>453</v>
      </c>
      <c r="I88" s="30">
        <v>42495.659328703703</v>
      </c>
      <c r="J88" s="61">
        <v>1</v>
      </c>
      <c r="K88" s="61" t="str">
        <f t="shared" si="24"/>
        <v>4029/4030</v>
      </c>
      <c r="L88" s="61" t="str">
        <f>VLOOKUP(A88,'Trips&amp;Operators'!$C$1:$E$9999,3,FALSE)</f>
        <v>STEWART</v>
      </c>
      <c r="M88" s="12">
        <f t="shared" si="25"/>
        <v>2.8831018520577345E-2</v>
      </c>
      <c r="N88" s="13">
        <f t="shared" si="26"/>
        <v>41.516666669631377</v>
      </c>
      <c r="O88" s="13"/>
      <c r="P88" s="13"/>
      <c r="Q88" s="62"/>
      <c r="R88" s="62"/>
      <c r="T8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15:01:50-0600',mode:absolute,to:'2016-05-05 15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8" s="75" t="str">
        <f t="shared" si="28"/>
        <v>N</v>
      </c>
      <c r="V88" s="75">
        <f t="shared" si="23"/>
        <v>1</v>
      </c>
      <c r="W88" s="75">
        <f t="shared" si="29"/>
        <v>23.296900000000001</v>
      </c>
      <c r="X88" s="75">
        <f t="shared" si="30"/>
        <v>3.8899999999999997E-2</v>
      </c>
      <c r="Y88" s="75">
        <f t="shared" si="31"/>
        <v>23.257999999999999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281</v>
      </c>
      <c r="B89" s="61">
        <v>4020</v>
      </c>
      <c r="C89" s="61" t="s">
        <v>148</v>
      </c>
      <c r="D89" s="61" t="s">
        <v>232</v>
      </c>
      <c r="E89" s="30">
        <v>42495.601493055554</v>
      </c>
      <c r="F89" s="30">
        <v>42495.603819444441</v>
      </c>
      <c r="G89" s="38">
        <v>3</v>
      </c>
      <c r="H89" s="30" t="s">
        <v>205</v>
      </c>
      <c r="I89" s="30">
        <v>42495.629675925928</v>
      </c>
      <c r="J89" s="61">
        <v>0</v>
      </c>
      <c r="K89" s="61" t="str">
        <f t="shared" si="24"/>
        <v>4019/4020</v>
      </c>
      <c r="L89" s="61" t="str">
        <f>VLOOKUP(A89,'Trips&amp;Operators'!$C$1:$E$9999,3,FALSE)</f>
        <v>BARTLETT</v>
      </c>
      <c r="M89" s="12">
        <f t="shared" si="25"/>
        <v>2.5856481486698613E-2</v>
      </c>
      <c r="N89" s="13">
        <f t="shared" si="26"/>
        <v>37.233333340846002</v>
      </c>
      <c r="O89" s="13"/>
      <c r="P89" s="13"/>
      <c r="Q89" s="62"/>
      <c r="R89" s="62"/>
      <c r="T8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14:25:09-0600',mode:absolute,to:'2016-05-05 15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9" s="75" t="str">
        <f t="shared" si="28"/>
        <v>N</v>
      </c>
      <c r="V89" s="75">
        <f t="shared" si="23"/>
        <v>1</v>
      </c>
      <c r="W89" s="75">
        <f t="shared" si="29"/>
        <v>4.6899999999999997E-2</v>
      </c>
      <c r="X89" s="75">
        <f t="shared" si="30"/>
        <v>23.328499999999998</v>
      </c>
      <c r="Y89" s="75">
        <f t="shared" si="31"/>
        <v>23.281599999999997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333</v>
      </c>
      <c r="B90" s="61">
        <v>4019</v>
      </c>
      <c r="C90" s="61" t="s">
        <v>148</v>
      </c>
      <c r="D90" s="61" t="s">
        <v>225</v>
      </c>
      <c r="E90" s="30">
        <v>42495.639027777775</v>
      </c>
      <c r="F90" s="30">
        <v>42495.639953703707</v>
      </c>
      <c r="G90" s="38">
        <v>1</v>
      </c>
      <c r="H90" s="30" t="s">
        <v>201</v>
      </c>
      <c r="I90" s="30">
        <v>42495.672002314815</v>
      </c>
      <c r="J90" s="61">
        <v>0</v>
      </c>
      <c r="K90" s="61" t="str">
        <f t="shared" si="24"/>
        <v>4019/4020</v>
      </c>
      <c r="L90" s="61" t="str">
        <f>VLOOKUP(A90,'Trips&amp;Operators'!$C$1:$E$9999,3,FALSE)</f>
        <v>BARTLETT</v>
      </c>
      <c r="M90" s="12">
        <f t="shared" si="25"/>
        <v>3.2048611108621117E-2</v>
      </c>
      <c r="N90" s="13">
        <f t="shared" si="26"/>
        <v>46.149999996414408</v>
      </c>
      <c r="O90" s="13"/>
      <c r="P90" s="13"/>
      <c r="Q90" s="62"/>
      <c r="R90" s="62"/>
      <c r="T9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15:19:12-0600',mode:absolute,to:'2016-05-05 16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0" s="75" t="str">
        <f t="shared" si="28"/>
        <v>N</v>
      </c>
      <c r="V90" s="75">
        <f t="shared" si="23"/>
        <v>1</v>
      </c>
      <c r="W90" s="75">
        <f t="shared" si="29"/>
        <v>23.297899999999998</v>
      </c>
      <c r="X90" s="75">
        <f t="shared" si="30"/>
        <v>1.6899999999999998E-2</v>
      </c>
      <c r="Y90" s="75">
        <f t="shared" si="31"/>
        <v>23.280999999999999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322</v>
      </c>
      <c r="B91" s="61">
        <v>4018</v>
      </c>
      <c r="C91" s="61" t="s">
        <v>148</v>
      </c>
      <c r="D91" s="61" t="s">
        <v>214</v>
      </c>
      <c r="E91" s="30">
        <v>42495.610196759262</v>
      </c>
      <c r="F91" s="30">
        <v>42495.610914351855</v>
      </c>
      <c r="G91" s="38">
        <v>1</v>
      </c>
      <c r="H91" s="30" t="s">
        <v>149</v>
      </c>
      <c r="I91" s="30">
        <v>42495.63958333333</v>
      </c>
      <c r="J91" s="61">
        <v>0</v>
      </c>
      <c r="K91" s="61" t="str">
        <f t="shared" si="24"/>
        <v>4017/4018</v>
      </c>
      <c r="L91" s="61" t="str">
        <f>VLOOKUP(A91,'Trips&amp;Operators'!$C$1:$E$9999,3,FALSE)</f>
        <v>SPECTOR</v>
      </c>
      <c r="M91" s="12">
        <f t="shared" si="25"/>
        <v>2.8668981474766042E-2</v>
      </c>
      <c r="N91" s="13">
        <f t="shared" si="26"/>
        <v>41.283333323663101</v>
      </c>
      <c r="O91" s="13"/>
      <c r="P91" s="13"/>
      <c r="Q91" s="62"/>
      <c r="R91" s="62"/>
      <c r="T9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14:37:41-0600',mode:absolute,to:'2016-05-05 15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1" s="75" t="str">
        <f t="shared" si="28"/>
        <v>N</v>
      </c>
      <c r="V91" s="75">
        <f t="shared" si="23"/>
        <v>1</v>
      </c>
      <c r="W91" s="75">
        <f t="shared" si="29"/>
        <v>4.6399999999999997E-2</v>
      </c>
      <c r="X91" s="75">
        <f t="shared" si="30"/>
        <v>23.329699999999999</v>
      </c>
      <c r="Y91" s="75">
        <f t="shared" si="31"/>
        <v>23.283300000000001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317</v>
      </c>
      <c r="B92" s="61">
        <v>4017</v>
      </c>
      <c r="C92" s="61" t="s">
        <v>148</v>
      </c>
      <c r="D92" s="61" t="s">
        <v>454</v>
      </c>
      <c r="E92" s="30">
        <v>42495.647476851853</v>
      </c>
      <c r="F92" s="30">
        <v>42495.651736111111</v>
      </c>
      <c r="G92" s="38">
        <v>6</v>
      </c>
      <c r="H92" s="30" t="s">
        <v>455</v>
      </c>
      <c r="I92" s="30">
        <v>42495.673506944448</v>
      </c>
      <c r="J92" s="61">
        <v>0</v>
      </c>
      <c r="K92" s="61" t="str">
        <f t="shared" si="24"/>
        <v>4017/4018</v>
      </c>
      <c r="L92" s="61" t="str">
        <f>VLOOKUP(A92,'Trips&amp;Operators'!$C$1:$E$9999,3,FALSE)</f>
        <v>SPECTOR</v>
      </c>
      <c r="M92" s="12">
        <f t="shared" si="25"/>
        <v>2.1770833336631767E-2</v>
      </c>
      <c r="N92" s="13"/>
      <c r="O92" s="13"/>
      <c r="P92" s="13">
        <f t="shared" si="26"/>
        <v>31.350000004749745</v>
      </c>
      <c r="Q92" s="62" t="s">
        <v>238</v>
      </c>
      <c r="R92" s="62" t="s">
        <v>490</v>
      </c>
      <c r="T9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15:31:22-0600',mode:absolute,to:'2016-05-05 16:10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2" s="75" t="str">
        <f t="shared" si="28"/>
        <v>Y</v>
      </c>
      <c r="V92" s="75">
        <f t="shared" si="23"/>
        <v>1</v>
      </c>
      <c r="W92" s="75">
        <f t="shared" si="29"/>
        <v>23.298999999999999</v>
      </c>
      <c r="X92" s="75">
        <f t="shared" si="30"/>
        <v>7.0132000000000003</v>
      </c>
      <c r="Y92" s="75">
        <f t="shared" si="31"/>
        <v>16.285799999999998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305</v>
      </c>
      <c r="B93" s="61">
        <v>4014</v>
      </c>
      <c r="C93" s="61" t="s">
        <v>148</v>
      </c>
      <c r="D93" s="61" t="s">
        <v>212</v>
      </c>
      <c r="E93" s="30">
        <v>42495.62290509259</v>
      </c>
      <c r="F93" s="30">
        <v>42495.62394675926</v>
      </c>
      <c r="G93" s="38">
        <v>1</v>
      </c>
      <c r="H93" s="30" t="s">
        <v>216</v>
      </c>
      <c r="I93" s="30">
        <v>42495.650208333333</v>
      </c>
      <c r="J93" s="61">
        <v>0</v>
      </c>
      <c r="K93" s="61" t="str">
        <f t="shared" si="24"/>
        <v>4013/4014</v>
      </c>
      <c r="L93" s="61" t="str">
        <f>VLOOKUP(A93,'Trips&amp;Operators'!$C$1:$E$9999,3,FALSE)</f>
        <v>LOZA</v>
      </c>
      <c r="M93" s="12">
        <f t="shared" si="25"/>
        <v>2.626157407212304E-2</v>
      </c>
      <c r="N93" s="13">
        <f t="shared" si="26"/>
        <v>37.816666663857177</v>
      </c>
      <c r="O93" s="13"/>
      <c r="P93" s="13"/>
      <c r="Q93" s="62"/>
      <c r="R93" s="62"/>
      <c r="T9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14:55:59-0600',mode:absolute,to:'2016-05-05 15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3" s="75" t="str">
        <f t="shared" si="28"/>
        <v>N</v>
      </c>
      <c r="V93" s="75">
        <f t="shared" si="23"/>
        <v>1</v>
      </c>
      <c r="W93" s="75">
        <f t="shared" si="29"/>
        <v>4.4600000000000001E-2</v>
      </c>
      <c r="X93" s="75">
        <f t="shared" si="30"/>
        <v>23.331399999999999</v>
      </c>
      <c r="Y93" s="75">
        <f t="shared" si="31"/>
        <v>23.286799999999999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272</v>
      </c>
      <c r="B94" s="61">
        <v>4013</v>
      </c>
      <c r="C94" s="61" t="s">
        <v>148</v>
      </c>
      <c r="D94" s="61" t="s">
        <v>227</v>
      </c>
      <c r="E94" s="30">
        <v>42495.659629629627</v>
      </c>
      <c r="F94" s="30">
        <v>42495.66070601852</v>
      </c>
      <c r="G94" s="38">
        <v>1</v>
      </c>
      <c r="H94" s="30" t="s">
        <v>161</v>
      </c>
      <c r="I94" s="30">
        <v>42495.693356481483</v>
      </c>
      <c r="J94" s="61">
        <v>0</v>
      </c>
      <c r="K94" s="61" t="str">
        <f t="shared" si="24"/>
        <v>4013/4014</v>
      </c>
      <c r="L94" s="61" t="str">
        <f>VLOOKUP(A94,'Trips&amp;Operators'!$C$1:$E$9999,3,FALSE)</f>
        <v>LOZA</v>
      </c>
      <c r="M94" s="12">
        <f t="shared" si="25"/>
        <v>3.2650462962919846E-2</v>
      </c>
      <c r="N94" s="13">
        <f t="shared" si="26"/>
        <v>47.016666666604578</v>
      </c>
      <c r="O94" s="13"/>
      <c r="P94" s="13"/>
      <c r="Q94" s="62"/>
      <c r="R94" s="62"/>
      <c r="T9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15:48:52-0600',mode:absolute,to:'2016-05-05 16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4" s="75" t="str">
        <f t="shared" si="28"/>
        <v>N</v>
      </c>
      <c r="V94" s="75">
        <f t="shared" si="23"/>
        <v>1</v>
      </c>
      <c r="W94" s="75">
        <f t="shared" si="29"/>
        <v>23.301100000000002</v>
      </c>
      <c r="X94" s="75">
        <f t="shared" si="30"/>
        <v>1.5599999999999999E-2</v>
      </c>
      <c r="Y94" s="75">
        <f t="shared" si="31"/>
        <v>23.285500000000003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380</v>
      </c>
      <c r="B95" s="61">
        <v>4016</v>
      </c>
      <c r="C95" s="61" t="s">
        <v>148</v>
      </c>
      <c r="D95" s="61" t="s">
        <v>190</v>
      </c>
      <c r="E95" s="30">
        <v>42495.632094907407</v>
      </c>
      <c r="F95" s="30">
        <v>42495.633402777778</v>
      </c>
      <c r="G95" s="38">
        <v>1</v>
      </c>
      <c r="H95" s="30" t="s">
        <v>234</v>
      </c>
      <c r="I95" s="30">
        <v>42495.660393518519</v>
      </c>
      <c r="J95" s="61">
        <v>1</v>
      </c>
      <c r="K95" s="61" t="str">
        <f t="shared" si="24"/>
        <v>4015/4016</v>
      </c>
      <c r="L95" s="61" t="str">
        <f>VLOOKUP(A95,'Trips&amp;Operators'!$C$1:$E$9999,3,FALSE)</f>
        <v>JACKSON</v>
      </c>
      <c r="M95" s="12">
        <f t="shared" si="25"/>
        <v>2.6990740741894115E-2</v>
      </c>
      <c r="N95" s="13">
        <f t="shared" si="26"/>
        <v>38.866666668327525</v>
      </c>
      <c r="O95" s="13"/>
      <c r="P95" s="13"/>
      <c r="Q95" s="62"/>
      <c r="R95" s="62"/>
      <c r="T9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15:09:13-0600',mode:absolute,to:'2016-05-05 15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5" s="75" t="str">
        <f t="shared" si="28"/>
        <v>N</v>
      </c>
      <c r="V95" s="75">
        <f t="shared" si="23"/>
        <v>1</v>
      </c>
      <c r="W95" s="75">
        <f t="shared" si="29"/>
        <v>4.5100000000000001E-2</v>
      </c>
      <c r="X95" s="75">
        <f t="shared" si="30"/>
        <v>23.3264</v>
      </c>
      <c r="Y95" s="75">
        <f t="shared" si="31"/>
        <v>23.281299999999998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273</v>
      </c>
      <c r="B96" s="61">
        <v>4015</v>
      </c>
      <c r="C96" s="61" t="s">
        <v>148</v>
      </c>
      <c r="D96" s="61" t="s">
        <v>456</v>
      </c>
      <c r="E96" s="30">
        <v>42495.672696759262</v>
      </c>
      <c r="F96" s="30">
        <v>42495.673668981479</v>
      </c>
      <c r="G96" s="38">
        <v>1</v>
      </c>
      <c r="H96" s="30" t="s">
        <v>222</v>
      </c>
      <c r="I96" s="30">
        <v>42495.703703703701</v>
      </c>
      <c r="J96" s="61">
        <v>1</v>
      </c>
      <c r="K96" s="61" t="str">
        <f t="shared" si="24"/>
        <v>4015/4016</v>
      </c>
      <c r="L96" s="61" t="str">
        <f>VLOOKUP(A96,'Trips&amp;Operators'!$C$1:$E$9999,3,FALSE)</f>
        <v>JACKSON</v>
      </c>
      <c r="M96" s="12">
        <f t="shared" si="25"/>
        <v>3.0034722221898846E-2</v>
      </c>
      <c r="N96" s="13">
        <f t="shared" si="26"/>
        <v>43.249999999534339</v>
      </c>
      <c r="O96" s="13"/>
      <c r="P96" s="13"/>
      <c r="Q96" s="62"/>
      <c r="R96" s="62"/>
      <c r="T9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16:07:41-0600',mode:absolute,to:'2016-05-05 16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6" s="75" t="str">
        <f t="shared" si="28"/>
        <v>N</v>
      </c>
      <c r="V96" s="75">
        <f t="shared" si="23"/>
        <v>1</v>
      </c>
      <c r="W96" s="75">
        <f t="shared" si="29"/>
        <v>23.295200000000001</v>
      </c>
      <c r="X96" s="75">
        <f t="shared" si="30"/>
        <v>1.72E-2</v>
      </c>
      <c r="Y96" s="75">
        <f t="shared" si="31"/>
        <v>23.278000000000002</v>
      </c>
      <c r="Z96" s="76">
        <f>VLOOKUP(A96,Enforcements!$C$3:$J$26,8,0)</f>
        <v>53277</v>
      </c>
      <c r="AA96" s="76" t="str">
        <f>VLOOKUP(A96,Enforcements!$C$3:$J$26,3,0)</f>
        <v>GRADE CROSSING</v>
      </c>
    </row>
    <row r="97" spans="1:27" s="2" customFormat="1" x14ac:dyDescent="0.25">
      <c r="A97" s="61" t="s">
        <v>352</v>
      </c>
      <c r="B97" s="61">
        <v>4027</v>
      </c>
      <c r="C97" s="61" t="s">
        <v>148</v>
      </c>
      <c r="D97" s="61" t="s">
        <v>195</v>
      </c>
      <c r="E97" s="30">
        <v>42495.643043981479</v>
      </c>
      <c r="F97" s="30">
        <v>42495.644004629627</v>
      </c>
      <c r="G97" s="38">
        <v>1</v>
      </c>
      <c r="H97" s="30" t="s">
        <v>451</v>
      </c>
      <c r="I97" s="30">
        <v>42495.67328703704</v>
      </c>
      <c r="J97" s="61">
        <v>1</v>
      </c>
      <c r="K97" s="61" t="str">
        <f t="shared" si="24"/>
        <v>4027/4028</v>
      </c>
      <c r="L97" s="61" t="str">
        <f>VLOOKUP(A97,'Trips&amp;Operators'!$C$1:$E$9999,3,FALSE)</f>
        <v>YORK</v>
      </c>
      <c r="M97" s="12">
        <f t="shared" si="25"/>
        <v>2.9282407413120382E-2</v>
      </c>
      <c r="N97" s="13">
        <f t="shared" si="26"/>
        <v>42.166666674893349</v>
      </c>
      <c r="O97" s="13"/>
      <c r="P97" s="13"/>
      <c r="Q97" s="62"/>
      <c r="R97" s="62"/>
      <c r="T9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15:24:59-0600',mode:absolute,to:'2016-05-05 16:10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7" s="75" t="str">
        <f t="shared" si="28"/>
        <v>N</v>
      </c>
      <c r="V97" s="75">
        <f t="shared" si="23"/>
        <v>1</v>
      </c>
      <c r="W97" s="75">
        <f t="shared" si="29"/>
        <v>4.53E-2</v>
      </c>
      <c r="X97" s="75">
        <f t="shared" si="30"/>
        <v>23.3291</v>
      </c>
      <c r="Y97" s="75">
        <f t="shared" si="31"/>
        <v>23.283799999999999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304</v>
      </c>
      <c r="B98" s="61">
        <v>4028</v>
      </c>
      <c r="C98" s="61" t="s">
        <v>148</v>
      </c>
      <c r="D98" s="61" t="s">
        <v>173</v>
      </c>
      <c r="E98" s="30">
        <v>42495.680231481485</v>
      </c>
      <c r="F98" s="30">
        <v>42495.681550925925</v>
      </c>
      <c r="G98" s="38">
        <v>1</v>
      </c>
      <c r="H98" s="30" t="s">
        <v>203</v>
      </c>
      <c r="I98" s="30">
        <v>42495.711030092592</v>
      </c>
      <c r="J98" s="61">
        <v>1</v>
      </c>
      <c r="K98" s="61" t="str">
        <f t="shared" si="24"/>
        <v>4027/4028</v>
      </c>
      <c r="L98" s="61" t="str">
        <f>VLOOKUP(A98,'Trips&amp;Operators'!$C$1:$E$9999,3,FALSE)</f>
        <v>YORK</v>
      </c>
      <c r="M98" s="12">
        <f t="shared" si="25"/>
        <v>2.9479166667442769E-2</v>
      </c>
      <c r="N98" s="13">
        <f t="shared" si="26"/>
        <v>42.450000001117587</v>
      </c>
      <c r="O98" s="13"/>
      <c r="P98" s="13"/>
      <c r="Q98" s="62"/>
      <c r="R98" s="62"/>
      <c r="T9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16:18:32-0600',mode:absolute,to:'2016-05-05 17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8" s="75" t="str">
        <f t="shared" si="28"/>
        <v>N</v>
      </c>
      <c r="V98" s="75">
        <f t="shared" si="23"/>
        <v>1</v>
      </c>
      <c r="W98" s="75">
        <f t="shared" si="29"/>
        <v>23.2974</v>
      </c>
      <c r="X98" s="75">
        <f t="shared" si="30"/>
        <v>1.52E-2</v>
      </c>
      <c r="Y98" s="75">
        <f t="shared" si="31"/>
        <v>23.2822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314</v>
      </c>
      <c r="B99" s="61">
        <v>4044</v>
      </c>
      <c r="C99" s="61" t="s">
        <v>148</v>
      </c>
      <c r="D99" s="61" t="s">
        <v>457</v>
      </c>
      <c r="E99" s="30">
        <v>42495.652106481481</v>
      </c>
      <c r="F99" s="30">
        <v>42495.653796296298</v>
      </c>
      <c r="G99" s="38">
        <v>2</v>
      </c>
      <c r="H99" s="30" t="s">
        <v>170</v>
      </c>
      <c r="I99" s="30">
        <v>42495.683125000003</v>
      </c>
      <c r="J99" s="61">
        <v>0</v>
      </c>
      <c r="K99" s="61" t="str">
        <f t="shared" si="24"/>
        <v>4043/4044</v>
      </c>
      <c r="L99" s="61" t="str">
        <f>VLOOKUP(A99,'Trips&amp;Operators'!$C$1:$E$9999,3,FALSE)</f>
        <v>YOUNG</v>
      </c>
      <c r="M99" s="12">
        <f t="shared" si="25"/>
        <v>2.9328703705687076E-2</v>
      </c>
      <c r="N99" s="13">
        <f t="shared" si="26"/>
        <v>42.233333336189389</v>
      </c>
      <c r="O99" s="13"/>
      <c r="P99" s="13"/>
      <c r="Q99" s="62"/>
      <c r="R99" s="62"/>
      <c r="T9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15:38:02-0600',mode:absolute,to:'2016-05-05 16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9" s="75" t="str">
        <f t="shared" si="28"/>
        <v>N</v>
      </c>
      <c r="V99" s="75">
        <f t="shared" si="23"/>
        <v>1</v>
      </c>
      <c r="W99" s="75">
        <f t="shared" si="29"/>
        <v>4.2200000000000001E-2</v>
      </c>
      <c r="X99" s="75">
        <f t="shared" si="30"/>
        <v>23.330500000000001</v>
      </c>
      <c r="Y99" s="75">
        <f t="shared" si="31"/>
        <v>23.2883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397</v>
      </c>
      <c r="B100" s="61">
        <v>4043</v>
      </c>
      <c r="C100" s="61" t="s">
        <v>148</v>
      </c>
      <c r="D100" s="61" t="s">
        <v>155</v>
      </c>
      <c r="E100" s="30">
        <v>42495.690706018519</v>
      </c>
      <c r="F100" s="30">
        <v>42495.691979166666</v>
      </c>
      <c r="G100" s="38">
        <v>1</v>
      </c>
      <c r="H100" s="30" t="s">
        <v>185</v>
      </c>
      <c r="I100" s="30">
        <v>42495.723981481482</v>
      </c>
      <c r="J100" s="61">
        <v>0</v>
      </c>
      <c r="K100" s="61" t="str">
        <f t="shared" si="24"/>
        <v>4043/4044</v>
      </c>
      <c r="L100" s="61" t="str">
        <f>VLOOKUP(A100,'Trips&amp;Operators'!$C$1:$E$9999,3,FALSE)</f>
        <v>YOUNG</v>
      </c>
      <c r="M100" s="12">
        <f t="shared" si="25"/>
        <v>3.2002314816054422E-2</v>
      </c>
      <c r="N100" s="13">
        <f t="shared" si="26"/>
        <v>46.083333335118368</v>
      </c>
      <c r="O100" s="13"/>
      <c r="P100" s="13"/>
      <c r="Q100" s="62"/>
      <c r="R100" s="62"/>
      <c r="T10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16:33:37-0600',mode:absolute,to:'2016-05-05 17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0" s="75" t="str">
        <f t="shared" si="28"/>
        <v>N</v>
      </c>
      <c r="V100" s="75">
        <f t="shared" si="23"/>
        <v>1</v>
      </c>
      <c r="W100" s="75">
        <f t="shared" si="29"/>
        <v>23.2973</v>
      </c>
      <c r="X100" s="75">
        <f t="shared" si="30"/>
        <v>1.38E-2</v>
      </c>
      <c r="Y100" s="75">
        <f t="shared" si="31"/>
        <v>23.2835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327</v>
      </c>
      <c r="B101" s="61">
        <v>4029</v>
      </c>
      <c r="C101" s="61" t="s">
        <v>148</v>
      </c>
      <c r="D101" s="61" t="s">
        <v>458</v>
      </c>
      <c r="E101" s="30">
        <v>42495.661064814813</v>
      </c>
      <c r="F101" s="30">
        <v>42495.664444444446</v>
      </c>
      <c r="G101" s="38">
        <v>4</v>
      </c>
      <c r="H101" s="30" t="s">
        <v>204</v>
      </c>
      <c r="I101" s="30">
        <v>42495.692835648151</v>
      </c>
      <c r="J101" s="61">
        <v>0</v>
      </c>
      <c r="K101" s="61" t="str">
        <f t="shared" si="24"/>
        <v>4029/4030</v>
      </c>
      <c r="L101" s="61" t="str">
        <f>VLOOKUP(A101,'Trips&amp;Operators'!$C$1:$E$9999,3,FALSE)</f>
        <v>STEWART</v>
      </c>
      <c r="M101" s="12">
        <f t="shared" si="25"/>
        <v>2.8391203704813961E-2</v>
      </c>
      <c r="N101" s="13">
        <f t="shared" si="26"/>
        <v>40.883333334932104</v>
      </c>
      <c r="O101" s="13"/>
      <c r="P101" s="13"/>
      <c r="Q101" s="62"/>
      <c r="R101" s="62"/>
      <c r="T10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15:50:56-0600',mode:absolute,to:'2016-05-05 16:38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1" s="75" t="str">
        <f t="shared" si="28"/>
        <v>N</v>
      </c>
      <c r="V101" s="75">
        <f t="shared" si="23"/>
        <v>1</v>
      </c>
      <c r="W101" s="75">
        <f t="shared" si="29"/>
        <v>5.2400000000000002E-2</v>
      </c>
      <c r="X101" s="75">
        <f t="shared" si="30"/>
        <v>23.331199999999999</v>
      </c>
      <c r="Y101" s="75">
        <f t="shared" si="31"/>
        <v>23.2788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298</v>
      </c>
      <c r="B102" s="61">
        <v>4030</v>
      </c>
      <c r="C102" s="61" t="s">
        <v>148</v>
      </c>
      <c r="D102" s="61" t="s">
        <v>459</v>
      </c>
      <c r="E102" s="30">
        <v>42495.700127314813</v>
      </c>
      <c r="F102" s="30">
        <v>42495.701770833337</v>
      </c>
      <c r="G102" s="38">
        <v>2</v>
      </c>
      <c r="H102" s="30" t="s">
        <v>457</v>
      </c>
      <c r="I102" s="30">
        <v>42495.735266203701</v>
      </c>
      <c r="J102" s="61">
        <v>1</v>
      </c>
      <c r="K102" s="61" t="str">
        <f t="shared" si="24"/>
        <v>4029/4030</v>
      </c>
      <c r="L102" s="61" t="str">
        <f>VLOOKUP(A102,'Trips&amp;Operators'!$C$1:$E$9999,3,FALSE)</f>
        <v>STEWART</v>
      </c>
      <c r="M102" s="12">
        <f t="shared" si="25"/>
        <v>3.3495370364107657E-2</v>
      </c>
      <c r="N102" s="13">
        <f t="shared" si="26"/>
        <v>48.233333324315026</v>
      </c>
      <c r="O102" s="13"/>
      <c r="P102" s="13"/>
      <c r="Q102" s="62"/>
      <c r="R102" s="62"/>
      <c r="T10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16:47:11-0600',mode:absolute,to:'2016-05-05 17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2" s="75" t="str">
        <f t="shared" si="28"/>
        <v>N</v>
      </c>
      <c r="V102" s="75">
        <f t="shared" si="23"/>
        <v>1</v>
      </c>
      <c r="W102" s="75">
        <f t="shared" si="29"/>
        <v>23.301300000000001</v>
      </c>
      <c r="X102" s="75">
        <f t="shared" si="30"/>
        <v>4.2200000000000001E-2</v>
      </c>
      <c r="Y102" s="75">
        <f t="shared" si="31"/>
        <v>23.2591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315</v>
      </c>
      <c r="B103" s="61">
        <v>4020</v>
      </c>
      <c r="C103" s="61" t="s">
        <v>148</v>
      </c>
      <c r="D103" s="61" t="s">
        <v>175</v>
      </c>
      <c r="E103" s="30">
        <v>42495.673472222225</v>
      </c>
      <c r="F103" s="30">
        <v>42495.674375000002</v>
      </c>
      <c r="G103" s="38">
        <v>1</v>
      </c>
      <c r="H103" s="30" t="s">
        <v>428</v>
      </c>
      <c r="I103" s="30">
        <v>42495.7033912037</v>
      </c>
      <c r="J103" s="61">
        <v>0</v>
      </c>
      <c r="K103" s="61" t="str">
        <f t="shared" si="24"/>
        <v>4019/4020</v>
      </c>
      <c r="L103" s="61" t="str">
        <f>VLOOKUP(A103,'Trips&amp;Operators'!$C$1:$E$9999,3,FALSE)</f>
        <v>BARTLETT</v>
      </c>
      <c r="M103" s="12">
        <f t="shared" si="25"/>
        <v>2.901620369812008E-2</v>
      </c>
      <c r="N103" s="13">
        <f t="shared" si="26"/>
        <v>41.783333325292915</v>
      </c>
      <c r="O103" s="13"/>
      <c r="P103" s="13"/>
      <c r="Q103" s="62"/>
      <c r="R103" s="62"/>
      <c r="T10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16:08:48-0600',mode:absolute,to:'2016-05-05 16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3" s="75" t="str">
        <f t="shared" si="28"/>
        <v>N</v>
      </c>
      <c r="V103" s="75">
        <f t="shared" si="23"/>
        <v>1</v>
      </c>
      <c r="W103" s="75">
        <f t="shared" si="29"/>
        <v>4.4900000000000002E-2</v>
      </c>
      <c r="X103" s="75">
        <f t="shared" si="30"/>
        <v>23.332000000000001</v>
      </c>
      <c r="Y103" s="75">
        <f t="shared" si="31"/>
        <v>23.287100000000002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386</v>
      </c>
      <c r="B104" s="61">
        <v>4019</v>
      </c>
      <c r="C104" s="61" t="s">
        <v>148</v>
      </c>
      <c r="D104" s="61" t="s">
        <v>220</v>
      </c>
      <c r="E104" s="30">
        <v>42495.706180555557</v>
      </c>
      <c r="F104" s="30">
        <v>42495.71670138889</v>
      </c>
      <c r="G104" s="38">
        <v>1</v>
      </c>
      <c r="H104" s="30" t="s">
        <v>206</v>
      </c>
      <c r="I104" s="30">
        <v>42495.743900462963</v>
      </c>
      <c r="J104" s="61">
        <v>1</v>
      </c>
      <c r="K104" s="61" t="str">
        <f t="shared" si="24"/>
        <v>4019/4020</v>
      </c>
      <c r="L104" s="61" t="str">
        <f>VLOOKUP(A104,'Trips&amp;Operators'!$C$1:$E$9999,3,FALSE)</f>
        <v>BARTLETT</v>
      </c>
      <c r="M104" s="12">
        <f t="shared" si="25"/>
        <v>2.7199074072996154E-2</v>
      </c>
      <c r="N104" s="13">
        <f t="shared" si="26"/>
        <v>39.166666665114462</v>
      </c>
      <c r="O104" s="13"/>
      <c r="P104" s="13"/>
      <c r="Q104" s="62"/>
      <c r="R104" s="62"/>
      <c r="T10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16:55:54-0600',mode:absolute,to:'2016-05-05 17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4" s="75" t="str">
        <f t="shared" si="28"/>
        <v>N</v>
      </c>
      <c r="V104" s="75">
        <f t="shared" si="23"/>
        <v>1</v>
      </c>
      <c r="W104" s="75">
        <f t="shared" si="29"/>
        <v>23.296900000000001</v>
      </c>
      <c r="X104" s="75">
        <f t="shared" si="30"/>
        <v>1.6299999999999999E-2</v>
      </c>
      <c r="Y104" s="75">
        <f t="shared" si="31"/>
        <v>23.2806</v>
      </c>
      <c r="Z104" s="76">
        <f>VLOOKUP(A104,Enforcements!$C$3:$J$26,8,0)</f>
        <v>191108</v>
      </c>
      <c r="AA104" s="76" t="str">
        <f>VLOOKUP(A104,Enforcements!$C$3:$J$26,3,0)</f>
        <v>PERMANENT SPEED RESTRICTION</v>
      </c>
    </row>
    <row r="105" spans="1:27" s="2" customFormat="1" x14ac:dyDescent="0.25">
      <c r="A105" s="61" t="s">
        <v>392</v>
      </c>
      <c r="B105" s="61">
        <v>4018</v>
      </c>
      <c r="C105" s="61" t="s">
        <v>148</v>
      </c>
      <c r="D105" s="61" t="s">
        <v>214</v>
      </c>
      <c r="E105" s="30">
        <v>42495.688900462963</v>
      </c>
      <c r="F105" s="30">
        <v>42495.689814814818</v>
      </c>
      <c r="G105" s="38">
        <v>1</v>
      </c>
      <c r="H105" s="30" t="s">
        <v>216</v>
      </c>
      <c r="I105" s="30">
        <v>42495.720752314817</v>
      </c>
      <c r="J105" s="61">
        <v>0</v>
      </c>
      <c r="K105" s="61" t="str">
        <f t="shared" si="24"/>
        <v>4017/4018</v>
      </c>
      <c r="L105" s="61" t="str">
        <f>VLOOKUP(A105,'Trips&amp;Operators'!$C$1:$E$9999,3,FALSE)</f>
        <v>SPECTOR</v>
      </c>
      <c r="M105" s="12">
        <f t="shared" si="25"/>
        <v>3.0937499999708962E-2</v>
      </c>
      <c r="N105" s="13">
        <f t="shared" si="26"/>
        <v>44.549999999580905</v>
      </c>
      <c r="O105" s="13"/>
      <c r="P105" s="13"/>
      <c r="Q105" s="62"/>
      <c r="R105" s="62"/>
      <c r="T10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16:31:01-0600',mode:absolute,to:'2016-05-05 17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5" s="75" t="str">
        <f t="shared" si="28"/>
        <v>N</v>
      </c>
      <c r="V105" s="75">
        <f t="shared" si="23"/>
        <v>1</v>
      </c>
      <c r="W105" s="75">
        <f t="shared" si="29"/>
        <v>4.6399999999999997E-2</v>
      </c>
      <c r="X105" s="75">
        <f t="shared" si="30"/>
        <v>23.331399999999999</v>
      </c>
      <c r="Y105" s="75">
        <f t="shared" si="31"/>
        <v>23.285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324</v>
      </c>
      <c r="B106" s="61">
        <v>4017</v>
      </c>
      <c r="C106" s="61" t="s">
        <v>148</v>
      </c>
      <c r="D106" s="61" t="s">
        <v>213</v>
      </c>
      <c r="E106" s="30">
        <v>42495.725428240738</v>
      </c>
      <c r="F106" s="30">
        <v>42495.726539351854</v>
      </c>
      <c r="G106" s="38">
        <v>1</v>
      </c>
      <c r="H106" s="30" t="s">
        <v>171</v>
      </c>
      <c r="I106" s="30">
        <v>42495.753495370373</v>
      </c>
      <c r="J106" s="61">
        <v>1</v>
      </c>
      <c r="K106" s="61" t="str">
        <f t="shared" si="24"/>
        <v>4017/4018</v>
      </c>
      <c r="L106" s="61" t="str">
        <f>VLOOKUP(A106,'Trips&amp;Operators'!$C$1:$E$9999,3,FALSE)</f>
        <v>SPECTOR</v>
      </c>
      <c r="M106" s="12">
        <f t="shared" si="25"/>
        <v>2.6956018518831115E-2</v>
      </c>
      <c r="N106" s="13">
        <f t="shared" si="26"/>
        <v>38.816666667116806</v>
      </c>
      <c r="O106" s="13"/>
      <c r="P106" s="13"/>
      <c r="Q106" s="62"/>
      <c r="R106" s="62"/>
      <c r="T10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17:23:37-0600',mode:absolute,to:'2016-05-05 18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6" s="75" t="str">
        <f t="shared" si="28"/>
        <v>N</v>
      </c>
      <c r="V106" s="75">
        <f t="shared" si="23"/>
        <v>1</v>
      </c>
      <c r="W106" s="75">
        <f t="shared" si="29"/>
        <v>23.299399999999999</v>
      </c>
      <c r="X106" s="75">
        <f t="shared" si="30"/>
        <v>1.54E-2</v>
      </c>
      <c r="Y106" s="75">
        <f t="shared" si="31"/>
        <v>23.283999999999999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313</v>
      </c>
      <c r="B107" s="61">
        <v>4014</v>
      </c>
      <c r="C107" s="61" t="s">
        <v>148</v>
      </c>
      <c r="D107" s="61" t="s">
        <v>181</v>
      </c>
      <c r="E107" s="30">
        <v>42495.695567129631</v>
      </c>
      <c r="F107" s="30">
        <v>42495.69703703704</v>
      </c>
      <c r="G107" s="38">
        <v>2</v>
      </c>
      <c r="H107" s="30" t="s">
        <v>197</v>
      </c>
      <c r="I107" s="30">
        <v>42495.725393518522</v>
      </c>
      <c r="J107" s="61">
        <v>0</v>
      </c>
      <c r="K107" s="61" t="str">
        <f t="shared" si="24"/>
        <v>4013/4014</v>
      </c>
      <c r="L107" s="61" t="str">
        <f>VLOOKUP(A107,'Trips&amp;Operators'!$C$1:$E$9999,3,FALSE)</f>
        <v>LOZA</v>
      </c>
      <c r="M107" s="12">
        <f t="shared" si="25"/>
        <v>2.8356481481750961E-2</v>
      </c>
      <c r="N107" s="13">
        <f t="shared" si="26"/>
        <v>40.833333333721384</v>
      </c>
      <c r="O107" s="13"/>
      <c r="P107" s="13"/>
      <c r="Q107" s="62"/>
      <c r="R107" s="62"/>
      <c r="T10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16:40:37-0600',mode:absolute,to:'2016-05-05 17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7" s="75" t="str">
        <f t="shared" si="28"/>
        <v>N</v>
      </c>
      <c r="V107" s="75">
        <f t="shared" si="23"/>
        <v>1</v>
      </c>
      <c r="W107" s="75">
        <f t="shared" si="29"/>
        <v>4.4699999999999997E-2</v>
      </c>
      <c r="X107" s="75">
        <f t="shared" si="30"/>
        <v>23.328900000000001</v>
      </c>
      <c r="Y107" s="75">
        <f t="shared" si="31"/>
        <v>23.284200000000002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336</v>
      </c>
      <c r="B108" s="61">
        <v>4013</v>
      </c>
      <c r="C108" s="61" t="s">
        <v>148</v>
      </c>
      <c r="D108" s="61" t="s">
        <v>182</v>
      </c>
      <c r="E108" s="30">
        <v>42495.73609953704</v>
      </c>
      <c r="F108" s="30">
        <v>42495.737118055556</v>
      </c>
      <c r="G108" s="38">
        <v>1</v>
      </c>
      <c r="H108" s="30" t="s">
        <v>435</v>
      </c>
      <c r="I108" s="30">
        <v>42495.763043981482</v>
      </c>
      <c r="J108" s="61">
        <v>0</v>
      </c>
      <c r="K108" s="61" t="str">
        <f t="shared" si="24"/>
        <v>4013/4014</v>
      </c>
      <c r="L108" s="61" t="str">
        <f>VLOOKUP(A108,'Trips&amp;Operators'!$C$1:$E$9999,3,FALSE)</f>
        <v>LOZA</v>
      </c>
      <c r="M108" s="12">
        <f t="shared" si="25"/>
        <v>2.5925925925548654E-2</v>
      </c>
      <c r="N108" s="13">
        <f t="shared" si="26"/>
        <v>37.333333332790062</v>
      </c>
      <c r="O108" s="13"/>
      <c r="P108" s="13"/>
      <c r="Q108" s="62"/>
      <c r="R108" s="62"/>
      <c r="T10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17:38:59-0600',mode:absolute,to:'2016-05-05 18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8" s="75" t="str">
        <f t="shared" si="28"/>
        <v>N</v>
      </c>
      <c r="V108" s="75">
        <f t="shared" si="23"/>
        <v>1</v>
      </c>
      <c r="W108" s="75">
        <f t="shared" si="29"/>
        <v>23.299199999999999</v>
      </c>
      <c r="X108" s="75">
        <f t="shared" si="30"/>
        <v>1.3899999999999999E-2</v>
      </c>
      <c r="Y108" s="75">
        <f t="shared" si="31"/>
        <v>23.285299999999999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402</v>
      </c>
      <c r="B109" s="61">
        <v>4016</v>
      </c>
      <c r="C109" s="61" t="s">
        <v>148</v>
      </c>
      <c r="D109" s="61" t="s">
        <v>191</v>
      </c>
      <c r="E109" s="30">
        <v>42495.705995370372</v>
      </c>
      <c r="F109" s="30">
        <v>42495.707048611112</v>
      </c>
      <c r="G109" s="38">
        <v>1</v>
      </c>
      <c r="H109" s="30" t="s">
        <v>460</v>
      </c>
      <c r="I109" s="30">
        <v>42495.735011574077</v>
      </c>
      <c r="J109" s="61">
        <v>0</v>
      </c>
      <c r="K109" s="61" t="str">
        <f t="shared" si="24"/>
        <v>4015/4016</v>
      </c>
      <c r="L109" s="61" t="str">
        <f>VLOOKUP(A109,'Trips&amp;Operators'!$C$1:$E$9999,3,FALSE)</f>
        <v>JACKSON</v>
      </c>
      <c r="M109" s="12">
        <f t="shared" si="25"/>
        <v>2.7962962965830229E-2</v>
      </c>
      <c r="N109" s="13">
        <f t="shared" si="26"/>
        <v>40.26666667079553</v>
      </c>
      <c r="O109" s="13"/>
      <c r="P109" s="13"/>
      <c r="Q109" s="62"/>
      <c r="R109" s="62"/>
      <c r="T10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16:55:38-0600',mode:absolute,to:'2016-05-05 17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9" s="75" t="str">
        <f t="shared" si="28"/>
        <v>N</v>
      </c>
      <c r="V109" s="75">
        <f t="shared" si="23"/>
        <v>1</v>
      </c>
      <c r="W109" s="75">
        <f t="shared" si="29"/>
        <v>4.7300000000000002E-2</v>
      </c>
      <c r="X109" s="75">
        <f t="shared" si="30"/>
        <v>23.336400000000001</v>
      </c>
      <c r="Y109" s="75">
        <f t="shared" si="31"/>
        <v>23.289100000000001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344</v>
      </c>
      <c r="B110" s="61">
        <v>4015</v>
      </c>
      <c r="C110" s="61" t="s">
        <v>148</v>
      </c>
      <c r="D110" s="61" t="s">
        <v>461</v>
      </c>
      <c r="E110" s="30">
        <v>42495.743078703701</v>
      </c>
      <c r="F110" s="30">
        <v>42495.744120370371</v>
      </c>
      <c r="G110" s="38">
        <v>1</v>
      </c>
      <c r="H110" s="30" t="s">
        <v>164</v>
      </c>
      <c r="I110" s="30">
        <v>42495.776631944442</v>
      </c>
      <c r="J110" s="61">
        <v>0</v>
      </c>
      <c r="K110" s="61" t="str">
        <f t="shared" si="24"/>
        <v>4015/4016</v>
      </c>
      <c r="L110" s="61" t="str">
        <f>VLOOKUP(A110,'Trips&amp;Operators'!$C$1:$E$9999,3,FALSE)</f>
        <v>JACKSON</v>
      </c>
      <c r="M110" s="12">
        <f t="shared" si="25"/>
        <v>3.2511574070667848E-2</v>
      </c>
      <c r="N110" s="13">
        <f t="shared" si="26"/>
        <v>46.816666661761701</v>
      </c>
      <c r="O110" s="13"/>
      <c r="P110" s="13"/>
      <c r="Q110" s="62"/>
      <c r="R110" s="62"/>
      <c r="T11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17:49:02-0600',mode:absolute,to:'2016-05-05 18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0" s="75" t="str">
        <f t="shared" si="28"/>
        <v>N</v>
      </c>
      <c r="V110" s="75">
        <f t="shared" si="23"/>
        <v>1</v>
      </c>
      <c r="W110" s="75">
        <f t="shared" si="29"/>
        <v>23.303000000000001</v>
      </c>
      <c r="X110" s="75">
        <f t="shared" si="30"/>
        <v>1.49E-2</v>
      </c>
      <c r="Y110" s="75">
        <f t="shared" si="31"/>
        <v>23.2881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274</v>
      </c>
      <c r="B111" s="61">
        <v>4027</v>
      </c>
      <c r="C111" s="61" t="s">
        <v>148</v>
      </c>
      <c r="D111" s="61" t="s">
        <v>199</v>
      </c>
      <c r="E111" s="30">
        <v>42495.714548611111</v>
      </c>
      <c r="F111" s="30">
        <v>42495.716805555552</v>
      </c>
      <c r="G111" s="38">
        <v>3</v>
      </c>
      <c r="H111" s="30" t="s">
        <v>422</v>
      </c>
      <c r="I111" s="30">
        <v>42495.744432870371</v>
      </c>
      <c r="J111" s="61">
        <v>0</v>
      </c>
      <c r="K111" s="61" t="str">
        <f t="shared" si="24"/>
        <v>4027/4028</v>
      </c>
      <c r="L111" s="61" t="str">
        <f>VLOOKUP(A111,'Trips&amp;Operators'!$C$1:$E$9999,3,FALSE)</f>
        <v>ADANE</v>
      </c>
      <c r="M111" s="12">
        <f t="shared" si="25"/>
        <v>2.7627314819255844E-2</v>
      </c>
      <c r="N111" s="13">
        <f t="shared" si="26"/>
        <v>39.783333339728415</v>
      </c>
      <c r="O111" s="13"/>
      <c r="P111" s="13"/>
      <c r="Q111" s="62"/>
      <c r="R111" s="62"/>
      <c r="T11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17:07:57-0600',mode:absolute,to:'2016-05-05 17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1" s="75" t="str">
        <f t="shared" si="28"/>
        <v>N</v>
      </c>
      <c r="V111" s="75">
        <f t="shared" si="23"/>
        <v>1</v>
      </c>
      <c r="W111" s="75">
        <f t="shared" si="29"/>
        <v>4.5999999999999999E-2</v>
      </c>
      <c r="X111" s="75">
        <f t="shared" si="30"/>
        <v>23.330100000000002</v>
      </c>
      <c r="Y111" s="75">
        <f t="shared" si="31"/>
        <v>23.284100000000002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276</v>
      </c>
      <c r="B112" s="61">
        <v>4028</v>
      </c>
      <c r="C112" s="61" t="s">
        <v>148</v>
      </c>
      <c r="D112" s="61" t="s">
        <v>178</v>
      </c>
      <c r="E112" s="30">
        <v>42495.750787037039</v>
      </c>
      <c r="F112" s="30">
        <v>42495.75199074074</v>
      </c>
      <c r="G112" s="38">
        <v>1</v>
      </c>
      <c r="H112" s="30" t="s">
        <v>167</v>
      </c>
      <c r="I112" s="30">
        <v>42495.784745370373</v>
      </c>
      <c r="J112" s="61">
        <v>3</v>
      </c>
      <c r="K112" s="61" t="str">
        <f t="shared" si="24"/>
        <v>4027/4028</v>
      </c>
      <c r="L112" s="61" t="str">
        <f>VLOOKUP(A112,'Trips&amp;Operators'!$C$1:$E$9999,3,FALSE)</f>
        <v>ADANE</v>
      </c>
      <c r="M112" s="12">
        <f t="shared" si="25"/>
        <v>3.2754629632108845E-2</v>
      </c>
      <c r="N112" s="13">
        <f t="shared" si="26"/>
        <v>47.166666670236737</v>
      </c>
      <c r="O112" s="13"/>
      <c r="P112" s="13"/>
      <c r="Q112" s="62"/>
      <c r="R112" s="62"/>
      <c r="T11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18:00:08-0600',mode:absolute,to:'2016-05-05 18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2" s="75" t="str">
        <f t="shared" si="28"/>
        <v>N</v>
      </c>
      <c r="V112" s="75">
        <f t="shared" si="23"/>
        <v>1</v>
      </c>
      <c r="W112" s="75">
        <f t="shared" si="29"/>
        <v>23.298400000000001</v>
      </c>
      <c r="X112" s="75">
        <f t="shared" si="30"/>
        <v>1.43E-2</v>
      </c>
      <c r="Y112" s="75">
        <f t="shared" si="31"/>
        <v>23.284100000000002</v>
      </c>
      <c r="Z112" s="76">
        <f>VLOOKUP(A112,Enforcements!$C$3:$J$26,8,0)</f>
        <v>228668</v>
      </c>
      <c r="AA112" s="76" t="str">
        <f>VLOOKUP(A112,Enforcements!$C$3:$J$26,3,0)</f>
        <v>PERMANENT SPEED RESTRICTION</v>
      </c>
    </row>
    <row r="113" spans="1:27" s="2" customFormat="1" x14ac:dyDescent="0.25">
      <c r="A113" s="61" t="s">
        <v>347</v>
      </c>
      <c r="B113" s="61">
        <v>4044</v>
      </c>
      <c r="C113" s="61" t="s">
        <v>148</v>
      </c>
      <c r="D113" s="61" t="s">
        <v>462</v>
      </c>
      <c r="E113" s="30">
        <v>42495.733449074076</v>
      </c>
      <c r="F113" s="30">
        <v>42495.734398148146</v>
      </c>
      <c r="G113" s="38">
        <v>1</v>
      </c>
      <c r="H113" s="30" t="s">
        <v>187</v>
      </c>
      <c r="I113" s="30">
        <v>42495.757523148146</v>
      </c>
      <c r="J113" s="61">
        <v>1</v>
      </c>
      <c r="K113" s="61" t="str">
        <f t="shared" ref="K113:K116" si="32">IF(ISEVEN(B113),(B113-1)&amp;"/"&amp;B113,B113&amp;"/"&amp;(B113+1))</f>
        <v>4043/4044</v>
      </c>
      <c r="L113" s="61" t="str">
        <f>VLOOKUP(A113,'Trips&amp;Operators'!$C$1:$E$9999,3,FALSE)</f>
        <v>YOUNG</v>
      </c>
      <c r="M113" s="12">
        <f t="shared" ref="M113:M116" si="33">I113-F113</f>
        <v>2.3124999999708962E-2</v>
      </c>
      <c r="N113" s="13"/>
      <c r="O113" s="13"/>
      <c r="P113" s="13">
        <v>37</v>
      </c>
      <c r="Q113" s="62" t="s">
        <v>238</v>
      </c>
      <c r="R113" s="62" t="s">
        <v>491</v>
      </c>
      <c r="T11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17:35:10-0600',mode:absolute,to:'2016-05-05 18:11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5" t="str">
        <f t="shared" si="28"/>
        <v>Y</v>
      </c>
      <c r="V113" s="75">
        <f t="shared" si="23"/>
        <v>1</v>
      </c>
      <c r="W113" s="75">
        <f t="shared" si="29"/>
        <v>1.9107000000000001</v>
      </c>
      <c r="X113" s="75">
        <f t="shared" si="30"/>
        <v>23.3308</v>
      </c>
      <c r="Y113" s="75">
        <f t="shared" si="31"/>
        <v>21.420100000000001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347</v>
      </c>
      <c r="B114" s="61">
        <v>4044</v>
      </c>
      <c r="C114" s="61" t="s">
        <v>148</v>
      </c>
      <c r="D114" s="61" t="s">
        <v>175</v>
      </c>
      <c r="E114" s="30">
        <v>42495.726203703707</v>
      </c>
      <c r="F114" s="30">
        <v>42495.727199074077</v>
      </c>
      <c r="G114" s="38">
        <v>1</v>
      </c>
      <c r="H114" s="30" t="s">
        <v>463</v>
      </c>
      <c r="I114" s="30">
        <v>42495.730219907404</v>
      </c>
      <c r="J114" s="61">
        <v>0</v>
      </c>
      <c r="K114" s="61" t="str">
        <f t="shared" si="32"/>
        <v>4043/4044</v>
      </c>
      <c r="L114" s="61" t="str">
        <f>VLOOKUP(A114,'Trips&amp;Operators'!$C$1:$E$9999,3,FALSE)</f>
        <v>YOUNG</v>
      </c>
      <c r="M114" s="12">
        <f t="shared" si="33"/>
        <v>3.0208333264454268E-3</v>
      </c>
      <c r="N114" s="13"/>
      <c r="O114" s="13"/>
      <c r="P114" s="13"/>
      <c r="Q114" s="62"/>
      <c r="R114" s="62"/>
      <c r="T11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17:24:44-0600',mode:absolute,to:'2016-05-05 17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4" s="75" t="str">
        <f t="shared" si="28"/>
        <v>Y</v>
      </c>
      <c r="V114" s="75">
        <f t="shared" si="23"/>
        <v>0</v>
      </c>
      <c r="W114" s="75">
        <f t="shared" si="29"/>
        <v>4.4900000000000002E-2</v>
      </c>
      <c r="X114" s="75">
        <f t="shared" si="30"/>
        <v>9.0800000000000006E-2</v>
      </c>
      <c r="Y114" s="75">
        <f t="shared" si="31"/>
        <v>4.5900000000000003E-2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370</v>
      </c>
      <c r="B115" s="61">
        <v>4043</v>
      </c>
      <c r="C115" s="61" t="s">
        <v>148</v>
      </c>
      <c r="D115" s="61" t="s">
        <v>196</v>
      </c>
      <c r="E115" s="30">
        <v>42495.761064814818</v>
      </c>
      <c r="F115" s="30">
        <v>42495.761979166666</v>
      </c>
      <c r="G115" s="38">
        <v>1</v>
      </c>
      <c r="H115" s="30" t="s">
        <v>192</v>
      </c>
      <c r="I115" s="30">
        <v>42495.796180555553</v>
      </c>
      <c r="J115" s="61">
        <v>0</v>
      </c>
      <c r="K115" s="61" t="str">
        <f t="shared" si="32"/>
        <v>4043/4044</v>
      </c>
      <c r="L115" s="61" t="str">
        <f>VLOOKUP(A115,'Trips&amp;Operators'!$C$1:$E$9999,3,FALSE)</f>
        <v>YOUNG</v>
      </c>
      <c r="M115" s="12">
        <f t="shared" si="33"/>
        <v>3.4201388887595385E-2</v>
      </c>
      <c r="N115" s="13">
        <f t="shared" si="26"/>
        <v>49.249999998137355</v>
      </c>
      <c r="O115" s="13"/>
      <c r="P115" s="13"/>
      <c r="Q115" s="62"/>
      <c r="R115" s="62"/>
      <c r="T11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18:14:56-0600',mode:absolute,to:'2016-05-05 19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5" s="75" t="str">
        <f t="shared" si="28"/>
        <v>N</v>
      </c>
      <c r="V115" s="75">
        <f t="shared" si="23"/>
        <v>1</v>
      </c>
      <c r="W115" s="75">
        <f t="shared" si="29"/>
        <v>23.299800000000001</v>
      </c>
      <c r="X115" s="75">
        <f t="shared" si="30"/>
        <v>1.5800000000000002E-2</v>
      </c>
      <c r="Y115" s="75">
        <f t="shared" si="31"/>
        <v>23.284000000000002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275</v>
      </c>
      <c r="B116" s="61">
        <v>4029</v>
      </c>
      <c r="C116" s="61" t="s">
        <v>148</v>
      </c>
      <c r="D116" s="61" t="s">
        <v>464</v>
      </c>
      <c r="E116" s="30">
        <v>42495.73914351852</v>
      </c>
      <c r="F116" s="30">
        <v>42495.740335648145</v>
      </c>
      <c r="G116" s="38">
        <v>1</v>
      </c>
      <c r="H116" s="30" t="s">
        <v>229</v>
      </c>
      <c r="I116" s="30">
        <v>42495.765833333331</v>
      </c>
      <c r="J116" s="61">
        <v>0</v>
      </c>
      <c r="K116" s="61" t="str">
        <f t="shared" si="32"/>
        <v>4029/4030</v>
      </c>
      <c r="L116" s="61" t="str">
        <f>VLOOKUP(A116,'Trips&amp;Operators'!$C$1:$E$9999,3,FALSE)</f>
        <v>REBOLETTI</v>
      </c>
      <c r="M116" s="12">
        <f t="shared" si="33"/>
        <v>2.5497685186564922E-2</v>
      </c>
      <c r="N116" s="13">
        <f t="shared" si="26"/>
        <v>36.716666668653488</v>
      </c>
      <c r="O116" s="13"/>
      <c r="P116" s="13"/>
      <c r="Q116" s="62"/>
      <c r="R116" s="62"/>
      <c r="T11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17:43:22-0600',mode:absolute,to:'2016-05-05 18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6" s="75" t="str">
        <f t="shared" si="28"/>
        <v>N</v>
      </c>
      <c r="V116" s="75">
        <f t="shared" si="23"/>
        <v>1</v>
      </c>
      <c r="W116" s="75">
        <f t="shared" si="29"/>
        <v>5.91E-2</v>
      </c>
      <c r="X116" s="75">
        <f t="shared" si="30"/>
        <v>23.328399999999998</v>
      </c>
      <c r="Y116" s="75">
        <f t="shared" si="31"/>
        <v>23.269299999999998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277</v>
      </c>
      <c r="B117" s="61">
        <v>4030</v>
      </c>
      <c r="C117" s="61" t="s">
        <v>148</v>
      </c>
      <c r="D117" s="61" t="s">
        <v>465</v>
      </c>
      <c r="E117" s="30">
        <v>42495.777037037034</v>
      </c>
      <c r="F117" s="30">
        <v>42495.778020833335</v>
      </c>
      <c r="G117" s="38">
        <v>1</v>
      </c>
      <c r="H117" s="30" t="s">
        <v>466</v>
      </c>
      <c r="I117" s="30">
        <v>42495.805532407408</v>
      </c>
      <c r="J117" s="61">
        <v>0</v>
      </c>
      <c r="K117" s="61" t="str">
        <f t="shared" ref="K117:K148" si="34">IF(ISEVEN(B117),(B117-1)&amp;"/"&amp;B117,B117&amp;"/"&amp;(B117+1))</f>
        <v>4029/4030</v>
      </c>
      <c r="L117" s="61" t="str">
        <f>VLOOKUP(A117,'Trips&amp;Operators'!$C$1:$E$9999,3,FALSE)</f>
        <v>REBOLETTI</v>
      </c>
      <c r="M117" s="12">
        <f t="shared" ref="M117:M148" si="35">I117-F117</f>
        <v>2.7511574073287193E-2</v>
      </c>
      <c r="N117" s="13">
        <f t="shared" si="26"/>
        <v>39.616666665533558</v>
      </c>
      <c r="O117" s="13"/>
      <c r="P117" s="13"/>
      <c r="Q117" s="62"/>
      <c r="R117" s="62"/>
      <c r="T11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18:37:56-0600',mode:absolute,to:'2016-05-05 19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7" s="75" t="str">
        <f t="shared" si="28"/>
        <v>N</v>
      </c>
      <c r="V117" s="75">
        <f t="shared" si="23"/>
        <v>1</v>
      </c>
      <c r="W117" s="75">
        <f t="shared" si="29"/>
        <v>23.296099999999999</v>
      </c>
      <c r="X117" s="75">
        <f t="shared" si="30"/>
        <v>1.89E-2</v>
      </c>
      <c r="Y117" s="75">
        <f t="shared" si="31"/>
        <v>23.277200000000001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371</v>
      </c>
      <c r="B118" s="61">
        <v>4020</v>
      </c>
      <c r="C118" s="61" t="s">
        <v>148</v>
      </c>
      <c r="D118" s="61" t="s">
        <v>168</v>
      </c>
      <c r="E118" s="30">
        <v>42495.74627314815</v>
      </c>
      <c r="F118" s="30">
        <v>42495.747546296298</v>
      </c>
      <c r="G118" s="38">
        <v>1</v>
      </c>
      <c r="H118" s="30" t="s">
        <v>211</v>
      </c>
      <c r="I118" s="30">
        <v>42495.775567129633</v>
      </c>
      <c r="J118" s="61">
        <v>0</v>
      </c>
      <c r="K118" s="61" t="str">
        <f t="shared" si="34"/>
        <v>4019/4020</v>
      </c>
      <c r="L118" s="61" t="str">
        <f>VLOOKUP(A118,'Trips&amp;Operators'!$C$1:$E$9999,3,FALSE)</f>
        <v>BARTLETT</v>
      </c>
      <c r="M118" s="12">
        <f t="shared" si="35"/>
        <v>2.8020833335176576E-2</v>
      </c>
      <c r="N118" s="13">
        <f t="shared" si="26"/>
        <v>40.350000002654269</v>
      </c>
      <c r="O118" s="13"/>
      <c r="P118" s="13"/>
      <c r="Q118" s="62"/>
      <c r="R118" s="62"/>
      <c r="T11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17:53:38-0600',mode:absolute,to:'2016-05-05 18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8" s="75" t="str">
        <f t="shared" si="28"/>
        <v>N</v>
      </c>
      <c r="V118" s="75">
        <f t="shared" si="23"/>
        <v>1</v>
      </c>
      <c r="W118" s="75">
        <f t="shared" si="29"/>
        <v>4.5699999999999998E-2</v>
      </c>
      <c r="X118" s="75">
        <f t="shared" si="30"/>
        <v>23.331900000000001</v>
      </c>
      <c r="Y118" s="75">
        <f t="shared" si="31"/>
        <v>23.286200000000001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338</v>
      </c>
      <c r="B119" s="61">
        <v>4019</v>
      </c>
      <c r="C119" s="61" t="s">
        <v>148</v>
      </c>
      <c r="D119" s="61" t="s">
        <v>467</v>
      </c>
      <c r="E119" s="30">
        <v>42495.78465277778</v>
      </c>
      <c r="F119" s="30">
        <v>42495.786030092589</v>
      </c>
      <c r="G119" s="38">
        <v>1</v>
      </c>
      <c r="H119" s="30" t="s">
        <v>183</v>
      </c>
      <c r="I119" s="30">
        <v>42495.81517361111</v>
      </c>
      <c r="J119" s="61">
        <v>0</v>
      </c>
      <c r="K119" s="61" t="str">
        <f t="shared" si="34"/>
        <v>4019/4020</v>
      </c>
      <c r="L119" s="61" t="str">
        <f>VLOOKUP(A119,'Trips&amp;Operators'!$C$1:$E$9999,3,FALSE)</f>
        <v>BARTLETT</v>
      </c>
      <c r="M119" s="12">
        <f t="shared" si="35"/>
        <v>2.9143518520868383E-2</v>
      </c>
      <c r="N119" s="13">
        <f t="shared" si="26"/>
        <v>41.966666670050472</v>
      </c>
      <c r="O119" s="13"/>
      <c r="P119" s="13"/>
      <c r="Q119" s="62"/>
      <c r="R119" s="62"/>
      <c r="T11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18:48:54-0600',mode:absolute,to:'2016-05-05 19:34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9" s="75" t="str">
        <f t="shared" si="28"/>
        <v>N</v>
      </c>
      <c r="V119" s="75">
        <f t="shared" si="23"/>
        <v>1</v>
      </c>
      <c r="W119" s="75">
        <f t="shared" si="29"/>
        <v>23.2987</v>
      </c>
      <c r="X119" s="75">
        <f t="shared" si="30"/>
        <v>1.3599999999999999E-2</v>
      </c>
      <c r="Y119" s="75">
        <f t="shared" si="31"/>
        <v>23.2851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303</v>
      </c>
      <c r="B120" s="61">
        <v>4018</v>
      </c>
      <c r="C120" s="61" t="s">
        <v>148</v>
      </c>
      <c r="D120" s="61" t="s">
        <v>168</v>
      </c>
      <c r="E120" s="30">
        <v>42495.757893518516</v>
      </c>
      <c r="F120" s="30">
        <v>42495.758796296293</v>
      </c>
      <c r="G120" s="38">
        <v>1</v>
      </c>
      <c r="H120" s="30" t="s">
        <v>204</v>
      </c>
      <c r="I120" s="30">
        <v>42495.785740740743</v>
      </c>
      <c r="J120" s="61">
        <v>2</v>
      </c>
      <c r="K120" s="61" t="str">
        <f t="shared" si="34"/>
        <v>4017/4018</v>
      </c>
      <c r="L120" s="61" t="str">
        <f>VLOOKUP(A120,'Trips&amp;Operators'!$C$1:$E$9999,3,FALSE)</f>
        <v>GOLIGHTLY</v>
      </c>
      <c r="M120" s="12">
        <f t="shared" si="35"/>
        <v>2.694444444932742E-2</v>
      </c>
      <c r="N120" s="13">
        <f t="shared" si="26"/>
        <v>38.800000007031485</v>
      </c>
      <c r="O120" s="13"/>
      <c r="P120" s="13"/>
      <c r="Q120" s="62"/>
      <c r="R120" s="62"/>
      <c r="T12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18:10:22-0600',mode:absolute,to:'2016-05-05 18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0" s="75" t="str">
        <f t="shared" si="28"/>
        <v>N</v>
      </c>
      <c r="V120" s="75">
        <f t="shared" si="23"/>
        <v>1</v>
      </c>
      <c r="W120" s="75">
        <f t="shared" si="29"/>
        <v>4.5699999999999998E-2</v>
      </c>
      <c r="X120" s="75">
        <f t="shared" si="30"/>
        <v>23.331199999999999</v>
      </c>
      <c r="Y120" s="75">
        <f t="shared" si="31"/>
        <v>23.285499999999999</v>
      </c>
      <c r="Z120" s="76">
        <f>VLOOKUP(A120,Enforcements!$C$3:$J$26,8,0)</f>
        <v>1692</v>
      </c>
      <c r="AA120" s="76" t="str">
        <f>VLOOKUP(A120,Enforcements!$C$3:$J$26,3,0)</f>
        <v>SIGNAL</v>
      </c>
    </row>
    <row r="121" spans="1:27" s="2" customFormat="1" x14ac:dyDescent="0.25">
      <c r="A121" s="61" t="s">
        <v>280</v>
      </c>
      <c r="B121" s="61">
        <v>4017</v>
      </c>
      <c r="C121" s="61" t="s">
        <v>148</v>
      </c>
      <c r="D121" s="61" t="s">
        <v>231</v>
      </c>
      <c r="E121" s="30">
        <v>42495.789479166669</v>
      </c>
      <c r="F121" s="30">
        <v>42495.790567129632</v>
      </c>
      <c r="G121" s="38">
        <v>1</v>
      </c>
      <c r="H121" s="30" t="s">
        <v>468</v>
      </c>
      <c r="I121" s="30">
        <v>42495.815370370372</v>
      </c>
      <c r="J121" s="61">
        <v>0</v>
      </c>
      <c r="K121" s="61" t="str">
        <f t="shared" si="34"/>
        <v>4017/4018</v>
      </c>
      <c r="L121" s="61" t="str">
        <f>VLOOKUP(A121,'Trips&amp;Operators'!$C$1:$E$9999,3,FALSE)</f>
        <v>GOLIGHTLY</v>
      </c>
      <c r="M121" s="12">
        <f t="shared" si="35"/>
        <v>2.4803240739856847E-2</v>
      </c>
      <c r="N121" s="13"/>
      <c r="O121" s="13"/>
      <c r="P121" s="13">
        <v>49</v>
      </c>
      <c r="Q121" s="62" t="s">
        <v>238</v>
      </c>
      <c r="R121" s="62" t="s">
        <v>485</v>
      </c>
      <c r="T12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18:55:51-0600',mode:absolute,to:'2016-05-05 19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1" s="75" t="str">
        <f t="shared" si="28"/>
        <v>Y</v>
      </c>
      <c r="V121" s="75">
        <f t="shared" si="23"/>
        <v>1</v>
      </c>
      <c r="W121" s="75">
        <f t="shared" si="29"/>
        <v>23.298200000000001</v>
      </c>
      <c r="X121" s="75">
        <f t="shared" si="30"/>
        <v>7.1162000000000001</v>
      </c>
      <c r="Y121" s="75">
        <f t="shared" si="31"/>
        <v>16.182000000000002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280</v>
      </c>
      <c r="B122" s="61">
        <v>4017</v>
      </c>
      <c r="C122" s="61" t="s">
        <v>148</v>
      </c>
      <c r="D122" s="61" t="s">
        <v>469</v>
      </c>
      <c r="E122" s="30">
        <v>42495.818506944444</v>
      </c>
      <c r="F122" s="30">
        <v>42495.819502314815</v>
      </c>
      <c r="G122" s="38">
        <v>1</v>
      </c>
      <c r="H122" s="30" t="s">
        <v>180</v>
      </c>
      <c r="I122" s="30">
        <v>42495.828761574077</v>
      </c>
      <c r="J122" s="61">
        <v>0</v>
      </c>
      <c r="K122" s="61" t="str">
        <f t="shared" si="34"/>
        <v>4017/4018</v>
      </c>
      <c r="L122" s="61" t="str">
        <f>VLOOKUP(A122,'Trips&amp;Operators'!$C$1:$E$9999,3,FALSE)</f>
        <v>GOLIGHTLY</v>
      </c>
      <c r="M122" s="12">
        <f t="shared" si="35"/>
        <v>9.2592592627624981E-3</v>
      </c>
      <c r="N122" s="13"/>
      <c r="O122" s="13"/>
      <c r="P122" s="13"/>
      <c r="Q122" s="62"/>
      <c r="R122" s="62"/>
      <c r="T12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19:37:39-0600',mode:absolute,to:'2016-05-05 19:54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2" s="75" t="str">
        <f t="shared" si="28"/>
        <v>Y</v>
      </c>
      <c r="V122" s="75">
        <f t="shared" si="23"/>
        <v>0</v>
      </c>
      <c r="W122" s="75">
        <f t="shared" si="29"/>
        <v>6.4127000000000001</v>
      </c>
      <c r="X122" s="75">
        <f t="shared" si="30"/>
        <v>1.4500000000000001E-2</v>
      </c>
      <c r="Y122" s="75">
        <f t="shared" si="31"/>
        <v>6.3982000000000001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358</v>
      </c>
      <c r="B123" s="61">
        <v>4014</v>
      </c>
      <c r="C123" s="61" t="s">
        <v>148</v>
      </c>
      <c r="D123" s="61" t="s">
        <v>214</v>
      </c>
      <c r="E123" s="30">
        <v>42495.767152777778</v>
      </c>
      <c r="F123" s="30">
        <v>42495.768125000002</v>
      </c>
      <c r="G123" s="38">
        <v>1</v>
      </c>
      <c r="H123" s="30" t="s">
        <v>426</v>
      </c>
      <c r="I123" s="30">
        <v>42495.79614583333</v>
      </c>
      <c r="J123" s="61">
        <v>0</v>
      </c>
      <c r="K123" s="61" t="str">
        <f t="shared" si="34"/>
        <v>4013/4014</v>
      </c>
      <c r="L123" s="61" t="str">
        <f>VLOOKUP(A123,'Trips&amp;Operators'!$C$1:$E$9999,3,FALSE)</f>
        <v>STRICKLAND</v>
      </c>
      <c r="M123" s="12">
        <f t="shared" si="35"/>
        <v>2.8020833327900618E-2</v>
      </c>
      <c r="N123" s="13">
        <f t="shared" si="26"/>
        <v>40.34999999217689</v>
      </c>
      <c r="O123" s="13"/>
      <c r="P123" s="13"/>
      <c r="Q123" s="62"/>
      <c r="R123" s="62"/>
      <c r="T12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18:23:42-0600',mode:absolute,to:'2016-05-05 19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3" s="75" t="str">
        <f t="shared" si="28"/>
        <v>N</v>
      </c>
      <c r="V123" s="75">
        <f t="shared" si="23"/>
        <v>1</v>
      </c>
      <c r="W123" s="75">
        <f t="shared" si="29"/>
        <v>4.6399999999999997E-2</v>
      </c>
      <c r="X123" s="75">
        <f t="shared" si="30"/>
        <v>23.329799999999999</v>
      </c>
      <c r="Y123" s="75">
        <f t="shared" si="31"/>
        <v>23.2834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340</v>
      </c>
      <c r="B124" s="61">
        <v>4013</v>
      </c>
      <c r="C124" s="61" t="s">
        <v>148</v>
      </c>
      <c r="D124" s="61" t="s">
        <v>169</v>
      </c>
      <c r="E124" s="30">
        <v>42495.806770833333</v>
      </c>
      <c r="F124" s="30">
        <v>42495.807847222219</v>
      </c>
      <c r="G124" s="38">
        <v>1</v>
      </c>
      <c r="H124" s="30" t="s">
        <v>192</v>
      </c>
      <c r="I124" s="30">
        <v>42495.83666666667</v>
      </c>
      <c r="J124" s="61">
        <v>0</v>
      </c>
      <c r="K124" s="61" t="str">
        <f t="shared" si="34"/>
        <v>4013/4014</v>
      </c>
      <c r="L124" s="61" t="str">
        <f>VLOOKUP(A124,'Trips&amp;Operators'!$C$1:$E$9999,3,FALSE)</f>
        <v>STRICKLAND</v>
      </c>
      <c r="M124" s="12">
        <f t="shared" si="35"/>
        <v>2.881944445107365E-2</v>
      </c>
      <c r="N124" s="13">
        <f t="shared" si="26"/>
        <v>41.500000009546056</v>
      </c>
      <c r="O124" s="13"/>
      <c r="P124" s="13"/>
      <c r="Q124" s="62"/>
      <c r="R124" s="62"/>
      <c r="T12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19:20:45-0600',mode:absolute,to:'2016-05-05 20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4" s="75" t="str">
        <f t="shared" si="28"/>
        <v>N</v>
      </c>
      <c r="V124" s="75">
        <f t="shared" si="23"/>
        <v>1</v>
      </c>
      <c r="W124" s="75">
        <f t="shared" si="29"/>
        <v>23.299099999999999</v>
      </c>
      <c r="X124" s="75">
        <f t="shared" si="30"/>
        <v>1.5800000000000002E-2</v>
      </c>
      <c r="Y124" s="75">
        <f t="shared" si="31"/>
        <v>23.283300000000001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300</v>
      </c>
      <c r="B125" s="61">
        <v>4027</v>
      </c>
      <c r="C125" s="61" t="s">
        <v>148</v>
      </c>
      <c r="D125" s="61" t="s">
        <v>218</v>
      </c>
      <c r="E125" s="30">
        <v>42495.787037037036</v>
      </c>
      <c r="F125" s="30">
        <v>42495.788206018522</v>
      </c>
      <c r="G125" s="38">
        <v>1</v>
      </c>
      <c r="H125" s="30" t="s">
        <v>470</v>
      </c>
      <c r="I125" s="30">
        <v>42495.819282407407</v>
      </c>
      <c r="J125" s="61">
        <v>1</v>
      </c>
      <c r="K125" s="61" t="str">
        <f t="shared" si="34"/>
        <v>4027/4028</v>
      </c>
      <c r="L125" s="61" t="str">
        <f>VLOOKUP(A125,'Trips&amp;Operators'!$C$1:$E$9999,3,FALSE)</f>
        <v>ADANE</v>
      </c>
      <c r="M125" s="12">
        <f t="shared" si="35"/>
        <v>3.1076388884685002E-2</v>
      </c>
      <c r="N125" s="13">
        <f t="shared" si="26"/>
        <v>44.749999993946403</v>
      </c>
      <c r="O125" s="13"/>
      <c r="P125" s="13"/>
      <c r="Q125" s="62"/>
      <c r="R125" s="62"/>
      <c r="T12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18:52:20-0600',mode:absolute,to:'2016-05-05 19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25" s="75" t="str">
        <f t="shared" si="28"/>
        <v>N</v>
      </c>
      <c r="V125" s="75">
        <f t="shared" si="23"/>
        <v>1</v>
      </c>
      <c r="W125" s="75">
        <f t="shared" si="29"/>
        <v>4.3999999999999997E-2</v>
      </c>
      <c r="X125" s="75">
        <f t="shared" si="30"/>
        <v>23.328199999999999</v>
      </c>
      <c r="Y125" s="75">
        <f t="shared" si="31"/>
        <v>23.284199999999998</v>
      </c>
      <c r="Z125" s="76">
        <f>VLOOKUP(A125,Enforcements!$C$3:$J$26,8,0)</f>
        <v>232080</v>
      </c>
      <c r="AA125" s="76" t="str">
        <f>VLOOKUP(A125,Enforcements!$C$3:$J$26,3,0)</f>
        <v>PERMANENT SPEED RESTRICTION</v>
      </c>
    </row>
    <row r="126" spans="1:27" s="2" customFormat="1" x14ac:dyDescent="0.25">
      <c r="A126" s="61" t="s">
        <v>341</v>
      </c>
      <c r="B126" s="61">
        <v>4028</v>
      </c>
      <c r="C126" s="61" t="s">
        <v>148</v>
      </c>
      <c r="D126" s="61" t="s">
        <v>423</v>
      </c>
      <c r="E126" s="30">
        <v>42495.822002314817</v>
      </c>
      <c r="F126" s="30">
        <v>42495.826516203706</v>
      </c>
      <c r="G126" s="38">
        <v>6</v>
      </c>
      <c r="H126" s="30" t="s">
        <v>164</v>
      </c>
      <c r="I126" s="30">
        <v>42495.85833333333</v>
      </c>
      <c r="J126" s="61">
        <v>1</v>
      </c>
      <c r="K126" s="61" t="str">
        <f t="shared" si="34"/>
        <v>4027/4028</v>
      </c>
      <c r="L126" s="61" t="str">
        <f>VLOOKUP(A126,'Trips&amp;Operators'!$C$1:$E$9999,3,FALSE)</f>
        <v>ADANE</v>
      </c>
      <c r="M126" s="12">
        <f t="shared" si="35"/>
        <v>3.1817129623959772E-2</v>
      </c>
      <c r="N126" s="13">
        <f t="shared" si="26"/>
        <v>45.816666658502072</v>
      </c>
      <c r="O126" s="13"/>
      <c r="P126" s="13"/>
      <c r="Q126" s="62"/>
      <c r="R126" s="62"/>
      <c r="T12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19:42:41-0600',mode:absolute,to:'2016-05-05 20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6" s="75" t="str">
        <f t="shared" si="28"/>
        <v>N</v>
      </c>
      <c r="V126" s="75">
        <f t="shared" si="23"/>
        <v>1</v>
      </c>
      <c r="W126" s="75">
        <f t="shared" si="29"/>
        <v>23.297499999999999</v>
      </c>
      <c r="X126" s="75">
        <f t="shared" si="30"/>
        <v>1.49E-2</v>
      </c>
      <c r="Y126" s="75">
        <f t="shared" si="31"/>
        <v>23.282599999999999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299</v>
      </c>
      <c r="B127" s="61">
        <v>4029</v>
      </c>
      <c r="C127" s="61" t="s">
        <v>148</v>
      </c>
      <c r="D127" s="61" t="s">
        <v>209</v>
      </c>
      <c r="E127" s="30">
        <v>42495.806817129633</v>
      </c>
      <c r="F127" s="30">
        <v>42495.807986111111</v>
      </c>
      <c r="G127" s="38">
        <v>1</v>
      </c>
      <c r="H127" s="30" t="s">
        <v>470</v>
      </c>
      <c r="I127" s="30">
        <v>42495.838506944441</v>
      </c>
      <c r="J127" s="61">
        <v>0</v>
      </c>
      <c r="K127" s="61" t="str">
        <f t="shared" si="34"/>
        <v>4029/4030</v>
      </c>
      <c r="L127" s="61" t="str">
        <f>VLOOKUP(A127,'Trips&amp;Operators'!$C$1:$E$9999,3,FALSE)</f>
        <v>REBOLETTI</v>
      </c>
      <c r="M127" s="12">
        <f t="shared" si="35"/>
        <v>3.0520833330228925E-2</v>
      </c>
      <c r="N127" s="13">
        <f t="shared" si="26"/>
        <v>43.949999995529652</v>
      </c>
      <c r="O127" s="13"/>
      <c r="P127" s="13"/>
      <c r="Q127" s="62"/>
      <c r="R127" s="62"/>
      <c r="T12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19:20:49-0600',mode:absolute,to:'2016-05-05 20:08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7" s="75" t="str">
        <f t="shared" si="28"/>
        <v>N</v>
      </c>
      <c r="V127" s="75">
        <f t="shared" si="23"/>
        <v>1</v>
      </c>
      <c r="W127" s="75">
        <f t="shared" si="29"/>
        <v>4.7699999999999999E-2</v>
      </c>
      <c r="X127" s="75">
        <f t="shared" si="30"/>
        <v>23.328199999999999</v>
      </c>
      <c r="Y127" s="75">
        <f t="shared" si="31"/>
        <v>23.2805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339</v>
      </c>
      <c r="B128" s="61">
        <v>4030</v>
      </c>
      <c r="C128" s="61" t="s">
        <v>148</v>
      </c>
      <c r="D128" s="61" t="s">
        <v>471</v>
      </c>
      <c r="E128" s="30">
        <v>42495.843194444446</v>
      </c>
      <c r="F128" s="30">
        <v>42495.843969907408</v>
      </c>
      <c r="G128" s="38">
        <v>1</v>
      </c>
      <c r="H128" s="30" t="s">
        <v>472</v>
      </c>
      <c r="I128" s="30">
        <v>42495.878599537034</v>
      </c>
      <c r="J128" s="61">
        <v>0</v>
      </c>
      <c r="K128" s="61" t="str">
        <f t="shared" si="34"/>
        <v>4029/4030</v>
      </c>
      <c r="L128" s="61" t="str">
        <f>VLOOKUP(A128,'Trips&amp;Operators'!$C$1:$E$9999,3,FALSE)</f>
        <v>REBOLETTI</v>
      </c>
      <c r="M128" s="12">
        <f t="shared" si="35"/>
        <v>3.4629629626579117E-2</v>
      </c>
      <c r="N128" s="13">
        <f t="shared" si="26"/>
        <v>49.866666662273929</v>
      </c>
      <c r="O128" s="13"/>
      <c r="P128" s="13"/>
      <c r="Q128" s="62"/>
      <c r="R128" s="62"/>
      <c r="T12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20:13:12-0600',mode:absolute,to:'2016-05-05 21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8" s="75" t="str">
        <f t="shared" si="28"/>
        <v>N</v>
      </c>
      <c r="V128" s="75">
        <f t="shared" si="23"/>
        <v>1</v>
      </c>
      <c r="W128" s="75">
        <f t="shared" si="29"/>
        <v>23.2957</v>
      </c>
      <c r="X128" s="75">
        <f t="shared" si="30"/>
        <v>1.9800000000000002E-2</v>
      </c>
      <c r="Y128" s="75">
        <f t="shared" si="31"/>
        <v>23.2759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282</v>
      </c>
      <c r="B129" s="61">
        <v>4018</v>
      </c>
      <c r="C129" s="61" t="s">
        <v>148</v>
      </c>
      <c r="D129" s="61" t="s">
        <v>175</v>
      </c>
      <c r="E129" s="30">
        <v>42495.831759259258</v>
      </c>
      <c r="F129" s="30">
        <v>42495.832662037035</v>
      </c>
      <c r="G129" s="38">
        <v>1</v>
      </c>
      <c r="H129" s="30" t="s">
        <v>422</v>
      </c>
      <c r="I129" s="30">
        <v>42495.859016203707</v>
      </c>
      <c r="J129" s="61">
        <v>1</v>
      </c>
      <c r="K129" s="61" t="str">
        <f t="shared" si="34"/>
        <v>4017/4018</v>
      </c>
      <c r="L129" s="61" t="str">
        <f>VLOOKUP(A129,'Trips&amp;Operators'!$C$1:$E$9999,3,FALSE)</f>
        <v>GOLIGHTLY</v>
      </c>
      <c r="M129" s="12">
        <f t="shared" si="35"/>
        <v>2.6354166671808343E-2</v>
      </c>
      <c r="N129" s="13">
        <f t="shared" si="26"/>
        <v>37.950000007404014</v>
      </c>
      <c r="O129" s="13"/>
      <c r="P129" s="13"/>
      <c r="Q129" s="62"/>
      <c r="R129" s="62"/>
      <c r="T12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19:56:44-0600',mode:absolute,to:'2016-05-05 20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9" s="75" t="str">
        <f t="shared" si="28"/>
        <v>N</v>
      </c>
      <c r="V129" s="75">
        <f t="shared" si="23"/>
        <v>1</v>
      </c>
      <c r="W129" s="75">
        <f t="shared" si="29"/>
        <v>4.4900000000000002E-2</v>
      </c>
      <c r="X129" s="75">
        <f t="shared" si="30"/>
        <v>23.330100000000002</v>
      </c>
      <c r="Y129" s="75">
        <f t="shared" si="31"/>
        <v>23.285200000000003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328</v>
      </c>
      <c r="B130" s="61">
        <v>4017</v>
      </c>
      <c r="C130" s="61" t="s">
        <v>148</v>
      </c>
      <c r="D130" s="61" t="s">
        <v>178</v>
      </c>
      <c r="E130" s="30">
        <v>42495.868483796294</v>
      </c>
      <c r="F130" s="30">
        <v>42495.871145833335</v>
      </c>
      <c r="G130" s="38">
        <v>3</v>
      </c>
      <c r="H130" s="30" t="s">
        <v>159</v>
      </c>
      <c r="I130" s="30">
        <v>42495.898657407408</v>
      </c>
      <c r="J130" s="61">
        <v>0</v>
      </c>
      <c r="K130" s="61" t="str">
        <f t="shared" si="34"/>
        <v>4017/4018</v>
      </c>
      <c r="L130" s="61" t="str">
        <f>VLOOKUP(A130,'Trips&amp;Operators'!$C$1:$E$9999,3,FALSE)</f>
        <v>GOLIGHTLY</v>
      </c>
      <c r="M130" s="12">
        <f t="shared" si="35"/>
        <v>2.7511574073287193E-2</v>
      </c>
      <c r="N130" s="13">
        <f t="shared" si="26"/>
        <v>39.616666665533558</v>
      </c>
      <c r="O130" s="13"/>
      <c r="P130" s="13"/>
      <c r="Q130" s="62"/>
      <c r="R130" s="62"/>
      <c r="T13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20:49:37-0600',mode:absolute,to:'2016-05-05 21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0" s="75" t="str">
        <f t="shared" si="28"/>
        <v>N</v>
      </c>
      <c r="V130" s="75">
        <f t="shared" si="23"/>
        <v>1</v>
      </c>
      <c r="W130" s="75">
        <f t="shared" si="29"/>
        <v>23.298400000000001</v>
      </c>
      <c r="X130" s="75">
        <f t="shared" si="30"/>
        <v>1.67E-2</v>
      </c>
      <c r="Y130" s="75">
        <f t="shared" si="31"/>
        <v>23.281700000000001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311</v>
      </c>
      <c r="B131" s="61">
        <v>4014</v>
      </c>
      <c r="C131" s="61" t="s">
        <v>148</v>
      </c>
      <c r="D131" s="61" t="s">
        <v>221</v>
      </c>
      <c r="E131" s="30">
        <v>42495.848229166666</v>
      </c>
      <c r="F131" s="30">
        <v>42495.849444444444</v>
      </c>
      <c r="G131" s="38">
        <v>1</v>
      </c>
      <c r="H131" s="30" t="s">
        <v>473</v>
      </c>
      <c r="I131" s="30">
        <v>42495.879467592589</v>
      </c>
      <c r="J131" s="61">
        <v>0</v>
      </c>
      <c r="K131" s="61" t="str">
        <f t="shared" si="34"/>
        <v>4013/4014</v>
      </c>
      <c r="L131" s="61" t="str">
        <f>VLOOKUP(A131,'Trips&amp;Operators'!$C$1:$E$9999,3,FALSE)</f>
        <v>STRICKLAND</v>
      </c>
      <c r="M131" s="12">
        <f t="shared" si="35"/>
        <v>3.0023148145119194E-2</v>
      </c>
      <c r="N131" s="13">
        <f t="shared" ref="N131:N144" si="36">$M131*24*60</f>
        <v>43.233333328971639</v>
      </c>
      <c r="O131" s="13"/>
      <c r="P131" s="13"/>
      <c r="Q131" s="62"/>
      <c r="R131" s="62"/>
      <c r="T13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20:20:27-0600',mode:absolute,to:'2016-05-05 21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1" s="75" t="str">
        <f t="shared" si="28"/>
        <v>N</v>
      </c>
      <c r="V131" s="75">
        <f t="shared" si="23"/>
        <v>1</v>
      </c>
      <c r="W131" s="75">
        <f t="shared" si="29"/>
        <v>4.7800000000000002E-2</v>
      </c>
      <c r="X131" s="75">
        <f t="shared" si="30"/>
        <v>23.327000000000002</v>
      </c>
      <c r="Y131" s="75">
        <f t="shared" si="31"/>
        <v>23.279200000000003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398</v>
      </c>
      <c r="B132" s="61">
        <v>4013</v>
      </c>
      <c r="C132" s="61" t="s">
        <v>148</v>
      </c>
      <c r="D132" s="61" t="s">
        <v>155</v>
      </c>
      <c r="E132" s="30">
        <v>42495.890370370369</v>
      </c>
      <c r="F132" s="30">
        <v>42495.891388888886</v>
      </c>
      <c r="G132" s="38">
        <v>1</v>
      </c>
      <c r="H132" s="30" t="s">
        <v>151</v>
      </c>
      <c r="I132" s="30">
        <v>42495.920312499999</v>
      </c>
      <c r="J132" s="61">
        <v>1</v>
      </c>
      <c r="K132" s="61" t="str">
        <f t="shared" si="34"/>
        <v>4013/4014</v>
      </c>
      <c r="L132" s="61" t="str">
        <f>VLOOKUP(A132,'Trips&amp;Operators'!$C$1:$E$9999,3,FALSE)</f>
        <v>STRICKLAND</v>
      </c>
      <c r="M132" s="12">
        <f t="shared" si="35"/>
        <v>2.8923611112986691E-2</v>
      </c>
      <c r="N132" s="13">
        <f t="shared" si="36"/>
        <v>41.650000002700835</v>
      </c>
      <c r="O132" s="13"/>
      <c r="P132" s="13"/>
      <c r="Q132" s="62"/>
      <c r="R132" s="62"/>
      <c r="T13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21:21:08-0600',mode:absolute,to:'2016-05-05 22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2" s="75" t="str">
        <f t="shared" si="28"/>
        <v>N</v>
      </c>
      <c r="V132" s="75">
        <f t="shared" ref="V132:V148" si="37">VALUE(LEFT(A132,3))-VALUE(LEFT(A131,3))</f>
        <v>1</v>
      </c>
      <c r="W132" s="75">
        <f t="shared" si="29"/>
        <v>23.2973</v>
      </c>
      <c r="X132" s="75">
        <f t="shared" si="30"/>
        <v>1.7399999999999999E-2</v>
      </c>
      <c r="Y132" s="75">
        <f t="shared" si="31"/>
        <v>23.279900000000001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362</v>
      </c>
      <c r="B133" s="61">
        <v>4027</v>
      </c>
      <c r="C133" s="61" t="s">
        <v>148</v>
      </c>
      <c r="D133" s="61" t="s">
        <v>474</v>
      </c>
      <c r="E133" s="30">
        <v>42495.859652777777</v>
      </c>
      <c r="F133" s="30">
        <v>42495.875798611109</v>
      </c>
      <c r="G133" s="38">
        <v>2</v>
      </c>
      <c r="H133" s="30" t="s">
        <v>166</v>
      </c>
      <c r="I133" s="30">
        <v>42495.900972222225</v>
      </c>
      <c r="J133" s="61">
        <v>0</v>
      </c>
      <c r="K133" s="61" t="str">
        <f t="shared" si="34"/>
        <v>4027/4028</v>
      </c>
      <c r="L133" s="61" t="str">
        <f>VLOOKUP(A133,'Trips&amp;Operators'!$C$1:$E$9999,3,FALSE)</f>
        <v>ADANE</v>
      </c>
      <c r="M133" s="12">
        <f t="shared" si="35"/>
        <v>2.5173611116770189E-2</v>
      </c>
      <c r="N133" s="13">
        <f t="shared" si="36"/>
        <v>36.250000008149073</v>
      </c>
      <c r="O133" s="13"/>
      <c r="P133" s="13"/>
      <c r="Q133" s="62"/>
      <c r="R133" s="62"/>
      <c r="T13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20:36:54-0600',mode:absolute,to:'2016-05-05 21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3" s="75" t="str">
        <f t="shared" si="28"/>
        <v>N</v>
      </c>
      <c r="V133" s="75">
        <f t="shared" si="37"/>
        <v>1</v>
      </c>
      <c r="W133" s="75">
        <f t="shared" si="29"/>
        <v>4.8899999999999999E-2</v>
      </c>
      <c r="X133" s="75">
        <f t="shared" si="30"/>
        <v>23.330300000000001</v>
      </c>
      <c r="Y133" s="75">
        <f t="shared" si="31"/>
        <v>23.281400000000001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285</v>
      </c>
      <c r="B134" s="61">
        <v>4028</v>
      </c>
      <c r="C134" s="61" t="s">
        <v>148</v>
      </c>
      <c r="D134" s="61" t="s">
        <v>220</v>
      </c>
      <c r="E134" s="30">
        <v>42495.905868055554</v>
      </c>
      <c r="F134" s="30">
        <v>42495.907013888886</v>
      </c>
      <c r="G134" s="38">
        <v>1</v>
      </c>
      <c r="H134" s="30" t="s">
        <v>226</v>
      </c>
      <c r="I134" s="30">
        <v>42495.940937500003</v>
      </c>
      <c r="J134" s="61">
        <v>0</v>
      </c>
      <c r="K134" s="61" t="str">
        <f t="shared" si="34"/>
        <v>4027/4028</v>
      </c>
      <c r="L134" s="61" t="str">
        <f>VLOOKUP(A134,'Trips&amp;Operators'!$C$1:$E$9999,3,FALSE)</f>
        <v>ADANE</v>
      </c>
      <c r="M134" s="12">
        <f t="shared" si="35"/>
        <v>3.3923611117643304E-2</v>
      </c>
      <c r="N134" s="13">
        <f t="shared" si="36"/>
        <v>48.850000009406358</v>
      </c>
      <c r="O134" s="13"/>
      <c r="P134" s="13"/>
      <c r="Q134" s="62"/>
      <c r="R134" s="62"/>
      <c r="T13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21:43:27-0600',mode:absolute,to:'2016-05-05 22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34" s="75" t="str">
        <f t="shared" si="28"/>
        <v>N</v>
      </c>
      <c r="V134" s="75">
        <f t="shared" si="37"/>
        <v>1</v>
      </c>
      <c r="W134" s="75">
        <f t="shared" si="29"/>
        <v>23.296900000000001</v>
      </c>
      <c r="X134" s="75">
        <f t="shared" si="30"/>
        <v>1.61E-2</v>
      </c>
      <c r="Y134" s="75">
        <f t="shared" si="31"/>
        <v>23.280799999999999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337</v>
      </c>
      <c r="B135" s="61">
        <v>4029</v>
      </c>
      <c r="C135" s="61" t="s">
        <v>148</v>
      </c>
      <c r="D135" s="61" t="s">
        <v>184</v>
      </c>
      <c r="E135" s="30">
        <v>42495.882372685184</v>
      </c>
      <c r="F135" s="30">
        <v>42495.896018518521</v>
      </c>
      <c r="G135" s="38">
        <v>1</v>
      </c>
      <c r="H135" s="30" t="s">
        <v>475</v>
      </c>
      <c r="I135" s="30">
        <v>42495.921620370369</v>
      </c>
      <c r="J135" s="61">
        <v>0</v>
      </c>
      <c r="K135" s="61" t="str">
        <f t="shared" si="34"/>
        <v>4029/4030</v>
      </c>
      <c r="L135" s="61" t="str">
        <f>VLOOKUP(A135,'Trips&amp;Operators'!$C$1:$E$9999,3,FALSE)</f>
        <v>REBOLETTI</v>
      </c>
      <c r="M135" s="12">
        <f t="shared" si="35"/>
        <v>2.5601851848477963E-2</v>
      </c>
      <c r="N135" s="13">
        <f t="shared" si="36"/>
        <v>36.866666661808267</v>
      </c>
      <c r="O135" s="13"/>
      <c r="P135" s="13"/>
      <c r="Q135" s="62"/>
      <c r="R135" s="62"/>
      <c r="T13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21:09:37-0600',mode:absolute,to:'2016-05-05 22:08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5" s="75" t="str">
        <f t="shared" si="28"/>
        <v>N</v>
      </c>
      <c r="V135" s="75">
        <f t="shared" si="37"/>
        <v>1</v>
      </c>
      <c r="W135" s="75">
        <f t="shared" si="29"/>
        <v>4.8399999999999999E-2</v>
      </c>
      <c r="X135" s="75">
        <f t="shared" si="30"/>
        <v>23.327999999999999</v>
      </c>
      <c r="Y135" s="75">
        <f t="shared" si="31"/>
        <v>23.279599999999999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354</v>
      </c>
      <c r="B136" s="61">
        <v>4030</v>
      </c>
      <c r="C136" s="61" t="s">
        <v>148</v>
      </c>
      <c r="D136" s="61" t="s">
        <v>476</v>
      </c>
      <c r="E136" s="30">
        <v>42495.929479166669</v>
      </c>
      <c r="F136" s="30">
        <v>42495.930312500001</v>
      </c>
      <c r="G136" s="38">
        <v>1</v>
      </c>
      <c r="H136" s="30" t="s">
        <v>477</v>
      </c>
      <c r="I136" s="30">
        <v>42495.96234953704</v>
      </c>
      <c r="J136" s="61">
        <v>0</v>
      </c>
      <c r="K136" s="61" t="str">
        <f t="shared" si="34"/>
        <v>4029/4030</v>
      </c>
      <c r="L136" s="61" t="str">
        <f>VLOOKUP(A136,'Trips&amp;Operators'!$C$1:$E$9999,3,FALSE)</f>
        <v>REBOLETTI</v>
      </c>
      <c r="M136" s="12">
        <f t="shared" si="35"/>
        <v>3.2037037039117422E-2</v>
      </c>
      <c r="N136" s="13">
        <f t="shared" si="36"/>
        <v>46.133333336329088</v>
      </c>
      <c r="O136" s="13"/>
      <c r="P136" s="13"/>
      <c r="Q136" s="62"/>
      <c r="R136" s="62"/>
      <c r="T13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22:17:27-0600',mode:absolute,to:'2016-05-05 23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6" s="75" t="str">
        <f t="shared" si="28"/>
        <v>N</v>
      </c>
      <c r="V136" s="75">
        <f t="shared" si="37"/>
        <v>1</v>
      </c>
      <c r="W136" s="75">
        <f t="shared" si="29"/>
        <v>23.295300000000001</v>
      </c>
      <c r="X136" s="75">
        <f t="shared" si="30"/>
        <v>1.6500000000000001E-2</v>
      </c>
      <c r="Y136" s="75">
        <f t="shared" si="31"/>
        <v>23.2788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360</v>
      </c>
      <c r="B137" s="61">
        <v>4018</v>
      </c>
      <c r="C137" s="61" t="s">
        <v>148</v>
      </c>
      <c r="D137" s="61" t="s">
        <v>156</v>
      </c>
      <c r="E137" s="30">
        <v>42495.9062962963</v>
      </c>
      <c r="F137" s="30">
        <v>42495.918055555558</v>
      </c>
      <c r="G137" s="38">
        <v>1</v>
      </c>
      <c r="H137" s="30" t="s">
        <v>478</v>
      </c>
      <c r="I137" s="30">
        <v>42495.94258101852</v>
      </c>
      <c r="J137" s="61">
        <v>1</v>
      </c>
      <c r="K137" s="61" t="str">
        <f t="shared" si="34"/>
        <v>4017/4018</v>
      </c>
      <c r="L137" s="61" t="str">
        <f>VLOOKUP(A137,'Trips&amp;Operators'!$C$1:$E$9999,3,FALSE)</f>
        <v>GOLIGHTLY</v>
      </c>
      <c r="M137" s="12">
        <f t="shared" si="35"/>
        <v>2.4525462962628808E-2</v>
      </c>
      <c r="N137" s="13">
        <f t="shared" si="36"/>
        <v>35.316666666185483</v>
      </c>
      <c r="O137" s="13"/>
      <c r="P137" s="13"/>
      <c r="Q137" s="62"/>
      <c r="R137" s="62"/>
      <c r="T13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21:44:04-0600',mode:absolute,to:'2016-05-05 22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7" s="75" t="str">
        <f t="shared" si="28"/>
        <v>N</v>
      </c>
      <c r="V137" s="75">
        <f t="shared" si="37"/>
        <v>1</v>
      </c>
      <c r="W137" s="75">
        <f t="shared" si="29"/>
        <v>4.4200000000000003E-2</v>
      </c>
      <c r="X137" s="75">
        <f t="shared" si="30"/>
        <v>23.333100000000002</v>
      </c>
      <c r="Y137" s="75">
        <f t="shared" si="31"/>
        <v>23.288900000000002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369</v>
      </c>
      <c r="B138" s="61">
        <v>4017</v>
      </c>
      <c r="C138" s="61" t="s">
        <v>148</v>
      </c>
      <c r="D138" s="61" t="s">
        <v>193</v>
      </c>
      <c r="E138" s="30">
        <v>42495.945486111108</v>
      </c>
      <c r="F138" s="30">
        <v>42495.956319444442</v>
      </c>
      <c r="G138" s="38">
        <v>1</v>
      </c>
      <c r="H138" s="30" t="s">
        <v>206</v>
      </c>
      <c r="I138" s="30">
        <v>42495.981689814813</v>
      </c>
      <c r="J138" s="61">
        <v>0</v>
      </c>
      <c r="K138" s="61" t="str">
        <f t="shared" si="34"/>
        <v>4017/4018</v>
      </c>
      <c r="L138" s="61" t="str">
        <f>VLOOKUP(A138,'Trips&amp;Operators'!$C$1:$E$9999,3,FALSE)</f>
        <v>GOLIGHTLY</v>
      </c>
      <c r="M138" s="12">
        <f t="shared" si="35"/>
        <v>2.5370370371092577E-2</v>
      </c>
      <c r="N138" s="13">
        <f t="shared" si="36"/>
        <v>36.53333333437331</v>
      </c>
      <c r="O138" s="13"/>
      <c r="P138" s="13"/>
      <c r="Q138" s="62"/>
      <c r="R138" s="62"/>
      <c r="T13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22:40:30-0600',mode:absolute,to:'2016-05-05 23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8" s="75" t="str">
        <f t="shared" si="28"/>
        <v>N</v>
      </c>
      <c r="V138" s="75">
        <f t="shared" si="37"/>
        <v>1</v>
      </c>
      <c r="W138" s="75">
        <f t="shared" si="29"/>
        <v>23.3</v>
      </c>
      <c r="X138" s="75">
        <f t="shared" si="30"/>
        <v>1.6299999999999999E-2</v>
      </c>
      <c r="Y138" s="75">
        <f t="shared" si="31"/>
        <v>23.2837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350</v>
      </c>
      <c r="B139" s="61">
        <v>4014</v>
      </c>
      <c r="C139" s="61" t="s">
        <v>148</v>
      </c>
      <c r="D139" s="61" t="s">
        <v>232</v>
      </c>
      <c r="E139" s="30">
        <v>42495.933611111112</v>
      </c>
      <c r="F139" s="30">
        <v>42495.937719907408</v>
      </c>
      <c r="G139" s="38">
        <v>1</v>
      </c>
      <c r="H139" s="30" t="s">
        <v>479</v>
      </c>
      <c r="I139" s="30">
        <v>42495.970324074071</v>
      </c>
      <c r="J139" s="61">
        <v>1</v>
      </c>
      <c r="K139" s="61" t="str">
        <f t="shared" si="34"/>
        <v>4013/4014</v>
      </c>
      <c r="L139" s="61" t="str">
        <f>VLOOKUP(A139,'Trips&amp;Operators'!$C$1:$E$9999,3,FALSE)</f>
        <v>STRICKLAND</v>
      </c>
      <c r="M139" s="12">
        <f t="shared" si="35"/>
        <v>3.2604166663077194E-2</v>
      </c>
      <c r="N139" s="13">
        <f t="shared" si="36"/>
        <v>46.94999999483116</v>
      </c>
      <c r="O139" s="13"/>
      <c r="P139" s="13"/>
      <c r="Q139" s="62"/>
      <c r="R139" s="62"/>
      <c r="T13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22:23:24-0600',mode:absolute,to:'2016-05-05 23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5" t="str">
        <f t="shared" si="28"/>
        <v>N</v>
      </c>
      <c r="V139" s="75">
        <f t="shared" si="37"/>
        <v>1</v>
      </c>
      <c r="W139" s="75">
        <f t="shared" si="29"/>
        <v>4.6899999999999997E-2</v>
      </c>
      <c r="X139" s="75">
        <f t="shared" si="30"/>
        <v>23.318899999999999</v>
      </c>
      <c r="Y139" s="75">
        <f t="shared" si="31"/>
        <v>23.271999999999998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388</v>
      </c>
      <c r="B140" s="61">
        <v>4013</v>
      </c>
      <c r="C140" s="61" t="s">
        <v>148</v>
      </c>
      <c r="D140" s="61" t="s">
        <v>480</v>
      </c>
      <c r="E140" s="30">
        <v>42495.974907407406</v>
      </c>
      <c r="F140" s="30">
        <v>42495.976099537038</v>
      </c>
      <c r="G140" s="38">
        <v>1</v>
      </c>
      <c r="H140" s="30" t="s">
        <v>159</v>
      </c>
      <c r="I140" s="30">
        <v>42496.005046296297</v>
      </c>
      <c r="J140" s="61">
        <v>0</v>
      </c>
      <c r="K140" s="61" t="str">
        <f t="shared" si="34"/>
        <v>4013/4014</v>
      </c>
      <c r="L140" s="61" t="str">
        <f>VLOOKUP(A140,'Trips&amp;Operators'!$C$1:$E$9999,3,FALSE)</f>
        <v>STRICKLAND</v>
      </c>
      <c r="M140" s="12">
        <f t="shared" si="35"/>
        <v>2.8946759259270038E-2</v>
      </c>
      <c r="N140" s="13">
        <f t="shared" si="36"/>
        <v>41.683333333348855</v>
      </c>
      <c r="O140" s="13"/>
      <c r="P140" s="13"/>
      <c r="Q140" s="62"/>
      <c r="R140" s="62"/>
      <c r="T14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23:22:52-0600',mode:absolute,to:'2016-05-06 00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0" s="75" t="str">
        <f t="shared" si="28"/>
        <v>N</v>
      </c>
      <c r="V140" s="75">
        <f t="shared" si="37"/>
        <v>1</v>
      </c>
      <c r="W140" s="75">
        <f t="shared" si="29"/>
        <v>23.290199999999999</v>
      </c>
      <c r="X140" s="75">
        <f t="shared" si="30"/>
        <v>1.67E-2</v>
      </c>
      <c r="Y140" s="75">
        <f t="shared" si="31"/>
        <v>23.273499999999999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310</v>
      </c>
      <c r="B141" s="61">
        <v>4027</v>
      </c>
      <c r="C141" s="61" t="s">
        <v>148</v>
      </c>
      <c r="D141" s="61" t="s">
        <v>186</v>
      </c>
      <c r="E141" s="30">
        <v>42495.955787037034</v>
      </c>
      <c r="F141" s="30">
        <v>42495.956759259258</v>
      </c>
      <c r="G141" s="38">
        <v>1</v>
      </c>
      <c r="H141" s="30" t="s">
        <v>205</v>
      </c>
      <c r="I141" s="30">
        <v>42495.985601851855</v>
      </c>
      <c r="J141" s="61">
        <v>1</v>
      </c>
      <c r="K141" s="61" t="str">
        <f t="shared" si="34"/>
        <v>4027/4028</v>
      </c>
      <c r="L141" s="61" t="str">
        <f>VLOOKUP(A141,'Trips&amp;Operators'!$C$1:$E$9999,3,FALSE)</f>
        <v>ADANE</v>
      </c>
      <c r="M141" s="12">
        <f t="shared" si="35"/>
        <v>2.8842592597356997E-2</v>
      </c>
      <c r="N141" s="13">
        <f t="shared" si="36"/>
        <v>41.533333340194076</v>
      </c>
      <c r="O141" s="13"/>
      <c r="P141" s="13"/>
      <c r="Q141" s="62"/>
      <c r="R141" s="62"/>
      <c r="T14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22:55:20-0600',mode:absolute,to:'2016-05-05 23:40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1" s="75" t="str">
        <f t="shared" si="28"/>
        <v>N</v>
      </c>
      <c r="V141" s="75">
        <f t="shared" si="37"/>
        <v>1</v>
      </c>
      <c r="W141" s="75">
        <f t="shared" si="29"/>
        <v>4.7100000000000003E-2</v>
      </c>
      <c r="X141" s="75">
        <f t="shared" si="30"/>
        <v>23.328499999999998</v>
      </c>
      <c r="Y141" s="75">
        <f t="shared" si="31"/>
        <v>23.281399999999998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356</v>
      </c>
      <c r="B142" s="61">
        <v>4028</v>
      </c>
      <c r="C142" s="61" t="s">
        <v>148</v>
      </c>
      <c r="D142" s="61" t="s">
        <v>481</v>
      </c>
      <c r="E142" s="30">
        <v>42495.993356481478</v>
      </c>
      <c r="F142" s="30">
        <v>42495.99459490741</v>
      </c>
      <c r="G142" s="38">
        <v>1</v>
      </c>
      <c r="H142" s="30" t="s">
        <v>183</v>
      </c>
      <c r="I142" s="30">
        <v>42496.024305555555</v>
      </c>
      <c r="J142" s="61">
        <v>1</v>
      </c>
      <c r="K142" s="61" t="str">
        <f t="shared" si="34"/>
        <v>4027/4028</v>
      </c>
      <c r="L142" s="61" t="str">
        <f>VLOOKUP(A142,'Trips&amp;Operators'!$C$1:$E$9999,3,FALSE)</f>
        <v>ADANE</v>
      </c>
      <c r="M142" s="12">
        <f t="shared" si="35"/>
        <v>2.9710648144828156E-2</v>
      </c>
      <c r="N142" s="13">
        <f t="shared" si="36"/>
        <v>42.783333328552544</v>
      </c>
      <c r="O142" s="13"/>
      <c r="P142" s="13"/>
      <c r="Q142" s="62"/>
      <c r="R142" s="62"/>
      <c r="T14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23:49:26-0600',mode:absolute,to:'2016-05-06 00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2" s="75" t="str">
        <f t="shared" si="28"/>
        <v>N</v>
      </c>
      <c r="V142" s="75">
        <f t="shared" si="37"/>
        <v>1</v>
      </c>
      <c r="W142" s="75">
        <f t="shared" si="29"/>
        <v>23.296800000000001</v>
      </c>
      <c r="X142" s="75">
        <f t="shared" si="30"/>
        <v>1.3599999999999999E-2</v>
      </c>
      <c r="Y142" s="75">
        <f t="shared" si="31"/>
        <v>23.283200000000001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367</v>
      </c>
      <c r="B143" s="61">
        <v>4029</v>
      </c>
      <c r="C143" s="61" t="s">
        <v>148</v>
      </c>
      <c r="D143" s="61" t="s">
        <v>162</v>
      </c>
      <c r="E143" s="30">
        <v>42495.974814814814</v>
      </c>
      <c r="F143" s="30">
        <v>42495.976064814815</v>
      </c>
      <c r="G143" s="38">
        <v>1</v>
      </c>
      <c r="H143" s="30" t="s">
        <v>197</v>
      </c>
      <c r="I143" s="30">
        <v>42496.004872685182</v>
      </c>
      <c r="J143" s="61">
        <v>0</v>
      </c>
      <c r="K143" s="61" t="str">
        <f t="shared" si="34"/>
        <v>4029/4030</v>
      </c>
      <c r="L143" s="61" t="str">
        <f>VLOOKUP(A143,'Trips&amp;Operators'!$C$1:$E$9999,3,FALSE)</f>
        <v>REBOLETTI</v>
      </c>
      <c r="M143" s="12">
        <f t="shared" si="35"/>
        <v>2.880787036701804E-2</v>
      </c>
      <c r="N143" s="13">
        <f t="shared" si="36"/>
        <v>41.483333328505978</v>
      </c>
      <c r="O143" s="13"/>
      <c r="P143" s="13"/>
      <c r="Q143" s="62"/>
      <c r="R143" s="62"/>
      <c r="T14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23:22:44-0600',mode:absolute,to:'2016-05-06 00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3" s="75" t="str">
        <f t="shared" si="28"/>
        <v>N</v>
      </c>
      <c r="V143" s="75">
        <f t="shared" si="37"/>
        <v>1</v>
      </c>
      <c r="W143" s="75">
        <f t="shared" si="29"/>
        <v>4.9099999999999998E-2</v>
      </c>
      <c r="X143" s="75">
        <f t="shared" si="30"/>
        <v>23.328900000000001</v>
      </c>
      <c r="Y143" s="75">
        <f t="shared" si="31"/>
        <v>23.279800000000002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325</v>
      </c>
      <c r="B144" s="61">
        <v>4030</v>
      </c>
      <c r="C144" s="61" t="s">
        <v>148</v>
      </c>
      <c r="D144" s="61" t="s">
        <v>482</v>
      </c>
      <c r="E144" s="30">
        <v>42496.012314814812</v>
      </c>
      <c r="F144" s="30">
        <v>42496.013206018521</v>
      </c>
      <c r="G144" s="38">
        <v>1</v>
      </c>
      <c r="H144" s="30" t="s">
        <v>483</v>
      </c>
      <c r="I144" s="30">
        <v>42496.045081018521</v>
      </c>
      <c r="J144" s="61">
        <v>1</v>
      </c>
      <c r="K144" s="61" t="str">
        <f t="shared" si="34"/>
        <v>4029/4030</v>
      </c>
      <c r="L144" s="61" t="str">
        <f>VLOOKUP(A144,'Trips&amp;Operators'!$C$1:$E$9999,3,FALSE)</f>
        <v>REBOLETTI</v>
      </c>
      <c r="M144" s="12">
        <f t="shared" si="35"/>
        <v>3.1875000000582077E-2</v>
      </c>
      <c r="N144" s="13">
        <f t="shared" si="36"/>
        <v>45.90000000083819</v>
      </c>
      <c r="O144" s="13"/>
      <c r="P144" s="13"/>
      <c r="Q144" s="62"/>
      <c r="R144" s="62"/>
      <c r="T14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https://search-rtdc-monitor-bjffxe2xuh6vdkpspy63sjmuny.us-east-1.es.amazonaws.com/_plugin/kibana/#/discover/Steve-Slow-Train-Analysis-(2080s-and-2083s)?_g=(refreshInterval:(display:Off,section:0,value:0),time:(from:'2016-05-06 00:16:44-0600',mode:absolute,to:'2016-05-06 01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4" s="75" t="str">
        <f t="shared" si="28"/>
        <v>N</v>
      </c>
      <c r="V144" s="75">
        <f t="shared" si="37"/>
        <v>1</v>
      </c>
      <c r="W144" s="75">
        <f t="shared" si="29"/>
        <v>23.296399999999998</v>
      </c>
      <c r="X144" s="75">
        <f t="shared" si="30"/>
        <v>3.6499999999999998E-2</v>
      </c>
      <c r="Y144" s="75">
        <f t="shared" si="31"/>
        <v>23.259899999999998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342</v>
      </c>
      <c r="B145" s="61">
        <v>4018</v>
      </c>
      <c r="C145" s="61" t="s">
        <v>148</v>
      </c>
      <c r="D145" s="61" t="s">
        <v>232</v>
      </c>
      <c r="E145" s="30">
        <v>42495.986307870371</v>
      </c>
      <c r="F145" s="30">
        <v>42496.000347222223</v>
      </c>
      <c r="G145" s="38">
        <v>1</v>
      </c>
      <c r="H145" s="30" t="s">
        <v>176</v>
      </c>
      <c r="I145" s="30">
        <v>42496.025185185186</v>
      </c>
      <c r="J145" s="61">
        <v>1</v>
      </c>
      <c r="K145" s="61" t="str">
        <f t="shared" si="34"/>
        <v>4017/4018</v>
      </c>
      <c r="L145" s="61" t="str">
        <f>VLOOKUP(A145,'Trips&amp;Operators'!$C$1:$E$9999,3,FALSE)</f>
        <v>GOLIGHTLY</v>
      </c>
      <c r="M145" s="12">
        <f t="shared" si="35"/>
        <v>2.4837962962919846E-2</v>
      </c>
      <c r="N145" s="13">
        <f t="shared" ref="N145:N148" si="38">$M145*24*60</f>
        <v>35.766666666604578</v>
      </c>
      <c r="O145" s="13"/>
      <c r="P145" s="13"/>
      <c r="Q145" s="62"/>
      <c r="R145" s="62"/>
      <c r="T14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23:39:17-0600',mode:absolute,to:'2016-05-06 00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45" s="75" t="str">
        <f t="shared" si="28"/>
        <v>N</v>
      </c>
      <c r="V145" s="75">
        <f t="shared" si="37"/>
        <v>1</v>
      </c>
      <c r="W145" s="75">
        <f t="shared" si="29"/>
        <v>4.6899999999999997E-2</v>
      </c>
      <c r="X145" s="75">
        <f t="shared" si="30"/>
        <v>23.330400000000001</v>
      </c>
      <c r="Y145" s="75">
        <f t="shared" si="31"/>
        <v>23.2835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278</v>
      </c>
      <c r="B146" s="61">
        <v>4017</v>
      </c>
      <c r="C146" s="61" t="s">
        <v>148</v>
      </c>
      <c r="D146" s="61" t="s">
        <v>213</v>
      </c>
      <c r="E146" s="30">
        <v>42496.028634259259</v>
      </c>
      <c r="F146" s="30">
        <v>42496.039212962962</v>
      </c>
      <c r="G146" s="38">
        <v>1</v>
      </c>
      <c r="H146" s="30" t="s">
        <v>174</v>
      </c>
      <c r="I146" s="30">
        <v>42496.064664351848</v>
      </c>
      <c r="J146" s="61">
        <v>0</v>
      </c>
      <c r="K146" s="61" t="str">
        <f t="shared" si="34"/>
        <v>4017/4018</v>
      </c>
      <c r="L146" s="61" t="str">
        <f>VLOOKUP(A146,'Trips&amp;Operators'!$C$1:$E$9999,3,FALSE)</f>
        <v>GOLIGHTLY</v>
      </c>
      <c r="M146" s="12">
        <f t="shared" si="35"/>
        <v>2.545138888672227E-2</v>
      </c>
      <c r="N146" s="13">
        <f t="shared" si="38"/>
        <v>36.649999996880069</v>
      </c>
      <c r="O146" s="13"/>
      <c r="P146" s="13"/>
      <c r="Q146" s="62"/>
      <c r="R146" s="62"/>
      <c r="T146" s="75" t="str">
        <f t="shared" ref="T146:T148" si="39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https://search-rtdc-monitor-bjffxe2xuh6vdkpspy63sjmuny.us-east-1.es.amazonaws.com/_plugin/kibana/#/discover/Steve-Slow-Train-Analysis-(2080s-and-2083s)?_g=(refreshInterval:(display:Off,section:0,value:0),time:(from:'2016-05-06 00:40:14-0600',mode:absolute,to:'2016-05-06 01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6" s="75" t="str">
        <f t="shared" ref="U146:U148" si="40">IF(Y146&lt;23,"Y","N")</f>
        <v>N</v>
      </c>
      <c r="V146" s="75">
        <f t="shared" si="37"/>
        <v>1</v>
      </c>
      <c r="W146" s="75">
        <f t="shared" ref="W146:W148" si="41">RIGHT(D146,LEN(D146)-4)/10000</f>
        <v>23.299399999999999</v>
      </c>
      <c r="X146" s="75">
        <f t="shared" ref="X146:X148" si="42">RIGHT(H146,LEN(H146)-4)/10000</f>
        <v>1.6E-2</v>
      </c>
      <c r="Y146" s="75">
        <f t="shared" ref="Y146:Y148" si="43">ABS(X146-W146)</f>
        <v>23.2834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365</v>
      </c>
      <c r="B147" s="61">
        <v>4014</v>
      </c>
      <c r="C147" s="61" t="s">
        <v>148</v>
      </c>
      <c r="D147" s="61" t="s">
        <v>209</v>
      </c>
      <c r="E147" s="30">
        <v>42496.017210648148</v>
      </c>
      <c r="F147" s="30">
        <v>42496.017974537041</v>
      </c>
      <c r="G147" s="38">
        <v>1</v>
      </c>
      <c r="H147" s="30" t="s">
        <v>149</v>
      </c>
      <c r="I147" s="30">
        <v>42496.045706018522</v>
      </c>
      <c r="J147" s="61">
        <v>0</v>
      </c>
      <c r="K147" s="61" t="str">
        <f t="shared" si="34"/>
        <v>4013/4014</v>
      </c>
      <c r="L147" s="61" t="str">
        <f>VLOOKUP(A147,'Trips&amp;Operators'!$C$1:$E$9999,3,FALSE)</f>
        <v>STRICKLAND</v>
      </c>
      <c r="M147" s="12">
        <f t="shared" si="35"/>
        <v>2.7731481481168885E-2</v>
      </c>
      <c r="N147" s="13">
        <f t="shared" si="38"/>
        <v>39.933333332883194</v>
      </c>
      <c r="O147" s="13"/>
      <c r="P147" s="13"/>
      <c r="Q147" s="62"/>
      <c r="R147" s="62"/>
      <c r="T14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https://search-rtdc-monitor-bjffxe2xuh6vdkpspy63sjmuny.us-east-1.es.amazonaws.com/_plugin/kibana/#/discover/Steve-Slow-Train-Analysis-(2080s-and-2083s)?_g=(refreshInterval:(display:Off,section:0,value:0),time:(from:'2016-05-06 00:23:47-0600',mode:absolute,to:'2016-05-06 01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7" s="75" t="str">
        <f t="shared" si="40"/>
        <v>N</v>
      </c>
      <c r="V147" s="75">
        <f t="shared" si="37"/>
        <v>1</v>
      </c>
      <c r="W147" s="75">
        <f t="shared" si="41"/>
        <v>4.7699999999999999E-2</v>
      </c>
      <c r="X147" s="75">
        <f t="shared" si="42"/>
        <v>23.329699999999999</v>
      </c>
      <c r="Y147" s="75">
        <f t="shared" si="43"/>
        <v>23.282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326</v>
      </c>
      <c r="B148" s="61">
        <v>4013</v>
      </c>
      <c r="C148" s="61" t="s">
        <v>148</v>
      </c>
      <c r="D148" s="61" t="s">
        <v>200</v>
      </c>
      <c r="E148" s="30">
        <v>42496.057789351849</v>
      </c>
      <c r="F148" s="30">
        <v>42496.059027777781</v>
      </c>
      <c r="G148" s="38">
        <v>1</v>
      </c>
      <c r="H148" s="30" t="s">
        <v>192</v>
      </c>
      <c r="I148" s="30">
        <v>42496.08520833333</v>
      </c>
      <c r="J148" s="61">
        <v>0</v>
      </c>
      <c r="K148" s="61" t="str">
        <f t="shared" si="34"/>
        <v>4013/4014</v>
      </c>
      <c r="L148" s="61" t="str">
        <f>VLOOKUP(A148,'Trips&amp;Operators'!$C$1:$E$9999,3,FALSE)</f>
        <v>STRICKLAND</v>
      </c>
      <c r="M148" s="12">
        <f t="shared" si="35"/>
        <v>2.6180555549217388E-2</v>
      </c>
      <c r="N148" s="13">
        <f t="shared" si="38"/>
        <v>37.699999990873039</v>
      </c>
      <c r="O148" s="13"/>
      <c r="P148" s="13"/>
      <c r="Q148" s="62"/>
      <c r="R148" s="62"/>
      <c r="T14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https://search-rtdc-monitor-bjffxe2xuh6vdkpspy63sjmuny.us-east-1.es.amazonaws.com/_plugin/kibana/#/discover/Steve-Slow-Train-Analysis-(2080s-and-2083s)?_g=(refreshInterval:(display:Off,section:0,value:0),time:(from:'2016-05-06 01:22:13-0600',mode:absolute,to:'2016-05-06 02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8" s="75" t="str">
        <f t="shared" si="40"/>
        <v>N</v>
      </c>
      <c r="V148" s="75">
        <f t="shared" si="37"/>
        <v>1</v>
      </c>
      <c r="W148" s="75">
        <f t="shared" si="41"/>
        <v>23.297599999999999</v>
      </c>
      <c r="X148" s="75">
        <f t="shared" si="42"/>
        <v>1.5800000000000002E-2</v>
      </c>
      <c r="Y148" s="75">
        <f t="shared" si="43"/>
        <v>23.2818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ht="15.75" thickBot="1" x14ac:dyDescent="0.3">
      <c r="A149" s="64"/>
      <c r="B149" s="64"/>
      <c r="C149" s="64"/>
      <c r="D149" s="64"/>
      <c r="E149" s="65"/>
      <c r="F149" s="65"/>
      <c r="G149" s="66"/>
      <c r="H149" s="65"/>
      <c r="I149" s="65"/>
      <c r="J149" s="64"/>
      <c r="K149" s="64"/>
      <c r="L149" s="64"/>
      <c r="M149" s="67"/>
      <c r="N149" s="68"/>
      <c r="O149" s="68"/>
      <c r="P149" s="68"/>
      <c r="Q149" s="69"/>
      <c r="R149" s="69"/>
      <c r="T149" s="70"/>
      <c r="U149" s="70"/>
      <c r="V149" s="70"/>
      <c r="W149" s="70"/>
      <c r="X149" s="70"/>
      <c r="Y149" s="70"/>
      <c r="Z149" s="71"/>
      <c r="AA149" s="71"/>
    </row>
    <row r="150" spans="1:27" s="2" customFormat="1" ht="15.75" thickBot="1" x14ac:dyDescent="0.3">
      <c r="E150" s="31"/>
      <c r="F150" s="31"/>
      <c r="G150" s="39"/>
      <c r="H150" s="31"/>
      <c r="I150" s="78">
        <f>Variables!A2</f>
        <v>42495</v>
      </c>
      <c r="J150" s="79"/>
      <c r="K150" s="77"/>
      <c r="L150" s="77"/>
      <c r="M150" s="80" t="s">
        <v>8</v>
      </c>
      <c r="N150" s="81"/>
      <c r="O150" s="82"/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83" t="s">
        <v>10</v>
      </c>
      <c r="J151" s="84"/>
      <c r="K151" s="35"/>
      <c r="L151" s="59"/>
      <c r="M151" s="9" t="s">
        <v>11</v>
      </c>
      <c r="N151" s="6" t="s">
        <v>12</v>
      </c>
      <c r="O151" s="7" t="s">
        <v>13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COUNT(N3:P148)</f>
        <v>144</v>
      </c>
      <c r="K152" s="3"/>
      <c r="L152" s="3"/>
      <c r="M152" s="72" t="s">
        <v>15</v>
      </c>
      <c r="N152" s="6" t="s">
        <v>15</v>
      </c>
      <c r="O152" s="7" t="s">
        <v>15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COUNT(N3:N148)</f>
        <v>139</v>
      </c>
      <c r="K153" s="3"/>
      <c r="L153" s="3"/>
      <c r="M153" s="72">
        <f>AVERAGE(N3:N148)</f>
        <v>41.983932853269792</v>
      </c>
      <c r="N153" s="6">
        <f>MIN(N3:N148)</f>
        <v>34.449999995995313</v>
      </c>
      <c r="O153" s="7">
        <f>MAX(N3:N148)</f>
        <v>53.816666663624346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B154"/>
      <c r="C154"/>
      <c r="D154"/>
      <c r="E154" s="14"/>
      <c r="F154" s="14"/>
      <c r="G154" s="40"/>
      <c r="H154" s="14"/>
      <c r="I154" s="33" t="s">
        <v>45</v>
      </c>
      <c r="J154" s="3">
        <f>COUNT(O3:O148)</f>
        <v>0</v>
      </c>
      <c r="K154" s="3"/>
      <c r="L154" s="3"/>
      <c r="M154" s="72">
        <f>IFERROR(AVERAGE(O3:O148),0)</f>
        <v>0</v>
      </c>
      <c r="N154" s="6">
        <f>MIN(O3:O148)</f>
        <v>0</v>
      </c>
      <c r="O154" s="7">
        <f>MAX(O3:O148)</f>
        <v>0</v>
      </c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ht="15.75" thickBot="1" x14ac:dyDescent="0.3">
      <c r="B155"/>
      <c r="C155"/>
      <c r="D155"/>
      <c r="E155" s="14"/>
      <c r="F155" s="14"/>
      <c r="G155" s="40"/>
      <c r="H155" s="14"/>
      <c r="I155" s="34" t="s">
        <v>9</v>
      </c>
      <c r="J155" s="3">
        <f>COUNT(P3:P148)</f>
        <v>5</v>
      </c>
      <c r="K155" s="3"/>
      <c r="L155" s="3"/>
      <c r="M155" s="72" t="s">
        <v>15</v>
      </c>
      <c r="N155" s="6" t="s">
        <v>15</v>
      </c>
      <c r="O155" s="7" t="s">
        <v>15</v>
      </c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COUNT(N3:O148)</f>
        <v>139</v>
      </c>
      <c r="K156" s="3"/>
      <c r="L156" s="3"/>
      <c r="M156" s="72">
        <f>AVERAGE(N3:P148)</f>
        <v>41.529629629285232</v>
      </c>
      <c r="N156" s="6">
        <f>MIN(N3:O148)</f>
        <v>34.449999995995313</v>
      </c>
      <c r="O156" s="7">
        <f>MAX(N3:O148)</f>
        <v>53.816666663624346</v>
      </c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30.75" thickBot="1" x14ac:dyDescent="0.3">
      <c r="B157"/>
      <c r="C157"/>
      <c r="D157"/>
      <c r="E157" s="14"/>
      <c r="F157" s="14"/>
      <c r="G157" s="40"/>
      <c r="H157" s="14"/>
      <c r="I157" s="32" t="s">
        <v>19</v>
      </c>
      <c r="J157" s="8">
        <f>J156/J152</f>
        <v>0.96527777777777779</v>
      </c>
      <c r="K157" s="8"/>
      <c r="L157" s="8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5" spans="2:27" s="2" customFormat="1" x14ac:dyDescent="0.25">
      <c r="B165"/>
      <c r="C165"/>
      <c r="D165"/>
      <c r="E165" s="14"/>
      <c r="F165" s="14"/>
      <c r="G165" s="40"/>
      <c r="H165" s="14"/>
      <c r="I165" s="14"/>
      <c r="J165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</sheetData>
  <sortState ref="A3:Y144">
    <sortCondition ref="A3:A144"/>
  </sortState>
  <mergeCells count="4">
    <mergeCell ref="I150:J150"/>
    <mergeCell ref="M150:O150"/>
    <mergeCell ref="I151:J151"/>
    <mergeCell ref="A1:P1"/>
  </mergeCells>
  <conditionalFormatting sqref="U1:V1 U2 U3:V1048576">
    <cfRule type="cellIs" dxfId="14" priority="20" operator="equal">
      <formula>"Y"</formula>
    </cfRule>
  </conditionalFormatting>
  <conditionalFormatting sqref="V1 V3:V1048576">
    <cfRule type="cellIs" dxfId="13" priority="3" operator="greaterThan">
      <formula>1</formula>
    </cfRule>
  </conditionalFormatting>
  <conditionalFormatting sqref="A149:P149 A3:R148">
    <cfRule type="expression" dxfId="12" priority="34">
      <formula>$P3&gt;0</formula>
    </cfRule>
    <cfRule type="expression" dxfId="11" priority="35">
      <formula>$O3&gt;0</formula>
    </cfRule>
  </conditionalFormatting>
  <conditionalFormatting sqref="Q149:R149">
    <cfRule type="expression" dxfId="10" priority="74">
      <formula>$P149&gt;0</formula>
    </cfRule>
    <cfRule type="expression" dxfId="9" priority="75">
      <formula>$O166&gt;0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zoomScaleNormal="100" workbookViewId="0">
      <selection activeCell="D17" sqref="D1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42495.442928240744</v>
      </c>
      <c r="B3" s="22" t="s">
        <v>134</v>
      </c>
      <c r="C3" s="22" t="s">
        <v>385</v>
      </c>
      <c r="D3" s="22" t="s">
        <v>54</v>
      </c>
      <c r="E3" s="22" t="s">
        <v>404</v>
      </c>
      <c r="F3" s="22">
        <v>520</v>
      </c>
      <c r="G3" s="22">
        <v>655</v>
      </c>
      <c r="H3" s="22">
        <v>44068</v>
      </c>
      <c r="I3" s="22" t="s">
        <v>405</v>
      </c>
      <c r="J3" s="22">
        <v>42961</v>
      </c>
      <c r="K3" s="21" t="s">
        <v>59</v>
      </c>
      <c r="L3" s="21" t="str">
        <f>VLOOKUP(C3,'Trips&amp;Operators'!$C$1:$E$9999,3,FALSE)</f>
        <v>STARKS</v>
      </c>
      <c r="M3" s="20" t="s">
        <v>237</v>
      </c>
      <c r="N3" s="21"/>
    </row>
    <row r="4" spans="1:14" s="19" customFormat="1" x14ac:dyDescent="0.25">
      <c r="A4" s="23">
        <v>42495.693310185183</v>
      </c>
      <c r="B4" s="22" t="s">
        <v>100</v>
      </c>
      <c r="C4" s="22" t="s">
        <v>273</v>
      </c>
      <c r="D4" s="22" t="s">
        <v>54</v>
      </c>
      <c r="E4" s="22" t="s">
        <v>404</v>
      </c>
      <c r="F4" s="22">
        <v>0</v>
      </c>
      <c r="G4" s="22">
        <v>84</v>
      </c>
      <c r="H4" s="22">
        <v>53948</v>
      </c>
      <c r="I4" s="22" t="s">
        <v>405</v>
      </c>
      <c r="J4" s="22">
        <v>53277</v>
      </c>
      <c r="K4" s="21" t="s">
        <v>59</v>
      </c>
      <c r="L4" s="21" t="str">
        <f>VLOOKUP(C4,'Trips&amp;Operators'!$C$1:$E$9999,3,FALSE)</f>
        <v>JACKSON</v>
      </c>
      <c r="M4" s="20" t="s">
        <v>237</v>
      </c>
      <c r="N4" s="21" t="s">
        <v>486</v>
      </c>
    </row>
    <row r="5" spans="1:14" s="19" customFormat="1" x14ac:dyDescent="0.25">
      <c r="A5" s="23">
        <v>42495.279421296298</v>
      </c>
      <c r="B5" s="22" t="s">
        <v>58</v>
      </c>
      <c r="C5" s="22" t="s">
        <v>130</v>
      </c>
      <c r="D5" s="22" t="s">
        <v>54</v>
      </c>
      <c r="E5" s="22" t="s">
        <v>69</v>
      </c>
      <c r="F5" s="22">
        <v>400</v>
      </c>
      <c r="G5" s="22">
        <v>466</v>
      </c>
      <c r="H5" s="22">
        <v>120903</v>
      </c>
      <c r="I5" s="22" t="s">
        <v>70</v>
      </c>
      <c r="J5" s="22">
        <v>119716</v>
      </c>
      <c r="K5" s="21" t="s">
        <v>59</v>
      </c>
      <c r="L5" s="21" t="str">
        <f>VLOOKUP(C5,'Trips&amp;Operators'!$C$1:$E$9999,3,FALSE)</f>
        <v>MALAVE</v>
      </c>
      <c r="M5" s="20" t="s">
        <v>237</v>
      </c>
      <c r="N5" s="21"/>
    </row>
    <row r="6" spans="1:14" s="19" customFormat="1" x14ac:dyDescent="0.25">
      <c r="A6" s="23">
        <v>42495.302916666667</v>
      </c>
      <c r="B6" s="22" t="s">
        <v>134</v>
      </c>
      <c r="C6" s="22" t="s">
        <v>258</v>
      </c>
      <c r="D6" s="22" t="s">
        <v>54</v>
      </c>
      <c r="E6" s="22" t="s">
        <v>69</v>
      </c>
      <c r="F6" s="22">
        <v>200</v>
      </c>
      <c r="G6" s="22">
        <v>288</v>
      </c>
      <c r="H6" s="22">
        <v>6395</v>
      </c>
      <c r="I6" s="22" t="s">
        <v>70</v>
      </c>
      <c r="J6" s="22">
        <v>5457</v>
      </c>
      <c r="K6" s="21" t="s">
        <v>59</v>
      </c>
      <c r="L6" s="21" t="str">
        <f>VLOOKUP(C6,'Trips&amp;Operators'!$C$1:$E$9999,3,FALSE)</f>
        <v>STARKS</v>
      </c>
      <c r="M6" s="20" t="s">
        <v>237</v>
      </c>
      <c r="N6" s="21"/>
    </row>
    <row r="7" spans="1:14" s="19" customFormat="1" x14ac:dyDescent="0.25">
      <c r="A7" s="23">
        <v>42495.312847222223</v>
      </c>
      <c r="B7" s="22" t="s">
        <v>60</v>
      </c>
      <c r="C7" s="22" t="s">
        <v>240</v>
      </c>
      <c r="D7" s="22" t="s">
        <v>54</v>
      </c>
      <c r="E7" s="22" t="s">
        <v>69</v>
      </c>
      <c r="F7" s="22">
        <v>150</v>
      </c>
      <c r="G7" s="22">
        <v>195</v>
      </c>
      <c r="H7" s="22">
        <v>5143</v>
      </c>
      <c r="I7" s="22" t="s">
        <v>70</v>
      </c>
      <c r="J7" s="22">
        <v>4677</v>
      </c>
      <c r="K7" s="21" t="s">
        <v>59</v>
      </c>
      <c r="L7" s="21" t="str">
        <f>VLOOKUP(C7,'Trips&amp;Operators'!$C$1:$E$9999,3,FALSE)</f>
        <v>CHANDLER</v>
      </c>
      <c r="M7" s="20" t="s">
        <v>237</v>
      </c>
      <c r="N7" s="21"/>
    </row>
    <row r="8" spans="1:14" s="19" customFormat="1" x14ac:dyDescent="0.25">
      <c r="A8" s="23">
        <v>42495.36273148148</v>
      </c>
      <c r="B8" s="22" t="s">
        <v>134</v>
      </c>
      <c r="C8" s="22" t="s">
        <v>252</v>
      </c>
      <c r="D8" s="22" t="s">
        <v>54</v>
      </c>
      <c r="E8" s="22" t="s">
        <v>69</v>
      </c>
      <c r="F8" s="22">
        <v>400</v>
      </c>
      <c r="G8" s="22">
        <v>402</v>
      </c>
      <c r="H8" s="22">
        <v>121007</v>
      </c>
      <c r="I8" s="22" t="s">
        <v>70</v>
      </c>
      <c r="J8" s="22">
        <v>119716</v>
      </c>
      <c r="K8" s="21" t="s">
        <v>59</v>
      </c>
      <c r="L8" s="21" t="str">
        <f>VLOOKUP(C8,'Trips&amp;Operators'!$C$1:$E$9999,3,FALSE)</f>
        <v>STARKS</v>
      </c>
      <c r="M8" s="20" t="s">
        <v>237</v>
      </c>
      <c r="N8" s="21"/>
    </row>
    <row r="9" spans="1:14" s="19" customFormat="1" x14ac:dyDescent="0.25">
      <c r="A9" s="23">
        <v>42495.44568287037</v>
      </c>
      <c r="B9" s="22" t="s">
        <v>134</v>
      </c>
      <c r="C9" s="22" t="s">
        <v>385</v>
      </c>
      <c r="D9" s="22" t="s">
        <v>54</v>
      </c>
      <c r="E9" s="22" t="s">
        <v>69</v>
      </c>
      <c r="F9" s="22">
        <v>200</v>
      </c>
      <c r="G9" s="22">
        <v>196</v>
      </c>
      <c r="H9" s="22">
        <v>30629</v>
      </c>
      <c r="I9" s="22" t="s">
        <v>70</v>
      </c>
      <c r="J9" s="22">
        <v>30562</v>
      </c>
      <c r="K9" s="21" t="s">
        <v>59</v>
      </c>
      <c r="L9" s="21" t="str">
        <f>VLOOKUP(C9,'Trips&amp;Operators'!$C$1:$E$9999,3,FALSE)</f>
        <v>STARKS</v>
      </c>
      <c r="M9" s="20" t="s">
        <v>237</v>
      </c>
      <c r="N9" s="21"/>
    </row>
    <row r="10" spans="1:14" s="19" customFormat="1" x14ac:dyDescent="0.25">
      <c r="A10" s="23">
        <v>42495.564236111109</v>
      </c>
      <c r="B10" s="22" t="s">
        <v>58</v>
      </c>
      <c r="C10" s="22" t="s">
        <v>379</v>
      </c>
      <c r="D10" s="22" t="s">
        <v>54</v>
      </c>
      <c r="E10" s="22" t="s">
        <v>69</v>
      </c>
      <c r="F10" s="22">
        <v>450</v>
      </c>
      <c r="G10" s="22">
        <v>408</v>
      </c>
      <c r="H10" s="22">
        <v>192317</v>
      </c>
      <c r="I10" s="22" t="s">
        <v>70</v>
      </c>
      <c r="J10" s="22">
        <v>191108</v>
      </c>
      <c r="K10" s="21" t="s">
        <v>59</v>
      </c>
      <c r="L10" s="21" t="str">
        <f>VLOOKUP(C10,'Trips&amp;Operators'!$C$1:$E$9999,3,FALSE)</f>
        <v>STEWART</v>
      </c>
      <c r="M10" s="20" t="s">
        <v>237</v>
      </c>
      <c r="N10" s="21"/>
    </row>
    <row r="11" spans="1:14" s="19" customFormat="1" x14ac:dyDescent="0.25">
      <c r="A11" s="23">
        <v>42495.565694444442</v>
      </c>
      <c r="B11" s="22" t="s">
        <v>58</v>
      </c>
      <c r="C11" s="22" t="s">
        <v>379</v>
      </c>
      <c r="D11" s="22" t="s">
        <v>62</v>
      </c>
      <c r="E11" s="22" t="s">
        <v>69</v>
      </c>
      <c r="F11" s="22">
        <v>600</v>
      </c>
      <c r="G11" s="22">
        <v>652</v>
      </c>
      <c r="H11" s="22">
        <v>183797</v>
      </c>
      <c r="I11" s="22" t="s">
        <v>70</v>
      </c>
      <c r="J11" s="22">
        <v>190834</v>
      </c>
      <c r="K11" s="21" t="s">
        <v>59</v>
      </c>
      <c r="L11" s="21" t="str">
        <f>VLOOKUP(C11,'Trips&amp;Operators'!$C$1:$E$9999,3,FALSE)</f>
        <v>STEWART</v>
      </c>
      <c r="M11" s="20" t="s">
        <v>237</v>
      </c>
      <c r="N11" s="21"/>
    </row>
    <row r="12" spans="1:14" s="19" customFormat="1" x14ac:dyDescent="0.25">
      <c r="A12" s="23">
        <v>42495.571157407408</v>
      </c>
      <c r="B12" s="22" t="s">
        <v>134</v>
      </c>
      <c r="C12" s="22" t="s">
        <v>394</v>
      </c>
      <c r="D12" s="22" t="s">
        <v>54</v>
      </c>
      <c r="E12" s="22" t="s">
        <v>69</v>
      </c>
      <c r="F12" s="22">
        <v>150</v>
      </c>
      <c r="G12" s="22">
        <v>137</v>
      </c>
      <c r="H12" s="22">
        <v>232529</v>
      </c>
      <c r="I12" s="22" t="s">
        <v>70</v>
      </c>
      <c r="J12" s="22">
        <v>229055</v>
      </c>
      <c r="K12" s="21" t="s">
        <v>59</v>
      </c>
      <c r="L12" s="21" t="str">
        <f>VLOOKUP(C12,'Trips&amp;Operators'!$C$1:$E$9999,3,FALSE)</f>
        <v>BARTLETT</v>
      </c>
      <c r="M12" s="20" t="s">
        <v>237</v>
      </c>
      <c r="N12" s="21"/>
    </row>
    <row r="13" spans="1:14" s="19" customFormat="1" x14ac:dyDescent="0.25">
      <c r="A13" s="23">
        <v>42495.577951388892</v>
      </c>
      <c r="B13" s="22" t="s">
        <v>68</v>
      </c>
      <c r="C13" s="22" t="s">
        <v>332</v>
      </c>
      <c r="D13" s="22" t="s">
        <v>54</v>
      </c>
      <c r="E13" s="22" t="s">
        <v>69</v>
      </c>
      <c r="F13" s="22">
        <v>300</v>
      </c>
      <c r="G13" s="22">
        <v>267</v>
      </c>
      <c r="H13" s="22">
        <v>20048</v>
      </c>
      <c r="I13" s="22" t="s">
        <v>70</v>
      </c>
      <c r="J13" s="22">
        <v>20338</v>
      </c>
      <c r="K13" s="21" t="s">
        <v>57</v>
      </c>
      <c r="L13" s="21" t="str">
        <f>VLOOKUP(C13,'Trips&amp;Operators'!$C$1:$E$9999,3,FALSE)</f>
        <v>YORK</v>
      </c>
      <c r="M13" s="20" t="s">
        <v>237</v>
      </c>
      <c r="N13" s="21"/>
    </row>
    <row r="14" spans="1:14" s="19" customFormat="1" x14ac:dyDescent="0.25">
      <c r="A14" s="23">
        <v>42495.598402777781</v>
      </c>
      <c r="B14" s="22" t="s">
        <v>68</v>
      </c>
      <c r="C14" s="22" t="s">
        <v>332</v>
      </c>
      <c r="D14" s="22" t="s">
        <v>54</v>
      </c>
      <c r="E14" s="22" t="s">
        <v>69</v>
      </c>
      <c r="F14" s="22">
        <v>150</v>
      </c>
      <c r="G14" s="22">
        <v>195</v>
      </c>
      <c r="H14" s="22">
        <v>231473</v>
      </c>
      <c r="I14" s="22" t="s">
        <v>70</v>
      </c>
      <c r="J14" s="22">
        <v>232080</v>
      </c>
      <c r="K14" s="21" t="s">
        <v>57</v>
      </c>
      <c r="L14" s="21" t="str">
        <f>VLOOKUP(C14,'Trips&amp;Operators'!$C$1:$E$9999,3,FALSE)</f>
        <v>YORK</v>
      </c>
      <c r="M14" s="20" t="s">
        <v>237</v>
      </c>
      <c r="N14" s="21"/>
    </row>
    <row r="15" spans="1:14" s="19" customFormat="1" x14ac:dyDescent="0.25">
      <c r="A15" s="23">
        <v>42495.608275462961</v>
      </c>
      <c r="B15" s="22" t="s">
        <v>100</v>
      </c>
      <c r="C15" s="22" t="s">
        <v>283</v>
      </c>
      <c r="D15" s="22" t="s">
        <v>62</v>
      </c>
      <c r="E15" s="22" t="s">
        <v>69</v>
      </c>
      <c r="F15" s="22">
        <v>600</v>
      </c>
      <c r="G15" s="22">
        <v>650</v>
      </c>
      <c r="H15" s="22">
        <v>184333</v>
      </c>
      <c r="I15" s="22" t="s">
        <v>70</v>
      </c>
      <c r="J15" s="22">
        <v>190834</v>
      </c>
      <c r="K15" s="21" t="s">
        <v>59</v>
      </c>
      <c r="L15" s="21" t="str">
        <f>VLOOKUP(C15,'Trips&amp;Operators'!$C$1:$E$9999,3,FALSE)</f>
        <v>COOLAHAN</v>
      </c>
      <c r="M15" s="20" t="s">
        <v>237</v>
      </c>
      <c r="N15" s="21"/>
    </row>
    <row r="16" spans="1:14" s="19" customFormat="1" x14ac:dyDescent="0.25">
      <c r="A16" s="23">
        <v>42495.609965277778</v>
      </c>
      <c r="B16" s="22" t="s">
        <v>114</v>
      </c>
      <c r="C16" s="22" t="s">
        <v>372</v>
      </c>
      <c r="D16" s="22" t="s">
        <v>54</v>
      </c>
      <c r="E16" s="22" t="s">
        <v>69</v>
      </c>
      <c r="F16" s="22">
        <v>150</v>
      </c>
      <c r="G16" s="22">
        <v>193</v>
      </c>
      <c r="H16" s="22">
        <v>231945</v>
      </c>
      <c r="I16" s="22" t="s">
        <v>70</v>
      </c>
      <c r="J16" s="22">
        <v>232107</v>
      </c>
      <c r="K16" s="21" t="s">
        <v>57</v>
      </c>
      <c r="L16" s="21" t="str">
        <f>VLOOKUP(C16,'Trips&amp;Operators'!$C$1:$E$9999,3,FALSE)</f>
        <v>YOUNG</v>
      </c>
      <c r="M16" s="20" t="s">
        <v>237</v>
      </c>
      <c r="N16" s="21"/>
    </row>
    <row r="17" spans="1:14" s="19" customFormat="1" x14ac:dyDescent="0.25">
      <c r="A17" s="23">
        <v>42495.721597222226</v>
      </c>
      <c r="B17" s="22" t="s">
        <v>134</v>
      </c>
      <c r="C17" s="22" t="s">
        <v>386</v>
      </c>
      <c r="D17" s="22" t="s">
        <v>54</v>
      </c>
      <c r="E17" s="22" t="s">
        <v>69</v>
      </c>
      <c r="F17" s="22">
        <v>450</v>
      </c>
      <c r="G17" s="22">
        <v>449</v>
      </c>
      <c r="H17" s="22">
        <v>191496</v>
      </c>
      <c r="I17" s="22" t="s">
        <v>70</v>
      </c>
      <c r="J17" s="22">
        <v>191108</v>
      </c>
      <c r="K17" s="21" t="s">
        <v>59</v>
      </c>
      <c r="L17" s="21" t="str">
        <f>VLOOKUP(C17,'Trips&amp;Operators'!$C$1:$E$9999,3,FALSE)</f>
        <v>BARTLETT</v>
      </c>
      <c r="M17" s="20" t="s">
        <v>237</v>
      </c>
      <c r="N17" s="21"/>
    </row>
    <row r="18" spans="1:14" s="19" customFormat="1" x14ac:dyDescent="0.25">
      <c r="A18" s="23">
        <v>42495.760324074072</v>
      </c>
      <c r="B18" s="22" t="s">
        <v>88</v>
      </c>
      <c r="C18" s="22" t="s">
        <v>276</v>
      </c>
      <c r="D18" s="22" t="s">
        <v>62</v>
      </c>
      <c r="E18" s="22" t="s">
        <v>69</v>
      </c>
      <c r="F18" s="22">
        <v>350</v>
      </c>
      <c r="G18" s="22">
        <v>400</v>
      </c>
      <c r="H18" s="22">
        <v>224530</v>
      </c>
      <c r="I18" s="22" t="s">
        <v>70</v>
      </c>
      <c r="J18" s="22">
        <v>228668</v>
      </c>
      <c r="K18" s="21" t="s">
        <v>59</v>
      </c>
      <c r="L18" s="21" t="str">
        <f>VLOOKUP(C18,'Trips&amp;Operators'!$C$1:$E$9999,3,FALSE)</f>
        <v>ADANE</v>
      </c>
      <c r="M18" s="20" t="s">
        <v>237</v>
      </c>
      <c r="N18" s="21"/>
    </row>
    <row r="19" spans="1:14" s="19" customFormat="1" x14ac:dyDescent="0.25">
      <c r="A19" s="23">
        <v>42495.764236111114</v>
      </c>
      <c r="B19" s="22" t="s">
        <v>88</v>
      </c>
      <c r="C19" s="22" t="s">
        <v>276</v>
      </c>
      <c r="D19" s="22" t="s">
        <v>62</v>
      </c>
      <c r="E19" s="22" t="s">
        <v>69</v>
      </c>
      <c r="F19" s="22">
        <v>700</v>
      </c>
      <c r="G19" s="22">
        <v>752</v>
      </c>
      <c r="H19" s="22">
        <v>179817</v>
      </c>
      <c r="I19" s="22" t="s">
        <v>70</v>
      </c>
      <c r="J19" s="22">
        <v>183829</v>
      </c>
      <c r="K19" s="21" t="s">
        <v>59</v>
      </c>
      <c r="L19" s="21" t="str">
        <f>VLOOKUP(C19,'Trips&amp;Operators'!$C$1:$E$9999,3,FALSE)</f>
        <v>ADANE</v>
      </c>
      <c r="M19" s="20" t="s">
        <v>237</v>
      </c>
      <c r="N19" s="21"/>
    </row>
    <row r="20" spans="1:14" s="19" customFormat="1" x14ac:dyDescent="0.25">
      <c r="A20" s="23">
        <v>42495.817708333336</v>
      </c>
      <c r="B20" s="22" t="s">
        <v>68</v>
      </c>
      <c r="C20" s="22" t="s">
        <v>300</v>
      </c>
      <c r="D20" s="22" t="s">
        <v>54</v>
      </c>
      <c r="E20" s="22" t="s">
        <v>69</v>
      </c>
      <c r="F20" s="22">
        <v>150</v>
      </c>
      <c r="G20" s="22">
        <v>195</v>
      </c>
      <c r="H20" s="22">
        <v>231567</v>
      </c>
      <c r="I20" s="22" t="s">
        <v>70</v>
      </c>
      <c r="J20" s="22">
        <v>232080</v>
      </c>
      <c r="K20" s="21" t="s">
        <v>57</v>
      </c>
      <c r="L20" s="21" t="str">
        <f>VLOOKUP(C20,'Trips&amp;Operators'!$C$1:$E$9999,3,FALSE)</f>
        <v>ADANE</v>
      </c>
      <c r="M20" s="20" t="s">
        <v>237</v>
      </c>
      <c r="N20" s="21"/>
    </row>
    <row r="21" spans="1:14" s="19" customFormat="1" x14ac:dyDescent="0.25">
      <c r="A21" s="23">
        <v>42495.334652777776</v>
      </c>
      <c r="B21" s="22" t="s">
        <v>104</v>
      </c>
      <c r="C21" s="22" t="s">
        <v>249</v>
      </c>
      <c r="D21" s="22" t="s">
        <v>54</v>
      </c>
      <c r="E21" s="22" t="s">
        <v>63</v>
      </c>
      <c r="F21" s="22">
        <v>0</v>
      </c>
      <c r="G21" s="22">
        <v>434</v>
      </c>
      <c r="H21" s="22">
        <v>194264</v>
      </c>
      <c r="I21" s="22" t="s">
        <v>64</v>
      </c>
      <c r="J21" s="22">
        <v>191723</v>
      </c>
      <c r="K21" s="21" t="s">
        <v>59</v>
      </c>
      <c r="L21" s="21" t="str">
        <f>VLOOKUP(C21,'Trips&amp;Operators'!$C$1:$E$9999,3,FALSE)</f>
        <v>LEVIN</v>
      </c>
      <c r="M21" s="20" t="s">
        <v>237</v>
      </c>
      <c r="N21" s="21" t="s">
        <v>239</v>
      </c>
    </row>
    <row r="22" spans="1:14" s="19" customFormat="1" x14ac:dyDescent="0.25">
      <c r="A22" s="23">
        <v>42495.761493055557</v>
      </c>
      <c r="B22" s="22" t="s">
        <v>67</v>
      </c>
      <c r="C22" s="22" t="s">
        <v>303</v>
      </c>
      <c r="D22" s="22" t="s">
        <v>54</v>
      </c>
      <c r="E22" s="22" t="s">
        <v>63</v>
      </c>
      <c r="F22" s="22">
        <v>0</v>
      </c>
      <c r="G22" s="22">
        <v>45</v>
      </c>
      <c r="H22" s="22">
        <v>1581</v>
      </c>
      <c r="I22" s="22" t="s">
        <v>64</v>
      </c>
      <c r="J22" s="22">
        <v>1692</v>
      </c>
      <c r="K22" s="21" t="s">
        <v>57</v>
      </c>
      <c r="L22" s="21" t="str">
        <f>VLOOKUP(C22,'Trips&amp;Operators'!$C$1:$E$9999,3,FALSE)</f>
        <v>GOLIGHTLY</v>
      </c>
      <c r="M22" s="20" t="s">
        <v>236</v>
      </c>
      <c r="N22" s="21" t="s">
        <v>487</v>
      </c>
    </row>
    <row r="23" spans="1:14" s="19" customFormat="1" x14ac:dyDescent="0.25">
      <c r="A23" s="23">
        <v>42495.221944444442</v>
      </c>
      <c r="B23" s="22" t="s">
        <v>134</v>
      </c>
      <c r="C23" s="22" t="s">
        <v>135</v>
      </c>
      <c r="D23" s="22" t="s">
        <v>54</v>
      </c>
      <c r="E23" s="22" t="s">
        <v>55</v>
      </c>
      <c r="F23" s="22">
        <v>0</v>
      </c>
      <c r="G23" s="22">
        <v>31</v>
      </c>
      <c r="H23" s="22">
        <v>172</v>
      </c>
      <c r="I23" s="22" t="s">
        <v>56</v>
      </c>
      <c r="J23" s="22">
        <v>1</v>
      </c>
      <c r="K23" s="21" t="s">
        <v>59</v>
      </c>
      <c r="L23" s="21" t="str">
        <f>VLOOKUP(C23,'Trips&amp;Operators'!$C$1:$E$9999,3,FALSE)</f>
        <v>STARKS</v>
      </c>
      <c r="M23" s="20" t="s">
        <v>237</v>
      </c>
      <c r="N23" s="21"/>
    </row>
    <row r="24" spans="1:14" s="19" customFormat="1" x14ac:dyDescent="0.25">
      <c r="A24" s="23">
        <v>42495.25372685185</v>
      </c>
      <c r="B24" s="22" t="s">
        <v>74</v>
      </c>
      <c r="C24" s="22" t="s">
        <v>132</v>
      </c>
      <c r="D24" s="22" t="s">
        <v>54</v>
      </c>
      <c r="E24" s="22" t="s">
        <v>55</v>
      </c>
      <c r="F24" s="22">
        <v>0</v>
      </c>
      <c r="G24" s="22">
        <v>39</v>
      </c>
      <c r="H24" s="22">
        <v>233401</v>
      </c>
      <c r="I24" s="22" t="s">
        <v>56</v>
      </c>
      <c r="J24" s="22">
        <v>233491</v>
      </c>
      <c r="K24" s="21" t="s">
        <v>57</v>
      </c>
      <c r="L24" s="21" t="str">
        <f>VLOOKUP(C24,'Trips&amp;Operators'!$C$1:$E$9999,3,FALSE)</f>
        <v>MALAVE</v>
      </c>
      <c r="M24" s="20" t="s">
        <v>237</v>
      </c>
      <c r="N24" s="21"/>
    </row>
    <row r="25" spans="1:14" s="19" customFormat="1" x14ac:dyDescent="0.25">
      <c r="A25" s="23">
        <v>42495.275983796295</v>
      </c>
      <c r="B25" s="22" t="s">
        <v>67</v>
      </c>
      <c r="C25" s="22" t="s">
        <v>128</v>
      </c>
      <c r="D25" s="22" t="s">
        <v>54</v>
      </c>
      <c r="E25" s="22" t="s">
        <v>55</v>
      </c>
      <c r="F25" s="22">
        <v>0</v>
      </c>
      <c r="G25" s="22">
        <v>4</v>
      </c>
      <c r="H25" s="22">
        <v>233332</v>
      </c>
      <c r="I25" s="22" t="s">
        <v>56</v>
      </c>
      <c r="J25" s="22">
        <v>233491</v>
      </c>
      <c r="K25" s="21" t="s">
        <v>57</v>
      </c>
      <c r="L25" s="21" t="str">
        <f>VLOOKUP(C25,'Trips&amp;Operators'!$C$1:$E$9999,3,FALSE)</f>
        <v>CHANDLER</v>
      </c>
      <c r="M25" s="20" t="s">
        <v>237</v>
      </c>
      <c r="N25" s="21"/>
    </row>
    <row r="26" spans="1:14" s="19" customFormat="1" x14ac:dyDescent="0.25">
      <c r="A26" s="23">
        <v>42495.295856481483</v>
      </c>
      <c r="B26" s="22" t="s">
        <v>53</v>
      </c>
      <c r="C26" s="22" t="s">
        <v>129</v>
      </c>
      <c r="D26" s="22" t="s">
        <v>54</v>
      </c>
      <c r="E26" s="22" t="s">
        <v>55</v>
      </c>
      <c r="F26" s="22">
        <v>0</v>
      </c>
      <c r="G26" s="22">
        <v>9</v>
      </c>
      <c r="H26" s="22">
        <v>233318</v>
      </c>
      <c r="I26" s="22" t="s">
        <v>56</v>
      </c>
      <c r="J26" s="22">
        <v>233491</v>
      </c>
      <c r="K26" s="21" t="s">
        <v>57</v>
      </c>
      <c r="L26" s="21" t="str">
        <f>VLOOKUP(C26,'Trips&amp;Operators'!$C$1:$E$9999,3,FALSE)</f>
        <v>NEWELL</v>
      </c>
      <c r="M26" s="20" t="s">
        <v>237</v>
      </c>
      <c r="N26" s="21"/>
    </row>
    <row r="27" spans="1:14" s="19" customFormat="1" x14ac:dyDescent="0.25">
      <c r="A27" s="23">
        <v>42495.316122685188</v>
      </c>
      <c r="B27" s="22" t="s">
        <v>114</v>
      </c>
      <c r="C27" s="22" t="s">
        <v>248</v>
      </c>
      <c r="D27" s="22" t="s">
        <v>54</v>
      </c>
      <c r="E27" s="22" t="s">
        <v>55</v>
      </c>
      <c r="F27" s="22">
        <v>0</v>
      </c>
      <c r="G27" s="22">
        <v>8</v>
      </c>
      <c r="H27" s="22">
        <v>233328</v>
      </c>
      <c r="I27" s="22" t="s">
        <v>56</v>
      </c>
      <c r="J27" s="22">
        <v>233491</v>
      </c>
      <c r="K27" s="21" t="s">
        <v>57</v>
      </c>
      <c r="L27" s="21" t="str">
        <f>VLOOKUP(C27,'Trips&amp;Operators'!$C$1:$E$9999,3,FALSE)</f>
        <v>LEVIN</v>
      </c>
      <c r="M27" s="20" t="s">
        <v>237</v>
      </c>
      <c r="N27" s="21"/>
    </row>
    <row r="28" spans="1:14" s="19" customFormat="1" x14ac:dyDescent="0.25">
      <c r="A28" s="23">
        <v>42495.366724537038</v>
      </c>
      <c r="B28" s="22" t="s">
        <v>58</v>
      </c>
      <c r="C28" s="22" t="s">
        <v>241</v>
      </c>
      <c r="D28" s="22" t="s">
        <v>54</v>
      </c>
      <c r="E28" s="22" t="s">
        <v>55</v>
      </c>
      <c r="F28" s="22">
        <v>0</v>
      </c>
      <c r="G28" s="22">
        <v>64</v>
      </c>
      <c r="H28" s="22">
        <v>238</v>
      </c>
      <c r="I28" s="22" t="s">
        <v>56</v>
      </c>
      <c r="J28" s="22">
        <v>1</v>
      </c>
      <c r="K28" s="21" t="s">
        <v>59</v>
      </c>
      <c r="L28" s="21" t="str">
        <f>VLOOKUP(C28,'Trips&amp;Operators'!$C$1:$E$9999,3,FALSE)</f>
        <v>MALAVE</v>
      </c>
      <c r="M28" s="20" t="s">
        <v>237</v>
      </c>
      <c r="N28" s="21"/>
    </row>
    <row r="29" spans="1:14" s="19" customFormat="1" x14ac:dyDescent="0.25">
      <c r="A29" s="23">
        <v>42495.368518518517</v>
      </c>
      <c r="B29" s="22" t="s">
        <v>53</v>
      </c>
      <c r="C29" s="22" t="s">
        <v>255</v>
      </c>
      <c r="D29" s="22" t="s">
        <v>54</v>
      </c>
      <c r="E29" s="22" t="s">
        <v>55</v>
      </c>
      <c r="F29" s="22">
        <v>0</v>
      </c>
      <c r="G29" s="22">
        <v>4</v>
      </c>
      <c r="H29" s="22">
        <v>233342</v>
      </c>
      <c r="I29" s="22" t="s">
        <v>56</v>
      </c>
      <c r="J29" s="22">
        <v>233491</v>
      </c>
      <c r="K29" s="21" t="s">
        <v>57</v>
      </c>
      <c r="L29" s="21" t="str">
        <f>VLOOKUP(C29,'Trips&amp;Operators'!$C$1:$E$9999,3,FALSE)</f>
        <v>NEWELL</v>
      </c>
      <c r="M29" s="20" t="s">
        <v>237</v>
      </c>
      <c r="N29" s="21"/>
    </row>
    <row r="30" spans="1:14" s="19" customFormat="1" x14ac:dyDescent="0.25">
      <c r="A30" s="23">
        <v>42495.378368055557</v>
      </c>
      <c r="B30" s="22" t="s">
        <v>134</v>
      </c>
      <c r="C30" s="22" t="s">
        <v>252</v>
      </c>
      <c r="D30" s="22" t="s">
        <v>54</v>
      </c>
      <c r="E30" s="22" t="s">
        <v>55</v>
      </c>
      <c r="F30" s="22">
        <v>0</v>
      </c>
      <c r="G30" s="22">
        <v>5</v>
      </c>
      <c r="H30" s="22">
        <v>116</v>
      </c>
      <c r="I30" s="22" t="s">
        <v>56</v>
      </c>
      <c r="J30" s="22">
        <v>1</v>
      </c>
      <c r="K30" s="21" t="s">
        <v>59</v>
      </c>
      <c r="L30" s="21" t="str">
        <f>VLOOKUP(C30,'Trips&amp;Operators'!$C$1:$E$9999,3,FALSE)</f>
        <v>STARKS</v>
      </c>
      <c r="M30" s="20" t="s">
        <v>237</v>
      </c>
      <c r="N30" s="21"/>
    </row>
    <row r="31" spans="1:14" s="19" customFormat="1" x14ac:dyDescent="0.25">
      <c r="A31" s="23">
        <v>42495.398310185185</v>
      </c>
      <c r="B31" s="22" t="s">
        <v>72</v>
      </c>
      <c r="C31" s="22" t="s">
        <v>382</v>
      </c>
      <c r="D31" s="22" t="s">
        <v>54</v>
      </c>
      <c r="E31" s="22" t="s">
        <v>55</v>
      </c>
      <c r="F31" s="22">
        <v>0</v>
      </c>
      <c r="G31" s="22">
        <v>8</v>
      </c>
      <c r="H31" s="22">
        <v>118</v>
      </c>
      <c r="I31" s="22" t="s">
        <v>56</v>
      </c>
      <c r="J31" s="22">
        <v>1</v>
      </c>
      <c r="K31" s="21" t="s">
        <v>59</v>
      </c>
      <c r="L31" s="21" t="str">
        <f>VLOOKUP(C31,'Trips&amp;Operators'!$C$1:$E$9999,3,FALSE)</f>
        <v>COOPER</v>
      </c>
      <c r="M31" s="20" t="s">
        <v>237</v>
      </c>
      <c r="N31" s="21"/>
    </row>
    <row r="32" spans="1:14" s="19" customFormat="1" x14ac:dyDescent="0.25">
      <c r="A32" s="23">
        <v>42495.418530092589</v>
      </c>
      <c r="B32" s="22" t="s">
        <v>88</v>
      </c>
      <c r="C32" s="22" t="s">
        <v>374</v>
      </c>
      <c r="D32" s="22" t="s">
        <v>54</v>
      </c>
      <c r="E32" s="22" t="s">
        <v>55</v>
      </c>
      <c r="F32" s="22">
        <v>0</v>
      </c>
      <c r="G32" s="22">
        <v>6</v>
      </c>
      <c r="H32" s="22">
        <v>119</v>
      </c>
      <c r="I32" s="22" t="s">
        <v>56</v>
      </c>
      <c r="J32" s="22">
        <v>1</v>
      </c>
      <c r="K32" s="21" t="s">
        <v>59</v>
      </c>
      <c r="L32" s="21" t="str">
        <f>VLOOKUP(C32,'Trips&amp;Operators'!$C$1:$E$9999,3,FALSE)</f>
        <v>BRUDER</v>
      </c>
      <c r="M32" s="20" t="s">
        <v>237</v>
      </c>
      <c r="N32" s="21"/>
    </row>
    <row r="33" spans="1:14" s="19" customFormat="1" x14ac:dyDescent="0.25">
      <c r="A33" s="23">
        <v>42495.420671296299</v>
      </c>
      <c r="B33" s="22" t="s">
        <v>67</v>
      </c>
      <c r="C33" s="22" t="s">
        <v>312</v>
      </c>
      <c r="D33" s="22" t="s">
        <v>54</v>
      </c>
      <c r="E33" s="22" t="s">
        <v>55</v>
      </c>
      <c r="F33" s="22">
        <v>0</v>
      </c>
      <c r="G33" s="22">
        <v>4</v>
      </c>
      <c r="H33" s="22">
        <v>233359</v>
      </c>
      <c r="I33" s="22" t="s">
        <v>56</v>
      </c>
      <c r="J33" s="22">
        <v>233491</v>
      </c>
      <c r="K33" s="21" t="s">
        <v>57</v>
      </c>
      <c r="L33" s="21" t="str">
        <f>VLOOKUP(C33,'Trips&amp;Operators'!$C$1:$E$9999,3,FALSE)</f>
        <v>CHANDLER</v>
      </c>
      <c r="M33" s="20" t="s">
        <v>237</v>
      </c>
      <c r="N33" s="21"/>
    </row>
    <row r="34" spans="1:14" s="19" customFormat="1" x14ac:dyDescent="0.25">
      <c r="A34" s="23">
        <v>42495.439467592594</v>
      </c>
      <c r="B34" s="22" t="s">
        <v>58</v>
      </c>
      <c r="C34" s="22" t="s">
        <v>349</v>
      </c>
      <c r="D34" s="22" t="s">
        <v>54</v>
      </c>
      <c r="E34" s="22" t="s">
        <v>55</v>
      </c>
      <c r="F34" s="22">
        <v>0</v>
      </c>
      <c r="G34" s="22">
        <v>56</v>
      </c>
      <c r="H34" s="22">
        <v>196</v>
      </c>
      <c r="I34" s="22" t="s">
        <v>56</v>
      </c>
      <c r="J34" s="22">
        <v>1</v>
      </c>
      <c r="K34" s="21" t="s">
        <v>59</v>
      </c>
      <c r="L34" s="21" t="str">
        <f>VLOOKUP(C34,'Trips&amp;Operators'!$C$1:$E$9999,3,FALSE)</f>
        <v>MALAVE</v>
      </c>
      <c r="M34" s="20" t="s">
        <v>237</v>
      </c>
      <c r="N34" s="21"/>
    </row>
    <row r="35" spans="1:14" s="19" customFormat="1" x14ac:dyDescent="0.25">
      <c r="A35" s="23">
        <v>42495.441388888888</v>
      </c>
      <c r="B35" s="22" t="s">
        <v>53</v>
      </c>
      <c r="C35" s="22" t="s">
        <v>403</v>
      </c>
      <c r="D35" s="22" t="s">
        <v>54</v>
      </c>
      <c r="E35" s="22" t="s">
        <v>55</v>
      </c>
      <c r="F35" s="22">
        <v>0</v>
      </c>
      <c r="G35" s="22">
        <v>9</v>
      </c>
      <c r="H35" s="22">
        <v>233307</v>
      </c>
      <c r="I35" s="22" t="s">
        <v>56</v>
      </c>
      <c r="J35" s="22">
        <v>233491</v>
      </c>
      <c r="K35" s="21" t="s">
        <v>57</v>
      </c>
      <c r="L35" s="21" t="str">
        <f>VLOOKUP(C35,'Trips&amp;Operators'!$C$1:$E$9999,3,FALSE)</f>
        <v>NEWELL</v>
      </c>
      <c r="M35" s="20" t="s">
        <v>237</v>
      </c>
      <c r="N35" s="21"/>
    </row>
    <row r="36" spans="1:14" s="19" customFormat="1" x14ac:dyDescent="0.25">
      <c r="A36" s="23">
        <v>42495.452673611115</v>
      </c>
      <c r="B36" s="22" t="s">
        <v>134</v>
      </c>
      <c r="C36" s="22" t="s">
        <v>385</v>
      </c>
      <c r="D36" s="22" t="s">
        <v>54</v>
      </c>
      <c r="E36" s="22" t="s">
        <v>55</v>
      </c>
      <c r="F36" s="22">
        <v>0</v>
      </c>
      <c r="G36" s="22">
        <v>7</v>
      </c>
      <c r="H36" s="22">
        <v>109</v>
      </c>
      <c r="I36" s="22" t="s">
        <v>56</v>
      </c>
      <c r="J36" s="22">
        <v>1</v>
      </c>
      <c r="K36" s="21" t="s">
        <v>59</v>
      </c>
      <c r="L36" s="21" t="str">
        <f>VLOOKUP(C36,'Trips&amp;Operators'!$C$1:$E$9999,3,FALSE)</f>
        <v>STARKS</v>
      </c>
      <c r="M36" s="20" t="s">
        <v>237</v>
      </c>
      <c r="N36" s="21"/>
    </row>
    <row r="37" spans="1:14" s="19" customFormat="1" x14ac:dyDescent="0.25">
      <c r="A37" s="23">
        <v>42495.473078703704</v>
      </c>
      <c r="B37" s="22" t="s">
        <v>74</v>
      </c>
      <c r="C37" s="22" t="s">
        <v>378</v>
      </c>
      <c r="D37" s="22" t="s">
        <v>54</v>
      </c>
      <c r="E37" s="22" t="s">
        <v>55</v>
      </c>
      <c r="F37" s="22">
        <v>0</v>
      </c>
      <c r="G37" s="22">
        <v>67</v>
      </c>
      <c r="H37" s="22">
        <v>233240</v>
      </c>
      <c r="I37" s="22" t="s">
        <v>56</v>
      </c>
      <c r="J37" s="22">
        <v>233491</v>
      </c>
      <c r="K37" s="21" t="s">
        <v>57</v>
      </c>
      <c r="L37" s="21" t="str">
        <f>VLOOKUP(C37,'Trips&amp;Operators'!$C$1:$E$9999,3,FALSE)</f>
        <v>STEWART</v>
      </c>
      <c r="M37" s="20" t="s">
        <v>237</v>
      </c>
      <c r="N37" s="21"/>
    </row>
    <row r="38" spans="1:14" s="19" customFormat="1" x14ac:dyDescent="0.25">
      <c r="A38" s="23">
        <v>42495.480729166666</v>
      </c>
      <c r="B38" s="22" t="s">
        <v>75</v>
      </c>
      <c r="C38" s="22" t="s">
        <v>263</v>
      </c>
      <c r="D38" s="22" t="s">
        <v>54</v>
      </c>
      <c r="E38" s="22" t="s">
        <v>55</v>
      </c>
      <c r="F38" s="22">
        <v>0</v>
      </c>
      <c r="G38" s="22">
        <v>6</v>
      </c>
      <c r="H38" s="22">
        <v>119</v>
      </c>
      <c r="I38" s="22" t="s">
        <v>56</v>
      </c>
      <c r="J38" s="22">
        <v>1</v>
      </c>
      <c r="K38" s="21" t="s">
        <v>59</v>
      </c>
      <c r="L38" s="21" t="str">
        <f>VLOOKUP(C38,'Trips&amp;Operators'!$C$1:$E$9999,3,FALSE)</f>
        <v>NEWELL</v>
      </c>
      <c r="M38" s="20" t="s">
        <v>237</v>
      </c>
      <c r="N38" s="21"/>
    </row>
    <row r="39" spans="1:14" s="19" customFormat="1" x14ac:dyDescent="0.25">
      <c r="A39" s="23">
        <v>42495.483055555553</v>
      </c>
      <c r="B39" s="22" t="s">
        <v>126</v>
      </c>
      <c r="C39" s="22" t="s">
        <v>289</v>
      </c>
      <c r="D39" s="22" t="s">
        <v>54</v>
      </c>
      <c r="E39" s="22" t="s">
        <v>55</v>
      </c>
      <c r="F39" s="22">
        <v>0</v>
      </c>
      <c r="G39" s="22">
        <v>9</v>
      </c>
      <c r="H39" s="22">
        <v>233322</v>
      </c>
      <c r="I39" s="22" t="s">
        <v>56</v>
      </c>
      <c r="J39" s="22">
        <v>233491</v>
      </c>
      <c r="K39" s="21" t="s">
        <v>57</v>
      </c>
      <c r="L39" s="21" t="str">
        <f>VLOOKUP(C39,'Trips&amp;Operators'!$C$1:$E$9999,3,FALSE)</f>
        <v>MALAVE</v>
      </c>
      <c r="M39" s="20" t="s">
        <v>237</v>
      </c>
      <c r="N39" s="21"/>
    </row>
    <row r="40" spans="1:14" s="19" customFormat="1" x14ac:dyDescent="0.25">
      <c r="A40" s="23">
        <v>42495.512835648151</v>
      </c>
      <c r="B40" s="22" t="s">
        <v>58</v>
      </c>
      <c r="C40" s="22" t="s">
        <v>265</v>
      </c>
      <c r="D40" s="22" t="s">
        <v>54</v>
      </c>
      <c r="E40" s="22" t="s">
        <v>55</v>
      </c>
      <c r="F40" s="22">
        <v>0</v>
      </c>
      <c r="G40" s="22">
        <v>66</v>
      </c>
      <c r="H40" s="22">
        <v>221</v>
      </c>
      <c r="I40" s="22" t="s">
        <v>56</v>
      </c>
      <c r="J40" s="22">
        <v>1</v>
      </c>
      <c r="K40" s="21" t="s">
        <v>59</v>
      </c>
      <c r="L40" s="21" t="str">
        <f>VLOOKUP(C40,'Trips&amp;Operators'!$C$1:$E$9999,3,FALSE)</f>
        <v>STEWART</v>
      </c>
      <c r="M40" s="20" t="s">
        <v>237</v>
      </c>
      <c r="N40" s="21"/>
    </row>
    <row r="41" spans="1:14" s="19" customFormat="1" x14ac:dyDescent="0.25">
      <c r="A41" s="23">
        <v>42495.523368055554</v>
      </c>
      <c r="B41" s="22" t="s">
        <v>134</v>
      </c>
      <c r="C41" s="22" t="s">
        <v>318</v>
      </c>
      <c r="D41" s="22" t="s">
        <v>54</v>
      </c>
      <c r="E41" s="22" t="s">
        <v>55</v>
      </c>
      <c r="F41" s="22">
        <v>0</v>
      </c>
      <c r="G41" s="22">
        <v>5</v>
      </c>
      <c r="H41" s="22">
        <v>132</v>
      </c>
      <c r="I41" s="22" t="s">
        <v>56</v>
      </c>
      <c r="J41" s="22">
        <v>1</v>
      </c>
      <c r="K41" s="21" t="s">
        <v>59</v>
      </c>
      <c r="L41" s="21" t="str">
        <f>VLOOKUP(C41,'Trips&amp;Operators'!$C$1:$E$9999,3,FALSE)</f>
        <v>MALAVE</v>
      </c>
      <c r="M41" s="20" t="s">
        <v>237</v>
      </c>
      <c r="N41" s="21"/>
    </row>
    <row r="42" spans="1:14" s="19" customFormat="1" x14ac:dyDescent="0.25">
      <c r="A42" s="23">
        <v>42495.543645833335</v>
      </c>
      <c r="B42" s="22" t="s">
        <v>72</v>
      </c>
      <c r="C42" s="22" t="s">
        <v>302</v>
      </c>
      <c r="D42" s="22" t="s">
        <v>54</v>
      </c>
      <c r="E42" s="22" t="s">
        <v>55</v>
      </c>
      <c r="F42" s="22">
        <v>0</v>
      </c>
      <c r="G42" s="22">
        <v>9</v>
      </c>
      <c r="H42" s="22">
        <v>116</v>
      </c>
      <c r="I42" s="22" t="s">
        <v>56</v>
      </c>
      <c r="J42" s="22">
        <v>1</v>
      </c>
      <c r="K42" s="21" t="s">
        <v>59</v>
      </c>
      <c r="L42" s="21" t="str">
        <f>VLOOKUP(C42,'Trips&amp;Operators'!$C$1:$E$9999,3,FALSE)</f>
        <v>LOZA</v>
      </c>
      <c r="M42" s="20" t="s">
        <v>237</v>
      </c>
      <c r="N42" s="21"/>
    </row>
    <row r="43" spans="1:14" s="19" customFormat="1" x14ac:dyDescent="0.25">
      <c r="A43" s="23">
        <v>42495.547025462962</v>
      </c>
      <c r="B43" s="22" t="s">
        <v>74</v>
      </c>
      <c r="C43" s="22" t="s">
        <v>377</v>
      </c>
      <c r="D43" s="22" t="s">
        <v>54</v>
      </c>
      <c r="E43" s="22" t="s">
        <v>55</v>
      </c>
      <c r="F43" s="22">
        <v>0</v>
      </c>
      <c r="G43" s="22">
        <v>86</v>
      </c>
      <c r="H43" s="22">
        <v>233204</v>
      </c>
      <c r="I43" s="22" t="s">
        <v>56</v>
      </c>
      <c r="J43" s="22">
        <v>233491</v>
      </c>
      <c r="K43" s="21" t="s">
        <v>57</v>
      </c>
      <c r="L43" s="21" t="str">
        <f>VLOOKUP(C43,'Trips&amp;Operators'!$C$1:$E$9999,3,FALSE)</f>
        <v>STEWART</v>
      </c>
      <c r="M43" s="20" t="s">
        <v>237</v>
      </c>
      <c r="N43" s="21"/>
    </row>
    <row r="44" spans="1:14" s="19" customFormat="1" x14ac:dyDescent="0.25">
      <c r="A44" s="23">
        <v>42495.564340277779</v>
      </c>
      <c r="B44" s="22" t="s">
        <v>88</v>
      </c>
      <c r="C44" s="22" t="s">
        <v>368</v>
      </c>
      <c r="D44" s="22" t="s">
        <v>54</v>
      </c>
      <c r="E44" s="22" t="s">
        <v>55</v>
      </c>
      <c r="F44" s="22">
        <v>0</v>
      </c>
      <c r="G44" s="22">
        <v>5</v>
      </c>
      <c r="H44" s="22">
        <v>116</v>
      </c>
      <c r="I44" s="22" t="s">
        <v>56</v>
      </c>
      <c r="J44" s="22">
        <v>1</v>
      </c>
      <c r="K44" s="21" t="s">
        <v>59</v>
      </c>
      <c r="L44" s="21" t="str">
        <f>VLOOKUP(C44,'Trips&amp;Operators'!$C$1:$E$9999,3,FALSE)</f>
        <v>YORK</v>
      </c>
      <c r="M44" s="20" t="s">
        <v>237</v>
      </c>
      <c r="N44" s="21"/>
    </row>
    <row r="45" spans="1:14" s="19" customFormat="1" x14ac:dyDescent="0.25">
      <c r="A45" s="23">
        <v>42495.587800925925</v>
      </c>
      <c r="B45" s="22" t="s">
        <v>58</v>
      </c>
      <c r="C45" s="22" t="s">
        <v>379</v>
      </c>
      <c r="D45" s="22" t="s">
        <v>54</v>
      </c>
      <c r="E45" s="22" t="s">
        <v>55</v>
      </c>
      <c r="F45" s="22">
        <v>0</v>
      </c>
      <c r="G45" s="22">
        <v>29</v>
      </c>
      <c r="H45" s="22">
        <v>70</v>
      </c>
      <c r="I45" s="22" t="s">
        <v>56</v>
      </c>
      <c r="J45" s="22">
        <v>1</v>
      </c>
      <c r="K45" s="21" t="s">
        <v>59</v>
      </c>
      <c r="L45" s="21" t="str">
        <f>VLOOKUP(C45,'Trips&amp;Operators'!$C$1:$E$9999,3,FALSE)</f>
        <v>STEWART</v>
      </c>
      <c r="M45" s="20" t="s">
        <v>237</v>
      </c>
      <c r="N45" s="21"/>
    </row>
    <row r="46" spans="1:14" s="19" customFormat="1" x14ac:dyDescent="0.25">
      <c r="A46" s="23">
        <v>42495.659062500003</v>
      </c>
      <c r="B46" s="22" t="s">
        <v>58</v>
      </c>
      <c r="C46" s="22" t="s">
        <v>319</v>
      </c>
      <c r="D46" s="22" t="s">
        <v>54</v>
      </c>
      <c r="E46" s="22" t="s">
        <v>55</v>
      </c>
      <c r="F46" s="22">
        <v>0</v>
      </c>
      <c r="G46" s="22">
        <v>33</v>
      </c>
      <c r="H46" s="22">
        <v>87</v>
      </c>
      <c r="I46" s="22" t="s">
        <v>56</v>
      </c>
      <c r="J46" s="22">
        <v>1</v>
      </c>
      <c r="K46" s="21" t="s">
        <v>59</v>
      </c>
      <c r="L46" s="21" t="str">
        <f>VLOOKUP(C46,'Trips&amp;Operators'!$C$1:$E$9999,3,FALSE)</f>
        <v>STEWART</v>
      </c>
      <c r="M46" s="20" t="s">
        <v>237</v>
      </c>
      <c r="N46" s="21"/>
    </row>
    <row r="47" spans="1:14" s="19" customFormat="1" x14ac:dyDescent="0.25">
      <c r="A47" s="23">
        <v>42495.659849537034</v>
      </c>
      <c r="B47" s="22" t="s">
        <v>294</v>
      </c>
      <c r="C47" s="22" t="s">
        <v>380</v>
      </c>
      <c r="D47" s="22" t="s">
        <v>54</v>
      </c>
      <c r="E47" s="22" t="s">
        <v>55</v>
      </c>
      <c r="F47" s="22">
        <v>0</v>
      </c>
      <c r="G47" s="22">
        <v>9</v>
      </c>
      <c r="H47" s="22">
        <v>233312</v>
      </c>
      <c r="I47" s="22" t="s">
        <v>56</v>
      </c>
      <c r="J47" s="22">
        <v>233491</v>
      </c>
      <c r="K47" s="21" t="s">
        <v>57</v>
      </c>
      <c r="L47" s="21" t="str">
        <f>VLOOKUP(C47,'Trips&amp;Operators'!$C$1:$E$9999,3,FALSE)</f>
        <v>JACKSON</v>
      </c>
      <c r="M47" s="20" t="s">
        <v>237</v>
      </c>
      <c r="N47" s="21"/>
    </row>
    <row r="48" spans="1:14" s="19" customFormat="1" x14ac:dyDescent="0.25">
      <c r="A48" s="23">
        <v>42495.673067129632</v>
      </c>
      <c r="B48" s="22" t="s">
        <v>68</v>
      </c>
      <c r="C48" s="22" t="s">
        <v>352</v>
      </c>
      <c r="D48" s="22" t="s">
        <v>54</v>
      </c>
      <c r="E48" s="22" t="s">
        <v>55</v>
      </c>
      <c r="F48" s="22">
        <v>0</v>
      </c>
      <c r="G48" s="22">
        <v>8</v>
      </c>
      <c r="H48" s="22">
        <v>233327</v>
      </c>
      <c r="I48" s="22" t="s">
        <v>56</v>
      </c>
      <c r="J48" s="22">
        <v>233491</v>
      </c>
      <c r="K48" s="21" t="s">
        <v>57</v>
      </c>
      <c r="L48" s="21" t="str">
        <f>VLOOKUP(C48,'Trips&amp;Operators'!$C$1:$E$9999,3,FALSE)</f>
        <v>YORK</v>
      </c>
      <c r="M48" s="20" t="s">
        <v>237</v>
      </c>
      <c r="N48" s="21"/>
    </row>
    <row r="49" spans="1:14" s="19" customFormat="1" x14ac:dyDescent="0.25">
      <c r="A49" s="23">
        <v>42495.710925925923</v>
      </c>
      <c r="B49" s="22" t="s">
        <v>88</v>
      </c>
      <c r="C49" s="22" t="s">
        <v>304</v>
      </c>
      <c r="D49" s="22" t="s">
        <v>54</v>
      </c>
      <c r="E49" s="22" t="s">
        <v>55</v>
      </c>
      <c r="F49" s="22">
        <v>0</v>
      </c>
      <c r="G49" s="22">
        <v>9</v>
      </c>
      <c r="H49" s="22">
        <v>123</v>
      </c>
      <c r="I49" s="22" t="s">
        <v>56</v>
      </c>
      <c r="J49" s="22">
        <v>1</v>
      </c>
      <c r="K49" s="21" t="s">
        <v>59</v>
      </c>
      <c r="L49" s="21" t="str">
        <f>VLOOKUP(C49,'Trips&amp;Operators'!$C$1:$E$9999,3,FALSE)</f>
        <v>YORK</v>
      </c>
      <c r="M49" s="20" t="s">
        <v>237</v>
      </c>
      <c r="N49" s="21"/>
    </row>
    <row r="50" spans="1:14" s="19" customFormat="1" x14ac:dyDescent="0.25">
      <c r="A50" s="23">
        <v>42495.735173611109</v>
      </c>
      <c r="B50" s="22" t="s">
        <v>58</v>
      </c>
      <c r="C50" s="22" t="s">
        <v>298</v>
      </c>
      <c r="D50" s="22" t="s">
        <v>54</v>
      </c>
      <c r="E50" s="22" t="s">
        <v>55</v>
      </c>
      <c r="F50" s="22">
        <v>0</v>
      </c>
      <c r="G50" s="22">
        <v>41</v>
      </c>
      <c r="H50" s="22">
        <v>119</v>
      </c>
      <c r="I50" s="22" t="s">
        <v>56</v>
      </c>
      <c r="J50" s="22">
        <v>1</v>
      </c>
      <c r="K50" s="21" t="s">
        <v>59</v>
      </c>
      <c r="L50" s="21" t="str">
        <f>VLOOKUP(C50,'Trips&amp;Operators'!$C$1:$E$9999,3,FALSE)</f>
        <v>STEWART</v>
      </c>
      <c r="M50" s="20" t="s">
        <v>237</v>
      </c>
      <c r="N50" s="21"/>
    </row>
    <row r="51" spans="1:14" s="19" customFormat="1" x14ac:dyDescent="0.25">
      <c r="A51" s="23">
        <v>42495.753217592595</v>
      </c>
      <c r="B51" s="22" t="s">
        <v>60</v>
      </c>
      <c r="C51" s="22" t="s">
        <v>324</v>
      </c>
      <c r="D51" s="22" t="s">
        <v>54</v>
      </c>
      <c r="E51" s="22" t="s">
        <v>55</v>
      </c>
      <c r="F51" s="22">
        <v>0</v>
      </c>
      <c r="G51" s="22">
        <v>6</v>
      </c>
      <c r="H51" s="22">
        <v>129</v>
      </c>
      <c r="I51" s="22" t="s">
        <v>56</v>
      </c>
      <c r="J51" s="22">
        <v>1</v>
      </c>
      <c r="K51" s="21" t="s">
        <v>59</v>
      </c>
      <c r="L51" s="21" t="str">
        <f>VLOOKUP(C51,'Trips&amp;Operators'!$C$1:$E$9999,3,FALSE)</f>
        <v>SPECTOR</v>
      </c>
      <c r="M51" s="20" t="s">
        <v>237</v>
      </c>
      <c r="N51" s="21"/>
    </row>
    <row r="52" spans="1:14" s="19" customFormat="1" x14ac:dyDescent="0.25">
      <c r="A52" s="23">
        <v>42495.757430555554</v>
      </c>
      <c r="B52" s="22" t="s">
        <v>114</v>
      </c>
      <c r="C52" s="22" t="s">
        <v>347</v>
      </c>
      <c r="D52" s="22" t="s">
        <v>54</v>
      </c>
      <c r="E52" s="22" t="s">
        <v>55</v>
      </c>
      <c r="F52" s="22">
        <v>0</v>
      </c>
      <c r="G52" s="22">
        <v>7</v>
      </c>
      <c r="H52" s="22">
        <v>233340</v>
      </c>
      <c r="I52" s="22" t="s">
        <v>56</v>
      </c>
      <c r="J52" s="22">
        <v>233491</v>
      </c>
      <c r="K52" s="21" t="s">
        <v>57</v>
      </c>
      <c r="L52" s="21" t="str">
        <f>VLOOKUP(C52,'Trips&amp;Operators'!$C$1:$E$9999,3,FALSE)</f>
        <v>YOUNG</v>
      </c>
      <c r="M52" s="20" t="s">
        <v>237</v>
      </c>
      <c r="N52" s="21"/>
    </row>
    <row r="53" spans="1:14" s="19" customFormat="1" x14ac:dyDescent="0.25">
      <c r="A53" s="23">
        <v>42495.784641203703</v>
      </c>
      <c r="B53" s="22" t="s">
        <v>88</v>
      </c>
      <c r="C53" s="22" t="s">
        <v>276</v>
      </c>
      <c r="D53" s="22" t="s">
        <v>54</v>
      </c>
      <c r="E53" s="22" t="s">
        <v>55</v>
      </c>
      <c r="F53" s="22">
        <v>0</v>
      </c>
      <c r="G53" s="22">
        <v>7</v>
      </c>
      <c r="H53" s="22">
        <v>116</v>
      </c>
      <c r="I53" s="22" t="s">
        <v>56</v>
      </c>
      <c r="J53" s="22">
        <v>1</v>
      </c>
      <c r="K53" s="21" t="s">
        <v>59</v>
      </c>
      <c r="L53" s="21" t="str">
        <f>VLOOKUP(C53,'Trips&amp;Operators'!$C$1:$E$9999,3,FALSE)</f>
        <v>ADANE</v>
      </c>
      <c r="M53" s="20" t="s">
        <v>237</v>
      </c>
      <c r="N53" s="21"/>
    </row>
    <row r="54" spans="1:14" s="19" customFormat="1" x14ac:dyDescent="0.25">
      <c r="A54" s="23">
        <v>42495.785543981481</v>
      </c>
      <c r="B54" s="22" t="s">
        <v>67</v>
      </c>
      <c r="C54" s="22" t="s">
        <v>303</v>
      </c>
      <c r="D54" s="22" t="s">
        <v>54</v>
      </c>
      <c r="E54" s="22" t="s">
        <v>55</v>
      </c>
      <c r="F54" s="22">
        <v>0</v>
      </c>
      <c r="G54" s="22">
        <v>5</v>
      </c>
      <c r="H54" s="22">
        <v>233330</v>
      </c>
      <c r="I54" s="22" t="s">
        <v>56</v>
      </c>
      <c r="J54" s="22">
        <v>233491</v>
      </c>
      <c r="K54" s="21" t="s">
        <v>57</v>
      </c>
      <c r="L54" s="21" t="str">
        <f>VLOOKUP(C54,'Trips&amp;Operators'!$C$1:$E$9999,3,FALSE)</f>
        <v>GOLIGHTLY</v>
      </c>
      <c r="M54" s="20" t="s">
        <v>237</v>
      </c>
      <c r="N54" s="21"/>
    </row>
    <row r="55" spans="1:14" s="19" customFormat="1" x14ac:dyDescent="0.25">
      <c r="A55" s="23">
        <v>42495.857210648152</v>
      </c>
      <c r="B55" s="22" t="s">
        <v>88</v>
      </c>
      <c r="C55" s="22" t="s">
        <v>341</v>
      </c>
      <c r="D55" s="22" t="s">
        <v>54</v>
      </c>
      <c r="E55" s="22" t="s">
        <v>55</v>
      </c>
      <c r="F55" s="22">
        <v>0</v>
      </c>
      <c r="G55" s="22">
        <v>6</v>
      </c>
      <c r="H55" s="22">
        <v>125</v>
      </c>
      <c r="I55" s="22" t="s">
        <v>56</v>
      </c>
      <c r="J55" s="22">
        <v>1</v>
      </c>
      <c r="K55" s="21" t="s">
        <v>59</v>
      </c>
      <c r="L55" s="21" t="str">
        <f>VLOOKUP(C55,'Trips&amp;Operators'!$C$1:$E$9999,3,FALSE)</f>
        <v>ADANE</v>
      </c>
      <c r="M55" s="20" t="s">
        <v>237</v>
      </c>
      <c r="N55" s="21"/>
    </row>
    <row r="56" spans="1:14" s="19" customFormat="1" x14ac:dyDescent="0.25">
      <c r="A56" s="23">
        <v>42495.858819444446</v>
      </c>
      <c r="B56" s="22" t="s">
        <v>67</v>
      </c>
      <c r="C56" s="22" t="s">
        <v>282</v>
      </c>
      <c r="D56" s="22" t="s">
        <v>54</v>
      </c>
      <c r="E56" s="22" t="s">
        <v>55</v>
      </c>
      <c r="F56" s="22">
        <v>0</v>
      </c>
      <c r="G56" s="22">
        <v>8</v>
      </c>
      <c r="H56" s="22">
        <v>233332</v>
      </c>
      <c r="I56" s="22" t="s">
        <v>56</v>
      </c>
      <c r="J56" s="22">
        <v>233491</v>
      </c>
      <c r="K56" s="21" t="s">
        <v>57</v>
      </c>
      <c r="L56" s="21" t="str">
        <f>VLOOKUP(C56,'Trips&amp;Operators'!$C$1:$E$9999,3,FALSE)</f>
        <v>GOLIGHTLY</v>
      </c>
      <c r="M56" s="20" t="s">
        <v>237</v>
      </c>
      <c r="N56" s="21"/>
    </row>
    <row r="57" spans="1:14" s="19" customFormat="1" x14ac:dyDescent="0.25">
      <c r="A57" s="23">
        <v>42495.920208333337</v>
      </c>
      <c r="B57" s="22" t="s">
        <v>72</v>
      </c>
      <c r="C57" s="22" t="s">
        <v>398</v>
      </c>
      <c r="D57" s="22" t="s">
        <v>54</v>
      </c>
      <c r="E57" s="22" t="s">
        <v>55</v>
      </c>
      <c r="F57" s="22">
        <v>0</v>
      </c>
      <c r="G57" s="22">
        <v>60</v>
      </c>
      <c r="H57" s="22">
        <v>214</v>
      </c>
      <c r="I57" s="22" t="s">
        <v>56</v>
      </c>
      <c r="J57" s="22">
        <v>1</v>
      </c>
      <c r="K57" s="21" t="s">
        <v>59</v>
      </c>
      <c r="L57" s="21" t="str">
        <f>VLOOKUP(C57,'Trips&amp;Operators'!$C$1:$E$9999,3,FALSE)</f>
        <v>STRICKLAND</v>
      </c>
      <c r="M57" s="20" t="s">
        <v>237</v>
      </c>
      <c r="N57" s="21"/>
    </row>
    <row r="58" spans="1:14" s="19" customFormat="1" x14ac:dyDescent="0.25">
      <c r="A58" s="23">
        <v>42495.941967592589</v>
      </c>
      <c r="B58" s="22" t="s">
        <v>67</v>
      </c>
      <c r="C58" s="22" t="s">
        <v>360</v>
      </c>
      <c r="D58" s="22" t="s">
        <v>54</v>
      </c>
      <c r="E58" s="22" t="s">
        <v>55</v>
      </c>
      <c r="F58" s="22">
        <v>0</v>
      </c>
      <c r="G58" s="22">
        <v>8</v>
      </c>
      <c r="H58" s="22">
        <v>233346</v>
      </c>
      <c r="I58" s="22" t="s">
        <v>56</v>
      </c>
      <c r="J58" s="22">
        <v>233491</v>
      </c>
      <c r="K58" s="21" t="s">
        <v>57</v>
      </c>
      <c r="L58" s="21" t="str">
        <f>VLOOKUP(C58,'Trips&amp;Operators'!$C$1:$E$9999,3,FALSE)</f>
        <v>GOLIGHTLY</v>
      </c>
      <c r="M58" s="20" t="s">
        <v>237</v>
      </c>
      <c r="N58" s="21"/>
    </row>
    <row r="59" spans="1:14" s="19" customFormat="1" x14ac:dyDescent="0.25">
      <c r="A59" s="23">
        <v>42495.969490740739</v>
      </c>
      <c r="B59" s="22" t="s">
        <v>66</v>
      </c>
      <c r="C59" s="22" t="s">
        <v>350</v>
      </c>
      <c r="D59" s="22" t="s">
        <v>54</v>
      </c>
      <c r="E59" s="22" t="s">
        <v>55</v>
      </c>
      <c r="F59" s="22">
        <v>0</v>
      </c>
      <c r="G59" s="22">
        <v>3</v>
      </c>
      <c r="H59" s="22">
        <v>233251</v>
      </c>
      <c r="I59" s="22" t="s">
        <v>56</v>
      </c>
      <c r="J59" s="22">
        <v>233491</v>
      </c>
      <c r="K59" s="21" t="s">
        <v>57</v>
      </c>
      <c r="L59" s="21" t="str">
        <f>VLOOKUP(C59,'Trips&amp;Operators'!$C$1:$E$9999,3,FALSE)</f>
        <v>STRICKLAND</v>
      </c>
      <c r="M59" s="20" t="s">
        <v>237</v>
      </c>
      <c r="N59" s="21"/>
    </row>
    <row r="60" spans="1:14" s="19" customFormat="1" x14ac:dyDescent="0.25">
      <c r="A60" s="23">
        <v>42495.985497685186</v>
      </c>
      <c r="B60" s="22" t="s">
        <v>68</v>
      </c>
      <c r="C60" s="22" t="s">
        <v>310</v>
      </c>
      <c r="D60" s="22" t="s">
        <v>54</v>
      </c>
      <c r="E60" s="22" t="s">
        <v>55</v>
      </c>
      <c r="F60" s="22">
        <v>0</v>
      </c>
      <c r="G60" s="22">
        <v>6</v>
      </c>
      <c r="H60" s="22">
        <v>233321</v>
      </c>
      <c r="I60" s="22" t="s">
        <v>56</v>
      </c>
      <c r="J60" s="22">
        <v>233491</v>
      </c>
      <c r="K60" s="21" t="s">
        <v>57</v>
      </c>
      <c r="L60" s="21" t="str">
        <f>VLOOKUP(C60,'Trips&amp;Operators'!$C$1:$E$9999,3,FALSE)</f>
        <v>ADANE</v>
      </c>
      <c r="M60" s="20" t="s">
        <v>237</v>
      </c>
      <c r="N60" s="21"/>
    </row>
    <row r="61" spans="1:14" s="19" customFormat="1" x14ac:dyDescent="0.25">
      <c r="A61" s="23">
        <v>42496.023148148146</v>
      </c>
      <c r="B61" s="22" t="s">
        <v>88</v>
      </c>
      <c r="C61" s="22" t="s">
        <v>356</v>
      </c>
      <c r="D61" s="22" t="s">
        <v>54</v>
      </c>
      <c r="E61" s="22" t="s">
        <v>55</v>
      </c>
      <c r="F61" s="22">
        <v>0</v>
      </c>
      <c r="G61" s="22">
        <v>48</v>
      </c>
      <c r="H61" s="22">
        <v>156</v>
      </c>
      <c r="I61" s="22" t="s">
        <v>56</v>
      </c>
      <c r="J61" s="22">
        <v>1</v>
      </c>
      <c r="K61" s="21" t="s">
        <v>59</v>
      </c>
      <c r="L61" s="21" t="str">
        <f>VLOOKUP(C61,'Trips&amp;Operators'!$C$1:$E$9999,3,FALSE)</f>
        <v>ADANE</v>
      </c>
      <c r="M61" s="20" t="s">
        <v>237</v>
      </c>
      <c r="N61" s="21"/>
    </row>
    <row r="62" spans="1:14" s="19" customFormat="1" x14ac:dyDescent="0.25">
      <c r="A62" s="23">
        <v>42496.024976851855</v>
      </c>
      <c r="B62" s="22" t="s">
        <v>67</v>
      </c>
      <c r="C62" s="22" t="s">
        <v>342</v>
      </c>
      <c r="D62" s="22" t="s">
        <v>54</v>
      </c>
      <c r="E62" s="22" t="s">
        <v>55</v>
      </c>
      <c r="F62" s="22">
        <v>0</v>
      </c>
      <c r="G62" s="22">
        <v>8</v>
      </c>
      <c r="H62" s="22">
        <v>233336</v>
      </c>
      <c r="I62" s="22" t="s">
        <v>56</v>
      </c>
      <c r="J62" s="22">
        <v>233491</v>
      </c>
      <c r="K62" s="21" t="s">
        <v>57</v>
      </c>
      <c r="L62" s="21" t="str">
        <f>VLOOKUP(C62,'Trips&amp;Operators'!$C$1:$E$9999,3,FALSE)</f>
        <v>GOLIGHTLY</v>
      </c>
      <c r="M62" s="20" t="s">
        <v>237</v>
      </c>
      <c r="N62" s="21"/>
    </row>
    <row r="63" spans="1:14" s="19" customFormat="1" x14ac:dyDescent="0.25">
      <c r="A63" s="23">
        <v>42496.044976851852</v>
      </c>
      <c r="B63" s="22" t="s">
        <v>58</v>
      </c>
      <c r="C63" s="22" t="s">
        <v>325</v>
      </c>
      <c r="D63" s="22" t="s">
        <v>54</v>
      </c>
      <c r="E63" s="22" t="s">
        <v>55</v>
      </c>
      <c r="F63" s="22">
        <v>0</v>
      </c>
      <c r="G63" s="22">
        <v>25</v>
      </c>
      <c r="H63" s="22">
        <v>50</v>
      </c>
      <c r="I63" s="22" t="s">
        <v>56</v>
      </c>
      <c r="J63" s="22">
        <v>1</v>
      </c>
      <c r="K63" s="21" t="s">
        <v>59</v>
      </c>
      <c r="L63" s="21" t="str">
        <f>VLOOKUP(C63,'Trips&amp;Operators'!$C$1:$E$9999,3,FALSE)</f>
        <v>REBOLETTI</v>
      </c>
      <c r="M63" s="20" t="s">
        <v>237</v>
      </c>
      <c r="N63" s="21"/>
    </row>
    <row r="64" spans="1:14" s="19" customFormat="1" ht="15.75" thickBot="1" x14ac:dyDescent="0.3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1:13" ht="30" x14ac:dyDescent="0.25">
      <c r="K65" s="18" t="s">
        <v>28</v>
      </c>
      <c r="L65" s="53"/>
      <c r="M65" s="17">
        <f>COUNTIF(M3:M62,"=Y")</f>
        <v>1</v>
      </c>
    </row>
    <row r="66" spans="11:13" ht="15.75" thickBot="1" x14ac:dyDescent="0.3">
      <c r="K66" s="16" t="s">
        <v>27</v>
      </c>
      <c r="L66" s="54"/>
      <c r="M66" s="15">
        <f>COUNTA(M3:M62)-M65</f>
        <v>59</v>
      </c>
    </row>
  </sheetData>
  <autoFilter ref="A2:N2">
    <sortState ref="A3:N62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7" priority="3" operator="equal">
      <formula>"Y"</formula>
    </cfRule>
  </conditionalFormatting>
  <conditionalFormatting sqref="B3:N64">
    <cfRule type="expression" dxfId="6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21"/>
  <sheetViews>
    <sheetView workbookViewId="0">
      <selection activeCell="K8" sqref="K8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42494.892048611109</v>
      </c>
      <c r="B1" t="s">
        <v>66</v>
      </c>
      <c r="C1" t="s">
        <v>79</v>
      </c>
      <c r="D1">
        <v>1750000</v>
      </c>
      <c r="E1" t="s">
        <v>86</v>
      </c>
    </row>
    <row r="2" spans="1:5" x14ac:dyDescent="0.25">
      <c r="A2" s="14">
        <v>42495.31108796296</v>
      </c>
      <c r="B2" t="s">
        <v>126</v>
      </c>
      <c r="C2" t="s">
        <v>244</v>
      </c>
      <c r="D2">
        <v>1110000</v>
      </c>
      <c r="E2" t="s">
        <v>90</v>
      </c>
    </row>
    <row r="3" spans="1:5" x14ac:dyDescent="0.25">
      <c r="A3" s="14">
        <v>42495.340509259258</v>
      </c>
      <c r="B3" t="s">
        <v>58</v>
      </c>
      <c r="C3" t="s">
        <v>241</v>
      </c>
      <c r="D3">
        <v>1310000</v>
      </c>
      <c r="E3" t="s">
        <v>131</v>
      </c>
    </row>
    <row r="4" spans="1:5" x14ac:dyDescent="0.25">
      <c r="A4" s="14">
        <v>42495.383333333331</v>
      </c>
      <c r="B4" t="s">
        <v>126</v>
      </c>
      <c r="C4" t="s">
        <v>262</v>
      </c>
      <c r="D4">
        <v>1110000</v>
      </c>
      <c r="E4" t="s">
        <v>90</v>
      </c>
    </row>
    <row r="5" spans="1:5" x14ac:dyDescent="0.25">
      <c r="A5" s="14">
        <v>42495.301747685182</v>
      </c>
      <c r="B5" t="s">
        <v>75</v>
      </c>
      <c r="C5" t="s">
        <v>243</v>
      </c>
      <c r="D5">
        <v>1810000</v>
      </c>
      <c r="E5" t="s">
        <v>93</v>
      </c>
    </row>
    <row r="6" spans="1:5" x14ac:dyDescent="0.25">
      <c r="A6" s="14">
        <v>42495.447199074071</v>
      </c>
      <c r="B6" t="s">
        <v>75</v>
      </c>
      <c r="C6" t="s">
        <v>263</v>
      </c>
      <c r="D6">
        <v>1810000</v>
      </c>
      <c r="E6" t="s">
        <v>93</v>
      </c>
    </row>
    <row r="7" spans="1:5" x14ac:dyDescent="0.25">
      <c r="A7" s="14">
        <v>42495.46166666667</v>
      </c>
      <c r="B7" t="s">
        <v>88</v>
      </c>
      <c r="C7" t="s">
        <v>264</v>
      </c>
      <c r="D7">
        <v>1830000</v>
      </c>
      <c r="E7" t="s">
        <v>124</v>
      </c>
    </row>
    <row r="8" spans="1:5" x14ac:dyDescent="0.25">
      <c r="A8" s="14">
        <v>42495.484872685185</v>
      </c>
      <c r="B8" t="s">
        <v>58</v>
      </c>
      <c r="C8" t="s">
        <v>265</v>
      </c>
      <c r="D8">
        <v>880000</v>
      </c>
      <c r="E8" t="s">
        <v>89</v>
      </c>
    </row>
    <row r="9" spans="1:5" x14ac:dyDescent="0.25">
      <c r="A9" s="14">
        <v>42495.486307870371</v>
      </c>
      <c r="B9" t="s">
        <v>53</v>
      </c>
      <c r="C9" t="s">
        <v>266</v>
      </c>
      <c r="D9">
        <v>970000</v>
      </c>
      <c r="E9" t="s">
        <v>87</v>
      </c>
    </row>
    <row r="10" spans="1:5" x14ac:dyDescent="0.25">
      <c r="A10" s="14">
        <v>42495.494074074071</v>
      </c>
      <c r="B10" t="s">
        <v>68</v>
      </c>
      <c r="C10" t="s">
        <v>267</v>
      </c>
      <c r="D10">
        <v>1830000</v>
      </c>
      <c r="E10" t="s">
        <v>124</v>
      </c>
    </row>
    <row r="11" spans="1:5" x14ac:dyDescent="0.25">
      <c r="A11" s="14">
        <v>42495.292349537034</v>
      </c>
      <c r="B11" t="s">
        <v>72</v>
      </c>
      <c r="C11" t="s">
        <v>242</v>
      </c>
      <c r="D11">
        <v>1780000</v>
      </c>
      <c r="E11" t="s">
        <v>94</v>
      </c>
    </row>
    <row r="12" spans="1:5" x14ac:dyDescent="0.25">
      <c r="A12" s="14">
        <v>42495.497581018521</v>
      </c>
      <c r="B12" t="s">
        <v>60</v>
      </c>
      <c r="C12" t="s">
        <v>268</v>
      </c>
      <c r="D12">
        <v>1090000</v>
      </c>
      <c r="E12" t="s">
        <v>92</v>
      </c>
    </row>
    <row r="13" spans="1:5" x14ac:dyDescent="0.25">
      <c r="A13" s="14">
        <v>42495.282638888886</v>
      </c>
      <c r="B13" t="s">
        <v>60</v>
      </c>
      <c r="C13" t="s">
        <v>240</v>
      </c>
      <c r="D13">
        <v>1800000</v>
      </c>
      <c r="E13" t="s">
        <v>95</v>
      </c>
    </row>
    <row r="14" spans="1:5" x14ac:dyDescent="0.25">
      <c r="A14" s="14">
        <v>42495.507893518516</v>
      </c>
      <c r="B14" t="s">
        <v>114</v>
      </c>
      <c r="C14" t="s">
        <v>269</v>
      </c>
      <c r="D14">
        <v>1140000</v>
      </c>
      <c r="E14" t="s">
        <v>91</v>
      </c>
    </row>
    <row r="15" spans="1:5" x14ac:dyDescent="0.25">
      <c r="A15" s="14">
        <v>42495.255844907406</v>
      </c>
      <c r="B15" t="s">
        <v>66</v>
      </c>
      <c r="C15" t="s">
        <v>107</v>
      </c>
      <c r="D15">
        <v>1780000</v>
      </c>
      <c r="E15" t="s">
        <v>94</v>
      </c>
    </row>
    <row r="16" spans="1:5" x14ac:dyDescent="0.25">
      <c r="A16" s="14">
        <v>42495.589212962965</v>
      </c>
      <c r="B16" t="s">
        <v>72</v>
      </c>
      <c r="C16" t="s">
        <v>270</v>
      </c>
      <c r="D16">
        <v>890000</v>
      </c>
      <c r="E16" t="s">
        <v>271</v>
      </c>
    </row>
    <row r="17" spans="1:5" x14ac:dyDescent="0.25">
      <c r="A17" s="14">
        <v>42495.251527777778</v>
      </c>
      <c r="B17" t="s">
        <v>104</v>
      </c>
      <c r="C17" t="s">
        <v>105</v>
      </c>
      <c r="D17">
        <v>1300000</v>
      </c>
      <c r="E17" t="s">
        <v>106</v>
      </c>
    </row>
    <row r="18" spans="1:5" x14ac:dyDescent="0.25">
      <c r="A18" s="14">
        <v>42495.659988425927</v>
      </c>
      <c r="B18" t="s">
        <v>72</v>
      </c>
      <c r="C18" t="s">
        <v>272</v>
      </c>
      <c r="D18">
        <v>890000</v>
      </c>
      <c r="E18" t="s">
        <v>271</v>
      </c>
    </row>
    <row r="19" spans="1:5" x14ac:dyDescent="0.25">
      <c r="A19" s="14">
        <v>42495.229537037034</v>
      </c>
      <c r="B19" t="s">
        <v>75</v>
      </c>
      <c r="C19" t="s">
        <v>102</v>
      </c>
      <c r="D19">
        <v>1810000</v>
      </c>
      <c r="E19" t="s">
        <v>93</v>
      </c>
    </row>
    <row r="20" spans="1:5" x14ac:dyDescent="0.25">
      <c r="A20" s="14">
        <v>42495.673182870371</v>
      </c>
      <c r="B20" t="s">
        <v>100</v>
      </c>
      <c r="C20" t="s">
        <v>273</v>
      </c>
      <c r="D20">
        <v>970000</v>
      </c>
      <c r="E20" t="s">
        <v>87</v>
      </c>
    </row>
    <row r="21" spans="1:5" x14ac:dyDescent="0.25">
      <c r="A21" s="14">
        <v>42495.154942129629</v>
      </c>
      <c r="B21" t="s">
        <v>100</v>
      </c>
      <c r="C21" t="s">
        <v>101</v>
      </c>
      <c r="D21">
        <v>1800000</v>
      </c>
      <c r="E21" t="s">
        <v>95</v>
      </c>
    </row>
    <row r="22" spans="1:5" x14ac:dyDescent="0.25">
      <c r="A22" s="14">
        <v>42495.715266203704</v>
      </c>
      <c r="B22" t="s">
        <v>68</v>
      </c>
      <c r="C22" t="s">
        <v>274</v>
      </c>
      <c r="D22">
        <v>1820000</v>
      </c>
      <c r="E22" t="s">
        <v>119</v>
      </c>
    </row>
    <row r="23" spans="1:5" x14ac:dyDescent="0.25">
      <c r="A23" s="14">
        <v>42494.94840277778</v>
      </c>
      <c r="B23" t="s">
        <v>53</v>
      </c>
      <c r="C23" t="s">
        <v>82</v>
      </c>
      <c r="D23">
        <v>1280000</v>
      </c>
      <c r="E23" t="s">
        <v>98</v>
      </c>
    </row>
    <row r="24" spans="1:5" x14ac:dyDescent="0.25">
      <c r="A24" s="14">
        <v>42495.739733796298</v>
      </c>
      <c r="B24" t="s">
        <v>74</v>
      </c>
      <c r="C24" t="s">
        <v>275</v>
      </c>
      <c r="D24">
        <v>1750000</v>
      </c>
      <c r="E24" t="s">
        <v>86</v>
      </c>
    </row>
    <row r="25" spans="1:5" x14ac:dyDescent="0.25">
      <c r="A25" s="14">
        <v>42494.93105324074</v>
      </c>
      <c r="B25" t="s">
        <v>72</v>
      </c>
      <c r="C25" t="s">
        <v>81</v>
      </c>
      <c r="D25">
        <v>1750000</v>
      </c>
      <c r="E25" t="s">
        <v>86</v>
      </c>
    </row>
    <row r="26" spans="1:5" x14ac:dyDescent="0.25">
      <c r="A26" s="14">
        <v>42495.751331018517</v>
      </c>
      <c r="B26" t="s">
        <v>88</v>
      </c>
      <c r="C26" t="s">
        <v>276</v>
      </c>
      <c r="D26">
        <v>1820000</v>
      </c>
      <c r="E26" t="s">
        <v>119</v>
      </c>
    </row>
    <row r="27" spans="1:5" x14ac:dyDescent="0.25">
      <c r="A27" s="14">
        <v>42494.823888888888</v>
      </c>
      <c r="B27" t="s">
        <v>75</v>
      </c>
      <c r="C27" t="s">
        <v>97</v>
      </c>
      <c r="D27">
        <v>1280000</v>
      </c>
      <c r="E27" t="s">
        <v>98</v>
      </c>
    </row>
    <row r="28" spans="1:5" x14ac:dyDescent="0.25">
      <c r="A28" s="14">
        <v>42495.776354166665</v>
      </c>
      <c r="B28" t="s">
        <v>58</v>
      </c>
      <c r="C28" t="s">
        <v>277</v>
      </c>
      <c r="D28">
        <v>1750000</v>
      </c>
      <c r="E28" t="s">
        <v>86</v>
      </c>
    </row>
    <row r="29" spans="1:5" x14ac:dyDescent="0.25">
      <c r="A29" s="14">
        <v>42496.029016203705</v>
      </c>
      <c r="B29" t="s">
        <v>60</v>
      </c>
      <c r="C29" t="s">
        <v>278</v>
      </c>
      <c r="D29">
        <v>1410000</v>
      </c>
      <c r="E29" t="s">
        <v>279</v>
      </c>
    </row>
    <row r="30" spans="1:5" x14ac:dyDescent="0.25">
      <c r="A30" s="14">
        <v>42495.818842592591</v>
      </c>
      <c r="B30" t="s">
        <v>60</v>
      </c>
      <c r="C30" t="s">
        <v>280</v>
      </c>
      <c r="D30">
        <v>1410000</v>
      </c>
      <c r="E30" t="s">
        <v>279</v>
      </c>
    </row>
    <row r="31" spans="1:5" x14ac:dyDescent="0.25">
      <c r="A31" s="14">
        <v>42495.603263888886</v>
      </c>
      <c r="B31" t="s">
        <v>126</v>
      </c>
      <c r="C31" t="s">
        <v>281</v>
      </c>
      <c r="D31">
        <v>1280000</v>
      </c>
      <c r="E31" t="s">
        <v>98</v>
      </c>
    </row>
    <row r="32" spans="1:5" x14ac:dyDescent="0.25">
      <c r="A32" s="14">
        <v>42495.83216435185</v>
      </c>
      <c r="B32" t="s">
        <v>67</v>
      </c>
      <c r="C32" t="s">
        <v>282</v>
      </c>
      <c r="D32">
        <v>1410000</v>
      </c>
      <c r="E32" t="s">
        <v>279</v>
      </c>
    </row>
    <row r="33" spans="1:5" x14ac:dyDescent="0.25">
      <c r="A33" s="14">
        <v>42495.598749999997</v>
      </c>
      <c r="B33" t="s">
        <v>100</v>
      </c>
      <c r="C33" t="s">
        <v>283</v>
      </c>
      <c r="D33">
        <v>1290000</v>
      </c>
      <c r="E33" t="s">
        <v>284</v>
      </c>
    </row>
    <row r="34" spans="1:5" x14ac:dyDescent="0.25">
      <c r="A34" s="14">
        <v>42495.906527777777</v>
      </c>
      <c r="B34" t="s">
        <v>88</v>
      </c>
      <c r="C34" t="s">
        <v>285</v>
      </c>
      <c r="D34">
        <v>1820000</v>
      </c>
      <c r="E34" t="s">
        <v>119</v>
      </c>
    </row>
    <row r="35" spans="1:5" x14ac:dyDescent="0.25">
      <c r="A35" s="14">
        <v>42495.470173611109</v>
      </c>
      <c r="B35" t="s">
        <v>104</v>
      </c>
      <c r="C35" t="s">
        <v>286</v>
      </c>
      <c r="D35">
        <v>1100000</v>
      </c>
      <c r="E35" t="s">
        <v>99</v>
      </c>
    </row>
    <row r="36" spans="1:5" x14ac:dyDescent="0.25">
      <c r="A36" s="14">
        <v>42496.132824074077</v>
      </c>
      <c r="B36" t="s">
        <v>108</v>
      </c>
      <c r="C36" t="s">
        <v>287</v>
      </c>
      <c r="D36">
        <v>1430000</v>
      </c>
      <c r="E36" t="s">
        <v>288</v>
      </c>
    </row>
    <row r="37" spans="1:5" x14ac:dyDescent="0.25">
      <c r="A37" s="14">
        <v>42495.456122685187</v>
      </c>
      <c r="B37" t="s">
        <v>126</v>
      </c>
      <c r="C37" t="s">
        <v>289</v>
      </c>
      <c r="D37">
        <v>1310000</v>
      </c>
      <c r="E37" t="s">
        <v>131</v>
      </c>
    </row>
    <row r="38" spans="1:5" x14ac:dyDescent="0.25">
      <c r="A38" s="14">
        <v>42496.25340277778</v>
      </c>
      <c r="B38" t="s">
        <v>114</v>
      </c>
      <c r="C38" t="s">
        <v>290</v>
      </c>
      <c r="D38">
        <v>1800000</v>
      </c>
      <c r="E38" t="s">
        <v>95</v>
      </c>
    </row>
    <row r="39" spans="1:5" x14ac:dyDescent="0.25">
      <c r="A39" s="14">
        <v>42495.396354166667</v>
      </c>
      <c r="B39" t="s">
        <v>104</v>
      </c>
      <c r="C39" t="s">
        <v>291</v>
      </c>
      <c r="D39">
        <v>1300000</v>
      </c>
      <c r="E39" t="s">
        <v>106</v>
      </c>
    </row>
    <row r="40" spans="1:5" x14ac:dyDescent="0.25">
      <c r="A40" s="14">
        <v>42496.196759259263</v>
      </c>
      <c r="B40" t="s">
        <v>74</v>
      </c>
      <c r="C40" t="s">
        <v>292</v>
      </c>
      <c r="D40">
        <v>1200000</v>
      </c>
      <c r="E40" t="s">
        <v>293</v>
      </c>
    </row>
    <row r="41" spans="1:5" x14ac:dyDescent="0.25">
      <c r="A41" s="14">
        <v>42495.341226851851</v>
      </c>
      <c r="B41" t="s">
        <v>58</v>
      </c>
      <c r="C41" t="s">
        <v>241</v>
      </c>
      <c r="D41">
        <v>1310000</v>
      </c>
      <c r="E41" t="s">
        <v>131</v>
      </c>
    </row>
    <row r="42" spans="1:5" x14ac:dyDescent="0.25">
      <c r="A42" s="14">
        <v>42496.167928240742</v>
      </c>
      <c r="B42" t="s">
        <v>294</v>
      </c>
      <c r="C42" t="s">
        <v>295</v>
      </c>
      <c r="D42">
        <v>1800000</v>
      </c>
      <c r="E42" t="s">
        <v>95</v>
      </c>
    </row>
    <row r="43" spans="1:5" x14ac:dyDescent="0.25">
      <c r="A43" s="14">
        <v>42496.213587962964</v>
      </c>
      <c r="B43" t="s">
        <v>104</v>
      </c>
      <c r="C43" t="s">
        <v>296</v>
      </c>
      <c r="D43">
        <v>1800000</v>
      </c>
      <c r="E43" t="s">
        <v>95</v>
      </c>
    </row>
    <row r="44" spans="1:5" x14ac:dyDescent="0.25">
      <c r="A44" s="14">
        <v>42496.231932870367</v>
      </c>
      <c r="B44" t="s">
        <v>58</v>
      </c>
      <c r="C44" t="s">
        <v>297</v>
      </c>
      <c r="D44">
        <v>1200000</v>
      </c>
      <c r="E44" t="s">
        <v>293</v>
      </c>
    </row>
    <row r="45" spans="1:5" x14ac:dyDescent="0.25">
      <c r="A45" s="14">
        <v>42495.777442129627</v>
      </c>
      <c r="B45" t="s">
        <v>58</v>
      </c>
      <c r="C45" t="s">
        <v>277</v>
      </c>
      <c r="D45">
        <v>1750000</v>
      </c>
      <c r="E45" t="s">
        <v>86</v>
      </c>
    </row>
    <row r="46" spans="1:5" x14ac:dyDescent="0.25">
      <c r="A46" s="14">
        <v>42496.252118055556</v>
      </c>
      <c r="B46" t="s">
        <v>114</v>
      </c>
      <c r="C46" t="s">
        <v>290</v>
      </c>
      <c r="D46">
        <v>1800000</v>
      </c>
      <c r="E46" t="s">
        <v>95</v>
      </c>
    </row>
    <row r="47" spans="1:5" x14ac:dyDescent="0.25">
      <c r="A47" s="14">
        <v>42495.700624999998</v>
      </c>
      <c r="B47" t="s">
        <v>58</v>
      </c>
      <c r="C47" t="s">
        <v>298</v>
      </c>
      <c r="D47">
        <v>880000</v>
      </c>
      <c r="E47" t="s">
        <v>89</v>
      </c>
    </row>
    <row r="48" spans="1:5" x14ac:dyDescent="0.25">
      <c r="A48" s="14">
        <v>42494.863275462965</v>
      </c>
      <c r="B48" t="s">
        <v>65</v>
      </c>
      <c r="C48" t="s">
        <v>112</v>
      </c>
      <c r="D48">
        <v>1740000</v>
      </c>
      <c r="E48" t="s">
        <v>109</v>
      </c>
    </row>
    <row r="49" spans="1:5" x14ac:dyDescent="0.25">
      <c r="A49" s="14">
        <v>42495.807395833333</v>
      </c>
      <c r="B49" t="s">
        <v>74</v>
      </c>
      <c r="C49" t="s">
        <v>299</v>
      </c>
      <c r="D49">
        <v>1750000</v>
      </c>
      <c r="E49" t="s">
        <v>86</v>
      </c>
    </row>
    <row r="50" spans="1:5" x14ac:dyDescent="0.25">
      <c r="A50" s="14">
        <v>42494.98946759259</v>
      </c>
      <c r="B50" t="s">
        <v>75</v>
      </c>
      <c r="C50" t="s">
        <v>123</v>
      </c>
      <c r="D50">
        <v>1280000</v>
      </c>
      <c r="E50" t="s">
        <v>98</v>
      </c>
    </row>
    <row r="51" spans="1:5" x14ac:dyDescent="0.25">
      <c r="A51" s="14">
        <v>42495.787592592591</v>
      </c>
      <c r="B51" t="s">
        <v>68</v>
      </c>
      <c r="C51" t="s">
        <v>300</v>
      </c>
      <c r="D51">
        <v>1820000</v>
      </c>
      <c r="E51" t="s">
        <v>119</v>
      </c>
    </row>
    <row r="52" spans="1:5" x14ac:dyDescent="0.25">
      <c r="A52" s="14">
        <v>42494.808993055558</v>
      </c>
      <c r="B52" t="s">
        <v>66</v>
      </c>
      <c r="C52" t="s">
        <v>125</v>
      </c>
      <c r="D52">
        <v>1750000</v>
      </c>
      <c r="E52" t="s">
        <v>86</v>
      </c>
    </row>
    <row r="53" spans="1:5" x14ac:dyDescent="0.25">
      <c r="A53" s="14">
        <v>42495.529120370367</v>
      </c>
      <c r="B53" t="s">
        <v>75</v>
      </c>
      <c r="C53" t="s">
        <v>301</v>
      </c>
      <c r="D53">
        <v>970000</v>
      </c>
      <c r="E53" t="s">
        <v>87</v>
      </c>
    </row>
    <row r="54" spans="1:5" x14ac:dyDescent="0.25">
      <c r="A54" s="14">
        <v>42495.018043981479</v>
      </c>
      <c r="B54" t="s">
        <v>73</v>
      </c>
      <c r="C54" t="s">
        <v>85</v>
      </c>
      <c r="D54">
        <v>1760000</v>
      </c>
      <c r="E54" t="s">
        <v>51</v>
      </c>
    </row>
    <row r="55" spans="1:5" x14ac:dyDescent="0.25">
      <c r="A55" s="14">
        <v>42495.516134259262</v>
      </c>
      <c r="B55" t="s">
        <v>72</v>
      </c>
      <c r="C55" t="s">
        <v>302</v>
      </c>
      <c r="D55">
        <v>890000</v>
      </c>
      <c r="E55" t="s">
        <v>271</v>
      </c>
    </row>
    <row r="56" spans="1:5" x14ac:dyDescent="0.25">
      <c r="A56" s="14">
        <v>42494.847349537034</v>
      </c>
      <c r="B56" t="s">
        <v>73</v>
      </c>
      <c r="C56" t="s">
        <v>76</v>
      </c>
      <c r="D56">
        <v>1760000</v>
      </c>
      <c r="E56" t="s">
        <v>51</v>
      </c>
    </row>
    <row r="57" spans="1:5" x14ac:dyDescent="0.25">
      <c r="A57" s="14">
        <v>42495.355509259258</v>
      </c>
      <c r="B57" t="s">
        <v>60</v>
      </c>
      <c r="C57" t="s">
        <v>247</v>
      </c>
      <c r="D57">
        <v>1800000</v>
      </c>
      <c r="E57" t="s">
        <v>95</v>
      </c>
    </row>
    <row r="58" spans="1:5" x14ac:dyDescent="0.25">
      <c r="A58" s="14">
        <v>42494.807245370372</v>
      </c>
      <c r="B58" t="s">
        <v>71</v>
      </c>
      <c r="C58" t="s">
        <v>121</v>
      </c>
      <c r="D58">
        <v>1760000</v>
      </c>
      <c r="E58" t="s">
        <v>51</v>
      </c>
    </row>
    <row r="59" spans="1:5" x14ac:dyDescent="0.25">
      <c r="A59" s="14">
        <v>42495.758449074077</v>
      </c>
      <c r="B59" t="s">
        <v>67</v>
      </c>
      <c r="C59" t="s">
        <v>303</v>
      </c>
      <c r="D59">
        <v>1410000</v>
      </c>
      <c r="E59" t="s">
        <v>279</v>
      </c>
    </row>
    <row r="60" spans="1:5" x14ac:dyDescent="0.25">
      <c r="A60" s="14">
        <v>42495.131412037037</v>
      </c>
      <c r="B60" t="s">
        <v>68</v>
      </c>
      <c r="C60" t="s">
        <v>118</v>
      </c>
      <c r="D60">
        <v>1300000</v>
      </c>
      <c r="E60" t="s">
        <v>106</v>
      </c>
    </row>
    <row r="61" spans="1:5" x14ac:dyDescent="0.25">
      <c r="A61" s="14">
        <v>42495.680937500001</v>
      </c>
      <c r="B61" t="s">
        <v>88</v>
      </c>
      <c r="C61" t="s">
        <v>304</v>
      </c>
      <c r="D61">
        <v>1830000</v>
      </c>
      <c r="E61" t="s">
        <v>124</v>
      </c>
    </row>
    <row r="62" spans="1:5" x14ac:dyDescent="0.25">
      <c r="A62" s="14">
        <v>42495.236481481479</v>
      </c>
      <c r="B62" t="s">
        <v>126</v>
      </c>
      <c r="C62" t="s">
        <v>127</v>
      </c>
      <c r="D62">
        <v>1110000</v>
      </c>
      <c r="E62" t="s">
        <v>90</v>
      </c>
    </row>
    <row r="63" spans="1:5" x14ac:dyDescent="0.25">
      <c r="A63" s="14">
        <v>42495.669444444444</v>
      </c>
      <c r="B63" t="s">
        <v>100</v>
      </c>
      <c r="C63" t="s">
        <v>273</v>
      </c>
      <c r="D63">
        <v>970000</v>
      </c>
      <c r="E63" t="s">
        <v>87</v>
      </c>
    </row>
    <row r="64" spans="1:5" x14ac:dyDescent="0.25">
      <c r="A64" s="14">
        <v>42495.247766203705</v>
      </c>
      <c r="B64" t="s">
        <v>67</v>
      </c>
      <c r="C64" t="s">
        <v>128</v>
      </c>
      <c r="D64">
        <v>1800000</v>
      </c>
      <c r="E64" t="s">
        <v>95</v>
      </c>
    </row>
    <row r="65" spans="1:5" x14ac:dyDescent="0.25">
      <c r="A65" s="14">
        <v>42495.623240740744</v>
      </c>
      <c r="B65" t="s">
        <v>66</v>
      </c>
      <c r="C65" t="s">
        <v>305</v>
      </c>
      <c r="D65">
        <v>890000</v>
      </c>
      <c r="E65" t="s">
        <v>271</v>
      </c>
    </row>
    <row r="66" spans="1:5" x14ac:dyDescent="0.25">
      <c r="A66" s="14">
        <v>42495.264745370368</v>
      </c>
      <c r="B66" t="s">
        <v>53</v>
      </c>
      <c r="C66" t="s">
        <v>129</v>
      </c>
      <c r="D66">
        <v>1810000</v>
      </c>
      <c r="E66" t="s">
        <v>93</v>
      </c>
    </row>
    <row r="67" spans="1:5" x14ac:dyDescent="0.25">
      <c r="A67" s="14">
        <v>42495.34752314815</v>
      </c>
      <c r="B67" t="s">
        <v>68</v>
      </c>
      <c r="C67" t="s">
        <v>245</v>
      </c>
      <c r="D67">
        <v>1770000</v>
      </c>
      <c r="E67" t="s">
        <v>96</v>
      </c>
    </row>
    <row r="68" spans="1:5" x14ac:dyDescent="0.25">
      <c r="A68" s="14">
        <v>42495.286863425928</v>
      </c>
      <c r="B68" t="s">
        <v>114</v>
      </c>
      <c r="C68" t="s">
        <v>248</v>
      </c>
      <c r="D68">
        <v>1300000</v>
      </c>
      <c r="E68" t="s">
        <v>106</v>
      </c>
    </row>
    <row r="69" spans="1:5" x14ac:dyDescent="0.25">
      <c r="A69" s="14">
        <v>42495.315127314818</v>
      </c>
      <c r="B69" t="s">
        <v>88</v>
      </c>
      <c r="C69" t="s">
        <v>246</v>
      </c>
      <c r="D69">
        <v>1770000</v>
      </c>
      <c r="E69" t="s">
        <v>96</v>
      </c>
    </row>
    <row r="70" spans="1:5" x14ac:dyDescent="0.25">
      <c r="A70" s="14">
        <v>42495.323437500003</v>
      </c>
      <c r="B70" t="s">
        <v>104</v>
      </c>
      <c r="C70" t="s">
        <v>249</v>
      </c>
      <c r="D70">
        <v>1300000</v>
      </c>
      <c r="E70" t="s">
        <v>106</v>
      </c>
    </row>
    <row r="71" spans="1:5" x14ac:dyDescent="0.25">
      <c r="A71" s="14">
        <v>42496.269375000003</v>
      </c>
      <c r="B71" t="s">
        <v>74</v>
      </c>
      <c r="C71" t="s">
        <v>306</v>
      </c>
      <c r="D71">
        <v>1200000</v>
      </c>
      <c r="E71" t="s">
        <v>293</v>
      </c>
    </row>
    <row r="72" spans="1:5" x14ac:dyDescent="0.25">
      <c r="A72" s="14">
        <v>42495.329131944447</v>
      </c>
      <c r="B72" t="s">
        <v>66</v>
      </c>
      <c r="C72" t="s">
        <v>250</v>
      </c>
      <c r="D72">
        <v>1170000</v>
      </c>
      <c r="E72" t="s">
        <v>251</v>
      </c>
    </row>
    <row r="73" spans="1:5" x14ac:dyDescent="0.25">
      <c r="A73" s="14">
        <v>42496.265787037039</v>
      </c>
      <c r="B73" t="s">
        <v>307</v>
      </c>
      <c r="C73" t="s">
        <v>308</v>
      </c>
      <c r="D73">
        <v>1360000</v>
      </c>
      <c r="E73" t="s">
        <v>309</v>
      </c>
    </row>
    <row r="74" spans="1:5" x14ac:dyDescent="0.25">
      <c r="A74" s="14">
        <v>42495.349965277775</v>
      </c>
      <c r="B74" t="s">
        <v>134</v>
      </c>
      <c r="C74" t="s">
        <v>252</v>
      </c>
      <c r="D74">
        <v>1110000</v>
      </c>
      <c r="E74" t="s">
        <v>90</v>
      </c>
    </row>
    <row r="75" spans="1:5" x14ac:dyDescent="0.25">
      <c r="A75" s="14">
        <v>42495.956296296295</v>
      </c>
      <c r="B75" t="s">
        <v>68</v>
      </c>
      <c r="C75" t="s">
        <v>310</v>
      </c>
      <c r="D75">
        <v>1820000</v>
      </c>
      <c r="E75" t="s">
        <v>119</v>
      </c>
    </row>
    <row r="76" spans="1:5" x14ac:dyDescent="0.25">
      <c r="A76" s="14">
        <v>42494.890046296299</v>
      </c>
      <c r="B76" t="s">
        <v>71</v>
      </c>
      <c r="C76" t="s">
        <v>78</v>
      </c>
      <c r="D76">
        <v>1760000</v>
      </c>
      <c r="E76" t="s">
        <v>51</v>
      </c>
    </row>
    <row r="77" spans="1:5" x14ac:dyDescent="0.25">
      <c r="A77" s="14">
        <v>42495.84888888889</v>
      </c>
      <c r="B77" t="s">
        <v>66</v>
      </c>
      <c r="C77" t="s">
        <v>311</v>
      </c>
      <c r="D77">
        <v>1760000</v>
      </c>
      <c r="E77" t="s">
        <v>51</v>
      </c>
    </row>
    <row r="78" spans="1:5" x14ac:dyDescent="0.25">
      <c r="A78" s="14">
        <v>42495.390590277777</v>
      </c>
      <c r="B78" t="s">
        <v>67</v>
      </c>
      <c r="C78" t="s">
        <v>312</v>
      </c>
      <c r="D78">
        <v>1800000</v>
      </c>
      <c r="E78" t="s">
        <v>95</v>
      </c>
    </row>
    <row r="79" spans="1:5" x14ac:dyDescent="0.25">
      <c r="A79" s="14">
        <v>42495.696203703701</v>
      </c>
      <c r="B79" t="s">
        <v>66</v>
      </c>
      <c r="C79" t="s">
        <v>313</v>
      </c>
      <c r="D79">
        <v>890000</v>
      </c>
      <c r="E79" t="s">
        <v>271</v>
      </c>
    </row>
    <row r="80" spans="1:5" x14ac:dyDescent="0.25">
      <c r="A80" s="14">
        <v>42495.653078703705</v>
      </c>
      <c r="B80" t="s">
        <v>114</v>
      </c>
      <c r="C80" t="s">
        <v>314</v>
      </c>
      <c r="D80">
        <v>1140000</v>
      </c>
      <c r="E80" t="s">
        <v>91</v>
      </c>
    </row>
    <row r="81" spans="1:5" x14ac:dyDescent="0.25">
      <c r="A81" s="14">
        <v>42495.673946759256</v>
      </c>
      <c r="B81" t="s">
        <v>126</v>
      </c>
      <c r="C81" t="s">
        <v>315</v>
      </c>
      <c r="D81">
        <v>1280000</v>
      </c>
      <c r="E81" t="s">
        <v>98</v>
      </c>
    </row>
    <row r="82" spans="1:5" x14ac:dyDescent="0.25">
      <c r="A82" s="14">
        <v>42496.288506944446</v>
      </c>
      <c r="B82" t="s">
        <v>110</v>
      </c>
      <c r="C82" t="s">
        <v>316</v>
      </c>
      <c r="D82">
        <v>1430000</v>
      </c>
      <c r="E82" t="s">
        <v>288</v>
      </c>
    </row>
    <row r="83" spans="1:5" x14ac:dyDescent="0.25">
      <c r="A83" s="14">
        <v>42495.647986111115</v>
      </c>
      <c r="B83" t="s">
        <v>60</v>
      </c>
      <c r="C83" t="s">
        <v>317</v>
      </c>
      <c r="D83">
        <v>1090000</v>
      </c>
      <c r="E83" t="s">
        <v>92</v>
      </c>
    </row>
    <row r="84" spans="1:5" x14ac:dyDescent="0.25">
      <c r="A84" s="14">
        <v>42495.496446759258</v>
      </c>
      <c r="B84" t="s">
        <v>134</v>
      </c>
      <c r="C84" t="s">
        <v>318</v>
      </c>
      <c r="D84">
        <v>1310000</v>
      </c>
      <c r="E84" t="s">
        <v>131</v>
      </c>
    </row>
    <row r="85" spans="1:5" x14ac:dyDescent="0.25">
      <c r="A85" s="14">
        <v>42495.629907407405</v>
      </c>
      <c r="B85" t="s">
        <v>58</v>
      </c>
      <c r="C85" t="s">
        <v>319</v>
      </c>
      <c r="D85">
        <v>880000</v>
      </c>
      <c r="E85" t="s">
        <v>89</v>
      </c>
    </row>
    <row r="86" spans="1:5" x14ac:dyDescent="0.25">
      <c r="A86" s="14">
        <v>42495.549837962964</v>
      </c>
      <c r="B86" t="s">
        <v>66</v>
      </c>
      <c r="C86" t="s">
        <v>320</v>
      </c>
      <c r="D86">
        <v>890000</v>
      </c>
      <c r="E86" t="s">
        <v>271</v>
      </c>
    </row>
    <row r="87" spans="1:5" x14ac:dyDescent="0.25">
      <c r="A87" s="14">
        <v>42495.617476851854</v>
      </c>
      <c r="B87" t="s">
        <v>104</v>
      </c>
      <c r="C87" t="s">
        <v>321</v>
      </c>
      <c r="D87">
        <v>1140000</v>
      </c>
      <c r="E87" t="s">
        <v>91</v>
      </c>
    </row>
    <row r="88" spans="1:5" x14ac:dyDescent="0.25">
      <c r="A88" s="14">
        <v>42495.610543981478</v>
      </c>
      <c r="B88" t="s">
        <v>67</v>
      </c>
      <c r="C88" t="s">
        <v>322</v>
      </c>
      <c r="D88">
        <v>1090000</v>
      </c>
      <c r="E88" t="s">
        <v>92</v>
      </c>
    </row>
    <row r="89" spans="1:5" x14ac:dyDescent="0.25">
      <c r="A89" s="14">
        <v>42495.609120370369</v>
      </c>
      <c r="B89" t="s">
        <v>88</v>
      </c>
      <c r="C89" t="s">
        <v>323</v>
      </c>
      <c r="D89">
        <v>1830000</v>
      </c>
      <c r="E89" t="s">
        <v>124</v>
      </c>
    </row>
    <row r="90" spans="1:5" x14ac:dyDescent="0.25">
      <c r="A90" s="14">
        <v>42495.725960648146</v>
      </c>
      <c r="B90" t="s">
        <v>60</v>
      </c>
      <c r="C90" t="s">
        <v>324</v>
      </c>
      <c r="D90">
        <v>1090000</v>
      </c>
      <c r="E90" t="s">
        <v>92</v>
      </c>
    </row>
    <row r="91" spans="1:5" x14ac:dyDescent="0.25">
      <c r="A91" s="14">
        <v>42495.228310185186</v>
      </c>
      <c r="B91" t="s">
        <v>75</v>
      </c>
      <c r="C91" t="s">
        <v>102</v>
      </c>
      <c r="D91">
        <v>1810000</v>
      </c>
      <c r="E91" t="s">
        <v>93</v>
      </c>
    </row>
    <row r="92" spans="1:5" x14ac:dyDescent="0.25">
      <c r="A92" s="14">
        <v>42495.789976851855</v>
      </c>
      <c r="B92" t="s">
        <v>60</v>
      </c>
      <c r="C92" t="s">
        <v>280</v>
      </c>
      <c r="D92">
        <v>1410000</v>
      </c>
      <c r="E92" t="s">
        <v>279</v>
      </c>
    </row>
    <row r="93" spans="1:5" x14ac:dyDescent="0.25">
      <c r="A93" s="14">
        <v>42495.241319444445</v>
      </c>
      <c r="B93" t="s">
        <v>88</v>
      </c>
      <c r="C93" t="s">
        <v>113</v>
      </c>
      <c r="D93">
        <v>1770000</v>
      </c>
      <c r="E93" t="s">
        <v>96</v>
      </c>
    </row>
    <row r="94" spans="1:5" x14ac:dyDescent="0.25">
      <c r="A94" s="14">
        <v>42496.012673611112</v>
      </c>
      <c r="B94" t="s">
        <v>58</v>
      </c>
      <c r="C94" t="s">
        <v>325</v>
      </c>
      <c r="D94">
        <v>1750000</v>
      </c>
      <c r="E94" t="s">
        <v>86</v>
      </c>
    </row>
    <row r="95" spans="1:5" x14ac:dyDescent="0.25">
      <c r="A95" s="14">
        <v>42495.20925925926</v>
      </c>
      <c r="B95" t="s">
        <v>114</v>
      </c>
      <c r="C95" t="s">
        <v>115</v>
      </c>
      <c r="D95">
        <v>1300000</v>
      </c>
      <c r="E95" t="s">
        <v>106</v>
      </c>
    </row>
    <row r="96" spans="1:5" x14ac:dyDescent="0.25">
      <c r="A96" s="14">
        <v>42496.058275462965</v>
      </c>
      <c r="B96" t="s">
        <v>72</v>
      </c>
      <c r="C96" t="s">
        <v>326</v>
      </c>
      <c r="D96">
        <v>1760000</v>
      </c>
      <c r="E96" t="s">
        <v>51</v>
      </c>
    </row>
    <row r="97" spans="1:5" x14ac:dyDescent="0.25">
      <c r="A97" s="14">
        <v>42495.204641203702</v>
      </c>
      <c r="B97" t="s">
        <v>68</v>
      </c>
      <c r="C97" t="s">
        <v>116</v>
      </c>
      <c r="D97">
        <v>1100000</v>
      </c>
      <c r="E97" t="s">
        <v>99</v>
      </c>
    </row>
    <row r="98" spans="1:5" x14ac:dyDescent="0.25">
      <c r="A98" s="14">
        <v>42495.662314814814</v>
      </c>
      <c r="B98" t="s">
        <v>74</v>
      </c>
      <c r="C98" t="s">
        <v>327</v>
      </c>
      <c r="D98">
        <v>880000</v>
      </c>
      <c r="E98" t="s">
        <v>89</v>
      </c>
    </row>
    <row r="99" spans="1:5" x14ac:dyDescent="0.25">
      <c r="A99" s="14">
        <v>42495.17046296296</v>
      </c>
      <c r="B99" t="s">
        <v>104</v>
      </c>
      <c r="C99" t="s">
        <v>117</v>
      </c>
      <c r="D99">
        <v>1300000</v>
      </c>
      <c r="E99" t="s">
        <v>106</v>
      </c>
    </row>
    <row r="100" spans="1:5" x14ac:dyDescent="0.25">
      <c r="A100" s="14">
        <v>42495.869085648148</v>
      </c>
      <c r="B100" t="s">
        <v>60</v>
      </c>
      <c r="C100" t="s">
        <v>328</v>
      </c>
      <c r="D100">
        <v>1410000</v>
      </c>
      <c r="E100" t="s">
        <v>279</v>
      </c>
    </row>
    <row r="101" spans="1:5" x14ac:dyDescent="0.25">
      <c r="A101" s="14">
        <v>42495.129467592589</v>
      </c>
      <c r="B101" t="s">
        <v>68</v>
      </c>
      <c r="C101" t="s">
        <v>118</v>
      </c>
      <c r="D101">
        <v>1300000</v>
      </c>
      <c r="E101" t="s">
        <v>106</v>
      </c>
    </row>
    <row r="102" spans="1:5" x14ac:dyDescent="0.25">
      <c r="A102" s="14">
        <v>42496.171249999999</v>
      </c>
      <c r="B102" t="s">
        <v>103</v>
      </c>
      <c r="C102" t="s">
        <v>329</v>
      </c>
      <c r="D102">
        <v>1430000</v>
      </c>
      <c r="E102" t="s">
        <v>288</v>
      </c>
    </row>
    <row r="103" spans="1:5" x14ac:dyDescent="0.25">
      <c r="A103" s="14">
        <v>42495.012175925927</v>
      </c>
      <c r="B103" t="s">
        <v>72</v>
      </c>
      <c r="C103" t="s">
        <v>84</v>
      </c>
      <c r="D103">
        <v>1750000</v>
      </c>
      <c r="E103" t="s">
        <v>86</v>
      </c>
    </row>
    <row r="104" spans="1:5" x14ac:dyDescent="0.25">
      <c r="A104" s="14">
        <v>42496.18377314815</v>
      </c>
      <c r="B104" t="s">
        <v>53</v>
      </c>
      <c r="C104" t="s">
        <v>330</v>
      </c>
      <c r="D104">
        <v>1110000</v>
      </c>
      <c r="E104" t="s">
        <v>90</v>
      </c>
    </row>
    <row r="105" spans="1:5" x14ac:dyDescent="0.25">
      <c r="A105" s="14">
        <v>42494.987719907411</v>
      </c>
      <c r="B105" t="s">
        <v>61</v>
      </c>
      <c r="C105" t="s">
        <v>83</v>
      </c>
      <c r="D105">
        <v>1740000</v>
      </c>
      <c r="E105" t="s">
        <v>109</v>
      </c>
    </row>
    <row r="106" spans="1:5" x14ac:dyDescent="0.25">
      <c r="A106" s="14">
        <v>42495.545185185183</v>
      </c>
      <c r="B106" t="s">
        <v>104</v>
      </c>
      <c r="C106" t="s">
        <v>331</v>
      </c>
      <c r="D106">
        <v>1140000</v>
      </c>
      <c r="E106" t="s">
        <v>91</v>
      </c>
    </row>
    <row r="107" spans="1:5" x14ac:dyDescent="0.25">
      <c r="A107" s="14">
        <v>42494.971539351849</v>
      </c>
      <c r="B107" t="s">
        <v>66</v>
      </c>
      <c r="C107" t="s">
        <v>120</v>
      </c>
      <c r="D107">
        <v>1750000</v>
      </c>
      <c r="E107" t="s">
        <v>86</v>
      </c>
    </row>
    <row r="108" spans="1:5" x14ac:dyDescent="0.25">
      <c r="A108" s="14">
        <v>42495.571446759262</v>
      </c>
      <c r="B108" t="s">
        <v>68</v>
      </c>
      <c r="C108" t="s">
        <v>332</v>
      </c>
      <c r="D108">
        <v>1830000</v>
      </c>
      <c r="E108" t="s">
        <v>124</v>
      </c>
    </row>
    <row r="109" spans="1:5" x14ac:dyDescent="0.25">
      <c r="A109" s="14">
        <v>42494.945775462962</v>
      </c>
      <c r="B109" t="s">
        <v>65</v>
      </c>
      <c r="C109" t="s">
        <v>122</v>
      </c>
      <c r="D109">
        <v>1740000</v>
      </c>
      <c r="E109" t="s">
        <v>109</v>
      </c>
    </row>
    <row r="110" spans="1:5" x14ac:dyDescent="0.25">
      <c r="A110" s="14">
        <v>42495.639490740738</v>
      </c>
      <c r="B110" t="s">
        <v>134</v>
      </c>
      <c r="C110" t="s">
        <v>333</v>
      </c>
      <c r="D110">
        <v>1280000</v>
      </c>
      <c r="E110" t="s">
        <v>98</v>
      </c>
    </row>
    <row r="111" spans="1:5" x14ac:dyDescent="0.25">
      <c r="A111" s="14">
        <v>42496.150543981479</v>
      </c>
      <c r="B111" t="s">
        <v>334</v>
      </c>
      <c r="C111" t="s">
        <v>335</v>
      </c>
      <c r="D111">
        <v>1770000</v>
      </c>
      <c r="E111" t="s">
        <v>96</v>
      </c>
    </row>
    <row r="112" spans="1:5" x14ac:dyDescent="0.25">
      <c r="A112" s="14">
        <v>42495.736655092594</v>
      </c>
      <c r="B112" t="s">
        <v>72</v>
      </c>
      <c r="C112" t="s">
        <v>336</v>
      </c>
      <c r="D112">
        <v>890000</v>
      </c>
      <c r="E112" t="s">
        <v>271</v>
      </c>
    </row>
    <row r="113" spans="1:5" x14ac:dyDescent="0.25">
      <c r="A113" s="14">
        <v>42495.882847222223</v>
      </c>
      <c r="B113" t="s">
        <v>74</v>
      </c>
      <c r="C113" t="s">
        <v>337</v>
      </c>
      <c r="D113">
        <v>1750000</v>
      </c>
      <c r="E113" t="s">
        <v>86</v>
      </c>
    </row>
    <row r="114" spans="1:5" x14ac:dyDescent="0.25">
      <c r="A114" s="14">
        <v>42495.785312499997</v>
      </c>
      <c r="B114" t="s">
        <v>134</v>
      </c>
      <c r="C114" t="s">
        <v>338</v>
      </c>
      <c r="D114">
        <v>1280000</v>
      </c>
      <c r="E114" t="s">
        <v>98</v>
      </c>
    </row>
    <row r="115" spans="1:5" x14ac:dyDescent="0.25">
      <c r="A115" s="14">
        <v>42495.843611111108</v>
      </c>
      <c r="B115" t="s">
        <v>58</v>
      </c>
      <c r="C115" t="s">
        <v>339</v>
      </c>
      <c r="D115">
        <v>1750000</v>
      </c>
      <c r="E115" t="s">
        <v>86</v>
      </c>
    </row>
    <row r="116" spans="1:5" x14ac:dyDescent="0.25">
      <c r="A116" s="14">
        <v>42495.807256944441</v>
      </c>
      <c r="B116" t="s">
        <v>72</v>
      </c>
      <c r="C116" t="s">
        <v>340</v>
      </c>
      <c r="D116">
        <v>1760000</v>
      </c>
      <c r="E116" t="s">
        <v>51</v>
      </c>
    </row>
    <row r="117" spans="1:5" x14ac:dyDescent="0.25">
      <c r="A117" s="14">
        <v>42495.822685185187</v>
      </c>
      <c r="B117" t="s">
        <v>88</v>
      </c>
      <c r="C117" t="s">
        <v>341</v>
      </c>
      <c r="D117">
        <v>1820000</v>
      </c>
      <c r="E117" t="s">
        <v>119</v>
      </c>
    </row>
    <row r="118" spans="1:5" x14ac:dyDescent="0.25">
      <c r="A118" s="14">
        <v>42495.986655092594</v>
      </c>
      <c r="B118" t="s">
        <v>67</v>
      </c>
      <c r="C118" t="s">
        <v>342</v>
      </c>
      <c r="D118">
        <v>1410000</v>
      </c>
      <c r="E118" t="s">
        <v>279</v>
      </c>
    </row>
    <row r="119" spans="1:5" x14ac:dyDescent="0.25">
      <c r="A119" s="14">
        <v>42495.775219907409</v>
      </c>
      <c r="B119" t="s">
        <v>58</v>
      </c>
      <c r="C119" t="s">
        <v>277</v>
      </c>
      <c r="D119">
        <v>1750000</v>
      </c>
      <c r="E119" t="s">
        <v>86</v>
      </c>
    </row>
    <row r="120" spans="1:5" x14ac:dyDescent="0.25">
      <c r="A120" s="14">
        <v>42496.206030092595</v>
      </c>
      <c r="B120" t="s">
        <v>108</v>
      </c>
      <c r="C120" t="s">
        <v>343</v>
      </c>
      <c r="D120">
        <v>1100000</v>
      </c>
      <c r="E120" t="s">
        <v>99</v>
      </c>
    </row>
    <row r="121" spans="1:5" x14ac:dyDescent="0.25">
      <c r="A121" s="14">
        <v>42495.743692129632</v>
      </c>
      <c r="B121" t="s">
        <v>100</v>
      </c>
      <c r="C121" t="s">
        <v>344</v>
      </c>
      <c r="D121">
        <v>970000</v>
      </c>
      <c r="E121" t="s">
        <v>87</v>
      </c>
    </row>
    <row r="122" spans="1:5" x14ac:dyDescent="0.25">
      <c r="A122" s="14">
        <v>42496.271134259259</v>
      </c>
      <c r="B122" t="s">
        <v>345</v>
      </c>
      <c r="C122" t="s">
        <v>346</v>
      </c>
      <c r="D122">
        <v>1770000</v>
      </c>
      <c r="E122" t="s">
        <v>96</v>
      </c>
    </row>
    <row r="123" spans="1:5" x14ac:dyDescent="0.25">
      <c r="A123" s="14">
        <v>42495.733819444446</v>
      </c>
      <c r="B123" t="s">
        <v>114</v>
      </c>
      <c r="C123" t="s">
        <v>347</v>
      </c>
      <c r="D123">
        <v>1140000</v>
      </c>
      <c r="E123" t="s">
        <v>91</v>
      </c>
    </row>
    <row r="124" spans="1:5" x14ac:dyDescent="0.25">
      <c r="A124" s="14">
        <v>42496.289525462962</v>
      </c>
      <c r="B124" t="s">
        <v>75</v>
      </c>
      <c r="C124" t="s">
        <v>348</v>
      </c>
      <c r="D124">
        <v>1110000</v>
      </c>
      <c r="E124" t="s">
        <v>90</v>
      </c>
    </row>
    <row r="125" spans="1:5" x14ac:dyDescent="0.25">
      <c r="A125" s="14">
        <v>42496.214872685188</v>
      </c>
      <c r="B125" t="s">
        <v>104</v>
      </c>
      <c r="C125" t="s">
        <v>296</v>
      </c>
      <c r="D125">
        <v>1800000</v>
      </c>
      <c r="E125" t="s">
        <v>95</v>
      </c>
    </row>
    <row r="126" spans="1:5" x14ac:dyDescent="0.25">
      <c r="A126" s="14">
        <v>42495.412210648145</v>
      </c>
      <c r="B126" t="s">
        <v>58</v>
      </c>
      <c r="C126" t="s">
        <v>349</v>
      </c>
      <c r="D126">
        <v>1310000</v>
      </c>
      <c r="E126" t="s">
        <v>131</v>
      </c>
    </row>
    <row r="127" spans="1:5" x14ac:dyDescent="0.25">
      <c r="A127" s="14">
        <v>42495.934247685182</v>
      </c>
      <c r="B127" t="s">
        <v>66</v>
      </c>
      <c r="C127" t="s">
        <v>350</v>
      </c>
      <c r="D127">
        <v>1760000</v>
      </c>
      <c r="E127" t="s">
        <v>51</v>
      </c>
    </row>
    <row r="128" spans="1:5" x14ac:dyDescent="0.25">
      <c r="A128" s="14">
        <v>42495.526909722219</v>
      </c>
      <c r="B128" t="s">
        <v>126</v>
      </c>
      <c r="C128" t="s">
        <v>351</v>
      </c>
      <c r="D128">
        <v>1280000</v>
      </c>
      <c r="E128" t="s">
        <v>98</v>
      </c>
    </row>
    <row r="129" spans="1:5" x14ac:dyDescent="0.25">
      <c r="A129" s="14">
        <v>42496.291574074072</v>
      </c>
      <c r="B129" t="s">
        <v>75</v>
      </c>
      <c r="C129" t="s">
        <v>348</v>
      </c>
      <c r="D129">
        <v>1110000</v>
      </c>
      <c r="E129" t="s">
        <v>90</v>
      </c>
    </row>
    <row r="130" spans="1:5" x14ac:dyDescent="0.25">
      <c r="A130" s="14">
        <v>42495.643483796295</v>
      </c>
      <c r="B130" t="s">
        <v>68</v>
      </c>
      <c r="C130" t="s">
        <v>352</v>
      </c>
      <c r="D130">
        <v>1830000</v>
      </c>
      <c r="E130" t="s">
        <v>124</v>
      </c>
    </row>
    <row r="131" spans="1:5" x14ac:dyDescent="0.25">
      <c r="A131" s="14">
        <v>42496.225972222222</v>
      </c>
      <c r="B131" t="s">
        <v>334</v>
      </c>
      <c r="C131" t="s">
        <v>353</v>
      </c>
      <c r="D131">
        <v>1360000</v>
      </c>
      <c r="E131" t="s">
        <v>309</v>
      </c>
    </row>
    <row r="132" spans="1:5" x14ac:dyDescent="0.25">
      <c r="A132" s="14">
        <v>42495.928020833337</v>
      </c>
      <c r="B132" t="s">
        <v>58</v>
      </c>
      <c r="C132" t="s">
        <v>354</v>
      </c>
      <c r="D132">
        <v>1750000</v>
      </c>
      <c r="E132" t="s">
        <v>86</v>
      </c>
    </row>
    <row r="133" spans="1:5" x14ac:dyDescent="0.25">
      <c r="A133" s="14">
        <v>42496.20590277778</v>
      </c>
      <c r="B133" t="s">
        <v>110</v>
      </c>
      <c r="C133" t="s">
        <v>355</v>
      </c>
      <c r="D133">
        <v>1430000</v>
      </c>
      <c r="E133" t="s">
        <v>288</v>
      </c>
    </row>
    <row r="134" spans="1:5" x14ac:dyDescent="0.25">
      <c r="A134" s="14">
        <v>42496.16946759259</v>
      </c>
      <c r="B134" t="s">
        <v>294</v>
      </c>
      <c r="C134" t="s">
        <v>295</v>
      </c>
      <c r="D134">
        <v>1800000</v>
      </c>
      <c r="E134" t="s">
        <v>95</v>
      </c>
    </row>
    <row r="135" spans="1:5" x14ac:dyDescent="0.25">
      <c r="A135" s="14">
        <v>42495.993993055556</v>
      </c>
      <c r="B135" t="s">
        <v>88</v>
      </c>
      <c r="C135" t="s">
        <v>356</v>
      </c>
      <c r="D135">
        <v>1820000</v>
      </c>
      <c r="E135" t="s">
        <v>119</v>
      </c>
    </row>
    <row r="136" spans="1:5" x14ac:dyDescent="0.25">
      <c r="A136" s="14">
        <v>42496.188483796293</v>
      </c>
      <c r="B136" t="s">
        <v>345</v>
      </c>
      <c r="C136" t="s">
        <v>357</v>
      </c>
      <c r="D136">
        <v>1770000</v>
      </c>
      <c r="E136" t="s">
        <v>96</v>
      </c>
    </row>
    <row r="137" spans="1:5" x14ac:dyDescent="0.25">
      <c r="A137" s="14">
        <v>42495.767581018517</v>
      </c>
      <c r="B137" t="s">
        <v>66</v>
      </c>
      <c r="C137" t="s">
        <v>358</v>
      </c>
      <c r="D137">
        <v>1760000</v>
      </c>
      <c r="E137" t="s">
        <v>51</v>
      </c>
    </row>
    <row r="138" spans="1:5" x14ac:dyDescent="0.25">
      <c r="A138" s="14">
        <v>42496.258923611109</v>
      </c>
      <c r="B138" t="s">
        <v>53</v>
      </c>
      <c r="C138" t="s">
        <v>359</v>
      </c>
      <c r="D138">
        <v>1110000</v>
      </c>
      <c r="E138" t="s">
        <v>90</v>
      </c>
    </row>
    <row r="139" spans="1:5" x14ac:dyDescent="0.25">
      <c r="A139" s="14">
        <v>42495.906701388885</v>
      </c>
      <c r="B139" t="s">
        <v>67</v>
      </c>
      <c r="C139" t="s">
        <v>360</v>
      </c>
      <c r="D139">
        <v>1410000</v>
      </c>
      <c r="E139" t="s">
        <v>279</v>
      </c>
    </row>
    <row r="140" spans="1:5" x14ac:dyDescent="0.25">
      <c r="A140" s="14">
        <v>42496.276516203703</v>
      </c>
      <c r="B140" t="s">
        <v>108</v>
      </c>
      <c r="C140" t="s">
        <v>361</v>
      </c>
      <c r="D140">
        <v>1100000</v>
      </c>
      <c r="E140" t="s">
        <v>99</v>
      </c>
    </row>
    <row r="141" spans="1:5" x14ac:dyDescent="0.25">
      <c r="A141" s="14">
        <v>42495.860277777778</v>
      </c>
      <c r="B141" t="s">
        <v>68</v>
      </c>
      <c r="C141" t="s">
        <v>362</v>
      </c>
      <c r="D141">
        <v>1820000</v>
      </c>
      <c r="E141" t="s">
        <v>119</v>
      </c>
    </row>
    <row r="142" spans="1:5" x14ac:dyDescent="0.25">
      <c r="A142" s="14">
        <v>42494.86142361111</v>
      </c>
      <c r="B142" t="s">
        <v>53</v>
      </c>
      <c r="C142" t="s">
        <v>137</v>
      </c>
      <c r="D142">
        <v>1280000</v>
      </c>
      <c r="E142" t="s">
        <v>98</v>
      </c>
    </row>
    <row r="143" spans="1:5" x14ac:dyDescent="0.25">
      <c r="A143" s="14">
        <v>42496.255648148152</v>
      </c>
      <c r="B143" t="s">
        <v>114</v>
      </c>
      <c r="C143" t="s">
        <v>290</v>
      </c>
      <c r="D143">
        <v>1800000</v>
      </c>
      <c r="E143" t="s">
        <v>95</v>
      </c>
    </row>
    <row r="144" spans="1:5" x14ac:dyDescent="0.25">
      <c r="A144" s="14">
        <v>42495.032129629632</v>
      </c>
      <c r="B144" t="s">
        <v>65</v>
      </c>
      <c r="C144" t="s">
        <v>133</v>
      </c>
      <c r="D144">
        <v>1740000</v>
      </c>
      <c r="E144" t="s">
        <v>109</v>
      </c>
    </row>
    <row r="145" spans="1:5" x14ac:dyDescent="0.25">
      <c r="A145" s="14">
        <v>42496.226990740739</v>
      </c>
      <c r="B145" t="s">
        <v>363</v>
      </c>
      <c r="C145" t="s">
        <v>364</v>
      </c>
      <c r="D145">
        <v>1770000</v>
      </c>
      <c r="E145" t="s">
        <v>96</v>
      </c>
    </row>
    <row r="146" spans="1:5" x14ac:dyDescent="0.25">
      <c r="A146" s="14">
        <v>42495.338564814818</v>
      </c>
      <c r="B146" t="s">
        <v>53</v>
      </c>
      <c r="C146" t="s">
        <v>255</v>
      </c>
      <c r="D146">
        <v>1810000</v>
      </c>
      <c r="E146" t="s">
        <v>93</v>
      </c>
    </row>
    <row r="147" spans="1:5" x14ac:dyDescent="0.25">
      <c r="A147" s="14">
        <v>42496.017650462964</v>
      </c>
      <c r="B147" t="s">
        <v>66</v>
      </c>
      <c r="C147" t="s">
        <v>365</v>
      </c>
      <c r="D147">
        <v>1760000</v>
      </c>
      <c r="E147" t="s">
        <v>51</v>
      </c>
    </row>
    <row r="148" spans="1:5" x14ac:dyDescent="0.25">
      <c r="A148" s="14">
        <v>42495.373518518521</v>
      </c>
      <c r="B148" t="s">
        <v>75</v>
      </c>
      <c r="C148" t="s">
        <v>366</v>
      </c>
      <c r="D148">
        <v>1810000</v>
      </c>
      <c r="E148" t="s">
        <v>93</v>
      </c>
    </row>
    <row r="149" spans="1:5" x14ac:dyDescent="0.25">
      <c r="A149" s="14">
        <v>42495.975462962961</v>
      </c>
      <c r="B149" t="s">
        <v>74</v>
      </c>
      <c r="C149" t="s">
        <v>367</v>
      </c>
      <c r="D149">
        <v>1750000</v>
      </c>
      <c r="E149" t="s">
        <v>86</v>
      </c>
    </row>
    <row r="150" spans="1:5" x14ac:dyDescent="0.25">
      <c r="A150" s="14">
        <v>42495.537268518521</v>
      </c>
      <c r="B150" t="s">
        <v>88</v>
      </c>
      <c r="C150" t="s">
        <v>368</v>
      </c>
      <c r="D150">
        <v>1830000</v>
      </c>
      <c r="E150" t="s">
        <v>124</v>
      </c>
    </row>
    <row r="151" spans="1:5" x14ac:dyDescent="0.25">
      <c r="A151" s="14">
        <v>42495.945844907408</v>
      </c>
      <c r="B151" t="s">
        <v>60</v>
      </c>
      <c r="C151" t="s">
        <v>369</v>
      </c>
      <c r="D151">
        <v>1410000</v>
      </c>
      <c r="E151" t="s">
        <v>279</v>
      </c>
    </row>
    <row r="152" spans="1:5" x14ac:dyDescent="0.25">
      <c r="A152" s="14">
        <v>42494.829733796294</v>
      </c>
      <c r="B152" t="s">
        <v>61</v>
      </c>
      <c r="C152" t="s">
        <v>77</v>
      </c>
      <c r="D152">
        <v>1740000</v>
      </c>
      <c r="E152" t="s">
        <v>109</v>
      </c>
    </row>
    <row r="153" spans="1:5" x14ac:dyDescent="0.25">
      <c r="A153" s="14">
        <v>42495.929861111108</v>
      </c>
      <c r="B153" t="s">
        <v>58</v>
      </c>
      <c r="C153" t="s">
        <v>354</v>
      </c>
      <c r="D153">
        <v>1750000</v>
      </c>
      <c r="E153" t="s">
        <v>86</v>
      </c>
    </row>
    <row r="154" spans="1:5" x14ac:dyDescent="0.25">
      <c r="A154" s="14">
        <v>42494.909907407404</v>
      </c>
      <c r="B154" t="s">
        <v>75</v>
      </c>
      <c r="C154" t="s">
        <v>80</v>
      </c>
      <c r="D154">
        <v>1280000</v>
      </c>
      <c r="E154" t="s">
        <v>98</v>
      </c>
    </row>
    <row r="155" spans="1:5" x14ac:dyDescent="0.25">
      <c r="A155" s="14">
        <v>42495.76153935185</v>
      </c>
      <c r="B155" t="s">
        <v>104</v>
      </c>
      <c r="C155" t="s">
        <v>370</v>
      </c>
      <c r="D155">
        <v>1140000</v>
      </c>
      <c r="E155" t="s">
        <v>91</v>
      </c>
    </row>
    <row r="156" spans="1:5" x14ac:dyDescent="0.25">
      <c r="A156" s="14">
        <v>42495.194224537037</v>
      </c>
      <c r="B156" t="s">
        <v>134</v>
      </c>
      <c r="C156" t="s">
        <v>135</v>
      </c>
      <c r="D156">
        <v>1110000</v>
      </c>
      <c r="E156" t="s">
        <v>90</v>
      </c>
    </row>
    <row r="157" spans="1:5" x14ac:dyDescent="0.25">
      <c r="A157" s="14">
        <v>42495.74664351852</v>
      </c>
      <c r="B157" t="s">
        <v>126</v>
      </c>
      <c r="C157" t="s">
        <v>371</v>
      </c>
      <c r="D157">
        <v>1280000</v>
      </c>
      <c r="E157" t="s">
        <v>98</v>
      </c>
    </row>
    <row r="158" spans="1:5" x14ac:dyDescent="0.25">
      <c r="A158" s="14">
        <v>42495.266226851854</v>
      </c>
      <c r="B158" t="s">
        <v>58</v>
      </c>
      <c r="C158" t="s">
        <v>130</v>
      </c>
      <c r="D158">
        <v>1310000</v>
      </c>
      <c r="E158" t="s">
        <v>131</v>
      </c>
    </row>
    <row r="159" spans="1:5" x14ac:dyDescent="0.25">
      <c r="A159" s="14">
        <v>42495.582175925927</v>
      </c>
      <c r="B159" t="s">
        <v>114</v>
      </c>
      <c r="C159" t="s">
        <v>372</v>
      </c>
      <c r="D159">
        <v>1140000</v>
      </c>
      <c r="E159" t="s">
        <v>91</v>
      </c>
    </row>
    <row r="160" spans="1:5" x14ac:dyDescent="0.25">
      <c r="A160" s="14">
        <v>42495.374571759261</v>
      </c>
      <c r="B160" t="s">
        <v>74</v>
      </c>
      <c r="C160" t="s">
        <v>373</v>
      </c>
      <c r="D160">
        <v>1310000</v>
      </c>
      <c r="E160" t="s">
        <v>131</v>
      </c>
    </row>
    <row r="161" spans="1:5" x14ac:dyDescent="0.25">
      <c r="A161" s="14">
        <v>42495.385960648149</v>
      </c>
      <c r="B161" t="s">
        <v>88</v>
      </c>
      <c r="C161" t="s">
        <v>374</v>
      </c>
      <c r="D161">
        <v>1770000</v>
      </c>
      <c r="E161" t="s">
        <v>96</v>
      </c>
    </row>
    <row r="162" spans="1:5" x14ac:dyDescent="0.25">
      <c r="A162" s="14">
        <v>42495.057256944441</v>
      </c>
      <c r="B162" t="s">
        <v>71</v>
      </c>
      <c r="C162" t="s">
        <v>138</v>
      </c>
      <c r="D162">
        <v>1760000</v>
      </c>
      <c r="E162" t="s">
        <v>51</v>
      </c>
    </row>
    <row r="163" spans="1:5" x14ac:dyDescent="0.25">
      <c r="A163" s="14">
        <v>42495.226157407407</v>
      </c>
      <c r="B163" t="s">
        <v>74</v>
      </c>
      <c r="C163" t="s">
        <v>132</v>
      </c>
      <c r="D163">
        <v>1310000</v>
      </c>
      <c r="E163" t="s">
        <v>131</v>
      </c>
    </row>
    <row r="164" spans="1:5" x14ac:dyDescent="0.25">
      <c r="A164" s="14">
        <v>42495.127766203703</v>
      </c>
      <c r="B164" t="s">
        <v>68</v>
      </c>
      <c r="C164" t="s">
        <v>118</v>
      </c>
      <c r="D164">
        <v>1300000</v>
      </c>
      <c r="E164" t="s">
        <v>106</v>
      </c>
    </row>
    <row r="165" spans="1:5" x14ac:dyDescent="0.25">
      <c r="A165" s="14">
        <v>42495.219641203701</v>
      </c>
      <c r="B165" t="s">
        <v>72</v>
      </c>
      <c r="C165" t="s">
        <v>145</v>
      </c>
      <c r="D165">
        <v>1780000</v>
      </c>
      <c r="E165" t="s">
        <v>94</v>
      </c>
    </row>
    <row r="166" spans="1:5" x14ac:dyDescent="0.25">
      <c r="A166" s="14">
        <v>42495.442847222221</v>
      </c>
      <c r="B166" t="s">
        <v>72</v>
      </c>
      <c r="C166" t="s">
        <v>375</v>
      </c>
      <c r="D166">
        <v>1780000</v>
      </c>
      <c r="E166" t="s">
        <v>94</v>
      </c>
    </row>
    <row r="167" spans="1:5" x14ac:dyDescent="0.25">
      <c r="A167" s="14">
        <v>42494.904756944445</v>
      </c>
      <c r="B167" t="s">
        <v>61</v>
      </c>
      <c r="C167" t="s">
        <v>146</v>
      </c>
      <c r="D167">
        <v>1740000</v>
      </c>
      <c r="E167" t="s">
        <v>109</v>
      </c>
    </row>
    <row r="168" spans="1:5" x14ac:dyDescent="0.25">
      <c r="A168" s="14">
        <v>42495.276585648149</v>
      </c>
      <c r="B168" t="s">
        <v>68</v>
      </c>
      <c r="C168" t="s">
        <v>254</v>
      </c>
      <c r="D168">
        <v>1770000</v>
      </c>
      <c r="E168" t="s">
        <v>96</v>
      </c>
    </row>
    <row r="169" spans="1:5" x14ac:dyDescent="0.25">
      <c r="A169" s="14">
        <v>42495.476643518516</v>
      </c>
      <c r="B169" t="s">
        <v>66</v>
      </c>
      <c r="C169" t="s">
        <v>376</v>
      </c>
      <c r="D169">
        <v>890000</v>
      </c>
      <c r="E169" t="s">
        <v>271</v>
      </c>
    </row>
    <row r="170" spans="1:5" x14ac:dyDescent="0.25">
      <c r="A170" s="14">
        <v>42495.520092592589</v>
      </c>
      <c r="B170" t="s">
        <v>74</v>
      </c>
      <c r="C170" t="s">
        <v>377</v>
      </c>
      <c r="D170">
        <v>880000</v>
      </c>
      <c r="E170" t="s">
        <v>89</v>
      </c>
    </row>
    <row r="171" spans="1:5" x14ac:dyDescent="0.25">
      <c r="A171" s="14">
        <v>42495.443298611113</v>
      </c>
      <c r="B171" t="s">
        <v>74</v>
      </c>
      <c r="C171" t="s">
        <v>378</v>
      </c>
      <c r="D171">
        <v>880000</v>
      </c>
      <c r="E171" t="s">
        <v>89</v>
      </c>
    </row>
    <row r="172" spans="1:5" x14ac:dyDescent="0.25">
      <c r="A172" s="14">
        <v>42495.557951388888</v>
      </c>
      <c r="B172" t="s">
        <v>58</v>
      </c>
      <c r="C172" t="s">
        <v>379</v>
      </c>
      <c r="D172">
        <v>880000</v>
      </c>
      <c r="E172" t="s">
        <v>89</v>
      </c>
    </row>
    <row r="173" spans="1:5" x14ac:dyDescent="0.25">
      <c r="A173" s="14">
        <v>42495.36042824074</v>
      </c>
      <c r="B173" t="s">
        <v>114</v>
      </c>
      <c r="C173" t="s">
        <v>256</v>
      </c>
      <c r="D173">
        <v>1300000</v>
      </c>
      <c r="E173" t="s">
        <v>106</v>
      </c>
    </row>
    <row r="174" spans="1:5" x14ac:dyDescent="0.25">
      <c r="A174" s="14">
        <v>42495.155069444445</v>
      </c>
      <c r="B174" t="s">
        <v>74</v>
      </c>
      <c r="C174" t="s">
        <v>143</v>
      </c>
      <c r="D174">
        <v>1110000</v>
      </c>
      <c r="E174" t="s">
        <v>90</v>
      </c>
    </row>
    <row r="175" spans="1:5" x14ac:dyDescent="0.25">
      <c r="A175" s="14">
        <v>42495.300578703704</v>
      </c>
      <c r="B175" t="s">
        <v>74</v>
      </c>
      <c r="C175" t="s">
        <v>257</v>
      </c>
      <c r="D175">
        <v>1310000</v>
      </c>
      <c r="E175" t="s">
        <v>131</v>
      </c>
    </row>
    <row r="176" spans="1:5" x14ac:dyDescent="0.25">
      <c r="A176" s="14">
        <v>42494.974166666667</v>
      </c>
      <c r="B176" t="s">
        <v>71</v>
      </c>
      <c r="C176" t="s">
        <v>147</v>
      </c>
      <c r="D176">
        <v>1760000</v>
      </c>
      <c r="E176" t="s">
        <v>51</v>
      </c>
    </row>
    <row r="177" spans="1:5" x14ac:dyDescent="0.25">
      <c r="A177" s="14">
        <v>42495.6328125</v>
      </c>
      <c r="B177" t="s">
        <v>294</v>
      </c>
      <c r="C177" t="s">
        <v>380</v>
      </c>
      <c r="D177">
        <v>970000</v>
      </c>
      <c r="E177" t="s">
        <v>87</v>
      </c>
    </row>
    <row r="178" spans="1:5" x14ac:dyDescent="0.25">
      <c r="A178" s="14">
        <v>42495.170405092591</v>
      </c>
      <c r="B178" t="s">
        <v>67</v>
      </c>
      <c r="C178" t="s">
        <v>144</v>
      </c>
      <c r="D178">
        <v>1800000</v>
      </c>
      <c r="E178" t="s">
        <v>95</v>
      </c>
    </row>
    <row r="179" spans="1:5" x14ac:dyDescent="0.25">
      <c r="A179" s="14">
        <v>42495.59302083333</v>
      </c>
      <c r="B179" t="s">
        <v>74</v>
      </c>
      <c r="C179" t="s">
        <v>381</v>
      </c>
      <c r="D179">
        <v>880000</v>
      </c>
      <c r="E179" t="s">
        <v>89</v>
      </c>
    </row>
    <row r="180" spans="1:5" x14ac:dyDescent="0.25">
      <c r="A180" s="14">
        <v>42495.369756944441</v>
      </c>
      <c r="B180" t="s">
        <v>72</v>
      </c>
      <c r="C180" t="s">
        <v>382</v>
      </c>
      <c r="D180">
        <v>1170000</v>
      </c>
      <c r="E180" t="s">
        <v>251</v>
      </c>
    </row>
    <row r="181" spans="1:5" x14ac:dyDescent="0.25">
      <c r="A181" s="14">
        <v>42495.466608796298</v>
      </c>
      <c r="B181" t="s">
        <v>67</v>
      </c>
      <c r="C181" t="s">
        <v>383</v>
      </c>
      <c r="D181">
        <v>1090000</v>
      </c>
      <c r="E181" t="s">
        <v>92</v>
      </c>
    </row>
    <row r="182" spans="1:5" x14ac:dyDescent="0.25">
      <c r="A182" s="14">
        <v>42495.575868055559</v>
      </c>
      <c r="B182" t="s">
        <v>60</v>
      </c>
      <c r="C182" t="s">
        <v>384</v>
      </c>
      <c r="D182">
        <v>1090000</v>
      </c>
      <c r="E182" t="s">
        <v>92</v>
      </c>
    </row>
    <row r="183" spans="1:5" x14ac:dyDescent="0.25">
      <c r="A183" s="14">
        <v>42495.422962962963</v>
      </c>
      <c r="B183" t="s">
        <v>134</v>
      </c>
      <c r="C183" t="s">
        <v>385</v>
      </c>
      <c r="D183">
        <v>1110000</v>
      </c>
      <c r="E183" t="s">
        <v>90</v>
      </c>
    </row>
    <row r="184" spans="1:5" x14ac:dyDescent="0.25">
      <c r="A184" s="14">
        <v>42495.706655092596</v>
      </c>
      <c r="B184" t="s">
        <v>134</v>
      </c>
      <c r="C184" t="s">
        <v>386</v>
      </c>
      <c r="D184">
        <v>1280000</v>
      </c>
      <c r="E184" t="s">
        <v>98</v>
      </c>
    </row>
    <row r="185" spans="1:5" x14ac:dyDescent="0.25">
      <c r="A185" s="14">
        <v>42495.422858796293</v>
      </c>
      <c r="B185" t="s">
        <v>68</v>
      </c>
      <c r="C185" t="s">
        <v>387</v>
      </c>
      <c r="D185">
        <v>1830000</v>
      </c>
      <c r="E185" t="s">
        <v>124</v>
      </c>
    </row>
    <row r="186" spans="1:5" x14ac:dyDescent="0.25">
      <c r="A186" s="14">
        <v>42495.975486111114</v>
      </c>
      <c r="B186" t="s">
        <v>72</v>
      </c>
      <c r="C186" t="s">
        <v>388</v>
      </c>
      <c r="D186">
        <v>1760000</v>
      </c>
      <c r="E186" t="s">
        <v>51</v>
      </c>
    </row>
    <row r="187" spans="1:5" x14ac:dyDescent="0.25">
      <c r="A187" s="14">
        <v>42495.277453703704</v>
      </c>
      <c r="B187" t="s">
        <v>134</v>
      </c>
      <c r="C187" t="s">
        <v>258</v>
      </c>
      <c r="D187">
        <v>1110000</v>
      </c>
      <c r="E187" t="s">
        <v>90</v>
      </c>
    </row>
    <row r="188" spans="1:5" x14ac:dyDescent="0.25">
      <c r="A188" s="14">
        <v>42496.133877314816</v>
      </c>
      <c r="B188" t="s">
        <v>108</v>
      </c>
      <c r="C188" t="s">
        <v>287</v>
      </c>
      <c r="D188">
        <v>1430000</v>
      </c>
      <c r="E188" t="s">
        <v>288</v>
      </c>
    </row>
    <row r="189" spans="1:5" x14ac:dyDescent="0.25">
      <c r="A189" s="14">
        <v>42495.55263888889</v>
      </c>
      <c r="B189" t="s">
        <v>294</v>
      </c>
      <c r="C189" t="s">
        <v>389</v>
      </c>
      <c r="D189">
        <v>1290000</v>
      </c>
      <c r="E189" t="s">
        <v>284</v>
      </c>
    </row>
    <row r="190" spans="1:5" x14ac:dyDescent="0.25">
      <c r="A190" s="14">
        <v>42496.246435185189</v>
      </c>
      <c r="B190" t="s">
        <v>111</v>
      </c>
      <c r="C190" t="s">
        <v>390</v>
      </c>
      <c r="D190">
        <v>1100000</v>
      </c>
      <c r="E190" t="s">
        <v>99</v>
      </c>
    </row>
    <row r="191" spans="1:5" x14ac:dyDescent="0.25">
      <c r="A191" s="14">
        <v>42495.434201388889</v>
      </c>
      <c r="B191" t="s">
        <v>114</v>
      </c>
      <c r="C191" t="s">
        <v>391</v>
      </c>
      <c r="D191">
        <v>1770000</v>
      </c>
      <c r="E191" t="s">
        <v>96</v>
      </c>
    </row>
    <row r="192" spans="1:5" x14ac:dyDescent="0.25">
      <c r="A192" s="14">
        <v>42496.268043981479</v>
      </c>
      <c r="B192" t="s">
        <v>74</v>
      </c>
      <c r="C192" t="s">
        <v>306</v>
      </c>
      <c r="D192">
        <v>1200000</v>
      </c>
      <c r="E192" t="s">
        <v>293</v>
      </c>
    </row>
    <row r="193" spans="1:5" x14ac:dyDescent="0.25">
      <c r="A193" s="14">
        <v>42495.208865740744</v>
      </c>
      <c r="B193" t="s">
        <v>100</v>
      </c>
      <c r="C193" t="s">
        <v>139</v>
      </c>
      <c r="D193">
        <v>1800000</v>
      </c>
      <c r="E193" t="s">
        <v>95</v>
      </c>
    </row>
    <row r="194" spans="1:5" x14ac:dyDescent="0.25">
      <c r="A194" s="14">
        <v>42496.290300925924</v>
      </c>
      <c r="B194" t="s">
        <v>75</v>
      </c>
      <c r="C194" t="s">
        <v>348</v>
      </c>
      <c r="D194">
        <v>1110000</v>
      </c>
      <c r="E194" t="s">
        <v>90</v>
      </c>
    </row>
    <row r="195" spans="1:5" x14ac:dyDescent="0.25">
      <c r="A195" s="14">
        <v>42495.193819444445</v>
      </c>
      <c r="B195" t="s">
        <v>53</v>
      </c>
      <c r="C195" t="s">
        <v>140</v>
      </c>
      <c r="D195">
        <v>1810000</v>
      </c>
      <c r="E195" t="s">
        <v>93</v>
      </c>
    </row>
    <row r="196" spans="1:5" x14ac:dyDescent="0.25">
      <c r="A196" s="14">
        <v>42495.689363425925</v>
      </c>
      <c r="B196" t="s">
        <v>67</v>
      </c>
      <c r="C196" t="s">
        <v>392</v>
      </c>
      <c r="D196">
        <v>1090000</v>
      </c>
      <c r="E196" t="s">
        <v>92</v>
      </c>
    </row>
    <row r="197" spans="1:5" x14ac:dyDescent="0.25">
      <c r="A197" s="14">
        <v>42495.179884259262</v>
      </c>
      <c r="B197" t="s">
        <v>66</v>
      </c>
      <c r="C197" t="s">
        <v>141</v>
      </c>
      <c r="D197">
        <v>1780000</v>
      </c>
      <c r="E197" t="s">
        <v>94</v>
      </c>
    </row>
    <row r="198" spans="1:5" x14ac:dyDescent="0.25">
      <c r="A198" s="14">
        <v>42495.726631944446</v>
      </c>
      <c r="B198" t="s">
        <v>114</v>
      </c>
      <c r="C198" t="s">
        <v>347</v>
      </c>
      <c r="D198">
        <v>1140000</v>
      </c>
      <c r="E198" t="s">
        <v>91</v>
      </c>
    </row>
    <row r="199" spans="1:5" x14ac:dyDescent="0.25">
      <c r="A199" s="14">
        <v>42494.844340277778</v>
      </c>
      <c r="B199" t="s">
        <v>72</v>
      </c>
      <c r="C199" t="s">
        <v>142</v>
      </c>
      <c r="D199">
        <v>1750000</v>
      </c>
      <c r="E199" t="s">
        <v>86</v>
      </c>
    </row>
    <row r="200" spans="1:5" x14ac:dyDescent="0.25">
      <c r="A200" s="14">
        <v>42495.780127314814</v>
      </c>
      <c r="B200" t="s">
        <v>294</v>
      </c>
      <c r="C200" t="s">
        <v>393</v>
      </c>
      <c r="D200">
        <v>970000</v>
      </c>
      <c r="E200" t="s">
        <v>87</v>
      </c>
    </row>
    <row r="201" spans="1:5" x14ac:dyDescent="0.25">
      <c r="A201" s="14">
        <v>42495.56318287037</v>
      </c>
      <c r="B201" t="s">
        <v>134</v>
      </c>
      <c r="C201" t="s">
        <v>394</v>
      </c>
      <c r="D201">
        <v>1280000</v>
      </c>
      <c r="E201" t="s">
        <v>98</v>
      </c>
    </row>
    <row r="202" spans="1:5" x14ac:dyDescent="0.25">
      <c r="A202" s="14">
        <v>42495.928680555553</v>
      </c>
      <c r="B202" t="s">
        <v>58</v>
      </c>
      <c r="C202" t="s">
        <v>354</v>
      </c>
      <c r="D202">
        <v>1750000</v>
      </c>
      <c r="E202" t="s">
        <v>86</v>
      </c>
    </row>
    <row r="203" spans="1:5" x14ac:dyDescent="0.25">
      <c r="A203" s="14">
        <v>42495.537592592591</v>
      </c>
      <c r="B203" t="s">
        <v>67</v>
      </c>
      <c r="C203" t="s">
        <v>395</v>
      </c>
      <c r="D203">
        <v>1090000</v>
      </c>
      <c r="E203" t="s">
        <v>92</v>
      </c>
    </row>
    <row r="204" spans="1:5" x14ac:dyDescent="0.25">
      <c r="A204" s="14">
        <v>42496.224710648145</v>
      </c>
      <c r="B204" t="s">
        <v>75</v>
      </c>
      <c r="C204" t="s">
        <v>396</v>
      </c>
      <c r="D204">
        <v>1110000</v>
      </c>
      <c r="E204" t="s">
        <v>90</v>
      </c>
    </row>
    <row r="205" spans="1:5" x14ac:dyDescent="0.25">
      <c r="A205" s="14">
        <v>42495.321180555555</v>
      </c>
      <c r="B205" t="s">
        <v>67</v>
      </c>
      <c r="C205" t="s">
        <v>253</v>
      </c>
      <c r="D205">
        <v>1800000</v>
      </c>
      <c r="E205" t="s">
        <v>95</v>
      </c>
    </row>
    <row r="206" spans="1:5" x14ac:dyDescent="0.25">
      <c r="A206" s="14">
        <v>42495.691516203704</v>
      </c>
      <c r="B206" t="s">
        <v>104</v>
      </c>
      <c r="C206" t="s">
        <v>397</v>
      </c>
      <c r="D206">
        <v>1140000</v>
      </c>
      <c r="E206" t="s">
        <v>91</v>
      </c>
    </row>
    <row r="207" spans="1:5" x14ac:dyDescent="0.25">
      <c r="A207" s="14">
        <v>42494.933321759258</v>
      </c>
      <c r="B207" t="s">
        <v>73</v>
      </c>
      <c r="C207" t="s">
        <v>136</v>
      </c>
      <c r="D207">
        <v>1760000</v>
      </c>
      <c r="E207" t="s">
        <v>51</v>
      </c>
    </row>
    <row r="208" spans="1:5" x14ac:dyDescent="0.25">
      <c r="A208" s="14">
        <v>42496.227812500001</v>
      </c>
      <c r="B208" t="s">
        <v>334</v>
      </c>
      <c r="C208" t="s">
        <v>353</v>
      </c>
      <c r="D208">
        <v>1360000</v>
      </c>
      <c r="E208" t="s">
        <v>309</v>
      </c>
    </row>
    <row r="209" spans="1:5" x14ac:dyDescent="0.25">
      <c r="A209" s="14">
        <v>42494.870069444441</v>
      </c>
      <c r="B209" t="s">
        <v>65</v>
      </c>
      <c r="C209" t="s">
        <v>112</v>
      </c>
      <c r="D209">
        <v>1740000</v>
      </c>
      <c r="E209" t="s">
        <v>109</v>
      </c>
    </row>
    <row r="210" spans="1:5" x14ac:dyDescent="0.25">
      <c r="A210" s="14">
        <v>42495.890856481485</v>
      </c>
      <c r="B210" t="s">
        <v>72</v>
      </c>
      <c r="C210" t="s">
        <v>398</v>
      </c>
      <c r="D210">
        <v>1760000</v>
      </c>
      <c r="E210" t="s">
        <v>51</v>
      </c>
    </row>
    <row r="211" spans="1:5" x14ac:dyDescent="0.25">
      <c r="A211" s="14">
        <v>42495.429479166669</v>
      </c>
      <c r="B211" t="s">
        <v>60</v>
      </c>
      <c r="C211" t="s">
        <v>399</v>
      </c>
      <c r="D211">
        <v>1800000</v>
      </c>
      <c r="E211" t="s">
        <v>95</v>
      </c>
    </row>
    <row r="212" spans="1:5" x14ac:dyDescent="0.25">
      <c r="A212" s="14">
        <v>42496.253113425926</v>
      </c>
      <c r="B212" t="s">
        <v>103</v>
      </c>
      <c r="C212" t="s">
        <v>400</v>
      </c>
      <c r="D212">
        <v>1430000</v>
      </c>
      <c r="E212" t="s">
        <v>288</v>
      </c>
    </row>
    <row r="213" spans="1:5" x14ac:dyDescent="0.25">
      <c r="A213" s="14">
        <v>42495.402719907404</v>
      </c>
      <c r="B213" t="s">
        <v>66</v>
      </c>
      <c r="C213" t="s">
        <v>401</v>
      </c>
      <c r="D213">
        <v>1780000</v>
      </c>
      <c r="E213" t="s">
        <v>94</v>
      </c>
    </row>
    <row r="214" spans="1:5" x14ac:dyDescent="0.25">
      <c r="A214" s="14">
        <v>42496.256782407407</v>
      </c>
      <c r="B214" t="s">
        <v>114</v>
      </c>
      <c r="C214" t="s">
        <v>290</v>
      </c>
      <c r="D214">
        <v>1800000</v>
      </c>
      <c r="E214" t="s">
        <v>95</v>
      </c>
    </row>
    <row r="215" spans="1:5" x14ac:dyDescent="0.25">
      <c r="A215" s="14">
        <v>42495.31890046296</v>
      </c>
      <c r="B215" t="s">
        <v>67</v>
      </c>
      <c r="C215" t="s">
        <v>253</v>
      </c>
      <c r="D215">
        <v>1800000</v>
      </c>
      <c r="E215" t="s">
        <v>95</v>
      </c>
    </row>
    <row r="216" spans="1:5" x14ac:dyDescent="0.25">
      <c r="A216" s="14">
        <v>42496.26699074074</v>
      </c>
      <c r="B216" t="s">
        <v>74</v>
      </c>
      <c r="C216" t="s">
        <v>306</v>
      </c>
      <c r="D216">
        <v>1200000</v>
      </c>
      <c r="E216" t="s">
        <v>293</v>
      </c>
    </row>
    <row r="217" spans="1:5" x14ac:dyDescent="0.25">
      <c r="A217" s="14">
        <v>42495.267083333332</v>
      </c>
      <c r="B217" t="s">
        <v>58</v>
      </c>
      <c r="C217" t="s">
        <v>130</v>
      </c>
      <c r="D217">
        <v>1310000</v>
      </c>
      <c r="E217" t="s">
        <v>131</v>
      </c>
    </row>
    <row r="218" spans="1:5" x14ac:dyDescent="0.25">
      <c r="A218" s="14">
        <v>42495.706458333334</v>
      </c>
      <c r="B218" t="s">
        <v>294</v>
      </c>
      <c r="C218" t="s">
        <v>402</v>
      </c>
      <c r="D218">
        <v>970000</v>
      </c>
      <c r="E218" t="s">
        <v>87</v>
      </c>
    </row>
    <row r="219" spans="1:5" x14ac:dyDescent="0.25">
      <c r="A219" s="14">
        <v>42495.226689814815</v>
      </c>
      <c r="B219" t="s">
        <v>74</v>
      </c>
      <c r="C219" t="s">
        <v>132</v>
      </c>
      <c r="D219">
        <v>1310000</v>
      </c>
      <c r="E219" t="s">
        <v>131</v>
      </c>
    </row>
    <row r="220" spans="1:5" x14ac:dyDescent="0.25">
      <c r="A220" s="14">
        <v>42496.011458333334</v>
      </c>
      <c r="B220" t="s">
        <v>58</v>
      </c>
      <c r="C220" t="s">
        <v>325</v>
      </c>
      <c r="D220">
        <v>1750000</v>
      </c>
      <c r="E220" t="s">
        <v>86</v>
      </c>
    </row>
    <row r="221" spans="1:5" x14ac:dyDescent="0.25">
      <c r="A221" s="14">
        <v>42495.410092592596</v>
      </c>
      <c r="B221" t="s">
        <v>53</v>
      </c>
      <c r="C221" t="s">
        <v>403</v>
      </c>
      <c r="D221">
        <v>1810000</v>
      </c>
      <c r="E221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42495</v>
      </c>
      <c r="B2" s="10"/>
      <c r="C2" s="37">
        <v>50</v>
      </c>
      <c r="F2" t="s">
        <v>259</v>
      </c>
    </row>
    <row r="3" spans="1:6" x14ac:dyDescent="0.25">
      <c r="F3" t="s">
        <v>260</v>
      </c>
    </row>
    <row r="4" spans="1:6" x14ac:dyDescent="0.25">
      <c r="F4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2016-05-06T19:23:51Z</dcterms:modified>
</cp:coreProperties>
</file>